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1.xml" ContentType="application/vnd.openxmlformats-officedocument.spreadsheetml.work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7.xml" ContentType="application/vnd.openxmlformats-officedocument.spreadsheetml.worksheet+xml"/>
  <Override PartName="/xl/worksheets/sheet10.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6.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600" firstSheet="0" activeTab="0"/>
  </bookViews>
  <sheets>
    <sheet name="Cover" sheetId="1" state="visible" r:id="rId3"/>
    <sheet name="Assumptions" sheetId="2" state="visible" r:id="rId4"/>
    <sheet name="Disclaimer" sheetId="3" state="visible" r:id="rId5"/>
    <sheet name="Portfolio_Allocation" sheetId="4" state="visible" r:id="rId6"/>
    <sheet name="Income_Schedule" sheetId="5" state="visible" r:id="rId7"/>
    <sheet name="Credit_Losses" sheetId="6" state="visible" r:id="rId8"/>
    <sheet name="Expense_Schedule" sheetId="7" state="visible" r:id="rId9"/>
    <sheet name="Cash_Flow" sheetId="8" state="visible" r:id="rId10"/>
    <sheet name="Portfolio_Summary" sheetId="9" state="visible" r:id="rId11"/>
    <sheet name="Returns_Analysis" sheetId="10" state="visible" r:id="rId12"/>
    <sheet name="Checks" sheetId="11" state="visible" r:id="rId13"/>
  </sheets>
  <definedNames>
    <definedName function="false" hidden="false" name="Admin_Cost" vbProcedure="false">Assumptions!$C$47</definedName>
    <definedName function="false" hidden="false" name="Alloc_Govt" vbProcedure="false">Assumptions!$C$14</definedName>
    <definedName function="false" hidden="false" name="Alloc_HY" vbProcedure="false">Assumptions!$C$16</definedName>
    <definedName function="false" hidden="false" name="Alloc_IG" vbProcedure="false">Assumptions!$C$15</definedName>
    <definedName function="false" hidden="false" name="Alloc_MBS" vbProcedure="false">Assumptions!$C$17</definedName>
    <definedName function="false" hidden="false" name="Amort_Govt" vbProcedure="false">Assumptions!$C$52</definedName>
    <definedName function="false" hidden="false" name="Amort_HY" vbProcedure="false">Assumptions!$C$54</definedName>
    <definedName function="false" hidden="false" name="Amort_IG" vbProcedure="false">Assumptions!$C$53</definedName>
    <definedName function="false" hidden="false" name="Amort_MBS" vbProcedure="false">Assumptions!$C$55</definedName>
    <definedName function="false" hidden="false" name="Annual_New_Capital" vbProcedure="false">Assumptions!$C$9</definedName>
    <definedName function="false" hidden="false" name="Audit_Legal_Cost" vbProcedure="false">Assumptions!$C$49</definedName>
    <definedName function="false" hidden="false" name="CF_Close_Cash" vbProcedure="false">Cash_Flow!$C$20:$G$20</definedName>
    <definedName function="false" hidden="false" name="CF_Coupon_Recv" vbProcedure="false">Cash_Flow!$C$7:$G$7</definedName>
    <definedName function="false" hidden="false" name="CF_Distributions" vbProcedure="false">Cash_Flow!$C$16:$G$16</definedName>
    <definedName function="false" hidden="false" name="CF_Net_Cash" vbProcedure="false">Cash_Flow!$C$19:$G$19</definedName>
    <definedName function="false" hidden="false" name="CF_Open_Cash" vbProcedure="false">Cash_Flow!$C$5:$G$5</definedName>
    <definedName function="false" hidden="false" name="CF_Total_In" vbProcedure="false">Cash_Flow!$C$10:$G$10</definedName>
    <definedName function="false" hidden="false" name="CF_Total_Out" vbProcedure="false">Cash_Flow!$C$17:$G$17</definedName>
    <definedName function="false" hidden="false" name="CL_Cumulative" vbProcedure="false">Credit_Losses!$C$25:$G$25</definedName>
    <definedName function="false" hidden="false" name="CL_Total_Gross" vbProcedure="false">Credit_Losses!$C$9:$G$9</definedName>
    <definedName function="false" hidden="false" name="CL_Total_Net" vbProcedure="false">Credit_Losses!$C$23:$G$23</definedName>
    <definedName function="false" hidden="false" name="CL_Total_Recov" vbProcedure="false">Credit_Losses!$C$16:$G$16</definedName>
    <definedName function="false" hidden="false" name="Coupon_Govt" vbProcedure="false">Assumptions!$C$20</definedName>
    <definedName function="false" hidden="false" name="Coupon_HY" vbProcedure="false">Assumptions!$C$22</definedName>
    <definedName function="false" hidden="false" name="Coupon_IG" vbProcedure="false">Assumptions!$C$21</definedName>
    <definedName function="false" hidden="false" name="Coupon_MBS" vbProcedure="false">Assumptions!$C$23</definedName>
    <definedName function="false" hidden="false" name="Custody_Fee_Rate" vbProcedure="false">Assumptions!$C$46</definedName>
    <definedName function="false" hidden="false" name="Default_Govt" vbProcedure="false">Assumptions!$C$32</definedName>
    <definedName function="false" hidden="false" name="Default_HY" vbProcedure="false">Assumptions!$C$34</definedName>
    <definedName function="false" hidden="false" name="Default_IG" vbProcedure="false">Assumptions!$C$33</definedName>
    <definedName function="false" hidden="false" name="Default_MBS" vbProcedure="false">Assumptions!$C$35</definedName>
    <definedName function="false" hidden="false" name="Distribution_Rate" vbProcedure="false">Assumptions!$C$10</definedName>
    <definedName function="false" hidden="false" name="EX_Admin" vbProcedure="false">Expense_Schedule!$C$7:$G$7</definedName>
    <definedName function="false" hidden="false" name="EX_Audit_Legal" vbProcedure="false">Expense_Schedule!$C$9:$G$9</definedName>
    <definedName function="false" hidden="false" name="EX_Custody_Fee" vbProcedure="false">Expense_Schedule!$C$6:$G$6</definedName>
    <definedName function="false" hidden="false" name="EX_Mgmt_Fee" vbProcedure="false">Expense_Schedule!$C$5:$G$5</definedName>
    <definedName function="false" hidden="false" name="EX_Ratio" vbProcedure="false">Expense_Schedule!$C$12:$G$12</definedName>
    <definedName function="false" hidden="false" name="EX_Total" vbProcedure="false">Expense_Schedule!$C$10:$G$10</definedName>
    <definedName function="false" hidden="false" name="EX_Transaction" vbProcedure="false">Expense_Schedule!$C$8:$G$8</definedName>
    <definedName function="false" hidden="false" name="Initial_AUM" vbProcedure="false">Assumptions!$C$8</definedName>
    <definedName function="false" hidden="false" name="IS_Coupon_Govt" vbProcedure="false">Income_Schedule!$C$5:$G$5</definedName>
    <definedName function="false" hidden="false" name="IS_Coupon_HY" vbProcedure="false">Income_Schedule!$C$7:$G$7</definedName>
    <definedName function="false" hidden="false" name="IS_Coupon_IG" vbProcedure="false">Income_Schedule!$C$6:$G$6</definedName>
    <definedName function="false" hidden="false" name="IS_Coupon_MBS" vbProcedure="false">Income_Schedule!$C$8:$G$8</definedName>
    <definedName function="false" hidden="false" name="IS_Net_Inv_Income" vbProcedure="false">Income_Schedule!$C$25:$G$25</definedName>
    <definedName function="false" hidden="false" name="IS_Total_Amort" vbProcedure="false">Income_Schedule!$C$16:$G$16</definedName>
    <definedName function="false" hidden="false" name="IS_Total_Coupon" vbProcedure="false">Income_Schedule!$C$9:$G$9</definedName>
    <definedName function="false" hidden="false" name="IS_Total_Reinv" vbProcedure="false">Income_Schedule!$C$23:$G$23</definedName>
    <definedName function="false" hidden="false" name="Maturity_Govt" vbProcedure="false">Assumptions!$C$39</definedName>
    <definedName function="false" hidden="false" name="Maturity_HY" vbProcedure="false">Assumptions!$C$41</definedName>
    <definedName function="false" hidden="false" name="Maturity_IG" vbProcedure="false">Assumptions!$C$40</definedName>
    <definedName function="false" hidden="false" name="Maturity_MBS" vbProcedure="false">Assumptions!$C$42</definedName>
    <definedName function="false" hidden="false" name="Mgmt_Fee_Rate" vbProcedure="false">Assumptions!$C$45</definedName>
    <definedName function="false" hidden="false" name="PA_Govt_Close" vbProcedure="false">Portfolio_Allocation!$C$10:$G$10</definedName>
    <definedName function="false" hidden="false" name="PA_Govt_Loss" vbProcedure="false">Portfolio_Allocation!$C$9:$G$9</definedName>
    <definedName function="false" hidden="false" name="PA_Govt_Mature" vbProcedure="false">Portfolio_Allocation!$C$8:$G$8</definedName>
    <definedName function="false" hidden="false" name="PA_Govt_Open" vbProcedure="false">Portfolio_Allocation!$C$5:$G$5</definedName>
    <definedName function="false" hidden="false" name="PA_HY_Close" vbProcedure="false">Portfolio_Allocation!$C$26:$G$26</definedName>
    <definedName function="false" hidden="false" name="PA_HY_Loss" vbProcedure="false">Portfolio_Allocation!$C$25:$G$25</definedName>
    <definedName function="false" hidden="false" name="PA_HY_Mature" vbProcedure="false">Portfolio_Allocation!$C$24:$G$24</definedName>
    <definedName function="false" hidden="false" name="PA_HY_Open" vbProcedure="false">Portfolio_Allocation!$C$21:$G$21</definedName>
    <definedName function="false" hidden="false" name="PA_IG_Close" vbProcedure="false">Portfolio_Allocation!$C$18:$G$18</definedName>
    <definedName function="false" hidden="false" name="PA_IG_Loss" vbProcedure="false">Portfolio_Allocation!$C$17:$G$17</definedName>
    <definedName function="false" hidden="false" name="PA_IG_Mature" vbProcedure="false">Portfolio_Allocation!$C$16:$G$16</definedName>
    <definedName function="false" hidden="false" name="PA_IG_Open" vbProcedure="false">Portfolio_Allocation!$C$13:$G$13</definedName>
    <definedName function="false" hidden="false" name="PA_MBS_Close" vbProcedure="false">Portfolio_Allocation!$C$34:$G$34</definedName>
    <definedName function="false" hidden="false" name="PA_MBS_Loss" vbProcedure="false">Portfolio_Allocation!$C$33:$G$33</definedName>
    <definedName function="false" hidden="false" name="PA_MBS_Mature" vbProcedure="false">Portfolio_Allocation!$C$32:$G$32</definedName>
    <definedName function="false" hidden="false" name="PA_MBS_Open" vbProcedure="false">Portfolio_Allocation!$C$29:$G$29</definedName>
    <definedName function="false" hidden="false" name="PA_Total_Close" vbProcedure="false">Portfolio_Allocation!$C$42:$G$42</definedName>
    <definedName function="false" hidden="false" name="PA_Total_Loss" vbProcedure="false">Portfolio_Allocation!$C$41:$G$41</definedName>
    <definedName function="false" hidden="false" name="PA_Total_Mature" vbProcedure="false">Portfolio_Allocation!$C$40:$G$40</definedName>
    <definedName function="false" hidden="false" name="PA_Total_New" vbProcedure="false">Portfolio_Allocation!$C$38:$G$38</definedName>
    <definedName function="false" hidden="false" name="PA_Total_Open" vbProcedure="false">Portfolio_Allocation!$C$37:$G$37</definedName>
    <definedName function="false" hidden="false" name="Portfolio_Turnover" vbProcedure="false">Assumptions!$C$11</definedName>
    <definedName function="false" hidden="false" name="PS_Credit_Losses" vbProcedure="false">Portfolio_Summary!$C$8:$G$8</definedName>
    <definedName function="false" hidden="false" name="PS_Cumul_Return" vbProcedure="false">Portfolio_Summary!$C$15:$G$15</definedName>
    <definedName function="false" hidden="false" name="PS_Gross_Income" vbProcedure="false">Portfolio_Summary!$C$5:$G$5</definedName>
    <definedName function="false" hidden="false" name="PS_Income_Yield" vbProcedure="false">Portfolio_Summary!$C$14:$G$14</definedName>
    <definedName function="false" hidden="false" name="PS_Net_Income" vbProcedure="false">Portfolio_Summary!$C$10:$G$10</definedName>
    <definedName function="false" hidden="false" name="PS_Total_Expenses" vbProcedure="false">Portfolio_Summary!$C$9:$G$9</definedName>
    <definedName function="false" hidden="false" name="PS_Total_Return_D" vbProcedure="false">Portfolio_Summary!$C$12:$G$12</definedName>
    <definedName function="false" hidden="false" name="PS_Total_Return_P" vbProcedure="false">Portfolio_Summary!$C$13:$G$13</definedName>
    <definedName function="false" hidden="false" name="Recovery_Rate" vbProcedure="false">Assumptions!$C$36</definedName>
    <definedName function="false" hidden="false" name="Reinv_Govt" vbProcedure="false">Assumptions!$C$26</definedName>
    <definedName function="false" hidden="false" name="Reinv_HY" vbProcedure="false">Assumptions!$C$28</definedName>
    <definedName function="false" hidden="false" name="Reinv_IG" vbProcedure="false">Assumptions!$C$27</definedName>
    <definedName function="false" hidden="false" name="Reinv_MBS" vbProcedure="false">Assumptions!$C$29</definedName>
    <definedName function="false" hidden="false" name="Risk_Free_Rate" vbProcedure="false">Assumptions!$C$59</definedName>
    <definedName function="false" hidden="false" name="Transaction_Cost" vbProcedure="false">Assumptions!$C$48</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<sst xmlns="http://schemas.openxmlformats.org/spreadsheetml/2006/main" count="352" uniqueCount="251">
  <si>
    <t xml:space="preserve">FINAMODEL.com</t>
  </si>
  <si>
    <t xml:space="preserve">Fixed Income Portfolio Model</t>
  </si>
  <si>
    <t xml:space="preserve">Institutional Fixed Income Portfolio Analysis</t>
  </si>
  <si>
    <t xml:space="preserve">Model Date</t>
  </si>
  <si>
    <t xml:space="preserve">April 2025</t>
  </si>
  <si>
    <t xml:space="preserve">Projection Period</t>
  </si>
  <si>
    <t xml:space="preserve">5 Years</t>
  </si>
  <si>
    <t xml:space="preserve">Currency</t>
  </si>
  <si>
    <t xml:space="preserve">USD ($)</t>
  </si>
  <si>
    <t xml:space="preserve">Sheet Tab Colour Legend</t>
  </si>
  <si>
    <t xml:space="preserve">Dark Blue</t>
  </si>
  <si>
    <t xml:space="preserve">Cover</t>
  </si>
  <si>
    <t xml:space="preserve">Light Blue</t>
  </si>
  <si>
    <t xml:space="preserve">Assumptions / Inputs</t>
  </si>
  <si>
    <t xml:space="preserve">Green</t>
  </si>
  <si>
    <t xml:space="preserve">Portfolio Allocation</t>
  </si>
  <si>
    <t xml:space="preserve">Orange</t>
  </si>
  <si>
    <t xml:space="preserve">Income &amp; Credit Schedules</t>
  </si>
  <si>
    <t xml:space="preserve">Grey</t>
  </si>
  <si>
    <t xml:space="preserve">Summary / Output Sheets</t>
  </si>
  <si>
    <t xml:space="preserve">Red</t>
  </si>
  <si>
    <t xml:space="preserve">Expense &amp; Checks</t>
  </si>
  <si>
    <t xml:space="preserve">About this model</t>
  </si>
  <si>
    <t xml:space="preserve">A fixed income portfolio model projects the total return on a $50â500 million bond portfolio managed for institutional clients. Holdings are modeled by tranche (government, investment-grade corporate, high-yield corporate, MBS), with coupon income, maturity schedules, credit losses (defaults applied as a percentage of opening values by tranche), and trading activity. The model tracks weighted average duration (interest rate sensitivity) and spread duration (credit sensitivity), allowing the manager to simulate the portfolio's performance across yield curve scenarios: parallel shift, twist, steepening.
Portfolio yield is straightforward (coupon income divided by AUM), but total return includes both income and capital gains/losses from price appreciation or depreciation as rates and spreads move. Credit losses (default rate times loss-given-default for each tranche) are modeled separately from market price moves. The model validates that distributions to investors do not exceed net investment income, and tracks the expense ratio (management fees, custody, admin, technology, audit) to ensure it stays within institutional norms (0.15â0.50% of AUM).
Critical features include separate modeling of premium/discount amortization (a held-to-maturity bond trading at a premium converges to par, generating a drag on return relative to coupon), rebalancing mechanics, and the interaction of reinvestment rates with market yields. This template is suitable for institutional asset managers, pension funds, and insurance companies managing fixed income mandates.</t>
  </si>
  <si>
    <t xml:space="preserve">About Finamodel</t>
  </si>
  <si>
    <t xml:space="preserve">A free, open library of institutional-quality financial models covering every industry — banking, real estate, energy, SaaS, biotech, infrastructure, and dozens more. Every cell is editable, every formula is transparent, and every template is built to be forked, adapted, and rebuilt for your own use case. MIT-licensed — use them commercially, share them, modify them, no attribution required.</t>
  </si>
  <si>
    <t xml:space="preserve">Thanks for downloading my templates! Feel free to check out other free templates on my site.</t>
  </si>
  <si>
    <t xml:space="preserve">— Alex Tapio, Founder of Finamodel.com</t>
  </si>
  <si>
    <t xml:space="preserve">Assumptions</t>
  </si>
  <si>
    <t xml:space="preserve">Model Inputs</t>
  </si>
  <si>
    <t xml:space="preserve">Portfolio Assumptions</t>
  </si>
  <si>
    <t xml:space="preserve">Initial AUM</t>
  </si>
  <si>
    <t xml:space="preserve">$</t>
  </si>
  <si>
    <t xml:space="preserve">Starting portfolio size</t>
  </si>
  <si>
    <t xml:space="preserve">Annual New Capital</t>
  </si>
  <si>
    <t xml:space="preserve">Additional capital per year</t>
  </si>
  <si>
    <t xml:space="preserve">Distribution Rate</t>
  </si>
  <si>
    <t xml:space="preserve">%</t>
  </si>
  <si>
    <t xml:space="preserve">% of net income distributed</t>
  </si>
  <si>
    <t xml:space="preserve">Portfolio Turnover</t>
  </si>
  <si>
    <t xml:space="preserve">Annual turnover rate</t>
  </si>
  <si>
    <t xml:space="preserve">Asset Allocation Targets</t>
  </si>
  <si>
    <t xml:space="preserve">Government Bonds</t>
  </si>
  <si>
    <t xml:space="preserve">US Treasuries &amp; agencies</t>
  </si>
  <si>
    <t xml:space="preserve">IG Corporate Bonds</t>
  </si>
  <si>
    <t xml:space="preserve">BBB and above</t>
  </si>
  <si>
    <t xml:space="preserve">HY Corporate Bonds</t>
  </si>
  <si>
    <t xml:space="preserve">Below BBB</t>
  </si>
  <si>
    <t xml:space="preserve">MBS / ABS</t>
  </si>
  <si>
    <t xml:space="preserve">Agency and non-agency</t>
  </si>
  <si>
    <t xml:space="preserve">Coupon Rates (Legacy Portfolio)</t>
  </si>
  <si>
    <t xml:space="preserve">Government Coupon</t>
  </si>
  <si>
    <t xml:space="preserve">Weighted avg on existing</t>
  </si>
  <si>
    <t xml:space="preserve">IG Corporate Coupon</t>
  </si>
  <si>
    <t xml:space="preserve">HY Corporate Coupon</t>
  </si>
  <si>
    <t xml:space="preserve">MBS Coupon</t>
  </si>
  <si>
    <t xml:space="preserve">Reinvestment Yields (New Purchases)</t>
  </si>
  <si>
    <t xml:space="preserve">Government Reinvestment</t>
  </si>
  <si>
    <t xml:space="preserve">Current market yield</t>
  </si>
  <si>
    <t xml:space="preserve">IG Corporate Reinvestment</t>
  </si>
  <si>
    <t xml:space="preserve">Current IG spread</t>
  </si>
  <si>
    <t xml:space="preserve">HY Corporate Reinvestment</t>
  </si>
  <si>
    <t xml:space="preserve">Current HY spread</t>
  </si>
  <si>
    <t xml:space="preserve">MBS Reinvestment</t>
  </si>
  <si>
    <t xml:space="preserve">Current MBS yield</t>
  </si>
  <si>
    <t xml:space="preserve">Credit Assumptions</t>
  </si>
  <si>
    <t xml:space="preserve">Government Default Rate</t>
  </si>
  <si>
    <t xml:space="preserve">Sovereign assumed 0%</t>
  </si>
  <si>
    <t xml:space="preserve">IG Corporate Default Rate</t>
  </si>
  <si>
    <t xml:space="preserve">Moody's long-term avg</t>
  </si>
  <si>
    <t xml:space="preserve">HY Corporate Default Rate</t>
  </si>
  <si>
    <t xml:space="preserve">MBS Default Rate</t>
  </si>
  <si>
    <t xml:space="preserve">Agency &amp; non-agency blend</t>
  </si>
  <si>
    <t xml:space="preserve">Recovery Rate</t>
  </si>
  <si>
    <t xml:space="preserve">Moody's avg across all</t>
  </si>
  <si>
    <t xml:space="preserve">Maturity Profile (% Maturing p.a.)</t>
  </si>
  <si>
    <t xml:space="preserve">Government Maturities</t>
  </si>
  <si>
    <t xml:space="preserve">~5yr avg maturity</t>
  </si>
  <si>
    <t xml:space="preserve">IG Corporate Maturities</t>
  </si>
  <si>
    <t xml:space="preserve">~7yr avg maturity</t>
  </si>
  <si>
    <t xml:space="preserve">HY Corporate Maturities</t>
  </si>
  <si>
    <t xml:space="preserve">MBS Maturities</t>
  </si>
  <si>
    <t xml:space="preserve">~4yr avg life</t>
  </si>
  <si>
    <t xml:space="preserve">Cost Assumptions</t>
  </si>
  <si>
    <t xml:space="preserve">Management Fee Rate</t>
  </si>
  <si>
    <t xml:space="preserve">35 bps on opening AUM</t>
  </si>
  <si>
    <t xml:space="preserve">Custody Fee Rate</t>
  </si>
  <si>
    <t xml:space="preserve">3 bps on opening AUM</t>
  </si>
  <si>
    <t xml:space="preserve">Administration Cost</t>
  </si>
  <si>
    <t xml:space="preserve">Annual flat cost</t>
  </si>
  <si>
    <t xml:space="preserve">Transaction Cost Rate</t>
  </si>
  <si>
    <t xml:space="preserve">10 bps per trade</t>
  </si>
  <si>
    <t xml:space="preserve">Audit &amp; Legal Cost</t>
  </si>
  <si>
    <t xml:space="preserve">Premium/Discount Amortisation</t>
  </si>
  <si>
    <t xml:space="preserve">Government Amortisation</t>
  </si>
  <si>
    <t xml:space="preserve">Net premium amort (negative = discount)</t>
  </si>
  <si>
    <t xml:space="preserve">IG Corporate Amortisation</t>
  </si>
  <si>
    <t xml:space="preserve">Net discount accretion</t>
  </si>
  <si>
    <t xml:space="preserve">HY Corporate Amortisation</t>
  </si>
  <si>
    <t xml:space="preserve">MBS Amortisation</t>
  </si>
  <si>
    <t xml:space="preserve">Net premium amort</t>
  </si>
  <si>
    <t xml:space="preserve">Macro Assumptions</t>
  </si>
  <si>
    <t xml:space="preserve">Model Start Date</t>
  </si>
  <si>
    <t xml:space="preserve">2025</t>
  </si>
  <si>
    <t xml:space="preserve">Projection start year</t>
  </si>
  <si>
    <t xml:space="preserve">Risk-Free Rate</t>
  </si>
  <si>
    <t xml:space="preserve">10yr Treasury yield</t>
  </si>
  <si>
    <t xml:space="preserve">Disclaimer, Copyright &amp; License</t>
  </si>
  <si>
    <t xml:space="preserve">Disclaimer</t>
  </si>
  <si>
    <t xml:space="preserve">This financial model ("the Model") is provided by Finamodel for illustrative and educational purposes only. It is a template — not a finished analysis, valuation, recommendation, or solicitation to buy, sell, or hold any security, asset, or financial instrument.</t>
  </si>
  <si>
    <t xml:space="preserve">No investment advice</t>
  </si>
  <si>
    <t xml:space="preserve">Nothing in the Model constitutes investment, legal, tax, accounting, or other professional advice. You should consult qualified advisors before making any financial decision. Outputs depend entirely on user-supplied assumptions; small changes to inputs can produce materially different results.</t>
  </si>
  <si>
    <t xml:space="preserve">No warranty</t>
  </si>
  <si>
    <t xml:space="preserve">The Model is provided "AS IS," without warranty of any kind, express or implied, including but not limited to warranties of merchantability, fitness for a particular purpose, accuracy, completeness, or non-infringement. Formulas, methodologies, and benchmarks may contain errors, omissions, or simplifications. Users are solely responsible for verifying every calculation before relying on it.</t>
  </si>
  <si>
    <t xml:space="preserve">Limitation of liability</t>
  </si>
  <si>
    <t xml:space="preserve">To the maximum extent permitted by law, Finamodel and its contributors shall not be liable for any direct, indirect, incidental, consequential, special, or exemplary damages — including lost profits, lost opportunities, or investment losses — arising from use of, or inability to use, the Model.</t>
  </si>
  <si>
    <t xml:space="preserve">Forward-looking statements</t>
  </si>
  <si>
    <t xml:space="preserve">Any projections, forecasts, or scenarios are hypothetical, based on assumptions that may not materialize, and do not represent guaranteed outcomes.</t>
  </si>
  <si>
    <t xml:space="preserve">Third-party data</t>
  </si>
  <si>
    <t xml:space="preserve">Where the Model references market data, comparables, or macro indicators, such data is sourced from third parties believed to be reliable but is not independently verified.</t>
  </si>
  <si>
    <t xml:space="preserve">Copyright © 2026 Finamodel. All rights reserved.</t>
  </si>
  <si>
    <t xml:space="preserve">License — MIT</t>
  </si>
  <si>
    <t xml:space="preserve">Permission is hereby granted, free of charge, to any person obtaining a copy of this Model and associated documentation files (the "Software"), to deal in the Software without restriction, including without limitation the rights to use, copy, modify, merge, publish, distribute, sublicense, and/or sell copies of the Software, and to permit persons to whom the Software is furnished to do so, subject to the following conditions:
The above copyright notice and this permission notice shall be included in all copies or substantial portions of the Software.
THE SOFTWARE IS PROVIDED "AS IS", WITHOUT WARRANTY OF ANY KIND, EXPRESS OR IMPLIED, INCLUDING BUT NOT LIMITED TO THE WARRANTIES OF MERCHANTABILITY, FITNESS FOR A PARTICULAR PURPOSE AND NONINFRINGEMENT. IN NO EVENT SHALL THE AUTHORS OR COPYRIGHT HOLDERS BE LIABLE FOR ANY CLAIM, DAMAGES OR OTHER LIABILITY, WHETHER IN AN ACTION OF CONTRACT, TORT OR OTHERWISE, ARISING FROM, OUT OF OR IN CONNECTION WITH THE SOFTWARE OR THE USE OR OTHER DEALINGS IN THE SOFTWARE.</t>
  </si>
  <si>
    <t xml:space="preserve">Finamodel — github.com/alextapio/finamodel</t>
  </si>
  <si>
    <t xml:space="preserve">Year 1</t>
  </si>
  <si>
    <t xml:space="preserve">Year 2</t>
  </si>
  <si>
    <t xml:space="preserve">Year 3</t>
  </si>
  <si>
    <t xml:space="preserve">Year 4</t>
  </si>
  <si>
    <t xml:space="preserve">Year 5</t>
  </si>
  <si>
    <t xml:space="preserve">Opening Value</t>
  </si>
  <si>
    <t xml:space="preserve">New Capital</t>
  </si>
  <si>
    <t xml:space="preserve">Reinvestment</t>
  </si>
  <si>
    <t xml:space="preserve">Maturities</t>
  </si>
  <si>
    <t xml:space="preserve">Credit Losses</t>
  </si>
  <si>
    <t xml:space="preserve">Closing Value</t>
  </si>
  <si>
    <t xml:space="preserve">Portfolio Totals</t>
  </si>
  <si>
    <t xml:space="preserve">TOTAL OPENING</t>
  </si>
  <si>
    <t xml:space="preserve">Total New Capital</t>
  </si>
  <si>
    <t xml:space="preserve">Total Reinvestment</t>
  </si>
  <si>
    <t xml:space="preserve">Total Maturities</t>
  </si>
  <si>
    <t xml:space="preserve">Total Credit Losses</t>
  </si>
  <si>
    <t xml:space="preserve">TOTAL CLOSING</t>
  </si>
  <si>
    <t xml:space="preserve">Allocation % Check</t>
  </si>
  <si>
    <t xml:space="preserve">Government %</t>
  </si>
  <si>
    <t xml:space="preserve">IG Corporate %</t>
  </si>
  <si>
    <t xml:space="preserve">HY Corporate %</t>
  </si>
  <si>
    <t xml:space="preserve">MBS / ABS %</t>
  </si>
  <si>
    <t xml:space="preserve">Total Allocation</t>
  </si>
  <si>
    <t xml:space="preserve">Income Schedule</t>
  </si>
  <si>
    <t xml:space="preserve">Coupon Income</t>
  </si>
  <si>
    <t xml:space="preserve">Government Coupons</t>
  </si>
  <si>
    <t xml:space="preserve">IG Corporate Coupons</t>
  </si>
  <si>
    <t xml:space="preserve">HY Corporate Coupons</t>
  </si>
  <si>
    <t xml:space="preserve">MBS Coupons</t>
  </si>
  <si>
    <t xml:space="preserve">Total Coupon Income</t>
  </si>
  <si>
    <t xml:space="preserve">Total Amortisation</t>
  </si>
  <si>
    <t xml:space="preserve">Reinvestment Yield Uplift</t>
  </si>
  <si>
    <t xml:space="preserve">Government Uplift</t>
  </si>
  <si>
    <t xml:space="preserve">IG Corporate Uplift</t>
  </si>
  <si>
    <t xml:space="preserve">HY Corporate Uplift</t>
  </si>
  <si>
    <t xml:space="preserve">MBS Uplift</t>
  </si>
  <si>
    <t xml:space="preserve">Total Reinvestment Uplift</t>
  </si>
  <si>
    <t xml:space="preserve">NET INVESTMENT INCOME</t>
  </si>
  <si>
    <t xml:space="preserve">Gross Defaults</t>
  </si>
  <si>
    <t xml:space="preserve">Government Defaults</t>
  </si>
  <si>
    <t xml:space="preserve">IG Corporate Defaults</t>
  </si>
  <si>
    <t xml:space="preserve">HY Corporate Defaults</t>
  </si>
  <si>
    <t xml:space="preserve">MBS Defaults</t>
  </si>
  <si>
    <t xml:space="preserve">Total Gross Defaults</t>
  </si>
  <si>
    <t xml:space="preserve">Recoveries</t>
  </si>
  <si>
    <t xml:space="preserve">Government Recoveries</t>
  </si>
  <si>
    <t xml:space="preserve">IG Corporate Recoveries</t>
  </si>
  <si>
    <t xml:space="preserve">HY Corporate Recoveries</t>
  </si>
  <si>
    <t xml:space="preserve">MBS Recoveries</t>
  </si>
  <si>
    <t xml:space="preserve">Total Recoveries</t>
  </si>
  <si>
    <t xml:space="preserve">Net Credit Losses</t>
  </si>
  <si>
    <t xml:space="preserve">Government Net Losses</t>
  </si>
  <si>
    <t xml:space="preserve">IG Corporate Net Losses</t>
  </si>
  <si>
    <t xml:space="preserve">HY Corporate Net Losses</t>
  </si>
  <si>
    <t xml:space="preserve">MBS Net Losses</t>
  </si>
  <si>
    <t xml:space="preserve">TOTAL NET CREDIT LOSSES</t>
  </si>
  <si>
    <t xml:space="preserve">Cumulative Credit Losses</t>
  </si>
  <si>
    <t xml:space="preserve">Expense Schedule</t>
  </si>
  <si>
    <t xml:space="preserve">Expenses</t>
  </si>
  <si>
    <t xml:space="preserve">Management Fee</t>
  </si>
  <si>
    <t xml:space="preserve">Custody Fee</t>
  </si>
  <si>
    <t xml:space="preserve">Administration</t>
  </si>
  <si>
    <t xml:space="preserve">Transaction Costs</t>
  </si>
  <si>
    <t xml:space="preserve">Audit &amp; Legal</t>
  </si>
  <si>
    <t xml:space="preserve">TOTAL EXPENSES</t>
  </si>
  <si>
    <t xml:space="preserve">Expense Ratio</t>
  </si>
  <si>
    <t xml:space="preserve">Cash Flow</t>
  </si>
  <si>
    <t xml:space="preserve">Opening Cash</t>
  </si>
  <si>
    <t xml:space="preserve">Cash Inflows</t>
  </si>
  <si>
    <t xml:space="preserve">Coupon Receipts</t>
  </si>
  <si>
    <t xml:space="preserve">Maturities Received</t>
  </si>
  <si>
    <t xml:space="preserve">Total Inflows</t>
  </si>
  <si>
    <t xml:space="preserve">Cash Outflows</t>
  </si>
  <si>
    <t xml:space="preserve">Bond Purchases</t>
  </si>
  <si>
    <t xml:space="preserve">Management &amp; Custody Fees</t>
  </si>
  <si>
    <t xml:space="preserve">Other Expenses</t>
  </si>
  <si>
    <t xml:space="preserve">Distributions</t>
  </si>
  <si>
    <t xml:space="preserve">Total Outflows</t>
  </si>
  <si>
    <t xml:space="preserve">Net Cash Flow</t>
  </si>
  <si>
    <t xml:space="preserve">Closing Cash</t>
  </si>
  <si>
    <t xml:space="preserve">Cash % of AUM</t>
  </si>
  <si>
    <t xml:space="preserve">Portfolio Summary</t>
  </si>
  <si>
    <t xml:space="preserve">Income &amp; Returns</t>
  </si>
  <si>
    <t xml:space="preserve">Gross Coupon Income</t>
  </si>
  <si>
    <t xml:space="preserve">Amortisation Income</t>
  </si>
  <si>
    <t xml:space="preserve">Total Investment Income</t>
  </si>
  <si>
    <t xml:space="preserve">Less: Credit Losses</t>
  </si>
  <si>
    <t xml:space="preserve">Less: Total Expenses</t>
  </si>
  <si>
    <t xml:space="preserve">NET INCOME</t>
  </si>
  <si>
    <t xml:space="preserve">Total Return ($)</t>
  </si>
  <si>
    <t xml:space="preserve">Total Return (%)</t>
  </si>
  <si>
    <t xml:space="preserve">Income Yield</t>
  </si>
  <si>
    <t xml:space="preserve">Cumulative Return ($)</t>
  </si>
  <si>
    <t xml:space="preserve">Returns Analysis</t>
  </si>
  <si>
    <t xml:space="preserve">Return Attribution</t>
  </si>
  <si>
    <t xml:space="preserve">Income Return</t>
  </si>
  <si>
    <t xml:space="preserve">Credit Loss Drag</t>
  </si>
  <si>
    <t xml:space="preserve">Expense Drag</t>
  </si>
  <si>
    <t xml:space="preserve">Net Return</t>
  </si>
  <si>
    <t xml:space="preserve">Portfolio Metrics</t>
  </si>
  <si>
    <t xml:space="preserve">Average AUM</t>
  </si>
  <si>
    <t xml:space="preserve">Weighted Avg Yield</t>
  </si>
  <si>
    <t xml:space="preserve">Net Yield (after costs)</t>
  </si>
  <si>
    <t xml:space="preserve">Excess Return vs Risk-Free</t>
  </si>
  <si>
    <t xml:space="preserve">Validation Checks</t>
  </si>
  <si>
    <t xml:space="preserve">Check</t>
  </si>
  <si>
    <t xml:space="preserve">Status</t>
  </si>
  <si>
    <t xml:space="preserve">Description</t>
  </si>
  <si>
    <t xml:space="preserve">Allocation = 100%</t>
  </si>
  <si>
    <t xml:space="preserve">Sum of tranche allocations = 100% (Year 1)</t>
  </si>
  <si>
    <t xml:space="preserve">Cash Non-Negative</t>
  </si>
  <si>
    <t xml:space="preserve">Closing cash &gt;= 0 in all periods</t>
  </si>
  <si>
    <t xml:space="preserve">Credit Loss Cap</t>
  </si>
  <si>
    <t xml:space="preserve">Net credit losses &lt;= opening portfolio (Year 1)</t>
  </si>
  <si>
    <t xml:space="preserve">Distribution Floor</t>
  </si>
  <si>
    <t xml:space="preserve">Distributions &gt;= 0 in all periods</t>
  </si>
  <si>
    <t xml:space="preserve">Expense Ratio Range</t>
  </si>
  <si>
    <t xml:space="preserve">Expense ratio between 0.10% and 1.00%</t>
  </si>
  <si>
    <t xml:space="preserve">Income Yield Positive</t>
  </si>
  <si>
    <t xml:space="preserve">Coupon income yield &gt; 0 in all periods</t>
  </si>
  <si>
    <t xml:space="preserve">Cumulative Return &gt; 0</t>
  </si>
  <si>
    <t xml:space="preserve">Cumulative net return positive by Year 5</t>
  </si>
  <si>
    <t xml:space="preserve">Portfolio Reconciliation</t>
  </si>
  <si>
    <t xml:space="preserve">Closing AUM = Opening + New Capital - Losses</t>
  </si>
  <si>
    <t xml:space="preserve">Cash Reconciliation</t>
  </si>
  <si>
    <t xml:space="preserve">Closing Cash = Opening + Net Cash Flow</t>
  </si>
</sst>
</file>

<file path=xl/styles.xml><?xml version="1.0" encoding="utf-8"?>
<styleSheet xmlns="http://schemas.openxmlformats.org/spreadsheetml/2006/main">
  <numFmts count="4">
    <numFmt numFmtId="164" formatCode="General"/>
    <numFmt numFmtId="165" formatCode="\$#,##0.00"/>
    <numFmt numFmtId="166" formatCode="0.00%"/>
    <numFmt numFmtId="167" formatCode="0"/>
  </numFmts>
  <fonts count="28">
    <font>
      <sz val="11"/>
      <name val="Arial"/>
      <family val="0"/>
      <charset val="1"/>
    </font>
    <font>
      <sz val="10"/>
      <name val="Arial"/>
      <family val="0"/>
    </font>
    <font>
      <sz val="10"/>
      <name val="Arial"/>
      <family val="0"/>
    </font>
    <font>
      <sz val="10"/>
      <name val="Arial"/>
      <family val="0"/>
    </font>
    <font>
      <sz val="11"/>
      <color theme="0"/>
      <name val="Arial"/>
      <family val="0"/>
      <charset val="1"/>
    </font>
    <font>
      <b val="true"/>
      <sz val="11"/>
      <color theme="0"/>
      <name val="Arial"/>
      <family val="0"/>
      <charset val="1"/>
    </font>
    <font>
      <sz val="11"/>
      <color theme="1"/>
      <name val="Arial"/>
      <family val="0"/>
      <charset val="1"/>
    </font>
    <font>
      <b val="true"/>
      <sz val="28"/>
      <color theme="3"/>
      <name val="Arial"/>
      <family val="0"/>
      <charset val="1"/>
    </font>
    <font>
      <i val="true"/>
      <sz val="14"/>
      <color rgb="FF808080"/>
      <name val="Arial"/>
      <family val="0"/>
      <charset val="1"/>
    </font>
    <font>
      <b val="true"/>
      <sz val="10"/>
      <name val="Arial"/>
      <family val="0"/>
      <charset val="1"/>
    </font>
    <font>
      <sz val="10"/>
      <name val="Arial"/>
      <family val="0"/>
      <charset val="1"/>
    </font>
    <font>
      <sz val="10"/>
      <color theme="0"/>
      <name val="Arial"/>
      <family val="0"/>
      <charset val="1"/>
    </font>
    <font>
      <sz val="10"/>
      <color rgb="FF000000"/>
      <name val="Arial"/>
      <family val="0"/>
      <charset val="1"/>
    </font>
    <font>
      <b val="true"/>
      <sz val="11"/>
      <color rgb="FF1F4E79"/>
      <name val="Arial"/>
      <family val="0"/>
      <charset val="1"/>
    </font>
    <font>
      <sz val="11"/>
      <color rgb="FF262626"/>
      <name val="Arial"/>
      <family val="0"/>
      <charset val="1"/>
    </font>
    <font>
      <i val="true"/>
      <sz val="11"/>
      <color rgb="FF595959"/>
      <name val="Arial"/>
      <family val="0"/>
      <charset val="1"/>
    </font>
    <font>
      <b val="true"/>
      <i val="true"/>
      <sz val="11"/>
      <color rgb="FF1F4E79"/>
      <name val="Arial"/>
      <family val="0"/>
      <charset val="1"/>
    </font>
    <font>
      <b val="true"/>
      <sz val="18"/>
      <color theme="0"/>
      <name val="Arial"/>
      <family val="0"/>
      <charset val="1"/>
    </font>
    <font>
      <i val="true"/>
      <sz val="11"/>
      <color theme="0"/>
      <name val="Arial"/>
      <family val="0"/>
      <charset val="1"/>
    </font>
    <font>
      <b val="true"/>
      <sz val="11"/>
      <color theme="3"/>
      <name val="Arial"/>
      <family val="0"/>
      <charset val="1"/>
    </font>
    <font>
      <sz val="10"/>
      <color rgb="FF2F5496"/>
      <name val="Arial"/>
      <family val="0"/>
      <charset val="1"/>
    </font>
    <font>
      <i val="true"/>
      <sz val="10"/>
      <color rgb="FF808080"/>
      <name val="Arial"/>
      <family val="0"/>
      <charset val="1"/>
    </font>
    <font>
      <b val="true"/>
      <sz val="18"/>
      <color rgb="FF1F4E79"/>
      <name val="Arial"/>
      <family val="0"/>
      <charset val="1"/>
    </font>
    <font>
      <b val="true"/>
      <sz val="11"/>
      <color rgb="FFFFFFFF"/>
      <name val="Arial"/>
      <family val="0"/>
      <charset val="1"/>
    </font>
    <font>
      <sz val="10"/>
      <color rgb="FF262626"/>
      <name val="Arial"/>
      <family val="0"/>
      <charset val="1"/>
    </font>
    <font>
      <b val="true"/>
      <sz val="10"/>
      <color rgb="FF1F4E79"/>
      <name val="Arial"/>
      <family val="0"/>
      <charset val="1"/>
    </font>
    <font>
      <sz val="9"/>
      <color rgb="FF404040"/>
      <name val="Arial"/>
      <family val="0"/>
      <charset val="1"/>
    </font>
    <font>
      <b val="true"/>
      <sz val="18"/>
      <name val="Arial"/>
      <family val="0"/>
      <charset val="1"/>
    </font>
  </fonts>
  <fills count="13">
    <fill>
      <patternFill patternType="none"/>
    </fill>
    <fill>
      <patternFill patternType="gray125"/>
    </fill>
    <fill>
      <patternFill patternType="solid">
        <fgColor theme="3"/>
        <bgColor rgb="FF1F4E79"/>
      </patternFill>
    </fill>
    <fill>
      <patternFill patternType="solid">
        <fgColor rgb="FF5B9BD5"/>
        <bgColor rgb="FF808080"/>
      </patternFill>
    </fill>
    <fill>
      <patternFill patternType="solid">
        <fgColor rgb="FF70AD47"/>
        <bgColor rgb="FF99CC00"/>
      </patternFill>
    </fill>
    <fill>
      <patternFill patternType="solid">
        <fgColor rgb="FFED7D31"/>
        <bgColor rgb="FFFF8080"/>
      </patternFill>
    </fill>
    <fill>
      <patternFill patternType="solid">
        <fgColor rgb="FFA5A5A5"/>
        <bgColor rgb="FFC0C0C0"/>
      </patternFill>
    </fill>
    <fill>
      <patternFill patternType="solid">
        <fgColor rgb="FFFF0000"/>
        <bgColor rgb="FF993300"/>
      </patternFill>
    </fill>
    <fill>
      <patternFill patternType="solid">
        <fgColor rgb="FFD6E4F0"/>
        <bgColor rgb="FFC6D9F1"/>
      </patternFill>
    </fill>
    <fill>
      <patternFill patternType="solid">
        <fgColor theme="3" tint="0.8"/>
        <bgColor rgb="FFD6E4F0"/>
      </patternFill>
    </fill>
    <fill>
      <patternFill patternType="solid">
        <fgColor rgb="FFE8F0FE"/>
        <bgColor rgb="FFF2F2F2"/>
      </patternFill>
    </fill>
    <fill>
      <patternFill patternType="solid">
        <fgColor rgb="FF1F4E79"/>
        <bgColor rgb="FF1F497D"/>
      </patternFill>
    </fill>
    <fill>
      <patternFill patternType="solid">
        <fgColor rgb="FFF2F2F2"/>
        <bgColor rgb="FFE8F0FE"/>
      </patternFill>
    </fill>
  </fills>
  <borders count="4">
    <border diagonalUp="false" diagonalDown="false">
      <left/>
      <right/>
      <top/>
      <bottom/>
      <diagonal/>
    </border>
    <border diagonalUp="false" diagonalDown="false">
      <left/>
      <right/>
      <top/>
      <bottom style="thin">
        <color rgb="FF1F4E79"/>
      </bottom>
      <diagonal/>
    </border>
    <border diagonalUp="false" diagonalDown="false">
      <left/>
      <right/>
      <top style="thin"/>
      <bottom/>
      <diagonal/>
    </border>
    <border diagonalUp="false" diagonalDown="false">
      <left/>
      <right/>
      <top style="double"/>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true" applyProtection="false">
      <alignment horizontal="left" vertical="center"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left" vertical="bottom" textRotation="0" wrapText="false" indent="0" shrinkToFit="false"/>
      <protection locked="true" hidden="false"/>
    </xf>
    <xf numFmtId="164" fontId="8" fillId="0" borderId="0" xfId="0" applyFont="true" applyBorder="false" applyAlignment="true" applyProtection="false">
      <alignment horizontal="left" vertical="bottom" textRotation="0" wrapText="false" indent="0" shrinkToFit="false"/>
      <protection locked="true" hidden="false"/>
    </xf>
    <xf numFmtId="164" fontId="9" fillId="0" borderId="0" xfId="0" applyFont="true" applyBorder="false" applyAlignment="true" applyProtection="false">
      <alignment horizontal="left" vertical="bottom" textRotation="0" wrapText="false" indent="0" shrinkToFit="false"/>
      <protection locked="true" hidden="false"/>
    </xf>
    <xf numFmtId="164" fontId="10" fillId="0" borderId="0" xfId="0" applyFont="true" applyBorder="false" applyAlignment="true" applyProtection="false">
      <alignment horizontal="left" vertical="bottom" textRotation="0" wrapText="false" indent="0" shrinkToFit="false"/>
      <protection locked="true" hidden="false"/>
    </xf>
    <xf numFmtId="164" fontId="11" fillId="2" borderId="0" xfId="0" applyFont="true" applyBorder="false" applyAlignment="true" applyProtection="false">
      <alignment horizontal="left" vertical="bottom" textRotation="0" wrapText="false" indent="0" shrinkToFit="false"/>
      <protection locked="true" hidden="false"/>
    </xf>
    <xf numFmtId="164" fontId="12" fillId="3" borderId="0" xfId="0" applyFont="true" applyBorder="false" applyAlignment="true" applyProtection="false">
      <alignment horizontal="left" vertical="bottom" textRotation="0" wrapText="false" indent="0" shrinkToFit="false"/>
      <protection locked="true" hidden="false"/>
    </xf>
    <xf numFmtId="164" fontId="12" fillId="4" borderId="0" xfId="0" applyFont="true" applyBorder="false" applyAlignment="true" applyProtection="false">
      <alignment horizontal="left" vertical="bottom" textRotation="0" wrapText="false" indent="0" shrinkToFit="false"/>
      <protection locked="true" hidden="false"/>
    </xf>
    <xf numFmtId="164" fontId="12" fillId="5" borderId="0" xfId="0" applyFont="true" applyBorder="false" applyAlignment="true" applyProtection="false">
      <alignment horizontal="left" vertical="bottom" textRotation="0" wrapText="false" indent="0" shrinkToFit="false"/>
      <protection locked="true" hidden="false"/>
    </xf>
    <xf numFmtId="164" fontId="12" fillId="6" borderId="0" xfId="0" applyFont="true" applyBorder="false" applyAlignment="true" applyProtection="false">
      <alignment horizontal="left" vertical="bottom" textRotation="0" wrapText="false" indent="0" shrinkToFit="false"/>
      <protection locked="true" hidden="false"/>
    </xf>
    <xf numFmtId="164" fontId="11" fillId="7" borderId="0" xfId="0" applyFont="true" applyBorder="false" applyAlignment="true" applyProtection="false">
      <alignment horizontal="left" vertical="bottom" textRotation="0" wrapText="false" indent="0" shrinkToFit="false"/>
      <protection locked="true" hidden="false"/>
    </xf>
    <xf numFmtId="164" fontId="13" fillId="8" borderId="0" xfId="0" applyFont="true" applyBorder="false" applyAlignment="true" applyProtection="false">
      <alignment horizontal="left" vertical="center" textRotation="0" wrapText="false" indent="0" shrinkToFit="false"/>
      <protection locked="true" hidden="false"/>
    </xf>
    <xf numFmtId="164" fontId="6" fillId="8" borderId="0" xfId="0" applyFont="true" applyBorder="false" applyAlignment="false" applyProtection="false">
      <alignment horizontal="general" vertical="bottom" textRotation="0" wrapText="false" indent="0" shrinkToFit="false"/>
      <protection locked="true" hidden="false"/>
    </xf>
    <xf numFmtId="164" fontId="14" fillId="0" borderId="0" xfId="0" applyFont="true" applyBorder="true" applyAlignment="true" applyProtection="false">
      <alignment horizontal="left" vertical="top" textRotation="0" wrapText="true" indent="0" shrinkToFit="false"/>
      <protection locked="true" hidden="false"/>
    </xf>
    <xf numFmtId="164" fontId="15" fillId="0" borderId="0" xfId="0" applyFont="true" applyBorder="tru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7" fillId="2" borderId="0" xfId="0" applyFont="true" applyBorder="false" applyAlignment="true" applyProtection="false">
      <alignment horizontal="left" vertical="bottom" textRotation="0" wrapText="false" indent="0" shrinkToFit="false"/>
      <protection locked="true" hidden="false"/>
    </xf>
    <xf numFmtId="164" fontId="18" fillId="2" borderId="0" xfId="0" applyFont="true" applyBorder="false" applyAlignment="true" applyProtection="false">
      <alignment horizontal="left" vertical="bottom" textRotation="0" wrapText="false" indent="0" shrinkToFit="false"/>
      <protection locked="true" hidden="false"/>
    </xf>
    <xf numFmtId="164" fontId="19" fillId="9" borderId="0" xfId="0" applyFont="true" applyBorder="false" applyAlignment="true" applyProtection="false">
      <alignment horizontal="left" vertical="bottom" textRotation="0" wrapText="false" indent="0" shrinkToFit="false"/>
      <protection locked="true" hidden="false"/>
    </xf>
    <xf numFmtId="164" fontId="6" fillId="9" borderId="0" xfId="0" applyFont="true" applyBorder="false" applyAlignment="false" applyProtection="false">
      <alignment horizontal="general" vertical="bottom" textRotation="0" wrapText="false" indent="0" shrinkToFit="false"/>
      <protection locked="true" hidden="false"/>
    </xf>
    <xf numFmtId="165" fontId="20" fillId="10" borderId="0" xfId="0" applyFont="true" applyBorder="false" applyAlignment="true" applyProtection="false">
      <alignment horizontal="right" vertical="bottom" textRotation="0" wrapText="false" indent="0" shrinkToFit="false"/>
      <protection locked="true" hidden="false"/>
    </xf>
    <xf numFmtId="164" fontId="21" fillId="0" borderId="0" xfId="0" applyFont="true" applyBorder="false" applyAlignment="true" applyProtection="false">
      <alignment horizontal="left" vertical="bottom" textRotation="0" wrapText="false" indent="0" shrinkToFit="false"/>
      <protection locked="true" hidden="false"/>
    </xf>
    <xf numFmtId="166" fontId="20" fillId="10" borderId="0" xfId="0" applyFont="true" applyBorder="false" applyAlignment="true" applyProtection="false">
      <alignment horizontal="right" vertical="bottom" textRotation="0" wrapText="false" indent="0" shrinkToFit="false"/>
      <protection locked="true" hidden="false"/>
    </xf>
    <xf numFmtId="167" fontId="20" fillId="10" borderId="0" xfId="0" applyFont="true" applyBorder="false" applyAlignment="true" applyProtection="false">
      <alignment horizontal="right" vertical="bottom" textRotation="0" wrapText="false" indent="0" shrinkToFit="false"/>
      <protection locked="true" hidden="false"/>
    </xf>
    <xf numFmtId="164" fontId="22" fillId="0" borderId="0" xfId="0" applyFont="true" applyBorder="false" applyAlignment="true" applyProtection="false">
      <alignment horizontal="left" vertical="center" textRotation="0" wrapText="false" indent="0" shrinkToFit="false"/>
      <protection locked="true" hidden="false"/>
    </xf>
    <xf numFmtId="164" fontId="6" fillId="0" borderId="1" xfId="0" applyFont="true" applyBorder="true" applyAlignment="false" applyProtection="false">
      <alignment horizontal="general" vertical="bottom" textRotation="0" wrapText="false" indent="0" shrinkToFit="false"/>
      <protection locked="true" hidden="false"/>
    </xf>
    <xf numFmtId="164" fontId="23" fillId="11" borderId="0" xfId="0" applyFont="true" applyBorder="false" applyAlignment="true" applyProtection="false">
      <alignment horizontal="left" vertical="center" textRotation="0" wrapText="false" indent="1" shrinkToFit="false"/>
      <protection locked="true" hidden="false"/>
    </xf>
    <xf numFmtId="164" fontId="24" fillId="0" borderId="0" xfId="0" applyFont="true" applyBorder="false" applyAlignment="true" applyProtection="false">
      <alignment horizontal="left" vertical="top" textRotation="0" wrapText="true" indent="1" shrinkToFit="false"/>
      <protection locked="true" hidden="false"/>
    </xf>
    <xf numFmtId="164" fontId="25" fillId="0" borderId="0" xfId="0" applyFont="true" applyBorder="false" applyAlignment="true" applyProtection="false">
      <alignment horizontal="left" vertical="center" textRotation="0" wrapText="false" indent="1" shrinkToFit="false"/>
      <protection locked="true" hidden="false"/>
    </xf>
    <xf numFmtId="164" fontId="13" fillId="0" borderId="0" xfId="0" applyFont="true" applyBorder="false" applyAlignment="true" applyProtection="false">
      <alignment horizontal="left" vertical="center" textRotation="0" wrapText="false" indent="1" shrinkToFit="false"/>
      <protection locked="true" hidden="false"/>
    </xf>
    <xf numFmtId="164" fontId="26" fillId="12" borderId="0" xfId="0" applyFont="true" applyBorder="false" applyAlignment="true" applyProtection="false">
      <alignment horizontal="left" vertical="top" textRotation="0" wrapText="true" indent="1" shrinkToFit="false"/>
      <protection locked="true" hidden="false"/>
    </xf>
    <xf numFmtId="164" fontId="21" fillId="0" borderId="0" xfId="0" applyFont="true" applyBorder="false" applyAlignment="true" applyProtection="false">
      <alignment horizontal="left" vertical="center" textRotation="0" wrapText="false" indent="1" shrinkToFit="false"/>
      <protection locked="true" hidden="false"/>
    </xf>
    <xf numFmtId="164" fontId="27" fillId="0" borderId="0" xfId="0" applyFont="true" applyBorder="false" applyAlignment="true" applyProtection="false">
      <alignment horizontal="left" vertical="bottom" textRotation="0" wrapText="false" indent="0" shrinkToFit="false"/>
      <protection locked="true" hidden="false"/>
    </xf>
    <xf numFmtId="164" fontId="23" fillId="11" borderId="0" xfId="0" applyFont="true" applyBorder="false" applyAlignment="true" applyProtection="false">
      <alignment horizontal="left" vertical="bottom" textRotation="0" wrapText="false" indent="0" shrinkToFit="false"/>
      <protection locked="true" hidden="false"/>
    </xf>
    <xf numFmtId="164" fontId="23" fillId="11" borderId="0" xfId="0" applyFont="true" applyBorder="false" applyAlignment="true" applyProtection="false">
      <alignment horizontal="right" vertical="bottom" textRotation="0" wrapText="false" indent="0" shrinkToFit="false"/>
      <protection locked="true" hidden="false"/>
    </xf>
    <xf numFmtId="164" fontId="13" fillId="8" borderId="0" xfId="0" applyFont="true" applyBorder="false" applyAlignment="true" applyProtection="false">
      <alignment horizontal="left" vertical="bottom" textRotation="0" wrapText="false" indent="0" shrinkToFit="false"/>
      <protection locked="true" hidden="false"/>
    </xf>
    <xf numFmtId="165" fontId="12" fillId="0" borderId="0" xfId="0" applyFont="true" applyBorder="false" applyAlignment="true" applyProtection="false">
      <alignment horizontal="right" vertical="bottom" textRotation="0" wrapText="false" indent="0" shrinkToFit="false"/>
      <protection locked="true" hidden="false"/>
    </xf>
    <xf numFmtId="164" fontId="10" fillId="0" borderId="0" xfId="0" applyFont="true" applyBorder="false" applyAlignment="true" applyProtection="false">
      <alignment horizontal="left" vertical="bottom" textRotation="0" wrapText="false" indent="1" shrinkToFit="false"/>
      <protection locked="true" hidden="false"/>
    </xf>
    <xf numFmtId="165" fontId="9" fillId="0" borderId="2" xfId="0" applyFont="true" applyBorder="true" applyAlignment="true" applyProtection="false">
      <alignment horizontal="right" vertical="bottom" textRotation="0" wrapText="false" indent="0" shrinkToFit="false"/>
      <protection locked="true" hidden="false"/>
    </xf>
    <xf numFmtId="165" fontId="9" fillId="0" borderId="3" xfId="0" applyFont="true" applyBorder="true" applyAlignment="true" applyProtection="false">
      <alignment horizontal="right" vertical="bottom" textRotation="0" wrapText="false" indent="0" shrinkToFit="false"/>
      <protection locked="true" hidden="false"/>
    </xf>
    <xf numFmtId="166" fontId="12" fillId="0" borderId="0" xfId="0" applyFont="true" applyBorder="false" applyAlignment="true" applyProtection="false">
      <alignment horizontal="right" vertical="bottom" textRotation="0" wrapText="false" indent="0" shrinkToFit="false"/>
      <protection locked="true" hidden="false"/>
    </xf>
    <xf numFmtId="166" fontId="9" fillId="0" borderId="2" xfId="0" applyFont="true" applyBorder="true" applyAlignment="true" applyProtection="false">
      <alignment horizontal="right" vertical="bottom" textRotation="0" wrapText="false" indent="0" shrinkToFit="false"/>
      <protection locked="true" hidden="false"/>
    </xf>
    <xf numFmtId="164" fontId="23" fillId="11" borderId="0" xfId="0" applyFont="true" applyBorder="false" applyAlignment="true" applyProtection="false">
      <alignment horizontal="center" vertical="bottom" textRotation="0" wrapText="false" indent="0" shrinkToFit="false"/>
      <protection locked="true" hidden="false"/>
    </xf>
    <xf numFmtId="164" fontId="10" fillId="0" borderId="0" xfId="0" applyFont="true" applyBorder="false" applyAlignment="true" applyProtection="fals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5B9BD5"/>
      <rgbColor rgb="FF993366"/>
      <rgbColor rgb="FFF2F2F2"/>
      <rgbColor rgb="FFE8F0FE"/>
      <rgbColor rgb="FF660066"/>
      <rgbColor rgb="FFFF8080"/>
      <rgbColor rgb="FF2F5496"/>
      <rgbColor rgb="FFC6D9F1"/>
      <rgbColor rgb="FF000080"/>
      <rgbColor rgb="FFFF00FF"/>
      <rgbColor rgb="FFFFFF00"/>
      <rgbColor rgb="FF00FFFF"/>
      <rgbColor rgb="FF800080"/>
      <rgbColor rgb="FF800000"/>
      <rgbColor rgb="FF008080"/>
      <rgbColor rgb="FF0000FF"/>
      <rgbColor rgb="FF00CCFF"/>
      <rgbColor rgb="FFD6E4F0"/>
      <rgbColor rgb="FFCCFFCC"/>
      <rgbColor rgb="FFFFFF99"/>
      <rgbColor rgb="FF99CCFF"/>
      <rgbColor rgb="FFFF99CC"/>
      <rgbColor rgb="FFCC99FF"/>
      <rgbColor rgb="FFFFCC99"/>
      <rgbColor rgb="FF3366FF"/>
      <rgbColor rgb="FF33CCCC"/>
      <rgbColor rgb="FF99CC00"/>
      <rgbColor rgb="FFFFCC00"/>
      <rgbColor rgb="FFFF9900"/>
      <rgbColor rgb="FFED7D31"/>
      <rgbColor rgb="FF595959"/>
      <rgbColor rgb="FFA5A5A5"/>
      <rgbColor rgb="FF1F4E79"/>
      <rgbColor rgb="FF70AD47"/>
      <rgbColor rgb="FF003300"/>
      <rgbColor rgb="FF404040"/>
      <rgbColor rgb="FF993300"/>
      <rgbColor rgb="FF993366"/>
      <rgbColor rgb="FF1F497D"/>
      <rgbColor rgb="FF262626"/>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www.finamodel.com/"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F4E79"/>
    <pageSetUpPr fitToPage="false"/>
  </sheetPr>
  <dimension ref="A1:AD28"/>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60"/>
    <col collapsed="false" customWidth="true" hidden="false" outlineLevel="0" max="3" min="3" style="0" width="30"/>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1"/>
      <c r="C2" s="1"/>
      <c r="D2" s="2" t="s">
        <v>0</v>
      </c>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1"/>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33.85" hidden="false" customHeight="false" outlineLevel="0" collapsed="false">
      <c r="A4" s="3"/>
      <c r="B4" s="4" t="s">
        <v>1</v>
      </c>
      <c r="C4" s="3"/>
      <c r="D4" s="3"/>
      <c r="E4" s="3"/>
      <c r="F4" s="3"/>
      <c r="G4" s="3"/>
      <c r="H4" s="3"/>
      <c r="I4" s="3"/>
      <c r="J4" s="3"/>
      <c r="K4" s="3"/>
      <c r="L4" s="3"/>
      <c r="M4" s="3"/>
      <c r="N4" s="3"/>
      <c r="O4" s="3"/>
      <c r="P4" s="3"/>
      <c r="Q4" s="3"/>
      <c r="R4" s="3"/>
      <c r="S4" s="3"/>
      <c r="T4" s="3"/>
      <c r="U4" s="3"/>
      <c r="V4" s="3"/>
      <c r="W4" s="3"/>
      <c r="X4" s="3"/>
      <c r="Y4" s="3"/>
      <c r="Z4" s="3"/>
      <c r="AA4" s="3"/>
      <c r="AB4" s="3"/>
      <c r="AC4" s="3"/>
      <c r="AD4" s="3"/>
    </row>
    <row r="5" customFormat="false" ht="15" hidden="false" customHeight="false" outlineLevel="0" collapsed="false">
      <c r="A5" s="3"/>
      <c r="B5" s="3"/>
      <c r="C5" s="3"/>
      <c r="D5" s="3"/>
      <c r="E5" s="3"/>
      <c r="F5" s="3"/>
      <c r="G5" s="3"/>
      <c r="H5" s="3"/>
      <c r="I5" s="3"/>
      <c r="J5" s="3"/>
      <c r="K5" s="3"/>
      <c r="L5" s="3"/>
      <c r="M5" s="3"/>
      <c r="N5" s="3"/>
      <c r="O5" s="3"/>
      <c r="P5" s="3"/>
      <c r="Q5" s="3"/>
      <c r="R5" s="3"/>
      <c r="S5" s="3"/>
      <c r="T5" s="3"/>
      <c r="U5" s="3"/>
      <c r="V5" s="3"/>
      <c r="W5" s="3"/>
      <c r="X5" s="3"/>
      <c r="Y5" s="3"/>
      <c r="Z5" s="3"/>
      <c r="AA5" s="3"/>
      <c r="AB5" s="3"/>
      <c r="AC5" s="3"/>
      <c r="AD5" s="3"/>
    </row>
    <row r="6" customFormat="false" ht="17.35" hidden="false" customHeight="false" outlineLevel="0" collapsed="false">
      <c r="A6" s="3"/>
      <c r="B6" s="5" t="s">
        <v>2</v>
      </c>
      <c r="C6" s="3"/>
      <c r="D6" s="3"/>
      <c r="E6" s="3"/>
      <c r="F6" s="3"/>
      <c r="G6" s="3"/>
      <c r="H6" s="3"/>
      <c r="I6" s="3"/>
      <c r="J6" s="3"/>
      <c r="K6" s="3"/>
      <c r="L6" s="3"/>
      <c r="M6" s="3"/>
      <c r="N6" s="3"/>
      <c r="O6" s="3"/>
      <c r="P6" s="3"/>
      <c r="Q6" s="3"/>
      <c r="R6" s="3"/>
      <c r="S6" s="3"/>
      <c r="T6" s="3"/>
      <c r="U6" s="3"/>
      <c r="V6" s="3"/>
      <c r="W6" s="3"/>
      <c r="X6" s="3"/>
      <c r="Y6" s="3"/>
      <c r="Z6" s="3"/>
      <c r="AA6" s="3"/>
      <c r="AB6" s="3"/>
      <c r="AC6" s="3"/>
      <c r="AD6" s="3"/>
    </row>
    <row r="7" customFormat="false" ht="15" hidden="false" customHeight="false" outlineLevel="0" collapsed="false">
      <c r="A7" s="3"/>
      <c r="B7" s="3"/>
      <c r="C7" s="3"/>
      <c r="D7" s="3"/>
      <c r="E7" s="3"/>
      <c r="F7" s="3"/>
      <c r="G7" s="3"/>
      <c r="H7" s="3"/>
      <c r="I7" s="3"/>
      <c r="J7" s="3"/>
      <c r="K7" s="3"/>
      <c r="L7" s="3"/>
      <c r="M7" s="3"/>
      <c r="N7" s="3"/>
      <c r="O7" s="3"/>
      <c r="P7" s="3"/>
      <c r="Q7" s="3"/>
      <c r="R7" s="3"/>
      <c r="S7" s="3"/>
      <c r="T7" s="3"/>
      <c r="U7" s="3"/>
      <c r="V7" s="3"/>
      <c r="W7" s="3"/>
      <c r="X7" s="3"/>
      <c r="Y7" s="3"/>
      <c r="Z7" s="3"/>
      <c r="AA7" s="3"/>
      <c r="AB7" s="3"/>
      <c r="AC7" s="3"/>
      <c r="AD7" s="3"/>
    </row>
    <row r="8" customFormat="false" ht="15" hidden="false" customHeight="false" outlineLevel="0" collapsed="false">
      <c r="A8" s="3"/>
      <c r="B8" s="6" t="s">
        <v>3</v>
      </c>
      <c r="C8" s="7" t="s">
        <v>4</v>
      </c>
      <c r="D8" s="3"/>
      <c r="E8" s="3"/>
      <c r="F8" s="3"/>
      <c r="G8" s="3"/>
      <c r="H8" s="3"/>
      <c r="I8" s="3"/>
      <c r="J8" s="3"/>
      <c r="K8" s="3"/>
      <c r="L8" s="3"/>
      <c r="M8" s="3"/>
      <c r="N8" s="3"/>
      <c r="O8" s="3"/>
      <c r="P8" s="3"/>
      <c r="Q8" s="3"/>
      <c r="R8" s="3"/>
      <c r="S8" s="3"/>
      <c r="T8" s="3"/>
      <c r="U8" s="3"/>
      <c r="V8" s="3"/>
      <c r="W8" s="3"/>
      <c r="X8" s="3"/>
      <c r="Y8" s="3"/>
      <c r="Z8" s="3"/>
      <c r="AA8" s="3"/>
      <c r="AB8" s="3"/>
      <c r="AC8" s="3"/>
      <c r="AD8" s="3"/>
    </row>
    <row r="9" customFormat="false" ht="15" hidden="false" customHeight="false" outlineLevel="0" collapsed="false">
      <c r="A9" s="3"/>
      <c r="B9" s="6" t="s">
        <v>5</v>
      </c>
      <c r="C9" s="7" t="s">
        <v>6</v>
      </c>
      <c r="D9" s="3"/>
      <c r="E9" s="3"/>
      <c r="F9" s="3"/>
      <c r="G9" s="3"/>
      <c r="H9" s="3"/>
      <c r="I9" s="3"/>
      <c r="J9" s="3"/>
      <c r="K9" s="3"/>
      <c r="L9" s="3"/>
      <c r="M9" s="3"/>
      <c r="N9" s="3"/>
      <c r="O9" s="3"/>
      <c r="P9" s="3"/>
      <c r="Q9" s="3"/>
      <c r="R9" s="3"/>
      <c r="S9" s="3"/>
      <c r="T9" s="3"/>
      <c r="U9" s="3"/>
      <c r="V9" s="3"/>
      <c r="W9" s="3"/>
      <c r="X9" s="3"/>
      <c r="Y9" s="3"/>
      <c r="Z9" s="3"/>
      <c r="AA9" s="3"/>
      <c r="AB9" s="3"/>
      <c r="AC9" s="3"/>
      <c r="AD9" s="3"/>
    </row>
    <row r="10" customFormat="false" ht="15" hidden="false" customHeight="false" outlineLevel="0" collapsed="false">
      <c r="A10" s="3"/>
      <c r="B10" s="6" t="s">
        <v>7</v>
      </c>
      <c r="C10" s="7" t="s">
        <v>8</v>
      </c>
      <c r="D10" s="3"/>
      <c r="E10" s="3"/>
      <c r="F10" s="3"/>
      <c r="G10" s="3"/>
      <c r="H10" s="3"/>
      <c r="I10" s="3"/>
      <c r="J10" s="3"/>
      <c r="K10" s="3"/>
      <c r="L10" s="3"/>
      <c r="M10" s="3"/>
      <c r="N10" s="3"/>
      <c r="O10" s="3"/>
      <c r="P10" s="3"/>
      <c r="Q10" s="3"/>
      <c r="R10" s="3"/>
      <c r="S10" s="3"/>
      <c r="T10" s="3"/>
      <c r="U10" s="3"/>
      <c r="V10" s="3"/>
      <c r="W10" s="3"/>
      <c r="X10" s="3"/>
      <c r="Y10" s="3"/>
      <c r="Z10" s="3"/>
      <c r="AA10" s="3"/>
      <c r="AB10" s="3"/>
      <c r="AC10" s="3"/>
      <c r="AD10" s="3"/>
    </row>
    <row r="11" customFormat="false" ht="15" hidden="false" customHeight="false" outlineLevel="0" collapsed="false">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row>
    <row r="12" customFormat="false" ht="15" hidden="false" customHeight="false" outlineLevel="0" collapsed="false">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row>
    <row r="13" customFormat="false" ht="15" hidden="false" customHeight="false" outlineLevel="0" collapsed="false">
      <c r="A13" s="3"/>
      <c r="B13" s="6" t="s">
        <v>9</v>
      </c>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row>
    <row r="14" customFormat="false" ht="15" hidden="false" customHeight="false" outlineLevel="0" collapsed="false">
      <c r="A14" s="3"/>
      <c r="B14" s="8" t="s">
        <v>10</v>
      </c>
      <c r="C14" s="7" t="s">
        <v>11</v>
      </c>
      <c r="D14" s="3"/>
      <c r="E14" s="3"/>
      <c r="F14" s="3"/>
      <c r="G14" s="3"/>
      <c r="H14" s="3"/>
      <c r="I14" s="3"/>
      <c r="J14" s="3"/>
      <c r="K14" s="3"/>
      <c r="L14" s="3"/>
      <c r="M14" s="3"/>
      <c r="N14" s="3"/>
      <c r="O14" s="3"/>
      <c r="P14" s="3"/>
      <c r="Q14" s="3"/>
      <c r="R14" s="3"/>
      <c r="S14" s="3"/>
      <c r="T14" s="3"/>
      <c r="U14" s="3"/>
      <c r="V14" s="3"/>
      <c r="W14" s="3"/>
      <c r="X14" s="3"/>
      <c r="Y14" s="3"/>
      <c r="Z14" s="3"/>
      <c r="AA14" s="3"/>
      <c r="AB14" s="3"/>
      <c r="AC14" s="3"/>
      <c r="AD14" s="3"/>
    </row>
    <row r="15" customFormat="false" ht="15" hidden="false" customHeight="false" outlineLevel="0" collapsed="false">
      <c r="A15" s="3"/>
      <c r="B15" s="9" t="s">
        <v>12</v>
      </c>
      <c r="C15" s="7" t="s">
        <v>13</v>
      </c>
      <c r="D15" s="3"/>
      <c r="E15" s="3"/>
      <c r="F15" s="3"/>
      <c r="G15" s="3"/>
      <c r="H15" s="3"/>
      <c r="I15" s="3"/>
      <c r="J15" s="3"/>
      <c r="K15" s="3"/>
      <c r="L15" s="3"/>
      <c r="M15" s="3"/>
      <c r="N15" s="3"/>
      <c r="O15" s="3"/>
      <c r="P15" s="3"/>
      <c r="Q15" s="3"/>
      <c r="R15" s="3"/>
      <c r="S15" s="3"/>
      <c r="T15" s="3"/>
      <c r="U15" s="3"/>
      <c r="V15" s="3"/>
      <c r="W15" s="3"/>
      <c r="X15" s="3"/>
      <c r="Y15" s="3"/>
      <c r="Z15" s="3"/>
      <c r="AA15" s="3"/>
      <c r="AB15" s="3"/>
      <c r="AC15" s="3"/>
      <c r="AD15" s="3"/>
    </row>
    <row r="16" customFormat="false" ht="15" hidden="false" customHeight="false" outlineLevel="0" collapsed="false">
      <c r="A16" s="3"/>
      <c r="B16" s="10" t="s">
        <v>14</v>
      </c>
      <c r="C16" s="7" t="s">
        <v>15</v>
      </c>
      <c r="D16" s="3"/>
      <c r="E16" s="3"/>
      <c r="F16" s="3"/>
      <c r="G16" s="3"/>
      <c r="H16" s="3"/>
      <c r="I16" s="3"/>
      <c r="J16" s="3"/>
      <c r="K16" s="3"/>
      <c r="L16" s="3"/>
      <c r="M16" s="3"/>
      <c r="N16" s="3"/>
      <c r="O16" s="3"/>
      <c r="P16" s="3"/>
      <c r="Q16" s="3"/>
      <c r="R16" s="3"/>
      <c r="S16" s="3"/>
      <c r="T16" s="3"/>
      <c r="U16" s="3"/>
      <c r="V16" s="3"/>
      <c r="W16" s="3"/>
      <c r="X16" s="3"/>
      <c r="Y16" s="3"/>
      <c r="Z16" s="3"/>
      <c r="AA16" s="3"/>
      <c r="AB16" s="3"/>
      <c r="AC16" s="3"/>
      <c r="AD16" s="3"/>
    </row>
    <row r="17" customFormat="false" ht="15" hidden="false" customHeight="false" outlineLevel="0" collapsed="false">
      <c r="A17" s="3"/>
      <c r="B17" s="11" t="s">
        <v>16</v>
      </c>
      <c r="C17" s="7" t="s">
        <v>17</v>
      </c>
      <c r="D17" s="3"/>
      <c r="E17" s="3"/>
      <c r="F17" s="3"/>
      <c r="G17" s="3"/>
      <c r="H17" s="3"/>
      <c r="I17" s="3"/>
      <c r="J17" s="3"/>
      <c r="K17" s="3"/>
      <c r="L17" s="3"/>
      <c r="M17" s="3"/>
      <c r="N17" s="3"/>
      <c r="O17" s="3"/>
      <c r="P17" s="3"/>
      <c r="Q17" s="3"/>
      <c r="R17" s="3"/>
      <c r="S17" s="3"/>
      <c r="T17" s="3"/>
      <c r="U17" s="3"/>
      <c r="V17" s="3"/>
      <c r="W17" s="3"/>
      <c r="X17" s="3"/>
      <c r="Y17" s="3"/>
      <c r="Z17" s="3"/>
      <c r="AA17" s="3"/>
      <c r="AB17" s="3"/>
      <c r="AC17" s="3"/>
      <c r="AD17" s="3"/>
    </row>
    <row r="18" customFormat="false" ht="15" hidden="false" customHeight="false" outlineLevel="0" collapsed="false">
      <c r="A18" s="3"/>
      <c r="B18" s="12" t="s">
        <v>18</v>
      </c>
      <c r="C18" s="7" t="s">
        <v>19</v>
      </c>
      <c r="D18" s="3"/>
      <c r="E18" s="3"/>
      <c r="F18" s="3"/>
      <c r="G18" s="3"/>
      <c r="H18" s="3"/>
      <c r="I18" s="3"/>
      <c r="J18" s="3"/>
      <c r="K18" s="3"/>
      <c r="L18" s="3"/>
      <c r="M18" s="3"/>
      <c r="N18" s="3"/>
      <c r="O18" s="3"/>
      <c r="P18" s="3"/>
      <c r="Q18" s="3"/>
      <c r="R18" s="3"/>
      <c r="S18" s="3"/>
      <c r="T18" s="3"/>
      <c r="U18" s="3"/>
      <c r="V18" s="3"/>
      <c r="W18" s="3"/>
      <c r="X18" s="3"/>
      <c r="Y18" s="3"/>
      <c r="Z18" s="3"/>
      <c r="AA18" s="3"/>
      <c r="AB18" s="3"/>
      <c r="AC18" s="3"/>
      <c r="AD18" s="3"/>
    </row>
    <row r="19" customFormat="false" ht="15" hidden="false" customHeight="false" outlineLevel="0" collapsed="false">
      <c r="A19" s="3"/>
      <c r="B19" s="13" t="s">
        <v>20</v>
      </c>
      <c r="C19" s="7" t="s">
        <v>21</v>
      </c>
      <c r="D19" s="3"/>
      <c r="E19" s="3"/>
      <c r="F19" s="3"/>
      <c r="G19" s="3"/>
      <c r="H19" s="3"/>
      <c r="I19" s="3"/>
      <c r="J19" s="3"/>
      <c r="K19" s="3"/>
      <c r="L19" s="3"/>
      <c r="M19" s="3"/>
      <c r="N19" s="3"/>
      <c r="O19" s="3"/>
      <c r="P19" s="3"/>
      <c r="Q19" s="3"/>
      <c r="R19" s="3"/>
      <c r="S19" s="3"/>
      <c r="T19" s="3"/>
      <c r="U19" s="3"/>
      <c r="V19" s="3"/>
      <c r="W19" s="3"/>
      <c r="X19" s="3"/>
      <c r="Y19" s="3"/>
      <c r="Z19" s="3"/>
      <c r="AA19" s="3"/>
      <c r="AB19" s="3"/>
      <c r="AC19" s="3"/>
      <c r="AD19" s="3"/>
    </row>
    <row r="20" customFormat="false" ht="15" hidden="false" customHeight="false" outlineLevel="0" collapsed="false">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row>
    <row r="21" customFormat="false" ht="15" hidden="false" customHeight="false" outlineLevel="0" collapsed="false">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row>
    <row r="22" customFormat="false" ht="19.5" hidden="false" customHeight="true" outlineLevel="0" collapsed="false">
      <c r="A22" s="3"/>
      <c r="B22" s="14" t="s">
        <v>22</v>
      </c>
      <c r="C22" s="15"/>
      <c r="D22" s="15"/>
      <c r="E22" s="15"/>
      <c r="F22" s="15"/>
      <c r="G22" s="15"/>
      <c r="H22" s="3"/>
      <c r="I22" s="3"/>
      <c r="J22" s="3"/>
      <c r="K22" s="3"/>
      <c r="L22" s="3"/>
      <c r="M22" s="3"/>
      <c r="N22" s="3"/>
      <c r="O22" s="3"/>
      <c r="P22" s="3"/>
      <c r="Q22" s="3"/>
      <c r="R22" s="3"/>
      <c r="S22" s="3"/>
      <c r="T22" s="3"/>
      <c r="U22" s="3"/>
      <c r="V22" s="3"/>
      <c r="W22" s="3"/>
      <c r="X22" s="3"/>
      <c r="Y22" s="3"/>
      <c r="Z22" s="3"/>
      <c r="AA22" s="3"/>
      <c r="AB22" s="3"/>
      <c r="AC22" s="3"/>
      <c r="AD22" s="3"/>
    </row>
    <row r="23" customFormat="false" ht="233.25" hidden="false" customHeight="true" outlineLevel="0" collapsed="false">
      <c r="A23" s="3"/>
      <c r="B23" s="16" t="s">
        <v>23</v>
      </c>
      <c r="C23" s="16"/>
      <c r="D23" s="16"/>
      <c r="E23" s="16"/>
      <c r="F23" s="16"/>
      <c r="G23" s="16"/>
      <c r="H23" s="3"/>
      <c r="I23" s="3"/>
      <c r="J23" s="3"/>
      <c r="K23" s="3"/>
      <c r="L23" s="3"/>
      <c r="M23" s="3"/>
      <c r="N23" s="3"/>
      <c r="O23" s="3"/>
      <c r="P23" s="3"/>
      <c r="Q23" s="3"/>
      <c r="R23" s="3"/>
      <c r="S23" s="3"/>
      <c r="T23" s="3"/>
      <c r="U23" s="3"/>
      <c r="V23" s="3"/>
      <c r="W23" s="3"/>
      <c r="X23" s="3"/>
      <c r="Y23" s="3"/>
      <c r="Z23" s="3"/>
      <c r="AA23" s="3"/>
      <c r="AB23" s="3"/>
      <c r="AC23" s="3"/>
      <c r="AD23" s="3"/>
    </row>
    <row r="24" customFormat="false" ht="15" hidden="false" customHeight="false" outlineLevel="0" collapsed="false">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row>
    <row r="25" customFormat="false" ht="19.5" hidden="false" customHeight="true" outlineLevel="0" collapsed="false">
      <c r="A25" s="3"/>
      <c r="B25" s="14" t="s">
        <v>24</v>
      </c>
      <c r="C25" s="15"/>
      <c r="D25" s="15"/>
      <c r="E25" s="15"/>
      <c r="F25" s="15"/>
      <c r="G25" s="15"/>
      <c r="H25" s="3"/>
      <c r="I25" s="3"/>
      <c r="J25" s="3"/>
      <c r="K25" s="3"/>
      <c r="L25" s="3"/>
      <c r="M25" s="3"/>
      <c r="N25" s="3"/>
      <c r="O25" s="3"/>
      <c r="P25" s="3"/>
      <c r="Q25" s="3"/>
      <c r="R25" s="3"/>
      <c r="S25" s="3"/>
      <c r="T25" s="3"/>
      <c r="U25" s="3"/>
      <c r="V25" s="3"/>
      <c r="W25" s="3"/>
      <c r="X25" s="3"/>
      <c r="Y25" s="3"/>
      <c r="Z25" s="3"/>
      <c r="AA25" s="3"/>
      <c r="AB25" s="3"/>
      <c r="AC25" s="3"/>
      <c r="AD25" s="3"/>
    </row>
    <row r="26" customFormat="false" ht="57" hidden="false" customHeight="true" outlineLevel="0" collapsed="false">
      <c r="A26" s="3"/>
      <c r="B26" s="16" t="s">
        <v>25</v>
      </c>
      <c r="C26" s="16"/>
      <c r="D26" s="16"/>
      <c r="E26" s="16"/>
      <c r="F26" s="16"/>
      <c r="G26" s="16"/>
      <c r="H26" s="3"/>
      <c r="I26" s="3"/>
      <c r="J26" s="3"/>
      <c r="K26" s="3"/>
      <c r="L26" s="3"/>
      <c r="M26" s="3"/>
      <c r="N26" s="3"/>
      <c r="O26" s="3"/>
      <c r="P26" s="3"/>
      <c r="Q26" s="3"/>
      <c r="R26" s="3"/>
      <c r="S26" s="3"/>
      <c r="T26" s="3"/>
      <c r="U26" s="3"/>
      <c r="V26" s="3"/>
      <c r="W26" s="3"/>
      <c r="X26" s="3"/>
      <c r="Y26" s="3"/>
      <c r="Z26" s="3"/>
      <c r="AA26" s="3"/>
      <c r="AB26" s="3"/>
      <c r="AC26" s="3"/>
      <c r="AD26" s="3"/>
    </row>
    <row r="27" customFormat="false" ht="15" hidden="false" customHeight="false" outlineLevel="0" collapsed="false">
      <c r="A27" s="3"/>
      <c r="B27" s="17" t="s">
        <v>26</v>
      </c>
      <c r="C27" s="17"/>
      <c r="D27" s="17"/>
      <c r="E27" s="17"/>
      <c r="F27" s="17"/>
      <c r="G27" s="17"/>
      <c r="H27" s="3"/>
      <c r="I27" s="3"/>
      <c r="J27" s="3"/>
      <c r="K27" s="3"/>
      <c r="L27" s="3"/>
      <c r="M27" s="3"/>
      <c r="N27" s="3"/>
      <c r="O27" s="3"/>
      <c r="P27" s="3"/>
      <c r="Q27" s="3"/>
      <c r="R27" s="3"/>
      <c r="S27" s="3"/>
      <c r="T27" s="3"/>
      <c r="U27" s="3"/>
      <c r="V27" s="3"/>
      <c r="W27" s="3"/>
      <c r="X27" s="3"/>
      <c r="Y27" s="3"/>
      <c r="Z27" s="3"/>
      <c r="AA27" s="3"/>
      <c r="AB27" s="3"/>
      <c r="AC27" s="3"/>
      <c r="AD27" s="3"/>
    </row>
    <row r="28" customFormat="false" ht="15" hidden="false" customHeight="false" outlineLevel="0" collapsed="false">
      <c r="A28" s="3"/>
      <c r="B28" s="18" t="s">
        <v>27</v>
      </c>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row>
  </sheetData>
  <mergeCells count="3">
    <mergeCell ref="B23:G23"/>
    <mergeCell ref="B26:G26"/>
    <mergeCell ref="B27:G27"/>
  </mergeCells>
  <hyperlinks>
    <hyperlink ref="D2" r:id="rId1" display="FINAMODEL.com"/>
  </hyperlink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G1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4"/>
    <col collapsed="false" customWidth="true" hidden="false" outlineLevel="0" max="7" min="3" style="0" width="16"/>
  </cols>
  <sheetData>
    <row r="1" customFormat="false" ht="15" hidden="false" customHeight="false" outlineLevel="0" collapsed="false">
      <c r="A1" s="3"/>
      <c r="B1" s="3"/>
      <c r="C1" s="3"/>
      <c r="D1" s="3"/>
      <c r="E1" s="3"/>
      <c r="F1" s="3"/>
      <c r="G1" s="3"/>
    </row>
    <row r="2" customFormat="false" ht="22.05" hidden="false" customHeight="false" outlineLevel="0" collapsed="false">
      <c r="A2" s="3"/>
      <c r="B2" s="35" t="s">
        <v>218</v>
      </c>
      <c r="C2" s="3"/>
      <c r="D2" s="3"/>
      <c r="E2" s="3"/>
      <c r="F2" s="3"/>
      <c r="G2" s="3"/>
    </row>
    <row r="3" customFormat="false" ht="15" hidden="false" customHeight="false" outlineLevel="0" collapsed="false">
      <c r="A3" s="3"/>
      <c r="B3" s="36"/>
      <c r="C3" s="37" t="s">
        <v>124</v>
      </c>
      <c r="D3" s="37" t="s">
        <v>125</v>
      </c>
      <c r="E3" s="37" t="s">
        <v>126</v>
      </c>
      <c r="F3" s="37" t="s">
        <v>127</v>
      </c>
      <c r="G3" s="37" t="s">
        <v>128</v>
      </c>
    </row>
    <row r="4" customFormat="false" ht="15" hidden="false" customHeight="false" outlineLevel="0" collapsed="false">
      <c r="A4" s="3"/>
      <c r="B4" s="38" t="s">
        <v>219</v>
      </c>
      <c r="C4" s="15"/>
      <c r="D4" s="15"/>
      <c r="E4" s="15"/>
      <c r="F4" s="15"/>
      <c r="G4" s="15"/>
    </row>
    <row r="5" customFormat="false" ht="15" hidden="false" customHeight="false" outlineLevel="0" collapsed="false">
      <c r="A5" s="3"/>
      <c r="B5" s="40" t="s">
        <v>220</v>
      </c>
      <c r="C5" s="43" t="n">
        <f aca="false">IF(PA_Total_Open=0,0,(IS_Total_Coupon+IS_Total_Amort)/PA_Total_Open)</f>
        <v>0.04995</v>
      </c>
      <c r="D5" s="43" t="n">
        <f aca="false">IF(PA_Total_Open=0,0,(IS_Total_Coupon+IS_Total_Amort)/PA_Total_Open)</f>
        <v>0.0498965712837031</v>
      </c>
      <c r="E5" s="43" t="n">
        <f aca="false">IF(PA_Total_Open=0,0,(IS_Total_Coupon+IS_Total_Amort)/PA_Total_Open)</f>
        <v>0.049847609105199</v>
      </c>
      <c r="F5" s="43" t="n">
        <f aca="false">IF(PA_Total_Open=0,0,(IS_Total_Coupon+IS_Total_Amort)/PA_Total_Open)</f>
        <v>0.0498021384029354</v>
      </c>
      <c r="G5" s="43" t="n">
        <f aca="false">IF(PA_Total_Open=0,0,(IS_Total_Coupon+IS_Total_Amort)/PA_Total_Open)</f>
        <v>0.0497594590387067</v>
      </c>
    </row>
    <row r="6" customFormat="false" ht="15" hidden="false" customHeight="false" outlineLevel="0" collapsed="false">
      <c r="A6" s="3"/>
      <c r="B6" s="40" t="s">
        <v>221</v>
      </c>
      <c r="C6" s="43" t="n">
        <f aca="false">IF(PA_Total_Open=0,0,-CL_Total_Net/PA_Total_Open)</f>
        <v>-0.003438</v>
      </c>
      <c r="D6" s="43" t="n">
        <f aca="false">IF(PA_Total_Open=0,0,-CL_Total_Net/PA_Total_Open)</f>
        <v>-0.00340722490839551</v>
      </c>
      <c r="E6" s="43" t="n">
        <f aca="false">IF(PA_Total_Open=0,0,-CL_Total_Net/PA_Total_Open)</f>
        <v>-0.00337902322554678</v>
      </c>
      <c r="F6" s="43" t="n">
        <f aca="false">IF(PA_Total_Open=0,0,-CL_Total_Net/PA_Total_Open)</f>
        <v>-0.00335283321825509</v>
      </c>
      <c r="G6" s="43" t="n">
        <f aca="false">IF(PA_Total_Open=0,0,-CL_Total_Net/PA_Total_Open)</f>
        <v>-0.00332825153646794</v>
      </c>
    </row>
    <row r="7" customFormat="false" ht="15" hidden="false" customHeight="false" outlineLevel="0" collapsed="false">
      <c r="A7" s="3"/>
      <c r="B7" s="40" t="s">
        <v>222</v>
      </c>
      <c r="C7" s="43" t="n">
        <f aca="false">IF(PA_Total_Open=0,0,-EX_Total/PA_Total_Open)</f>
        <v>-0.0052</v>
      </c>
      <c r="D7" s="43" t="n">
        <f aca="false">IF(PA_Total_Open=0,0,-EX_Total/PA_Total_Open)</f>
        <v>-0.00509873231062174</v>
      </c>
      <c r="E7" s="43" t="n">
        <f aca="false">IF(PA_Total_Open=0,0,-EX_Total/PA_Total_Open)</f>
        <v>-0.00501409721533713</v>
      </c>
      <c r="F7" s="43" t="n">
        <f aca="false">IF(PA_Total_Open=0,0,-EX_Total/PA_Total_Open)</f>
        <v>-0.00494230625412621</v>
      </c>
      <c r="G7" s="43" t="n">
        <f aca="false">IF(PA_Total_Open=0,0,-EX_Total/PA_Total_Open)</f>
        <v>-0.00488064033394275</v>
      </c>
    </row>
    <row r="8" customFormat="false" ht="15" hidden="false" customHeight="false" outlineLevel="0" collapsed="false">
      <c r="A8" s="3"/>
      <c r="B8" s="6" t="s">
        <v>223</v>
      </c>
      <c r="C8" s="44" t="n">
        <f aca="false">C5+C6+C7</f>
        <v>0.041312</v>
      </c>
      <c r="D8" s="44" t="n">
        <f aca="false">D5+D6+D7</f>
        <v>0.0413906140646858</v>
      </c>
      <c r="E8" s="44" t="n">
        <f aca="false">E5+E6+E7</f>
        <v>0.0414544886643151</v>
      </c>
      <c r="F8" s="44" t="n">
        <f aca="false">F5+F6+F7</f>
        <v>0.0415069989305541</v>
      </c>
      <c r="G8" s="44" t="n">
        <f aca="false">G5+G6+G7</f>
        <v>0.041550567168296</v>
      </c>
    </row>
    <row r="9" customFormat="false" ht="15" hidden="false" customHeight="false" outlineLevel="0" collapsed="false">
      <c r="A9" s="3"/>
      <c r="B9" s="3"/>
      <c r="C9" s="3"/>
      <c r="D9" s="3"/>
      <c r="E9" s="3"/>
      <c r="F9" s="3"/>
      <c r="G9" s="3"/>
    </row>
    <row r="10" customFormat="false" ht="15" hidden="false" customHeight="false" outlineLevel="0" collapsed="false">
      <c r="A10" s="3"/>
      <c r="B10" s="38" t="s">
        <v>224</v>
      </c>
      <c r="C10" s="15"/>
      <c r="D10" s="15"/>
      <c r="E10" s="15"/>
      <c r="F10" s="15"/>
      <c r="G10" s="15"/>
    </row>
    <row r="11" customFormat="false" ht="15" hidden="false" customHeight="false" outlineLevel="0" collapsed="false">
      <c r="A11" s="3"/>
      <c r="B11" s="40" t="s">
        <v>225</v>
      </c>
      <c r="C11" s="39" t="n">
        <f aca="false">(PA_Total_Open+PA_Total_Close)/2</f>
        <v>104828100</v>
      </c>
      <c r="D11" s="39" t="n">
        <f aca="false">(PA_Total_Open+PA_Total_Close)/2</f>
        <v>114469388.332</v>
      </c>
      <c r="E11" s="39" t="n">
        <f aca="false">(PA_Total_Open+PA_Total_Close)/2</f>
        <v>124081047.365525</v>
      </c>
      <c r="F11" s="39" t="n">
        <f aca="false">(PA_Total_Open+PA_Total_Close)/2</f>
        <v>133663462.302385</v>
      </c>
      <c r="G11" s="39" t="n">
        <f aca="false">(PA_Total_Open+PA_Total_Close)/2</f>
        <v>143217012.640957</v>
      </c>
    </row>
    <row r="12" customFormat="false" ht="15" hidden="false" customHeight="false" outlineLevel="0" collapsed="false">
      <c r="A12" s="3"/>
      <c r="B12" s="40" t="s">
        <v>226</v>
      </c>
      <c r="C12" s="43" t="n">
        <f aca="false">IF(PA_Total_Open=0,0,(PA_Govt_Open*Coupon_Govt+PA_IG_Open*Coupon_IG+PA_HY_Open*Coupon_HY+PA_MBS_Open*Coupon_MBS)/PA_Total_Open)</f>
        <v>0.05125</v>
      </c>
      <c r="D12" s="43" t="n">
        <f aca="false">IF(PA_Total_Open=0,0,(PA_Govt_Open*Coupon_Govt+PA_IG_Open*Coupon_IG+PA_HY_Open*Coupon_HY+PA_MBS_Open*Coupon_MBS)/PA_Total_Open)</f>
        <v>0.051186754602111</v>
      </c>
      <c r="E12" s="43" t="n">
        <f aca="false">IF(PA_Total_Open=0,0,(PA_Govt_Open*Coupon_Govt+PA_IG_Open*Coupon_IG+PA_HY_Open*Coupon_HY+PA_MBS_Open*Coupon_MBS)/PA_Total_Open)</f>
        <v>0.0511287965163536</v>
      </c>
      <c r="F12" s="43" t="n">
        <f aca="false">IF(PA_Total_Open=0,0,(PA_Govt_Open*Coupon_Govt+PA_IG_Open*Coupon_IG+PA_HY_Open*Coupon_HY+PA_MBS_Open*Coupon_MBS)/PA_Total_Open)</f>
        <v>0.0510749715060645</v>
      </c>
      <c r="G12" s="43" t="n">
        <f aca="false">IF(PA_Total_Open=0,0,(PA_Govt_Open*Coupon_Govt+PA_IG_Open*Coupon_IG+PA_HY_Open*Coupon_HY+PA_MBS_Open*Coupon_MBS)/PA_Total_Open)</f>
        <v>0.0510244507766667</v>
      </c>
    </row>
    <row r="13" customFormat="false" ht="15" hidden="false" customHeight="false" outlineLevel="0" collapsed="false">
      <c r="A13" s="3"/>
      <c r="B13" s="40" t="s">
        <v>190</v>
      </c>
      <c r="C13" s="43" t="n">
        <f aca="false">EX_Ratio</f>
        <v>0.0052</v>
      </c>
      <c r="D13" s="43" t="n">
        <f aca="false">EX_Ratio</f>
        <v>0.00509873231062174</v>
      </c>
      <c r="E13" s="43" t="n">
        <f aca="false">EX_Ratio</f>
        <v>0.00501409721533713</v>
      </c>
      <c r="F13" s="43" t="n">
        <f aca="false">EX_Ratio</f>
        <v>0.00494230625412621</v>
      </c>
      <c r="G13" s="43" t="n">
        <f aca="false">EX_Ratio</f>
        <v>0.00488064033394275</v>
      </c>
    </row>
    <row r="14" customFormat="false" ht="15" hidden="false" customHeight="false" outlineLevel="0" collapsed="false">
      <c r="A14" s="3"/>
      <c r="B14" s="40" t="s">
        <v>227</v>
      </c>
      <c r="C14" s="43" t="n">
        <f aca="false">C12-C13</f>
        <v>0.04605</v>
      </c>
      <c r="D14" s="43" t="n">
        <f aca="false">D12-D13</f>
        <v>0.0460880222914892</v>
      </c>
      <c r="E14" s="43" t="n">
        <f aca="false">E12-E13</f>
        <v>0.0461146993010164</v>
      </c>
      <c r="F14" s="43" t="n">
        <f aca="false">F12-F13</f>
        <v>0.0461326652519383</v>
      </c>
      <c r="G14" s="43" t="n">
        <f aca="false">G12-G13</f>
        <v>0.0461438104427239</v>
      </c>
    </row>
    <row r="15" customFormat="false" ht="15" hidden="false" customHeight="false" outlineLevel="0" collapsed="false">
      <c r="A15" s="3"/>
      <c r="B15" s="40" t="s">
        <v>228</v>
      </c>
      <c r="C15" s="43" t="n">
        <f aca="false">C8-Risk_Free_Rate</f>
        <v>0.001312</v>
      </c>
      <c r="D15" s="43" t="n">
        <f aca="false">D8-Risk_Free_Rate</f>
        <v>0.00139061406468581</v>
      </c>
      <c r="E15" s="43" t="n">
        <f aca="false">E8-Risk_Free_Rate</f>
        <v>0.00145448866431507</v>
      </c>
      <c r="F15" s="43" t="n">
        <f aca="false">F8-Risk_Free_Rate</f>
        <v>0.00150699893055407</v>
      </c>
      <c r="G15" s="43" t="n">
        <f aca="false">G8-Risk_Free_Rate</f>
        <v>0.00155056716829596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D1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40"/>
    <col collapsed="false" customWidth="true" hidden="false" outlineLevel="0" max="3" min="3" style="0" width="12"/>
    <col collapsed="false" customWidth="true" hidden="false" outlineLevel="0" max="4" min="4" style="0" width="50"/>
    <col collapsed="false" customWidth="true" hidden="false" outlineLevel="0" max="5" min="5" style="0" width="16"/>
  </cols>
  <sheetData>
    <row r="1" customFormat="false" ht="15" hidden="false" customHeight="false" outlineLevel="0" collapsed="false">
      <c r="A1" s="3"/>
      <c r="B1" s="3"/>
      <c r="C1" s="3"/>
      <c r="D1" s="3"/>
    </row>
    <row r="2" customFormat="false" ht="22.05" hidden="false" customHeight="false" outlineLevel="0" collapsed="false">
      <c r="A2" s="3"/>
      <c r="B2" s="35" t="s">
        <v>229</v>
      </c>
      <c r="C2" s="3"/>
      <c r="D2" s="3"/>
    </row>
    <row r="3" customFormat="false" ht="15" hidden="false" customHeight="false" outlineLevel="0" collapsed="false">
      <c r="A3" s="3"/>
      <c r="B3" s="36" t="s">
        <v>230</v>
      </c>
      <c r="C3" s="45" t="s">
        <v>231</v>
      </c>
      <c r="D3" s="36" t="s">
        <v>232</v>
      </c>
    </row>
    <row r="4" customFormat="false" ht="15" hidden="false" customHeight="false" outlineLevel="0" collapsed="false">
      <c r="A4" s="3"/>
      <c r="B4" s="3"/>
      <c r="C4" s="3"/>
      <c r="D4" s="3"/>
    </row>
    <row r="5" customFormat="false" ht="15" hidden="false" customHeight="false" outlineLevel="0" collapsed="false">
      <c r="A5" s="3"/>
      <c r="B5" s="7" t="s">
        <v>233</v>
      </c>
      <c r="C5" s="46" t="str">
        <f aca="false">IF(ABS(Portfolio_Allocation!C49-1)&lt;0.001,"PASS","FAIL")</f>
        <v>PASS</v>
      </c>
      <c r="D5" s="24" t="s">
        <v>234</v>
      </c>
    </row>
    <row r="6" customFormat="false" ht="15" hidden="false" customHeight="false" outlineLevel="0" collapsed="false">
      <c r="A6" s="3"/>
      <c r="B6" s="7" t="s">
        <v>235</v>
      </c>
      <c r="C6" s="46" t="str">
        <f aca="false">IF(AND(Cash_Flow!C20&gt;=0,Cash_Flow!D20&gt;=0,Cash_Flow!E20&gt;=0,Cash_Flow!F20&gt;=0,Cash_Flow!G20&gt;=0),"PASS","FAIL")</f>
        <v>PASS</v>
      </c>
      <c r="D6" s="24" t="s">
        <v>236</v>
      </c>
    </row>
    <row r="7" customFormat="false" ht="15" hidden="false" customHeight="false" outlineLevel="0" collapsed="false">
      <c r="A7" s="3"/>
      <c r="B7" s="7" t="s">
        <v>237</v>
      </c>
      <c r="C7" s="46" t="str">
        <f aca="false">IF(Credit_Losses!C23&lt;=Portfolio_Allocation!C37,"PASS","FAIL")</f>
        <v>PASS</v>
      </c>
      <c r="D7" s="24" t="s">
        <v>238</v>
      </c>
    </row>
    <row r="8" customFormat="false" ht="15" hidden="false" customHeight="false" outlineLevel="0" collapsed="false">
      <c r="A8" s="3"/>
      <c r="B8" s="7" t="s">
        <v>239</v>
      </c>
      <c r="C8" s="46" t="str">
        <f aca="false">IF(AND(Cash_Flow!C16&gt;=0,Cash_Flow!D16&gt;=0,Cash_Flow!E16&gt;=0,Cash_Flow!F16&gt;=0,Cash_Flow!G16&gt;=0),"PASS","FAIL")</f>
        <v>PASS</v>
      </c>
      <c r="D8" s="24" t="s">
        <v>240</v>
      </c>
    </row>
    <row r="9" customFormat="false" ht="15" hidden="false" customHeight="false" outlineLevel="0" collapsed="false">
      <c r="A9" s="3"/>
      <c r="B9" s="7" t="s">
        <v>241</v>
      </c>
      <c r="C9" s="46" t="str">
        <f aca="false">IF(AND(Expense_Schedule!C12&gt;=0.001,Expense_Schedule!C12&lt;=0.01),"PASS","FAIL")</f>
        <v>PASS</v>
      </c>
      <c r="D9" s="24" t="s">
        <v>242</v>
      </c>
    </row>
    <row r="10" customFormat="false" ht="15" hidden="false" customHeight="false" outlineLevel="0" collapsed="false">
      <c r="A10" s="3"/>
      <c r="B10" s="7" t="s">
        <v>243</v>
      </c>
      <c r="C10" s="46" t="str">
        <f aca="false">IF(AND(Portfolio_Summary!C14&gt;0,Portfolio_Summary!D14&gt;0,Portfolio_Summary!E14&gt;0),"PASS","FAIL")</f>
        <v>PASS</v>
      </c>
      <c r="D10" s="24" t="s">
        <v>244</v>
      </c>
    </row>
    <row r="11" customFormat="false" ht="15" hidden="false" customHeight="false" outlineLevel="0" collapsed="false">
      <c r="A11" s="3"/>
      <c r="B11" s="7" t="s">
        <v>245</v>
      </c>
      <c r="C11" s="46" t="str">
        <f aca="false">IF(Portfolio_Summary!G15&gt;0,"PASS","FAIL")</f>
        <v>PASS</v>
      </c>
      <c r="D11" s="24" t="s">
        <v>246</v>
      </c>
    </row>
    <row r="12" customFormat="false" ht="15" hidden="false" customHeight="false" outlineLevel="0" collapsed="false">
      <c r="A12" s="3"/>
      <c r="B12" s="7" t="s">
        <v>247</v>
      </c>
      <c r="C12" s="46" t="str">
        <f aca="false">IF(ABS(Portfolio_Allocation!C42-(Portfolio_Allocation!C37+Portfolio_Allocation!C38-Portfolio_Allocation!C41))&lt;1,"PASS","FAIL")</f>
        <v>PASS</v>
      </c>
      <c r="D12" s="24" t="s">
        <v>248</v>
      </c>
    </row>
    <row r="13" customFormat="false" ht="15" hidden="false" customHeight="false" outlineLevel="0" collapsed="false">
      <c r="A13" s="3"/>
      <c r="B13" s="7" t="s">
        <v>249</v>
      </c>
      <c r="C13" s="46" t="str">
        <f aca="false">IF(ABS(Cash_Flow!C20-(Cash_Flow!C5+Cash_Flow!C19))&lt;1,"PASS","FAIL")</f>
        <v>PASS</v>
      </c>
      <c r="D13" s="24" t="s">
        <v>250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5B9BD5"/>
    <pageSetUpPr fitToPage="false"/>
  </sheetPr>
  <dimension ref="A1:AD5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4"/>
    <col collapsed="false" customWidth="true" hidden="false" outlineLevel="0" max="3" min="3" style="0" width="16"/>
    <col collapsed="false" customWidth="true" hidden="false" outlineLevel="0" max="4" min="4" style="0" width="10"/>
    <col collapsed="false" customWidth="true" hidden="false" outlineLevel="0" max="5" min="5" style="0" width="40"/>
  </cols>
  <sheetData>
    <row r="1" customFormat="false" ht="15" hidden="false" customHeight="false" outlineLevel="0" collapsed="false">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customFormat="false" ht="21.75" hidden="false" customHeight="true" outlineLevel="0" collapsed="false">
      <c r="A2" s="1"/>
      <c r="B2" s="19" t="s">
        <v>28</v>
      </c>
      <c r="C2" s="1"/>
      <c r="D2" s="1"/>
      <c r="E2" s="1"/>
      <c r="F2" s="1"/>
      <c r="G2" s="1"/>
      <c r="H2" s="1"/>
      <c r="I2" s="1"/>
      <c r="J2" s="1"/>
      <c r="K2" s="1"/>
      <c r="L2" s="1"/>
      <c r="M2" s="1"/>
      <c r="N2" s="1"/>
      <c r="O2" s="1"/>
      <c r="P2" s="1"/>
      <c r="Q2" s="1"/>
      <c r="R2" s="1"/>
      <c r="S2" s="1"/>
      <c r="T2" s="1"/>
      <c r="U2" s="1"/>
      <c r="V2" s="1"/>
      <c r="W2" s="1"/>
      <c r="X2" s="1"/>
      <c r="Y2" s="1"/>
      <c r="Z2" s="1"/>
      <c r="AA2" s="1"/>
      <c r="AB2" s="1"/>
      <c r="AC2" s="1"/>
      <c r="AD2" s="1"/>
    </row>
    <row r="3" customFormat="false" ht="15" hidden="false" customHeight="false" outlineLevel="0" collapsed="false">
      <c r="A3" s="1"/>
      <c r="B3" s="20" t="s">
        <v>29</v>
      </c>
      <c r="C3" s="1"/>
      <c r="D3" s="1"/>
      <c r="E3" s="1"/>
      <c r="F3" s="1"/>
      <c r="G3" s="1"/>
      <c r="H3" s="1"/>
      <c r="I3" s="1"/>
      <c r="J3" s="1"/>
      <c r="K3" s="1"/>
      <c r="L3" s="1"/>
      <c r="M3" s="1"/>
      <c r="N3" s="1"/>
      <c r="O3" s="1"/>
      <c r="P3" s="1"/>
      <c r="Q3" s="1"/>
      <c r="R3" s="1"/>
      <c r="S3" s="1"/>
      <c r="T3" s="1"/>
      <c r="U3" s="1"/>
      <c r="V3" s="1"/>
      <c r="W3" s="1"/>
      <c r="X3" s="1"/>
      <c r="Y3" s="1"/>
      <c r="Z3" s="1"/>
      <c r="AA3" s="1"/>
      <c r="AB3" s="1"/>
      <c r="AC3" s="1"/>
      <c r="AD3" s="1"/>
    </row>
    <row r="4" customFormat="false" ht="15" hidden="false" customHeight="false" outlineLevel="0" collapsed="false">
      <c r="A4" s="3"/>
      <c r="B4" s="3"/>
      <c r="C4" s="3"/>
      <c r="D4" s="3"/>
      <c r="E4" s="3"/>
      <c r="F4" s="3"/>
      <c r="G4" s="3"/>
      <c r="H4" s="3"/>
      <c r="I4" s="3"/>
      <c r="J4" s="3"/>
      <c r="K4" s="3"/>
      <c r="L4" s="3"/>
      <c r="M4" s="3"/>
      <c r="N4" s="3"/>
      <c r="O4" s="3"/>
      <c r="P4" s="3"/>
      <c r="Q4" s="3"/>
      <c r="R4" s="3"/>
      <c r="S4" s="3"/>
      <c r="T4" s="3"/>
      <c r="U4" s="3"/>
      <c r="V4" s="3"/>
      <c r="W4" s="3"/>
      <c r="X4" s="3"/>
      <c r="Y4" s="3"/>
      <c r="Z4" s="3"/>
      <c r="AA4" s="3"/>
      <c r="AB4" s="3"/>
      <c r="AC4" s="3"/>
      <c r="AD4" s="3"/>
    </row>
    <row r="5" customFormat="false" ht="15" hidden="false" customHeight="false" outlineLevel="0" collapsed="false">
      <c r="A5" s="3"/>
      <c r="B5" s="3"/>
      <c r="C5" s="3"/>
      <c r="D5" s="3"/>
      <c r="E5" s="3"/>
      <c r="F5" s="3"/>
      <c r="G5" s="3"/>
      <c r="H5" s="3"/>
      <c r="I5" s="3"/>
      <c r="J5" s="3"/>
      <c r="K5" s="3"/>
      <c r="L5" s="3"/>
      <c r="M5" s="3"/>
      <c r="N5" s="3"/>
      <c r="O5" s="3"/>
      <c r="P5" s="3"/>
      <c r="Q5" s="3"/>
      <c r="R5" s="3"/>
      <c r="S5" s="3"/>
      <c r="T5" s="3"/>
      <c r="U5" s="3"/>
      <c r="V5" s="3"/>
      <c r="W5" s="3"/>
      <c r="X5" s="3"/>
      <c r="Y5" s="3"/>
      <c r="Z5" s="3"/>
      <c r="AA5" s="3"/>
      <c r="AB5" s="3"/>
      <c r="AC5" s="3"/>
      <c r="AD5" s="3"/>
    </row>
    <row r="6" customFormat="false" ht="15" hidden="false" customHeight="false" outlineLevel="0" collapsed="false">
      <c r="A6" s="3"/>
      <c r="B6" s="3"/>
      <c r="C6" s="3"/>
      <c r="D6" s="3"/>
      <c r="E6" s="3"/>
      <c r="F6" s="3"/>
      <c r="G6" s="3"/>
      <c r="H6" s="3"/>
      <c r="I6" s="3"/>
      <c r="J6" s="3"/>
      <c r="K6" s="3"/>
      <c r="L6" s="3"/>
      <c r="M6" s="3"/>
      <c r="N6" s="3"/>
      <c r="O6" s="3"/>
      <c r="P6" s="3"/>
      <c r="Q6" s="3"/>
      <c r="R6" s="3"/>
      <c r="S6" s="3"/>
      <c r="T6" s="3"/>
      <c r="U6" s="3"/>
      <c r="V6" s="3"/>
      <c r="W6" s="3"/>
      <c r="X6" s="3"/>
      <c r="Y6" s="3"/>
      <c r="Z6" s="3"/>
      <c r="AA6" s="3"/>
      <c r="AB6" s="3"/>
      <c r="AC6" s="3"/>
      <c r="AD6" s="3"/>
    </row>
    <row r="7" customFormat="false" ht="15" hidden="false" customHeight="false" outlineLevel="0" collapsed="false">
      <c r="A7" s="3"/>
      <c r="B7" s="21" t="s">
        <v>30</v>
      </c>
      <c r="C7" s="22"/>
      <c r="D7" s="22"/>
      <c r="E7" s="22"/>
      <c r="F7" s="3"/>
      <c r="G7" s="3"/>
      <c r="H7" s="3"/>
      <c r="I7" s="3"/>
      <c r="J7" s="3"/>
      <c r="K7" s="3"/>
      <c r="L7" s="3"/>
      <c r="M7" s="3"/>
      <c r="N7" s="3"/>
      <c r="O7" s="3"/>
      <c r="P7" s="3"/>
      <c r="Q7" s="3"/>
      <c r="R7" s="3"/>
      <c r="S7" s="3"/>
      <c r="T7" s="3"/>
      <c r="U7" s="3"/>
      <c r="V7" s="3"/>
      <c r="W7" s="3"/>
      <c r="X7" s="3"/>
      <c r="Y7" s="3"/>
      <c r="Z7" s="3"/>
      <c r="AA7" s="3"/>
      <c r="AB7" s="3"/>
      <c r="AC7" s="3"/>
      <c r="AD7" s="3"/>
    </row>
    <row r="8" customFormat="false" ht="15" hidden="false" customHeight="false" outlineLevel="0" collapsed="false">
      <c r="A8" s="3"/>
      <c r="B8" s="7" t="s">
        <v>31</v>
      </c>
      <c r="C8" s="23" t="n">
        <v>100000000</v>
      </c>
      <c r="D8" s="7" t="s">
        <v>32</v>
      </c>
      <c r="E8" s="24" t="s">
        <v>33</v>
      </c>
      <c r="F8" s="3"/>
      <c r="G8" s="3"/>
      <c r="H8" s="3"/>
      <c r="I8" s="3"/>
      <c r="J8" s="3"/>
      <c r="K8" s="3"/>
      <c r="L8" s="3"/>
      <c r="M8" s="3"/>
      <c r="N8" s="3"/>
      <c r="O8" s="3"/>
      <c r="P8" s="3"/>
      <c r="Q8" s="3"/>
      <c r="R8" s="3"/>
      <c r="S8" s="3"/>
      <c r="T8" s="3"/>
      <c r="U8" s="3"/>
      <c r="V8" s="3"/>
      <c r="W8" s="3"/>
      <c r="X8" s="3"/>
      <c r="Y8" s="3"/>
      <c r="Z8" s="3"/>
      <c r="AA8" s="3"/>
      <c r="AB8" s="3"/>
      <c r="AC8" s="3"/>
      <c r="AD8" s="3"/>
    </row>
    <row r="9" customFormat="false" ht="15" hidden="false" customHeight="false" outlineLevel="0" collapsed="false">
      <c r="A9" s="3"/>
      <c r="B9" s="7" t="s">
        <v>34</v>
      </c>
      <c r="C9" s="23" t="n">
        <v>10000000</v>
      </c>
      <c r="D9" s="7" t="s">
        <v>32</v>
      </c>
      <c r="E9" s="24" t="s">
        <v>35</v>
      </c>
      <c r="F9" s="3"/>
      <c r="G9" s="3"/>
      <c r="H9" s="3"/>
      <c r="I9" s="3"/>
      <c r="J9" s="3"/>
      <c r="K9" s="3"/>
      <c r="L9" s="3"/>
      <c r="M9" s="3"/>
      <c r="N9" s="3"/>
      <c r="O9" s="3"/>
      <c r="P9" s="3"/>
      <c r="Q9" s="3"/>
      <c r="R9" s="3"/>
      <c r="S9" s="3"/>
      <c r="T9" s="3"/>
      <c r="U9" s="3"/>
      <c r="V9" s="3"/>
      <c r="W9" s="3"/>
      <c r="X9" s="3"/>
      <c r="Y9" s="3"/>
      <c r="Z9" s="3"/>
      <c r="AA9" s="3"/>
      <c r="AB9" s="3"/>
      <c r="AC9" s="3"/>
      <c r="AD9" s="3"/>
    </row>
    <row r="10" customFormat="false" ht="15" hidden="false" customHeight="false" outlineLevel="0" collapsed="false">
      <c r="A10" s="3"/>
      <c r="B10" s="7" t="s">
        <v>36</v>
      </c>
      <c r="C10" s="25" t="n">
        <v>0.8</v>
      </c>
      <c r="D10" s="7" t="s">
        <v>37</v>
      </c>
      <c r="E10" s="24" t="s">
        <v>38</v>
      </c>
      <c r="F10" s="3"/>
      <c r="G10" s="3"/>
      <c r="H10" s="3"/>
      <c r="I10" s="3"/>
      <c r="J10" s="3"/>
      <c r="K10" s="3"/>
      <c r="L10" s="3"/>
      <c r="M10" s="3"/>
      <c r="N10" s="3"/>
      <c r="O10" s="3"/>
      <c r="P10" s="3"/>
      <c r="Q10" s="3"/>
      <c r="R10" s="3"/>
      <c r="S10" s="3"/>
      <c r="T10" s="3"/>
      <c r="U10" s="3"/>
      <c r="V10" s="3"/>
      <c r="W10" s="3"/>
      <c r="X10" s="3"/>
      <c r="Y10" s="3"/>
      <c r="Z10" s="3"/>
      <c r="AA10" s="3"/>
      <c r="AB10" s="3"/>
      <c r="AC10" s="3"/>
      <c r="AD10" s="3"/>
    </row>
    <row r="11" customFormat="false" ht="15" hidden="false" customHeight="false" outlineLevel="0" collapsed="false">
      <c r="A11" s="3"/>
      <c r="B11" s="7" t="s">
        <v>39</v>
      </c>
      <c r="C11" s="25" t="n">
        <v>0.25</v>
      </c>
      <c r="D11" s="7" t="s">
        <v>37</v>
      </c>
      <c r="E11" s="24" t="s">
        <v>40</v>
      </c>
      <c r="F11" s="3"/>
      <c r="G11" s="3"/>
      <c r="H11" s="3"/>
      <c r="I11" s="3"/>
      <c r="J11" s="3"/>
      <c r="K11" s="3"/>
      <c r="L11" s="3"/>
      <c r="M11" s="3"/>
      <c r="N11" s="3"/>
      <c r="O11" s="3"/>
      <c r="P11" s="3"/>
      <c r="Q11" s="3"/>
      <c r="R11" s="3"/>
      <c r="S11" s="3"/>
      <c r="T11" s="3"/>
      <c r="U11" s="3"/>
      <c r="V11" s="3"/>
      <c r="W11" s="3"/>
      <c r="X11" s="3"/>
      <c r="Y11" s="3"/>
      <c r="Z11" s="3"/>
      <c r="AA11" s="3"/>
      <c r="AB11" s="3"/>
      <c r="AC11" s="3"/>
      <c r="AD11" s="3"/>
    </row>
    <row r="12" customFormat="false" ht="15" hidden="false" customHeight="false" outlineLevel="0" collapsed="false">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row>
    <row r="13" customFormat="false" ht="15" hidden="false" customHeight="false" outlineLevel="0" collapsed="false">
      <c r="A13" s="3"/>
      <c r="B13" s="21" t="s">
        <v>41</v>
      </c>
      <c r="C13" s="22"/>
      <c r="D13" s="22"/>
      <c r="E13" s="22"/>
      <c r="F13" s="3"/>
      <c r="G13" s="3"/>
      <c r="H13" s="3"/>
      <c r="I13" s="3"/>
      <c r="J13" s="3"/>
      <c r="K13" s="3"/>
      <c r="L13" s="3"/>
      <c r="M13" s="3"/>
      <c r="N13" s="3"/>
      <c r="O13" s="3"/>
      <c r="P13" s="3"/>
      <c r="Q13" s="3"/>
      <c r="R13" s="3"/>
      <c r="S13" s="3"/>
      <c r="T13" s="3"/>
      <c r="U13" s="3"/>
      <c r="V13" s="3"/>
      <c r="W13" s="3"/>
      <c r="X13" s="3"/>
      <c r="Y13" s="3"/>
      <c r="Z13" s="3"/>
      <c r="AA13" s="3"/>
      <c r="AB13" s="3"/>
      <c r="AC13" s="3"/>
      <c r="AD13" s="3"/>
    </row>
    <row r="14" customFormat="false" ht="15" hidden="false" customHeight="false" outlineLevel="0" collapsed="false">
      <c r="A14" s="3"/>
      <c r="B14" s="7" t="s">
        <v>42</v>
      </c>
      <c r="C14" s="25" t="n">
        <v>0.3</v>
      </c>
      <c r="D14" s="7" t="s">
        <v>37</v>
      </c>
      <c r="E14" s="24" t="s">
        <v>43</v>
      </c>
      <c r="F14" s="3"/>
      <c r="G14" s="3"/>
      <c r="H14" s="3"/>
      <c r="I14" s="3"/>
      <c r="J14" s="3"/>
      <c r="K14" s="3"/>
      <c r="L14" s="3"/>
      <c r="M14" s="3"/>
      <c r="N14" s="3"/>
      <c r="O14" s="3"/>
      <c r="P14" s="3"/>
      <c r="Q14" s="3"/>
      <c r="R14" s="3"/>
      <c r="S14" s="3"/>
      <c r="T14" s="3"/>
      <c r="U14" s="3"/>
      <c r="V14" s="3"/>
      <c r="W14" s="3"/>
      <c r="X14" s="3"/>
      <c r="Y14" s="3"/>
      <c r="Z14" s="3"/>
      <c r="AA14" s="3"/>
      <c r="AB14" s="3"/>
      <c r="AC14" s="3"/>
      <c r="AD14" s="3"/>
    </row>
    <row r="15" customFormat="false" ht="15" hidden="false" customHeight="false" outlineLevel="0" collapsed="false">
      <c r="A15" s="3"/>
      <c r="B15" s="7" t="s">
        <v>44</v>
      </c>
      <c r="C15" s="25" t="n">
        <v>0.35</v>
      </c>
      <c r="D15" s="7" t="s">
        <v>37</v>
      </c>
      <c r="E15" s="24" t="s">
        <v>45</v>
      </c>
      <c r="F15" s="3"/>
      <c r="G15" s="3"/>
      <c r="H15" s="3"/>
      <c r="I15" s="3"/>
      <c r="J15" s="3"/>
      <c r="K15" s="3"/>
      <c r="L15" s="3"/>
      <c r="M15" s="3"/>
      <c r="N15" s="3"/>
      <c r="O15" s="3"/>
      <c r="P15" s="3"/>
      <c r="Q15" s="3"/>
      <c r="R15" s="3"/>
      <c r="S15" s="3"/>
      <c r="T15" s="3"/>
      <c r="U15" s="3"/>
      <c r="V15" s="3"/>
      <c r="W15" s="3"/>
      <c r="X15" s="3"/>
      <c r="Y15" s="3"/>
      <c r="Z15" s="3"/>
      <c r="AA15" s="3"/>
      <c r="AB15" s="3"/>
      <c r="AC15" s="3"/>
      <c r="AD15" s="3"/>
    </row>
    <row r="16" customFormat="false" ht="15" hidden="false" customHeight="false" outlineLevel="0" collapsed="false">
      <c r="A16" s="3"/>
      <c r="B16" s="7" t="s">
        <v>46</v>
      </c>
      <c r="C16" s="25" t="n">
        <v>0.2</v>
      </c>
      <c r="D16" s="7" t="s">
        <v>37</v>
      </c>
      <c r="E16" s="24" t="s">
        <v>47</v>
      </c>
      <c r="F16" s="3"/>
      <c r="G16" s="3"/>
      <c r="H16" s="3"/>
      <c r="I16" s="3"/>
      <c r="J16" s="3"/>
      <c r="K16" s="3"/>
      <c r="L16" s="3"/>
      <c r="M16" s="3"/>
      <c r="N16" s="3"/>
      <c r="O16" s="3"/>
      <c r="P16" s="3"/>
      <c r="Q16" s="3"/>
      <c r="R16" s="3"/>
      <c r="S16" s="3"/>
      <c r="T16" s="3"/>
      <c r="U16" s="3"/>
      <c r="V16" s="3"/>
      <c r="W16" s="3"/>
      <c r="X16" s="3"/>
      <c r="Y16" s="3"/>
      <c r="Z16" s="3"/>
      <c r="AA16" s="3"/>
      <c r="AB16" s="3"/>
      <c r="AC16" s="3"/>
      <c r="AD16" s="3"/>
    </row>
    <row r="17" customFormat="false" ht="15" hidden="false" customHeight="false" outlineLevel="0" collapsed="false">
      <c r="A17" s="3"/>
      <c r="B17" s="7" t="s">
        <v>48</v>
      </c>
      <c r="C17" s="25" t="n">
        <v>0.15</v>
      </c>
      <c r="D17" s="7" t="s">
        <v>37</v>
      </c>
      <c r="E17" s="24" t="s">
        <v>49</v>
      </c>
      <c r="F17" s="3"/>
      <c r="G17" s="3"/>
      <c r="H17" s="3"/>
      <c r="I17" s="3"/>
      <c r="J17" s="3"/>
      <c r="K17" s="3"/>
      <c r="L17" s="3"/>
      <c r="M17" s="3"/>
      <c r="N17" s="3"/>
      <c r="O17" s="3"/>
      <c r="P17" s="3"/>
      <c r="Q17" s="3"/>
      <c r="R17" s="3"/>
      <c r="S17" s="3"/>
      <c r="T17" s="3"/>
      <c r="U17" s="3"/>
      <c r="V17" s="3"/>
      <c r="W17" s="3"/>
      <c r="X17" s="3"/>
      <c r="Y17" s="3"/>
      <c r="Z17" s="3"/>
      <c r="AA17" s="3"/>
      <c r="AB17" s="3"/>
      <c r="AC17" s="3"/>
      <c r="AD17" s="3"/>
    </row>
    <row r="18" customFormat="false" ht="15" hidden="false" customHeight="false" outlineLevel="0" collapsed="false">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row>
    <row r="19" customFormat="false" ht="15" hidden="false" customHeight="false" outlineLevel="0" collapsed="false">
      <c r="A19" s="3"/>
      <c r="B19" s="21" t="s">
        <v>50</v>
      </c>
      <c r="C19" s="22"/>
      <c r="D19" s="22"/>
      <c r="E19" s="22"/>
      <c r="F19" s="3"/>
      <c r="G19" s="3"/>
      <c r="H19" s="3"/>
      <c r="I19" s="3"/>
      <c r="J19" s="3"/>
      <c r="K19" s="3"/>
      <c r="L19" s="3"/>
      <c r="M19" s="3"/>
      <c r="N19" s="3"/>
      <c r="O19" s="3"/>
      <c r="P19" s="3"/>
      <c r="Q19" s="3"/>
      <c r="R19" s="3"/>
      <c r="S19" s="3"/>
      <c r="T19" s="3"/>
      <c r="U19" s="3"/>
      <c r="V19" s="3"/>
      <c r="W19" s="3"/>
      <c r="X19" s="3"/>
      <c r="Y19" s="3"/>
      <c r="Z19" s="3"/>
      <c r="AA19" s="3"/>
      <c r="AB19" s="3"/>
      <c r="AC19" s="3"/>
      <c r="AD19" s="3"/>
    </row>
    <row r="20" customFormat="false" ht="15" hidden="false" customHeight="false" outlineLevel="0" collapsed="false">
      <c r="A20" s="3"/>
      <c r="B20" s="7" t="s">
        <v>51</v>
      </c>
      <c r="C20" s="25" t="n">
        <v>0.04</v>
      </c>
      <c r="D20" s="7" t="s">
        <v>37</v>
      </c>
      <c r="E20" s="24" t="s">
        <v>52</v>
      </c>
      <c r="F20" s="3"/>
      <c r="G20" s="3"/>
      <c r="H20" s="3"/>
      <c r="I20" s="3"/>
      <c r="J20" s="3"/>
      <c r="K20" s="3"/>
      <c r="L20" s="3"/>
      <c r="M20" s="3"/>
      <c r="N20" s="3"/>
      <c r="O20" s="3"/>
      <c r="P20" s="3"/>
      <c r="Q20" s="3"/>
      <c r="R20" s="3"/>
      <c r="S20" s="3"/>
      <c r="T20" s="3"/>
      <c r="U20" s="3"/>
      <c r="V20" s="3"/>
      <c r="W20" s="3"/>
      <c r="X20" s="3"/>
      <c r="Y20" s="3"/>
      <c r="Z20" s="3"/>
      <c r="AA20" s="3"/>
      <c r="AB20" s="3"/>
      <c r="AC20" s="3"/>
      <c r="AD20" s="3"/>
    </row>
    <row r="21" customFormat="false" ht="15" hidden="false" customHeight="false" outlineLevel="0" collapsed="false">
      <c r="A21" s="3"/>
      <c r="B21" s="7" t="s">
        <v>53</v>
      </c>
      <c r="C21" s="25" t="n">
        <v>0.05</v>
      </c>
      <c r="D21" s="7" t="s">
        <v>37</v>
      </c>
      <c r="E21" s="24" t="s">
        <v>52</v>
      </c>
      <c r="F21" s="3"/>
      <c r="G21" s="3"/>
      <c r="H21" s="3"/>
      <c r="I21" s="3"/>
      <c r="J21" s="3"/>
      <c r="K21" s="3"/>
      <c r="L21" s="3"/>
      <c r="M21" s="3"/>
      <c r="N21" s="3"/>
      <c r="O21" s="3"/>
      <c r="P21" s="3"/>
      <c r="Q21" s="3"/>
      <c r="R21" s="3"/>
      <c r="S21" s="3"/>
      <c r="T21" s="3"/>
      <c r="U21" s="3"/>
      <c r="V21" s="3"/>
      <c r="W21" s="3"/>
      <c r="X21" s="3"/>
      <c r="Y21" s="3"/>
      <c r="Z21" s="3"/>
      <c r="AA21" s="3"/>
      <c r="AB21" s="3"/>
      <c r="AC21" s="3"/>
      <c r="AD21" s="3"/>
    </row>
    <row r="22" customFormat="false" ht="15" hidden="false" customHeight="false" outlineLevel="0" collapsed="false">
      <c r="A22" s="3"/>
      <c r="B22" s="7" t="s">
        <v>54</v>
      </c>
      <c r="C22" s="25" t="n">
        <v>0.075</v>
      </c>
      <c r="D22" s="7" t="s">
        <v>37</v>
      </c>
      <c r="E22" s="24" t="s">
        <v>52</v>
      </c>
      <c r="F22" s="3"/>
      <c r="G22" s="3"/>
      <c r="H22" s="3"/>
      <c r="I22" s="3"/>
      <c r="J22" s="3"/>
      <c r="K22" s="3"/>
      <c r="L22" s="3"/>
      <c r="M22" s="3"/>
      <c r="N22" s="3"/>
      <c r="O22" s="3"/>
      <c r="P22" s="3"/>
      <c r="Q22" s="3"/>
      <c r="R22" s="3"/>
      <c r="S22" s="3"/>
      <c r="T22" s="3"/>
      <c r="U22" s="3"/>
      <c r="V22" s="3"/>
      <c r="W22" s="3"/>
      <c r="X22" s="3"/>
      <c r="Y22" s="3"/>
      <c r="Z22" s="3"/>
      <c r="AA22" s="3"/>
      <c r="AB22" s="3"/>
      <c r="AC22" s="3"/>
      <c r="AD22" s="3"/>
    </row>
    <row r="23" customFormat="false" ht="15" hidden="false" customHeight="false" outlineLevel="0" collapsed="false">
      <c r="A23" s="3"/>
      <c r="B23" s="7" t="s">
        <v>55</v>
      </c>
      <c r="C23" s="25" t="n">
        <v>0.045</v>
      </c>
      <c r="D23" s="7" t="s">
        <v>37</v>
      </c>
      <c r="E23" s="24" t="s">
        <v>52</v>
      </c>
      <c r="F23" s="3"/>
      <c r="G23" s="3"/>
      <c r="H23" s="3"/>
      <c r="I23" s="3"/>
      <c r="J23" s="3"/>
      <c r="K23" s="3"/>
      <c r="L23" s="3"/>
      <c r="M23" s="3"/>
      <c r="N23" s="3"/>
      <c r="O23" s="3"/>
      <c r="P23" s="3"/>
      <c r="Q23" s="3"/>
      <c r="R23" s="3"/>
      <c r="S23" s="3"/>
      <c r="T23" s="3"/>
      <c r="U23" s="3"/>
      <c r="V23" s="3"/>
      <c r="W23" s="3"/>
      <c r="X23" s="3"/>
      <c r="Y23" s="3"/>
      <c r="Z23" s="3"/>
      <c r="AA23" s="3"/>
      <c r="AB23" s="3"/>
      <c r="AC23" s="3"/>
      <c r="AD23" s="3"/>
    </row>
    <row r="24" customFormat="false" ht="15" hidden="false" customHeight="false" outlineLevel="0" collapsed="false">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row>
    <row r="25" customFormat="false" ht="15" hidden="false" customHeight="false" outlineLevel="0" collapsed="false">
      <c r="A25" s="3"/>
      <c r="B25" s="21" t="s">
        <v>56</v>
      </c>
      <c r="C25" s="22"/>
      <c r="D25" s="22"/>
      <c r="E25" s="22"/>
      <c r="F25" s="3"/>
      <c r="G25" s="3"/>
      <c r="H25" s="3"/>
      <c r="I25" s="3"/>
      <c r="J25" s="3"/>
      <c r="K25" s="3"/>
      <c r="L25" s="3"/>
      <c r="M25" s="3"/>
      <c r="N25" s="3"/>
      <c r="O25" s="3"/>
      <c r="P25" s="3"/>
      <c r="Q25" s="3"/>
      <c r="R25" s="3"/>
      <c r="S25" s="3"/>
      <c r="T25" s="3"/>
      <c r="U25" s="3"/>
      <c r="V25" s="3"/>
      <c r="W25" s="3"/>
      <c r="X25" s="3"/>
      <c r="Y25" s="3"/>
      <c r="Z25" s="3"/>
      <c r="AA25" s="3"/>
      <c r="AB25" s="3"/>
      <c r="AC25" s="3"/>
      <c r="AD25" s="3"/>
    </row>
    <row r="26" customFormat="false" ht="15" hidden="false" customHeight="false" outlineLevel="0" collapsed="false">
      <c r="A26" s="3"/>
      <c r="B26" s="7" t="s">
        <v>57</v>
      </c>
      <c r="C26" s="25" t="n">
        <v>0.042</v>
      </c>
      <c r="D26" s="7" t="s">
        <v>37</v>
      </c>
      <c r="E26" s="24" t="s">
        <v>58</v>
      </c>
      <c r="F26" s="3"/>
      <c r="G26" s="3"/>
      <c r="H26" s="3"/>
      <c r="I26" s="3"/>
      <c r="J26" s="3"/>
      <c r="K26" s="3"/>
      <c r="L26" s="3"/>
      <c r="M26" s="3"/>
      <c r="N26" s="3"/>
      <c r="O26" s="3"/>
      <c r="P26" s="3"/>
      <c r="Q26" s="3"/>
      <c r="R26" s="3"/>
      <c r="S26" s="3"/>
      <c r="T26" s="3"/>
      <c r="U26" s="3"/>
      <c r="V26" s="3"/>
      <c r="W26" s="3"/>
      <c r="X26" s="3"/>
      <c r="Y26" s="3"/>
      <c r="Z26" s="3"/>
      <c r="AA26" s="3"/>
      <c r="AB26" s="3"/>
      <c r="AC26" s="3"/>
      <c r="AD26" s="3"/>
    </row>
    <row r="27" customFormat="false" ht="15" hidden="false" customHeight="false" outlineLevel="0" collapsed="false">
      <c r="A27" s="3"/>
      <c r="B27" s="7" t="s">
        <v>59</v>
      </c>
      <c r="C27" s="25" t="n">
        <v>0.055</v>
      </c>
      <c r="D27" s="7" t="s">
        <v>37</v>
      </c>
      <c r="E27" s="24" t="s">
        <v>60</v>
      </c>
      <c r="F27" s="3"/>
      <c r="G27" s="3"/>
      <c r="H27" s="3"/>
      <c r="I27" s="3"/>
      <c r="J27" s="3"/>
      <c r="K27" s="3"/>
      <c r="L27" s="3"/>
      <c r="M27" s="3"/>
      <c r="N27" s="3"/>
      <c r="O27" s="3"/>
      <c r="P27" s="3"/>
      <c r="Q27" s="3"/>
      <c r="R27" s="3"/>
      <c r="S27" s="3"/>
      <c r="T27" s="3"/>
      <c r="U27" s="3"/>
      <c r="V27" s="3"/>
      <c r="W27" s="3"/>
      <c r="X27" s="3"/>
      <c r="Y27" s="3"/>
      <c r="Z27" s="3"/>
      <c r="AA27" s="3"/>
      <c r="AB27" s="3"/>
      <c r="AC27" s="3"/>
      <c r="AD27" s="3"/>
    </row>
    <row r="28" customFormat="false" ht="15" hidden="false" customHeight="false" outlineLevel="0" collapsed="false">
      <c r="A28" s="3"/>
      <c r="B28" s="7" t="s">
        <v>61</v>
      </c>
      <c r="C28" s="25" t="n">
        <v>0.08</v>
      </c>
      <c r="D28" s="7" t="s">
        <v>37</v>
      </c>
      <c r="E28" s="24" t="s">
        <v>62</v>
      </c>
      <c r="F28" s="3"/>
      <c r="G28" s="3"/>
      <c r="H28" s="3"/>
      <c r="I28" s="3"/>
      <c r="J28" s="3"/>
      <c r="K28" s="3"/>
      <c r="L28" s="3"/>
      <c r="M28" s="3"/>
      <c r="N28" s="3"/>
      <c r="O28" s="3"/>
      <c r="P28" s="3"/>
      <c r="Q28" s="3"/>
      <c r="R28" s="3"/>
      <c r="S28" s="3"/>
      <c r="T28" s="3"/>
      <c r="U28" s="3"/>
      <c r="V28" s="3"/>
      <c r="W28" s="3"/>
      <c r="X28" s="3"/>
      <c r="Y28" s="3"/>
      <c r="Z28" s="3"/>
      <c r="AA28" s="3"/>
      <c r="AB28" s="3"/>
      <c r="AC28" s="3"/>
      <c r="AD28" s="3"/>
    </row>
    <row r="29" customFormat="false" ht="15" hidden="false" customHeight="false" outlineLevel="0" collapsed="false">
      <c r="A29" s="3"/>
      <c r="B29" s="7" t="s">
        <v>63</v>
      </c>
      <c r="C29" s="25" t="n">
        <v>0.05</v>
      </c>
      <c r="D29" s="7" t="s">
        <v>37</v>
      </c>
      <c r="E29" s="24" t="s">
        <v>64</v>
      </c>
      <c r="F29" s="3"/>
      <c r="G29" s="3"/>
      <c r="H29" s="3"/>
      <c r="I29" s="3"/>
      <c r="J29" s="3"/>
      <c r="K29" s="3"/>
      <c r="L29" s="3"/>
      <c r="M29" s="3"/>
      <c r="N29" s="3"/>
      <c r="O29" s="3"/>
      <c r="P29" s="3"/>
      <c r="Q29" s="3"/>
      <c r="R29" s="3"/>
      <c r="S29" s="3"/>
      <c r="T29" s="3"/>
      <c r="U29" s="3"/>
      <c r="V29" s="3"/>
      <c r="W29" s="3"/>
      <c r="X29" s="3"/>
      <c r="Y29" s="3"/>
      <c r="Z29" s="3"/>
      <c r="AA29" s="3"/>
      <c r="AB29" s="3"/>
      <c r="AC29" s="3"/>
      <c r="AD29" s="3"/>
    </row>
    <row r="30" customFormat="false" ht="15" hidden="false" customHeight="false" outlineLevel="0" collapsed="false">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row>
    <row r="31" customFormat="false" ht="15" hidden="false" customHeight="false" outlineLevel="0" collapsed="false">
      <c r="A31" s="3"/>
      <c r="B31" s="21" t="s">
        <v>65</v>
      </c>
      <c r="C31" s="22"/>
      <c r="D31" s="22"/>
      <c r="E31" s="22"/>
      <c r="F31" s="3"/>
      <c r="G31" s="3"/>
      <c r="H31" s="3"/>
      <c r="I31" s="3"/>
      <c r="J31" s="3"/>
      <c r="K31" s="3"/>
      <c r="L31" s="3"/>
      <c r="M31" s="3"/>
      <c r="N31" s="3"/>
      <c r="O31" s="3"/>
      <c r="P31" s="3"/>
      <c r="Q31" s="3"/>
      <c r="R31" s="3"/>
      <c r="S31" s="3"/>
      <c r="T31" s="3"/>
      <c r="U31" s="3"/>
      <c r="V31" s="3"/>
      <c r="W31" s="3"/>
      <c r="X31" s="3"/>
      <c r="Y31" s="3"/>
      <c r="Z31" s="3"/>
      <c r="AA31" s="3"/>
      <c r="AB31" s="3"/>
      <c r="AC31" s="3"/>
      <c r="AD31" s="3"/>
    </row>
    <row r="32" customFormat="false" ht="15" hidden="false" customHeight="false" outlineLevel="0" collapsed="false">
      <c r="A32" s="3"/>
      <c r="B32" s="7" t="s">
        <v>66</v>
      </c>
      <c r="C32" s="25" t="n">
        <v>0</v>
      </c>
      <c r="D32" s="7" t="s">
        <v>37</v>
      </c>
      <c r="E32" s="24" t="s">
        <v>67</v>
      </c>
      <c r="F32" s="3"/>
      <c r="G32" s="3"/>
      <c r="H32" s="3"/>
      <c r="I32" s="3"/>
      <c r="J32" s="3"/>
      <c r="K32" s="3"/>
      <c r="L32" s="3"/>
      <c r="M32" s="3"/>
      <c r="N32" s="3"/>
      <c r="O32" s="3"/>
      <c r="P32" s="3"/>
      <c r="Q32" s="3"/>
      <c r="R32" s="3"/>
      <c r="S32" s="3"/>
      <c r="T32" s="3"/>
      <c r="U32" s="3"/>
      <c r="V32" s="3"/>
      <c r="W32" s="3"/>
      <c r="X32" s="3"/>
      <c r="Y32" s="3"/>
      <c r="Z32" s="3"/>
      <c r="AA32" s="3"/>
      <c r="AB32" s="3"/>
      <c r="AC32" s="3"/>
      <c r="AD32" s="3"/>
    </row>
    <row r="33" customFormat="false" ht="15" hidden="false" customHeight="false" outlineLevel="0" collapsed="false">
      <c r="A33" s="3"/>
      <c r="B33" s="7" t="s">
        <v>68</v>
      </c>
      <c r="C33" s="25" t="n">
        <v>0.0008</v>
      </c>
      <c r="D33" s="7" t="s">
        <v>37</v>
      </c>
      <c r="E33" s="24" t="s">
        <v>69</v>
      </c>
      <c r="F33" s="3"/>
      <c r="G33" s="3"/>
      <c r="H33" s="3"/>
      <c r="I33" s="3"/>
      <c r="J33" s="3"/>
      <c r="K33" s="3"/>
      <c r="L33" s="3"/>
      <c r="M33" s="3"/>
      <c r="N33" s="3"/>
      <c r="O33" s="3"/>
      <c r="P33" s="3"/>
      <c r="Q33" s="3"/>
      <c r="R33" s="3"/>
      <c r="S33" s="3"/>
      <c r="T33" s="3"/>
      <c r="U33" s="3"/>
      <c r="V33" s="3"/>
      <c r="W33" s="3"/>
      <c r="X33" s="3"/>
      <c r="Y33" s="3"/>
      <c r="Z33" s="3"/>
      <c r="AA33" s="3"/>
      <c r="AB33" s="3"/>
      <c r="AC33" s="3"/>
      <c r="AD33" s="3"/>
    </row>
    <row r="34" customFormat="false" ht="15" hidden="false" customHeight="false" outlineLevel="0" collapsed="false">
      <c r="A34" s="3"/>
      <c r="B34" s="7" t="s">
        <v>70</v>
      </c>
      <c r="C34" s="25" t="n">
        <v>0.025</v>
      </c>
      <c r="D34" s="7" t="s">
        <v>37</v>
      </c>
      <c r="E34" s="24" t="s">
        <v>69</v>
      </c>
      <c r="F34" s="3"/>
      <c r="G34" s="3"/>
      <c r="H34" s="3"/>
      <c r="I34" s="3"/>
      <c r="J34" s="3"/>
      <c r="K34" s="3"/>
      <c r="L34" s="3"/>
      <c r="M34" s="3"/>
      <c r="N34" s="3"/>
      <c r="O34" s="3"/>
      <c r="P34" s="3"/>
      <c r="Q34" s="3"/>
      <c r="R34" s="3"/>
      <c r="S34" s="3"/>
      <c r="T34" s="3"/>
      <c r="U34" s="3"/>
      <c r="V34" s="3"/>
      <c r="W34" s="3"/>
      <c r="X34" s="3"/>
      <c r="Y34" s="3"/>
      <c r="Z34" s="3"/>
      <c r="AA34" s="3"/>
      <c r="AB34" s="3"/>
      <c r="AC34" s="3"/>
      <c r="AD34" s="3"/>
    </row>
    <row r="35" customFormat="false" ht="15" hidden="false" customHeight="false" outlineLevel="0" collapsed="false">
      <c r="A35" s="3"/>
      <c r="B35" s="7" t="s">
        <v>71</v>
      </c>
      <c r="C35" s="25" t="n">
        <v>0.003</v>
      </c>
      <c r="D35" s="7" t="s">
        <v>37</v>
      </c>
      <c r="E35" s="24" t="s">
        <v>72</v>
      </c>
      <c r="F35" s="3"/>
      <c r="G35" s="3"/>
      <c r="H35" s="3"/>
      <c r="I35" s="3"/>
      <c r="J35" s="3"/>
      <c r="K35" s="3"/>
      <c r="L35" s="3"/>
      <c r="M35" s="3"/>
      <c r="N35" s="3"/>
      <c r="O35" s="3"/>
      <c r="P35" s="3"/>
      <c r="Q35" s="3"/>
      <c r="R35" s="3"/>
      <c r="S35" s="3"/>
      <c r="T35" s="3"/>
      <c r="U35" s="3"/>
      <c r="V35" s="3"/>
      <c r="W35" s="3"/>
      <c r="X35" s="3"/>
      <c r="Y35" s="3"/>
      <c r="Z35" s="3"/>
      <c r="AA35" s="3"/>
      <c r="AB35" s="3"/>
      <c r="AC35" s="3"/>
      <c r="AD35" s="3"/>
    </row>
    <row r="36" customFormat="false" ht="15" hidden="false" customHeight="false" outlineLevel="0" collapsed="false">
      <c r="A36" s="3"/>
      <c r="B36" s="7" t="s">
        <v>73</v>
      </c>
      <c r="C36" s="25" t="n">
        <v>0.4</v>
      </c>
      <c r="D36" s="7" t="s">
        <v>37</v>
      </c>
      <c r="E36" s="24" t="s">
        <v>74</v>
      </c>
      <c r="F36" s="3"/>
      <c r="G36" s="3"/>
      <c r="H36" s="3"/>
      <c r="I36" s="3"/>
      <c r="J36" s="3"/>
      <c r="K36" s="3"/>
      <c r="L36" s="3"/>
      <c r="M36" s="3"/>
      <c r="N36" s="3"/>
      <c r="O36" s="3"/>
      <c r="P36" s="3"/>
      <c r="Q36" s="3"/>
      <c r="R36" s="3"/>
      <c r="S36" s="3"/>
      <c r="T36" s="3"/>
      <c r="U36" s="3"/>
      <c r="V36" s="3"/>
      <c r="W36" s="3"/>
      <c r="X36" s="3"/>
      <c r="Y36" s="3"/>
      <c r="Z36" s="3"/>
      <c r="AA36" s="3"/>
      <c r="AB36" s="3"/>
      <c r="AC36" s="3"/>
      <c r="AD36" s="3"/>
    </row>
    <row r="37" customFormat="false" ht="15" hidden="false" customHeight="false" outlineLevel="0" collapsed="false">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row>
    <row r="38" customFormat="false" ht="15" hidden="false" customHeight="false" outlineLevel="0" collapsed="false">
      <c r="A38" s="3"/>
      <c r="B38" s="21" t="s">
        <v>75</v>
      </c>
      <c r="C38" s="22"/>
      <c r="D38" s="22"/>
      <c r="E38" s="22"/>
      <c r="F38" s="3"/>
      <c r="G38" s="3"/>
      <c r="H38" s="3"/>
      <c r="I38" s="3"/>
      <c r="J38" s="3"/>
      <c r="K38" s="3"/>
      <c r="L38" s="3"/>
      <c r="M38" s="3"/>
      <c r="N38" s="3"/>
      <c r="O38" s="3"/>
      <c r="P38" s="3"/>
      <c r="Q38" s="3"/>
      <c r="R38" s="3"/>
      <c r="S38" s="3"/>
      <c r="T38" s="3"/>
      <c r="U38" s="3"/>
      <c r="V38" s="3"/>
      <c r="W38" s="3"/>
      <c r="X38" s="3"/>
      <c r="Y38" s="3"/>
      <c r="Z38" s="3"/>
      <c r="AA38" s="3"/>
      <c r="AB38" s="3"/>
      <c r="AC38" s="3"/>
      <c r="AD38" s="3"/>
    </row>
    <row r="39" customFormat="false" ht="15" hidden="false" customHeight="false" outlineLevel="0" collapsed="false">
      <c r="A39" s="3"/>
      <c r="B39" s="7" t="s">
        <v>76</v>
      </c>
      <c r="C39" s="25" t="n">
        <v>0.2</v>
      </c>
      <c r="D39" s="7" t="s">
        <v>37</v>
      </c>
      <c r="E39" s="24" t="s">
        <v>77</v>
      </c>
      <c r="F39" s="3"/>
      <c r="G39" s="3"/>
      <c r="H39" s="3"/>
      <c r="I39" s="3"/>
      <c r="J39" s="3"/>
      <c r="K39" s="3"/>
      <c r="L39" s="3"/>
      <c r="M39" s="3"/>
      <c r="N39" s="3"/>
      <c r="O39" s="3"/>
      <c r="P39" s="3"/>
      <c r="Q39" s="3"/>
      <c r="R39" s="3"/>
      <c r="S39" s="3"/>
      <c r="T39" s="3"/>
      <c r="U39" s="3"/>
      <c r="V39" s="3"/>
      <c r="W39" s="3"/>
      <c r="X39" s="3"/>
      <c r="Y39" s="3"/>
      <c r="Z39" s="3"/>
      <c r="AA39" s="3"/>
      <c r="AB39" s="3"/>
      <c r="AC39" s="3"/>
      <c r="AD39" s="3"/>
    </row>
    <row r="40" customFormat="false" ht="15" hidden="false" customHeight="false" outlineLevel="0" collapsed="false">
      <c r="A40" s="3"/>
      <c r="B40" s="7" t="s">
        <v>78</v>
      </c>
      <c r="C40" s="25" t="n">
        <v>0.15</v>
      </c>
      <c r="D40" s="7" t="s">
        <v>37</v>
      </c>
      <c r="E40" s="24" t="s">
        <v>79</v>
      </c>
      <c r="F40" s="3"/>
      <c r="G40" s="3"/>
      <c r="H40" s="3"/>
      <c r="I40" s="3"/>
      <c r="J40" s="3"/>
      <c r="K40" s="3"/>
      <c r="L40" s="3"/>
      <c r="M40" s="3"/>
      <c r="N40" s="3"/>
      <c r="O40" s="3"/>
      <c r="P40" s="3"/>
      <c r="Q40" s="3"/>
      <c r="R40" s="3"/>
      <c r="S40" s="3"/>
      <c r="T40" s="3"/>
      <c r="U40" s="3"/>
      <c r="V40" s="3"/>
      <c r="W40" s="3"/>
      <c r="X40" s="3"/>
      <c r="Y40" s="3"/>
      <c r="Z40" s="3"/>
      <c r="AA40" s="3"/>
      <c r="AB40" s="3"/>
      <c r="AC40" s="3"/>
      <c r="AD40" s="3"/>
    </row>
    <row r="41" customFormat="false" ht="15" hidden="false" customHeight="false" outlineLevel="0" collapsed="false">
      <c r="A41" s="3"/>
      <c r="B41" s="7" t="s">
        <v>80</v>
      </c>
      <c r="C41" s="25" t="n">
        <v>0.2</v>
      </c>
      <c r="D41" s="7" t="s">
        <v>37</v>
      </c>
      <c r="E41" s="24" t="s">
        <v>77</v>
      </c>
      <c r="F41" s="3"/>
      <c r="G41" s="3"/>
      <c r="H41" s="3"/>
      <c r="I41" s="3"/>
      <c r="J41" s="3"/>
      <c r="K41" s="3"/>
      <c r="L41" s="3"/>
      <c r="M41" s="3"/>
      <c r="N41" s="3"/>
      <c r="O41" s="3"/>
      <c r="P41" s="3"/>
      <c r="Q41" s="3"/>
      <c r="R41" s="3"/>
      <c r="S41" s="3"/>
      <c r="T41" s="3"/>
      <c r="U41" s="3"/>
      <c r="V41" s="3"/>
      <c r="W41" s="3"/>
      <c r="X41" s="3"/>
      <c r="Y41" s="3"/>
      <c r="Z41" s="3"/>
      <c r="AA41" s="3"/>
      <c r="AB41" s="3"/>
      <c r="AC41" s="3"/>
      <c r="AD41" s="3"/>
    </row>
    <row r="42" customFormat="false" ht="15" hidden="false" customHeight="false" outlineLevel="0" collapsed="false">
      <c r="A42" s="3"/>
      <c r="B42" s="7" t="s">
        <v>81</v>
      </c>
      <c r="C42" s="25" t="n">
        <v>0.25</v>
      </c>
      <c r="D42" s="7" t="s">
        <v>37</v>
      </c>
      <c r="E42" s="24" t="s">
        <v>82</v>
      </c>
      <c r="F42" s="3"/>
      <c r="G42" s="3"/>
      <c r="H42" s="3"/>
      <c r="I42" s="3"/>
      <c r="J42" s="3"/>
      <c r="K42" s="3"/>
      <c r="L42" s="3"/>
      <c r="M42" s="3"/>
      <c r="N42" s="3"/>
      <c r="O42" s="3"/>
      <c r="P42" s="3"/>
      <c r="Q42" s="3"/>
      <c r="R42" s="3"/>
      <c r="S42" s="3"/>
      <c r="T42" s="3"/>
      <c r="U42" s="3"/>
      <c r="V42" s="3"/>
      <c r="W42" s="3"/>
      <c r="X42" s="3"/>
      <c r="Y42" s="3"/>
      <c r="Z42" s="3"/>
      <c r="AA42" s="3"/>
      <c r="AB42" s="3"/>
      <c r="AC42" s="3"/>
      <c r="AD42" s="3"/>
    </row>
    <row r="43" customFormat="false" ht="15" hidden="false" customHeight="false" outlineLevel="0" collapsed="false">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row>
    <row r="44" customFormat="false" ht="15" hidden="false" customHeight="false" outlineLevel="0" collapsed="false">
      <c r="A44" s="3"/>
      <c r="B44" s="21" t="s">
        <v>83</v>
      </c>
      <c r="C44" s="22"/>
      <c r="D44" s="22"/>
      <c r="E44" s="22"/>
      <c r="F44" s="3"/>
      <c r="G44" s="3"/>
      <c r="H44" s="3"/>
      <c r="I44" s="3"/>
      <c r="J44" s="3"/>
      <c r="K44" s="3"/>
      <c r="L44" s="3"/>
      <c r="M44" s="3"/>
      <c r="N44" s="3"/>
      <c r="O44" s="3"/>
      <c r="P44" s="3"/>
      <c r="Q44" s="3"/>
      <c r="R44" s="3"/>
      <c r="S44" s="3"/>
      <c r="T44" s="3"/>
      <c r="U44" s="3"/>
      <c r="V44" s="3"/>
      <c r="W44" s="3"/>
      <c r="X44" s="3"/>
      <c r="Y44" s="3"/>
      <c r="Z44" s="3"/>
      <c r="AA44" s="3"/>
      <c r="AB44" s="3"/>
      <c r="AC44" s="3"/>
      <c r="AD44" s="3"/>
    </row>
    <row r="45" customFormat="false" ht="15" hidden="false" customHeight="false" outlineLevel="0" collapsed="false">
      <c r="A45" s="3"/>
      <c r="B45" s="7" t="s">
        <v>84</v>
      </c>
      <c r="C45" s="25" t="n">
        <v>0.0035</v>
      </c>
      <c r="D45" s="7" t="s">
        <v>37</v>
      </c>
      <c r="E45" s="24" t="s">
        <v>85</v>
      </c>
      <c r="F45" s="3"/>
      <c r="G45" s="3"/>
      <c r="H45" s="3"/>
      <c r="I45" s="3"/>
      <c r="J45" s="3"/>
      <c r="K45" s="3"/>
      <c r="L45" s="3"/>
      <c r="M45" s="3"/>
      <c r="N45" s="3"/>
      <c r="O45" s="3"/>
      <c r="P45" s="3"/>
      <c r="Q45" s="3"/>
      <c r="R45" s="3"/>
      <c r="S45" s="3"/>
      <c r="T45" s="3"/>
      <c r="U45" s="3"/>
      <c r="V45" s="3"/>
      <c r="W45" s="3"/>
      <c r="X45" s="3"/>
      <c r="Y45" s="3"/>
      <c r="Z45" s="3"/>
      <c r="AA45" s="3"/>
      <c r="AB45" s="3"/>
      <c r="AC45" s="3"/>
      <c r="AD45" s="3"/>
    </row>
    <row r="46" customFormat="false" ht="15" hidden="false" customHeight="false" outlineLevel="0" collapsed="false">
      <c r="A46" s="3"/>
      <c r="B46" s="7" t="s">
        <v>86</v>
      </c>
      <c r="C46" s="25" t="n">
        <v>0.0003</v>
      </c>
      <c r="D46" s="7" t="s">
        <v>37</v>
      </c>
      <c r="E46" s="24" t="s">
        <v>87</v>
      </c>
      <c r="F46" s="3"/>
      <c r="G46" s="3"/>
      <c r="H46" s="3"/>
      <c r="I46" s="3"/>
      <c r="J46" s="3"/>
      <c r="K46" s="3"/>
      <c r="L46" s="3"/>
      <c r="M46" s="3"/>
      <c r="N46" s="3"/>
      <c r="O46" s="3"/>
      <c r="P46" s="3"/>
      <c r="Q46" s="3"/>
      <c r="R46" s="3"/>
      <c r="S46" s="3"/>
      <c r="T46" s="3"/>
      <c r="U46" s="3"/>
      <c r="V46" s="3"/>
      <c r="W46" s="3"/>
      <c r="X46" s="3"/>
      <c r="Y46" s="3"/>
      <c r="Z46" s="3"/>
      <c r="AA46" s="3"/>
      <c r="AB46" s="3"/>
      <c r="AC46" s="3"/>
      <c r="AD46" s="3"/>
    </row>
    <row r="47" customFormat="false" ht="15" hidden="false" customHeight="false" outlineLevel="0" collapsed="false">
      <c r="A47" s="3"/>
      <c r="B47" s="7" t="s">
        <v>88</v>
      </c>
      <c r="C47" s="23" t="n">
        <v>75000</v>
      </c>
      <c r="D47" s="7" t="s">
        <v>32</v>
      </c>
      <c r="E47" s="24" t="s">
        <v>89</v>
      </c>
      <c r="F47" s="3"/>
      <c r="G47" s="3"/>
      <c r="H47" s="3"/>
      <c r="I47" s="3"/>
      <c r="J47" s="3"/>
      <c r="K47" s="3"/>
      <c r="L47" s="3"/>
      <c r="M47" s="3"/>
      <c r="N47" s="3"/>
      <c r="O47" s="3"/>
      <c r="P47" s="3"/>
      <c r="Q47" s="3"/>
      <c r="R47" s="3"/>
      <c r="S47" s="3"/>
      <c r="T47" s="3"/>
      <c r="U47" s="3"/>
      <c r="V47" s="3"/>
      <c r="W47" s="3"/>
      <c r="X47" s="3"/>
      <c r="Y47" s="3"/>
      <c r="Z47" s="3"/>
      <c r="AA47" s="3"/>
      <c r="AB47" s="3"/>
      <c r="AC47" s="3"/>
      <c r="AD47" s="3"/>
    </row>
    <row r="48" customFormat="false" ht="15" hidden="false" customHeight="false" outlineLevel="0" collapsed="false">
      <c r="A48" s="3"/>
      <c r="B48" s="7" t="s">
        <v>90</v>
      </c>
      <c r="C48" s="25" t="n">
        <v>0.001</v>
      </c>
      <c r="D48" s="7" t="s">
        <v>37</v>
      </c>
      <c r="E48" s="24" t="s">
        <v>91</v>
      </c>
      <c r="F48" s="3"/>
      <c r="G48" s="3"/>
      <c r="H48" s="3"/>
      <c r="I48" s="3"/>
      <c r="J48" s="3"/>
      <c r="K48" s="3"/>
      <c r="L48" s="3"/>
      <c r="M48" s="3"/>
      <c r="N48" s="3"/>
      <c r="O48" s="3"/>
      <c r="P48" s="3"/>
      <c r="Q48" s="3"/>
      <c r="R48" s="3"/>
      <c r="S48" s="3"/>
      <c r="T48" s="3"/>
      <c r="U48" s="3"/>
      <c r="V48" s="3"/>
      <c r="W48" s="3"/>
      <c r="X48" s="3"/>
      <c r="Y48" s="3"/>
      <c r="Z48" s="3"/>
      <c r="AA48" s="3"/>
      <c r="AB48" s="3"/>
      <c r="AC48" s="3"/>
      <c r="AD48" s="3"/>
    </row>
    <row r="49" customFormat="false" ht="15" hidden="false" customHeight="false" outlineLevel="0" collapsed="false">
      <c r="A49" s="3"/>
      <c r="B49" s="7" t="s">
        <v>92</v>
      </c>
      <c r="C49" s="23" t="n">
        <v>40000</v>
      </c>
      <c r="D49" s="7" t="s">
        <v>32</v>
      </c>
      <c r="E49" s="24" t="s">
        <v>89</v>
      </c>
      <c r="F49" s="3"/>
      <c r="G49" s="3"/>
      <c r="H49" s="3"/>
      <c r="I49" s="3"/>
      <c r="J49" s="3"/>
      <c r="K49" s="3"/>
      <c r="L49" s="3"/>
      <c r="M49" s="3"/>
      <c r="N49" s="3"/>
      <c r="O49" s="3"/>
      <c r="P49" s="3"/>
      <c r="Q49" s="3"/>
      <c r="R49" s="3"/>
      <c r="S49" s="3"/>
      <c r="T49" s="3"/>
      <c r="U49" s="3"/>
      <c r="V49" s="3"/>
      <c r="W49" s="3"/>
      <c r="X49" s="3"/>
      <c r="Y49" s="3"/>
      <c r="Z49" s="3"/>
      <c r="AA49" s="3"/>
      <c r="AB49" s="3"/>
      <c r="AC49" s="3"/>
      <c r="AD49" s="3"/>
    </row>
    <row r="50" customFormat="false" ht="15" hidden="false" customHeight="false" outlineLevel="0" collapsed="false">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row>
    <row r="51" customFormat="false" ht="15" hidden="false" customHeight="false" outlineLevel="0" collapsed="false">
      <c r="A51" s="3"/>
      <c r="B51" s="21" t="s">
        <v>93</v>
      </c>
      <c r="C51" s="22"/>
      <c r="D51" s="22"/>
      <c r="E51" s="22"/>
      <c r="F51" s="3"/>
      <c r="G51" s="3"/>
      <c r="H51" s="3"/>
      <c r="I51" s="3"/>
      <c r="J51" s="3"/>
      <c r="K51" s="3"/>
      <c r="L51" s="3"/>
      <c r="M51" s="3"/>
      <c r="N51" s="3"/>
      <c r="O51" s="3"/>
      <c r="P51" s="3"/>
      <c r="Q51" s="3"/>
      <c r="R51" s="3"/>
      <c r="S51" s="3"/>
      <c r="T51" s="3"/>
      <c r="U51" s="3"/>
      <c r="V51" s="3"/>
      <c r="W51" s="3"/>
      <c r="X51" s="3"/>
      <c r="Y51" s="3"/>
      <c r="Z51" s="3"/>
      <c r="AA51" s="3"/>
      <c r="AB51" s="3"/>
      <c r="AC51" s="3"/>
      <c r="AD51" s="3"/>
    </row>
    <row r="52" customFormat="false" ht="15" hidden="false" customHeight="false" outlineLevel="0" collapsed="false">
      <c r="A52" s="3"/>
      <c r="B52" s="7" t="s">
        <v>94</v>
      </c>
      <c r="C52" s="25" t="n">
        <v>0.002</v>
      </c>
      <c r="D52" s="7" t="s">
        <v>37</v>
      </c>
      <c r="E52" s="24" t="s">
        <v>95</v>
      </c>
      <c r="F52" s="3"/>
      <c r="G52" s="3"/>
      <c r="H52" s="3"/>
      <c r="I52" s="3"/>
      <c r="J52" s="3"/>
      <c r="K52" s="3"/>
      <c r="L52" s="3"/>
      <c r="M52" s="3"/>
      <c r="N52" s="3"/>
      <c r="O52" s="3"/>
      <c r="P52" s="3"/>
      <c r="Q52" s="3"/>
      <c r="R52" s="3"/>
      <c r="S52" s="3"/>
      <c r="T52" s="3"/>
      <c r="U52" s="3"/>
      <c r="V52" s="3"/>
      <c r="W52" s="3"/>
      <c r="X52" s="3"/>
      <c r="Y52" s="3"/>
      <c r="Z52" s="3"/>
      <c r="AA52" s="3"/>
      <c r="AB52" s="3"/>
      <c r="AC52" s="3"/>
      <c r="AD52" s="3"/>
    </row>
    <row r="53" customFormat="false" ht="15" hidden="false" customHeight="false" outlineLevel="0" collapsed="false">
      <c r="A53" s="3"/>
      <c r="B53" s="7" t="s">
        <v>96</v>
      </c>
      <c r="C53" s="25" t="n">
        <v>-0.003</v>
      </c>
      <c r="D53" s="7" t="s">
        <v>37</v>
      </c>
      <c r="E53" s="24" t="s">
        <v>97</v>
      </c>
      <c r="F53" s="3"/>
      <c r="G53" s="3"/>
      <c r="H53" s="3"/>
      <c r="I53" s="3"/>
      <c r="J53" s="3"/>
      <c r="K53" s="3"/>
      <c r="L53" s="3"/>
      <c r="M53" s="3"/>
      <c r="N53" s="3"/>
      <c r="O53" s="3"/>
      <c r="P53" s="3"/>
      <c r="Q53" s="3"/>
      <c r="R53" s="3"/>
      <c r="S53" s="3"/>
      <c r="T53" s="3"/>
      <c r="U53" s="3"/>
      <c r="V53" s="3"/>
      <c r="W53" s="3"/>
      <c r="X53" s="3"/>
      <c r="Y53" s="3"/>
      <c r="Z53" s="3"/>
      <c r="AA53" s="3"/>
      <c r="AB53" s="3"/>
      <c r="AC53" s="3"/>
      <c r="AD53" s="3"/>
    </row>
    <row r="54" customFormat="false" ht="15" hidden="false" customHeight="false" outlineLevel="0" collapsed="false">
      <c r="A54" s="3"/>
      <c r="B54" s="7" t="s">
        <v>98</v>
      </c>
      <c r="C54" s="25" t="n">
        <v>-0.005</v>
      </c>
      <c r="D54" s="7" t="s">
        <v>37</v>
      </c>
      <c r="E54" s="24" t="s">
        <v>97</v>
      </c>
      <c r="F54" s="3"/>
      <c r="G54" s="3"/>
      <c r="H54" s="3"/>
      <c r="I54" s="3"/>
      <c r="J54" s="3"/>
      <c r="K54" s="3"/>
      <c r="L54" s="3"/>
      <c r="M54" s="3"/>
      <c r="N54" s="3"/>
      <c r="O54" s="3"/>
      <c r="P54" s="3"/>
      <c r="Q54" s="3"/>
      <c r="R54" s="3"/>
      <c r="S54" s="3"/>
      <c r="T54" s="3"/>
      <c r="U54" s="3"/>
      <c r="V54" s="3"/>
      <c r="W54" s="3"/>
      <c r="X54" s="3"/>
      <c r="Y54" s="3"/>
      <c r="Z54" s="3"/>
      <c r="AA54" s="3"/>
      <c r="AB54" s="3"/>
      <c r="AC54" s="3"/>
      <c r="AD54" s="3"/>
    </row>
    <row r="55" customFormat="false" ht="15" hidden="false" customHeight="false" outlineLevel="0" collapsed="false">
      <c r="A55" s="3"/>
      <c r="B55" s="7" t="s">
        <v>99</v>
      </c>
      <c r="C55" s="25" t="n">
        <v>0.001</v>
      </c>
      <c r="D55" s="7" t="s">
        <v>37</v>
      </c>
      <c r="E55" s="24" t="s">
        <v>100</v>
      </c>
      <c r="F55" s="3"/>
      <c r="G55" s="3"/>
      <c r="H55" s="3"/>
      <c r="I55" s="3"/>
      <c r="J55" s="3"/>
      <c r="K55" s="3"/>
      <c r="L55" s="3"/>
      <c r="M55" s="3"/>
      <c r="N55" s="3"/>
      <c r="O55" s="3"/>
      <c r="P55" s="3"/>
      <c r="Q55" s="3"/>
      <c r="R55" s="3"/>
      <c r="S55" s="3"/>
      <c r="T55" s="3"/>
      <c r="U55" s="3"/>
      <c r="V55" s="3"/>
      <c r="W55" s="3"/>
      <c r="X55" s="3"/>
      <c r="Y55" s="3"/>
      <c r="Z55" s="3"/>
      <c r="AA55" s="3"/>
      <c r="AB55" s="3"/>
      <c r="AC55" s="3"/>
      <c r="AD55" s="3"/>
    </row>
    <row r="56" customFormat="false" ht="15" hidden="false" customHeight="false" outlineLevel="0" collapsed="false">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row>
    <row r="57" customFormat="false" ht="15" hidden="false" customHeight="false" outlineLevel="0" collapsed="false">
      <c r="A57" s="3"/>
      <c r="B57" s="21" t="s">
        <v>101</v>
      </c>
      <c r="C57" s="22"/>
      <c r="D57" s="22"/>
      <c r="E57" s="22"/>
      <c r="F57" s="3"/>
      <c r="G57" s="3"/>
      <c r="H57" s="3"/>
      <c r="I57" s="3"/>
      <c r="J57" s="3"/>
      <c r="K57" s="3"/>
      <c r="L57" s="3"/>
      <c r="M57" s="3"/>
      <c r="N57" s="3"/>
      <c r="O57" s="3"/>
      <c r="P57" s="3"/>
      <c r="Q57" s="3"/>
      <c r="R57" s="3"/>
      <c r="S57" s="3"/>
      <c r="T57" s="3"/>
      <c r="U57" s="3"/>
      <c r="V57" s="3"/>
      <c r="W57" s="3"/>
      <c r="X57" s="3"/>
      <c r="Y57" s="3"/>
      <c r="Z57" s="3"/>
      <c r="AA57" s="3"/>
      <c r="AB57" s="3"/>
      <c r="AC57" s="3"/>
      <c r="AD57" s="3"/>
    </row>
    <row r="58" customFormat="false" ht="15" hidden="false" customHeight="false" outlineLevel="0" collapsed="false">
      <c r="A58" s="3"/>
      <c r="B58" s="7" t="s">
        <v>102</v>
      </c>
      <c r="C58" s="26" t="s">
        <v>103</v>
      </c>
      <c r="D58" s="7"/>
      <c r="E58" s="24" t="s">
        <v>104</v>
      </c>
      <c r="F58" s="3"/>
      <c r="G58" s="3"/>
      <c r="H58" s="3"/>
      <c r="I58" s="3"/>
      <c r="J58" s="3"/>
      <c r="K58" s="3"/>
      <c r="L58" s="3"/>
      <c r="M58" s="3"/>
      <c r="N58" s="3"/>
      <c r="O58" s="3"/>
      <c r="P58" s="3"/>
      <c r="Q58" s="3"/>
      <c r="R58" s="3"/>
      <c r="S58" s="3"/>
      <c r="T58" s="3"/>
      <c r="U58" s="3"/>
      <c r="V58" s="3"/>
      <c r="W58" s="3"/>
      <c r="X58" s="3"/>
      <c r="Y58" s="3"/>
      <c r="Z58" s="3"/>
      <c r="AA58" s="3"/>
      <c r="AB58" s="3"/>
      <c r="AC58" s="3"/>
      <c r="AD58" s="3"/>
    </row>
    <row r="59" customFormat="false" ht="15" hidden="false" customHeight="false" outlineLevel="0" collapsed="false">
      <c r="A59" s="3"/>
      <c r="B59" s="7" t="s">
        <v>105</v>
      </c>
      <c r="C59" s="25" t="n">
        <v>0.04</v>
      </c>
      <c r="D59" s="7" t="s">
        <v>37</v>
      </c>
      <c r="E59" s="24" t="s">
        <v>106</v>
      </c>
      <c r="F59" s="3"/>
      <c r="G59" s="3"/>
      <c r="H59" s="3"/>
      <c r="I59" s="3"/>
      <c r="J59" s="3"/>
      <c r="K59" s="3"/>
      <c r="L59" s="3"/>
      <c r="M59" s="3"/>
      <c r="N59" s="3"/>
      <c r="O59" s="3"/>
      <c r="P59" s="3"/>
      <c r="Q59" s="3"/>
      <c r="R59" s="3"/>
      <c r="S59" s="3"/>
      <c r="T59" s="3"/>
      <c r="U59" s="3"/>
      <c r="V59" s="3"/>
      <c r="W59" s="3"/>
      <c r="X59" s="3"/>
      <c r="Y59" s="3"/>
      <c r="Z59" s="3"/>
      <c r="AA59" s="3"/>
      <c r="AB59" s="3"/>
      <c r="AC59" s="3"/>
      <c r="AD59" s="3"/>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2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2"/>
    <col collapsed="false" customWidth="true" hidden="false" outlineLevel="0" max="2" min="2" style="0" width="90"/>
    <col collapsed="false" customWidth="true" hidden="false" outlineLevel="0" max="3" min="3" style="0" width="2"/>
  </cols>
  <sheetData>
    <row r="1" customFormat="false" ht="15" hidden="false" customHeight="false" outlineLevel="0" collapsed="false">
      <c r="A1" s="3"/>
      <c r="B1" s="3"/>
    </row>
    <row r="2" customFormat="false" ht="31.5" hidden="false" customHeight="true" outlineLevel="0" collapsed="false">
      <c r="A2" s="3"/>
      <c r="B2" s="27" t="s">
        <v>107</v>
      </c>
    </row>
    <row r="3" customFormat="false" ht="3.75" hidden="false" customHeight="true" outlineLevel="0" collapsed="false">
      <c r="A3" s="3"/>
      <c r="B3" s="28"/>
    </row>
    <row r="4" customFormat="false" ht="15" hidden="false" customHeight="false" outlineLevel="0" collapsed="false">
      <c r="A4" s="3"/>
      <c r="B4" s="3"/>
    </row>
    <row r="5" customFormat="false" ht="19.5" hidden="false" customHeight="true" outlineLevel="0" collapsed="false">
      <c r="A5" s="3"/>
      <c r="B5" s="29" t="s">
        <v>108</v>
      </c>
    </row>
    <row r="6" customFormat="false" ht="48" hidden="false" customHeight="true" outlineLevel="0" collapsed="false">
      <c r="A6" s="3"/>
      <c r="B6" s="30" t="s">
        <v>109</v>
      </c>
    </row>
    <row r="7" customFormat="false" ht="15" hidden="false" customHeight="false" outlineLevel="0" collapsed="false">
      <c r="A7" s="3"/>
      <c r="B7" s="3"/>
    </row>
    <row r="8" customFormat="false" ht="19.5" hidden="false" customHeight="true" outlineLevel="0" collapsed="false">
      <c r="A8" s="3"/>
      <c r="B8" s="29" t="s">
        <v>110</v>
      </c>
    </row>
    <row r="9" customFormat="false" ht="61.5" hidden="false" customHeight="true" outlineLevel="0" collapsed="false">
      <c r="A9" s="3"/>
      <c r="B9" s="30" t="s">
        <v>111</v>
      </c>
    </row>
    <row r="10" customFormat="false" ht="15" hidden="false" customHeight="false" outlineLevel="0" collapsed="false">
      <c r="A10" s="3"/>
      <c r="B10" s="3"/>
    </row>
    <row r="11" customFormat="false" ht="19.5" hidden="false" customHeight="true" outlineLevel="0" collapsed="false">
      <c r="A11" s="3"/>
      <c r="B11" s="29" t="s">
        <v>112</v>
      </c>
    </row>
    <row r="12" customFormat="false" ht="75.75" hidden="false" customHeight="true" outlineLevel="0" collapsed="false">
      <c r="A12" s="3"/>
      <c r="B12" s="30" t="s">
        <v>113</v>
      </c>
    </row>
    <row r="13" customFormat="false" ht="15" hidden="false" customHeight="false" outlineLevel="0" collapsed="false">
      <c r="A13" s="3"/>
      <c r="B13" s="3"/>
    </row>
    <row r="14" customFormat="false" ht="19.5" hidden="false" customHeight="true" outlineLevel="0" collapsed="false">
      <c r="A14" s="3"/>
      <c r="B14" s="29" t="s">
        <v>114</v>
      </c>
    </row>
    <row r="15" customFormat="false" ht="61.5" hidden="false" customHeight="true" outlineLevel="0" collapsed="false">
      <c r="A15" s="3"/>
      <c r="B15" s="30" t="s">
        <v>115</v>
      </c>
    </row>
    <row r="16" customFormat="false" ht="15" hidden="false" customHeight="false" outlineLevel="0" collapsed="false">
      <c r="A16" s="3"/>
      <c r="B16" s="3"/>
    </row>
    <row r="17" customFormat="false" ht="19.5" hidden="false" customHeight="true" outlineLevel="0" collapsed="false">
      <c r="A17" s="3"/>
      <c r="B17" s="29" t="s">
        <v>116</v>
      </c>
    </row>
    <row r="18" customFormat="false" ht="33.75" hidden="false" customHeight="true" outlineLevel="0" collapsed="false">
      <c r="A18" s="3"/>
      <c r="B18" s="30" t="s">
        <v>117</v>
      </c>
    </row>
    <row r="19" customFormat="false" ht="15" hidden="false" customHeight="false" outlineLevel="0" collapsed="false">
      <c r="A19" s="3"/>
      <c r="B19" s="3"/>
    </row>
    <row r="20" customFormat="false" ht="19.5" hidden="false" customHeight="true" outlineLevel="0" collapsed="false">
      <c r="A20" s="3"/>
      <c r="B20" s="29" t="s">
        <v>118</v>
      </c>
    </row>
    <row r="21" customFormat="false" ht="33.75" hidden="false" customHeight="true" outlineLevel="0" collapsed="false">
      <c r="A21" s="3"/>
      <c r="B21" s="30" t="s">
        <v>119</v>
      </c>
    </row>
    <row r="22" customFormat="false" ht="15" hidden="false" customHeight="false" outlineLevel="0" collapsed="false">
      <c r="A22" s="3"/>
      <c r="B22" s="3"/>
    </row>
    <row r="23" customFormat="false" ht="21.75" hidden="false" customHeight="true" outlineLevel="0" collapsed="false">
      <c r="A23" s="3"/>
      <c r="B23" s="31" t="s">
        <v>120</v>
      </c>
    </row>
    <row r="24" customFormat="false" ht="15" hidden="false" customHeight="false" outlineLevel="0" collapsed="false">
      <c r="A24" s="3"/>
      <c r="B24" s="3"/>
    </row>
    <row r="25" customFormat="false" ht="18" hidden="false" customHeight="true" outlineLevel="0" collapsed="false">
      <c r="A25" s="3"/>
      <c r="B25" s="32" t="s">
        <v>121</v>
      </c>
    </row>
    <row r="26" customFormat="false" ht="201.75" hidden="false" customHeight="true" outlineLevel="0" collapsed="false">
      <c r="A26" s="3"/>
      <c r="B26" s="33" t="s">
        <v>122</v>
      </c>
    </row>
    <row r="27" customFormat="false" ht="15" hidden="false" customHeight="false" outlineLevel="0" collapsed="false">
      <c r="A27" s="3"/>
      <c r="B27" s="3"/>
    </row>
    <row r="28" customFormat="false" ht="18" hidden="false" customHeight="true" outlineLevel="0" collapsed="false">
      <c r="A28" s="3"/>
      <c r="B28" s="34" t="s">
        <v>123</v>
      </c>
    </row>
  </sheetData>
  <printOptions headings="false" gridLines="false" gridLinesSet="true" horizontalCentered="true" verticalCentered="false"/>
  <pageMargins left="0.4" right="0.4"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AD47"/>
    <pageSetUpPr fitToPage="false"/>
  </sheetPr>
  <dimension ref="A1:G49"/>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4"/>
    <col collapsed="false" customWidth="true" hidden="false" outlineLevel="0" max="7" min="3" style="0" width="16"/>
  </cols>
  <sheetData>
    <row r="1" customFormat="false" ht="15" hidden="false" customHeight="false" outlineLevel="0" collapsed="false">
      <c r="A1" s="3"/>
      <c r="B1" s="3"/>
      <c r="C1" s="3"/>
      <c r="D1" s="3"/>
      <c r="E1" s="3"/>
      <c r="F1" s="3"/>
      <c r="G1" s="3"/>
    </row>
    <row r="2" customFormat="false" ht="22.05" hidden="false" customHeight="false" outlineLevel="0" collapsed="false">
      <c r="A2" s="3"/>
      <c r="B2" s="35" t="s">
        <v>15</v>
      </c>
      <c r="C2" s="3"/>
      <c r="D2" s="3"/>
      <c r="E2" s="3"/>
      <c r="F2" s="3"/>
      <c r="G2" s="3"/>
    </row>
    <row r="3" customFormat="false" ht="15" hidden="false" customHeight="false" outlineLevel="0" collapsed="false">
      <c r="A3" s="3"/>
      <c r="B3" s="36"/>
      <c r="C3" s="37" t="s">
        <v>124</v>
      </c>
      <c r="D3" s="37" t="s">
        <v>125</v>
      </c>
      <c r="E3" s="37" t="s">
        <v>126</v>
      </c>
      <c r="F3" s="37" t="s">
        <v>127</v>
      </c>
      <c r="G3" s="37" t="s">
        <v>128</v>
      </c>
    </row>
    <row r="4" customFormat="false" ht="15" hidden="false" customHeight="false" outlineLevel="0" collapsed="false">
      <c r="A4" s="3"/>
      <c r="B4" s="38" t="s">
        <v>42</v>
      </c>
      <c r="C4" s="15"/>
      <c r="D4" s="15"/>
      <c r="E4" s="15"/>
      <c r="F4" s="15"/>
      <c r="G4" s="15"/>
    </row>
    <row r="5" customFormat="false" ht="15" hidden="false" customHeight="false" outlineLevel="0" collapsed="false">
      <c r="A5" s="3"/>
      <c r="B5" s="7" t="s">
        <v>129</v>
      </c>
      <c r="C5" s="39" t="n">
        <f aca="false">Initial_AUM*Alloc_Govt</f>
        <v>30000000</v>
      </c>
      <c r="D5" s="39" t="n">
        <f aca="false">C10</f>
        <v>33000000</v>
      </c>
      <c r="E5" s="39" t="n">
        <f aca="false">D10</f>
        <v>36000000</v>
      </c>
      <c r="F5" s="39" t="n">
        <f aca="false">E10</f>
        <v>39000000</v>
      </c>
      <c r="G5" s="39" t="n">
        <f aca="false">F10</f>
        <v>42000000</v>
      </c>
    </row>
    <row r="6" customFormat="false" ht="15" hidden="false" customHeight="false" outlineLevel="0" collapsed="false">
      <c r="A6" s="3"/>
      <c r="B6" s="40" t="s">
        <v>130</v>
      </c>
      <c r="C6" s="39" t="n">
        <f aca="false">Annual_New_Capital*Alloc_Govt</f>
        <v>3000000</v>
      </c>
      <c r="D6" s="39" t="n">
        <f aca="false">Annual_New_Capital*Alloc_Govt</f>
        <v>3000000</v>
      </c>
      <c r="E6" s="39" t="n">
        <f aca="false">Annual_New_Capital*Alloc_Govt</f>
        <v>3000000</v>
      </c>
      <c r="F6" s="39" t="n">
        <f aca="false">Annual_New_Capital*Alloc_Govt</f>
        <v>3000000</v>
      </c>
      <c r="G6" s="39" t="n">
        <f aca="false">Annual_New_Capital*Alloc_Govt</f>
        <v>3000000</v>
      </c>
    </row>
    <row r="7" customFormat="false" ht="15" hidden="false" customHeight="false" outlineLevel="0" collapsed="false">
      <c r="A7" s="3"/>
      <c r="B7" s="40" t="s">
        <v>131</v>
      </c>
      <c r="C7" s="39" t="n">
        <f aca="false">C8</f>
        <v>6000000</v>
      </c>
      <c r="D7" s="39" t="n">
        <f aca="false">D8</f>
        <v>6600000</v>
      </c>
      <c r="E7" s="39" t="n">
        <f aca="false">E8</f>
        <v>7200000</v>
      </c>
      <c r="F7" s="39" t="n">
        <f aca="false">F8</f>
        <v>7800000</v>
      </c>
      <c r="G7" s="39" t="n">
        <f aca="false">G8</f>
        <v>8400000</v>
      </c>
    </row>
    <row r="8" customFormat="false" ht="15" hidden="false" customHeight="false" outlineLevel="0" collapsed="false">
      <c r="A8" s="3"/>
      <c r="B8" s="40" t="s">
        <v>132</v>
      </c>
      <c r="C8" s="39" t="n">
        <f aca="false">C5*Maturity_Govt</f>
        <v>6000000</v>
      </c>
      <c r="D8" s="39" t="n">
        <f aca="false">D5*Maturity_Govt</f>
        <v>6600000</v>
      </c>
      <c r="E8" s="39" t="n">
        <f aca="false">E5*Maturity_Govt</f>
        <v>7200000</v>
      </c>
      <c r="F8" s="39" t="n">
        <f aca="false">F5*Maturity_Govt</f>
        <v>7800000</v>
      </c>
      <c r="G8" s="39" t="n">
        <f aca="false">G5*Maturity_Govt</f>
        <v>8400000</v>
      </c>
    </row>
    <row r="9" customFormat="false" ht="15" hidden="false" customHeight="false" outlineLevel="0" collapsed="false">
      <c r="A9" s="3"/>
      <c r="B9" s="40" t="s">
        <v>133</v>
      </c>
      <c r="C9" s="39" t="n">
        <f aca="false">C5*Default_Govt*(1-Recovery_Rate)</f>
        <v>0</v>
      </c>
      <c r="D9" s="39" t="n">
        <f aca="false">D5*Default_Govt*(1-Recovery_Rate)</f>
        <v>0</v>
      </c>
      <c r="E9" s="39" t="n">
        <f aca="false">E5*Default_Govt*(1-Recovery_Rate)</f>
        <v>0</v>
      </c>
      <c r="F9" s="39" t="n">
        <f aca="false">F5*Default_Govt*(1-Recovery_Rate)</f>
        <v>0</v>
      </c>
      <c r="G9" s="39" t="n">
        <f aca="false">G5*Default_Govt*(1-Recovery_Rate)</f>
        <v>0</v>
      </c>
    </row>
    <row r="10" customFormat="false" ht="15" hidden="false" customHeight="false" outlineLevel="0" collapsed="false">
      <c r="A10" s="3"/>
      <c r="B10" s="6" t="s">
        <v>134</v>
      </c>
      <c r="C10" s="41" t="n">
        <f aca="false">C5+C6-C9</f>
        <v>33000000</v>
      </c>
      <c r="D10" s="41" t="n">
        <f aca="false">D5+D6-D9</f>
        <v>36000000</v>
      </c>
      <c r="E10" s="41" t="n">
        <f aca="false">E5+E6-E9</f>
        <v>39000000</v>
      </c>
      <c r="F10" s="41" t="n">
        <f aca="false">F5+F6-F9</f>
        <v>42000000</v>
      </c>
      <c r="G10" s="41" t="n">
        <f aca="false">G5+G6-G9</f>
        <v>45000000</v>
      </c>
    </row>
    <row r="11" customFormat="false" ht="15" hidden="false" customHeight="false" outlineLevel="0" collapsed="false">
      <c r="A11" s="3"/>
      <c r="B11" s="3"/>
      <c r="C11" s="3"/>
      <c r="D11" s="3"/>
      <c r="E11" s="3"/>
      <c r="F11" s="3"/>
      <c r="G11" s="3"/>
    </row>
    <row r="12" customFormat="false" ht="15" hidden="false" customHeight="false" outlineLevel="0" collapsed="false">
      <c r="A12" s="3"/>
      <c r="B12" s="38" t="s">
        <v>44</v>
      </c>
      <c r="C12" s="15"/>
      <c r="D12" s="15"/>
      <c r="E12" s="15"/>
      <c r="F12" s="15"/>
      <c r="G12" s="15"/>
    </row>
    <row r="13" customFormat="false" ht="15" hidden="false" customHeight="false" outlineLevel="0" collapsed="false">
      <c r="A13" s="3"/>
      <c r="B13" s="7" t="s">
        <v>129</v>
      </c>
      <c r="C13" s="39" t="n">
        <f aca="false">Initial_AUM*Alloc_IG</f>
        <v>35000000</v>
      </c>
      <c r="D13" s="39" t="n">
        <f aca="false">C18</f>
        <v>38483200</v>
      </c>
      <c r="E13" s="39" t="n">
        <f aca="false">D18</f>
        <v>41964728.064</v>
      </c>
      <c r="F13" s="39" t="n">
        <f aca="false">E18</f>
        <v>45444584.9945293</v>
      </c>
      <c r="G13" s="39" t="n">
        <f aca="false">F18</f>
        <v>48922771.5937319</v>
      </c>
    </row>
    <row r="14" customFormat="false" ht="15" hidden="false" customHeight="false" outlineLevel="0" collapsed="false">
      <c r="A14" s="3"/>
      <c r="B14" s="40" t="s">
        <v>130</v>
      </c>
      <c r="C14" s="39" t="n">
        <f aca="false">Annual_New_Capital*Alloc_IG</f>
        <v>3500000</v>
      </c>
      <c r="D14" s="39" t="n">
        <f aca="false">Annual_New_Capital*Alloc_IG</f>
        <v>3500000</v>
      </c>
      <c r="E14" s="39" t="n">
        <f aca="false">Annual_New_Capital*Alloc_IG</f>
        <v>3500000</v>
      </c>
      <c r="F14" s="39" t="n">
        <f aca="false">Annual_New_Capital*Alloc_IG</f>
        <v>3500000</v>
      </c>
      <c r="G14" s="39" t="n">
        <f aca="false">Annual_New_Capital*Alloc_IG</f>
        <v>3500000</v>
      </c>
    </row>
    <row r="15" customFormat="false" ht="15" hidden="false" customHeight="false" outlineLevel="0" collapsed="false">
      <c r="A15" s="3"/>
      <c r="B15" s="40" t="s">
        <v>131</v>
      </c>
      <c r="C15" s="39" t="n">
        <f aca="false">C16</f>
        <v>5250000</v>
      </c>
      <c r="D15" s="39" t="n">
        <f aca="false">D16</f>
        <v>5772480</v>
      </c>
      <c r="E15" s="39" t="n">
        <f aca="false">E16</f>
        <v>6294709.2096</v>
      </c>
      <c r="F15" s="39" t="n">
        <f aca="false">F16</f>
        <v>6816687.74917939</v>
      </c>
      <c r="G15" s="39" t="n">
        <f aca="false">G16</f>
        <v>7338415.73905979</v>
      </c>
    </row>
    <row r="16" customFormat="false" ht="15" hidden="false" customHeight="false" outlineLevel="0" collapsed="false">
      <c r="A16" s="3"/>
      <c r="B16" s="40" t="s">
        <v>132</v>
      </c>
      <c r="C16" s="39" t="n">
        <f aca="false">C13*Maturity_IG</f>
        <v>5250000</v>
      </c>
      <c r="D16" s="39" t="n">
        <f aca="false">D13*Maturity_IG</f>
        <v>5772480</v>
      </c>
      <c r="E16" s="39" t="n">
        <f aca="false">E13*Maturity_IG</f>
        <v>6294709.2096</v>
      </c>
      <c r="F16" s="39" t="n">
        <f aca="false">F13*Maturity_IG</f>
        <v>6816687.74917939</v>
      </c>
      <c r="G16" s="39" t="n">
        <f aca="false">G13*Maturity_IG</f>
        <v>7338415.73905979</v>
      </c>
    </row>
    <row r="17" customFormat="false" ht="15" hidden="false" customHeight="false" outlineLevel="0" collapsed="false">
      <c r="A17" s="3"/>
      <c r="B17" s="40" t="s">
        <v>133</v>
      </c>
      <c r="C17" s="39" t="n">
        <f aca="false">C13*Default_IG*(1-Recovery_Rate)</f>
        <v>16800</v>
      </c>
      <c r="D17" s="39" t="n">
        <f aca="false">D13*Default_IG*(1-Recovery_Rate)</f>
        <v>18471.936</v>
      </c>
      <c r="E17" s="39" t="n">
        <f aca="false">E13*Default_IG*(1-Recovery_Rate)</f>
        <v>20143.06947072</v>
      </c>
      <c r="F17" s="39" t="n">
        <f aca="false">F13*Default_IG*(1-Recovery_Rate)</f>
        <v>21813.4007973741</v>
      </c>
      <c r="G17" s="39" t="n">
        <f aca="false">G13*Default_IG*(1-Recovery_Rate)</f>
        <v>23482.9303649913</v>
      </c>
    </row>
    <row r="18" customFormat="false" ht="15" hidden="false" customHeight="false" outlineLevel="0" collapsed="false">
      <c r="A18" s="3"/>
      <c r="B18" s="6" t="s">
        <v>134</v>
      </c>
      <c r="C18" s="41" t="n">
        <f aca="false">C13+C14-C17</f>
        <v>38483200</v>
      </c>
      <c r="D18" s="41" t="n">
        <f aca="false">D13+D14-D17</f>
        <v>41964728.064</v>
      </c>
      <c r="E18" s="41" t="n">
        <f aca="false">E13+E14-E17</f>
        <v>45444584.9945293</v>
      </c>
      <c r="F18" s="41" t="n">
        <f aca="false">F13+F14-F17</f>
        <v>48922771.5937319</v>
      </c>
      <c r="G18" s="41" t="n">
        <f aca="false">G13+G14-G17</f>
        <v>52399288.6633669</v>
      </c>
    </row>
    <row r="19" customFormat="false" ht="15" hidden="false" customHeight="false" outlineLevel="0" collapsed="false">
      <c r="A19" s="3"/>
      <c r="B19" s="3"/>
      <c r="C19" s="3"/>
      <c r="D19" s="3"/>
      <c r="E19" s="3"/>
      <c r="F19" s="3"/>
      <c r="G19" s="3"/>
    </row>
    <row r="20" customFormat="false" ht="15" hidden="false" customHeight="false" outlineLevel="0" collapsed="false">
      <c r="A20" s="3"/>
      <c r="B20" s="38" t="s">
        <v>46</v>
      </c>
      <c r="C20" s="15"/>
      <c r="D20" s="15"/>
      <c r="E20" s="15"/>
      <c r="F20" s="15"/>
      <c r="G20" s="15"/>
    </row>
    <row r="21" customFormat="false" ht="15" hidden="false" customHeight="false" outlineLevel="0" collapsed="false">
      <c r="A21" s="3"/>
      <c r="B21" s="7" t="s">
        <v>129</v>
      </c>
      <c r="C21" s="39" t="n">
        <f aca="false">Initial_AUM*Alloc_HY</f>
        <v>20000000</v>
      </c>
      <c r="D21" s="39" t="n">
        <f aca="false">C26</f>
        <v>21700000</v>
      </c>
      <c r="E21" s="39" t="n">
        <f aca="false">D26</f>
        <v>23374500</v>
      </c>
      <c r="F21" s="39" t="n">
        <f aca="false">E26</f>
        <v>25023882.5</v>
      </c>
      <c r="G21" s="39" t="n">
        <f aca="false">F26</f>
        <v>26648524.2625</v>
      </c>
    </row>
    <row r="22" customFormat="false" ht="15" hidden="false" customHeight="false" outlineLevel="0" collapsed="false">
      <c r="A22" s="3"/>
      <c r="B22" s="40" t="s">
        <v>130</v>
      </c>
      <c r="C22" s="39" t="n">
        <f aca="false">Annual_New_Capital*Alloc_HY</f>
        <v>2000000</v>
      </c>
      <c r="D22" s="39" t="n">
        <f aca="false">Annual_New_Capital*Alloc_HY</f>
        <v>2000000</v>
      </c>
      <c r="E22" s="39" t="n">
        <f aca="false">Annual_New_Capital*Alloc_HY</f>
        <v>2000000</v>
      </c>
      <c r="F22" s="39" t="n">
        <f aca="false">Annual_New_Capital*Alloc_HY</f>
        <v>2000000</v>
      </c>
      <c r="G22" s="39" t="n">
        <f aca="false">Annual_New_Capital*Alloc_HY</f>
        <v>2000000</v>
      </c>
    </row>
    <row r="23" customFormat="false" ht="15" hidden="false" customHeight="false" outlineLevel="0" collapsed="false">
      <c r="A23" s="3"/>
      <c r="B23" s="40" t="s">
        <v>131</v>
      </c>
      <c r="C23" s="39" t="n">
        <f aca="false">C24</f>
        <v>4000000</v>
      </c>
      <c r="D23" s="39" t="n">
        <f aca="false">D24</f>
        <v>4340000</v>
      </c>
      <c r="E23" s="39" t="n">
        <f aca="false">E24</f>
        <v>4674900</v>
      </c>
      <c r="F23" s="39" t="n">
        <f aca="false">F24</f>
        <v>5004776.5</v>
      </c>
      <c r="G23" s="39" t="n">
        <f aca="false">G24</f>
        <v>5329704.8525</v>
      </c>
    </row>
    <row r="24" customFormat="false" ht="15" hidden="false" customHeight="false" outlineLevel="0" collapsed="false">
      <c r="A24" s="3"/>
      <c r="B24" s="40" t="s">
        <v>132</v>
      </c>
      <c r="C24" s="39" t="n">
        <f aca="false">C21*Maturity_HY</f>
        <v>4000000</v>
      </c>
      <c r="D24" s="39" t="n">
        <f aca="false">D21*Maturity_HY</f>
        <v>4340000</v>
      </c>
      <c r="E24" s="39" t="n">
        <f aca="false">E21*Maturity_HY</f>
        <v>4674900</v>
      </c>
      <c r="F24" s="39" t="n">
        <f aca="false">F21*Maturity_HY</f>
        <v>5004776.5</v>
      </c>
      <c r="G24" s="39" t="n">
        <f aca="false">G21*Maturity_HY</f>
        <v>5329704.8525</v>
      </c>
    </row>
    <row r="25" customFormat="false" ht="15" hidden="false" customHeight="false" outlineLevel="0" collapsed="false">
      <c r="A25" s="3"/>
      <c r="B25" s="40" t="s">
        <v>133</v>
      </c>
      <c r="C25" s="39" t="n">
        <f aca="false">C21*Default_HY*(1-Recovery_Rate)</f>
        <v>300000</v>
      </c>
      <c r="D25" s="39" t="n">
        <f aca="false">D21*Default_HY*(1-Recovery_Rate)</f>
        <v>325500</v>
      </c>
      <c r="E25" s="39" t="n">
        <f aca="false">E21*Default_HY*(1-Recovery_Rate)</f>
        <v>350617.5</v>
      </c>
      <c r="F25" s="39" t="n">
        <f aca="false">F21*Default_HY*(1-Recovery_Rate)</f>
        <v>375358.2375</v>
      </c>
      <c r="G25" s="39" t="n">
        <f aca="false">G21*Default_HY*(1-Recovery_Rate)</f>
        <v>399727.8639375</v>
      </c>
    </row>
    <row r="26" customFormat="false" ht="15" hidden="false" customHeight="false" outlineLevel="0" collapsed="false">
      <c r="A26" s="3"/>
      <c r="B26" s="6" t="s">
        <v>134</v>
      </c>
      <c r="C26" s="41" t="n">
        <f aca="false">C21+C22-C25</f>
        <v>21700000</v>
      </c>
      <c r="D26" s="41" t="n">
        <f aca="false">D21+D22-D25</f>
        <v>23374500</v>
      </c>
      <c r="E26" s="41" t="n">
        <f aca="false">E21+E22-E25</f>
        <v>25023882.5</v>
      </c>
      <c r="F26" s="41" t="n">
        <f aca="false">F21+F22-F25</f>
        <v>26648524.2625</v>
      </c>
      <c r="G26" s="41" t="n">
        <f aca="false">G21+G22-G25</f>
        <v>28248796.3985625</v>
      </c>
    </row>
    <row r="27" customFormat="false" ht="15" hidden="false" customHeight="false" outlineLevel="0" collapsed="false">
      <c r="A27" s="3"/>
      <c r="B27" s="3"/>
      <c r="C27" s="3"/>
      <c r="D27" s="3"/>
      <c r="E27" s="3"/>
      <c r="F27" s="3"/>
      <c r="G27" s="3"/>
    </row>
    <row r="28" customFormat="false" ht="15" hidden="false" customHeight="false" outlineLevel="0" collapsed="false">
      <c r="A28" s="3"/>
      <c r="B28" s="38" t="s">
        <v>48</v>
      </c>
      <c r="C28" s="15"/>
      <c r="D28" s="15"/>
      <c r="E28" s="15"/>
      <c r="F28" s="15"/>
      <c r="G28" s="15"/>
    </row>
    <row r="29" customFormat="false" ht="15" hidden="false" customHeight="false" outlineLevel="0" collapsed="false">
      <c r="A29" s="3"/>
      <c r="B29" s="7" t="s">
        <v>129</v>
      </c>
      <c r="C29" s="39" t="n">
        <f aca="false">Initial_AUM*Alloc_MBS</f>
        <v>15000000</v>
      </c>
      <c r="D29" s="39" t="n">
        <f aca="false">C34</f>
        <v>16473000</v>
      </c>
      <c r="E29" s="39" t="n">
        <f aca="false">D34</f>
        <v>17943348.6</v>
      </c>
      <c r="F29" s="39" t="n">
        <f aca="false">E34</f>
        <v>19411050.57252</v>
      </c>
      <c r="G29" s="39" t="n">
        <f aca="false">F34</f>
        <v>20876110.6814895</v>
      </c>
    </row>
    <row r="30" customFormat="false" ht="15" hidden="false" customHeight="false" outlineLevel="0" collapsed="false">
      <c r="A30" s="3"/>
      <c r="B30" s="40" t="s">
        <v>130</v>
      </c>
      <c r="C30" s="39" t="n">
        <f aca="false">Annual_New_Capital*Alloc_MBS</f>
        <v>1500000</v>
      </c>
      <c r="D30" s="39" t="n">
        <f aca="false">Annual_New_Capital*Alloc_MBS</f>
        <v>1500000</v>
      </c>
      <c r="E30" s="39" t="n">
        <f aca="false">Annual_New_Capital*Alloc_MBS</f>
        <v>1500000</v>
      </c>
      <c r="F30" s="39" t="n">
        <f aca="false">Annual_New_Capital*Alloc_MBS</f>
        <v>1500000</v>
      </c>
      <c r="G30" s="39" t="n">
        <f aca="false">Annual_New_Capital*Alloc_MBS</f>
        <v>1500000</v>
      </c>
    </row>
    <row r="31" customFormat="false" ht="15" hidden="false" customHeight="false" outlineLevel="0" collapsed="false">
      <c r="A31" s="3"/>
      <c r="B31" s="40" t="s">
        <v>131</v>
      </c>
      <c r="C31" s="39" t="n">
        <f aca="false">C32</f>
        <v>3750000</v>
      </c>
      <c r="D31" s="39" t="n">
        <f aca="false">D32</f>
        <v>4118250</v>
      </c>
      <c r="E31" s="39" t="n">
        <f aca="false">E32</f>
        <v>4485837.15</v>
      </c>
      <c r="F31" s="39" t="n">
        <f aca="false">F32</f>
        <v>4852762.64313</v>
      </c>
      <c r="G31" s="39" t="n">
        <f aca="false">G32</f>
        <v>5219027.67037237</v>
      </c>
    </row>
    <row r="32" customFormat="false" ht="15" hidden="false" customHeight="false" outlineLevel="0" collapsed="false">
      <c r="A32" s="3"/>
      <c r="B32" s="40" t="s">
        <v>132</v>
      </c>
      <c r="C32" s="39" t="n">
        <f aca="false">C29*Maturity_MBS</f>
        <v>3750000</v>
      </c>
      <c r="D32" s="39" t="n">
        <f aca="false">D29*Maturity_MBS</f>
        <v>4118250</v>
      </c>
      <c r="E32" s="39" t="n">
        <f aca="false">E29*Maturity_MBS</f>
        <v>4485837.15</v>
      </c>
      <c r="F32" s="39" t="n">
        <f aca="false">F29*Maturity_MBS</f>
        <v>4852762.64313</v>
      </c>
      <c r="G32" s="39" t="n">
        <f aca="false">G29*Maturity_MBS</f>
        <v>5219027.67037237</v>
      </c>
    </row>
    <row r="33" customFormat="false" ht="15" hidden="false" customHeight="false" outlineLevel="0" collapsed="false">
      <c r="A33" s="3"/>
      <c r="B33" s="40" t="s">
        <v>133</v>
      </c>
      <c r="C33" s="39" t="n">
        <f aca="false">C29*Default_MBS*(1-Recovery_Rate)</f>
        <v>27000</v>
      </c>
      <c r="D33" s="39" t="n">
        <f aca="false">D29*Default_MBS*(1-Recovery_Rate)</f>
        <v>29651.4</v>
      </c>
      <c r="E33" s="39" t="n">
        <f aca="false">E29*Default_MBS*(1-Recovery_Rate)</f>
        <v>32298.02748</v>
      </c>
      <c r="F33" s="39" t="n">
        <f aca="false">F29*Default_MBS*(1-Recovery_Rate)</f>
        <v>34939.891030536</v>
      </c>
      <c r="G33" s="39" t="n">
        <f aca="false">G29*Default_MBS*(1-Recovery_Rate)</f>
        <v>37576.999226681</v>
      </c>
    </row>
    <row r="34" customFormat="false" ht="15" hidden="false" customHeight="false" outlineLevel="0" collapsed="false">
      <c r="A34" s="3"/>
      <c r="B34" s="6" t="s">
        <v>134</v>
      </c>
      <c r="C34" s="41" t="n">
        <f aca="false">C29+C30-C33</f>
        <v>16473000</v>
      </c>
      <c r="D34" s="41" t="n">
        <f aca="false">D29+D30-D33</f>
        <v>17943348.6</v>
      </c>
      <c r="E34" s="41" t="n">
        <f aca="false">E29+E30-E33</f>
        <v>19411050.57252</v>
      </c>
      <c r="F34" s="41" t="n">
        <f aca="false">F29+F30-F33</f>
        <v>20876110.6814895</v>
      </c>
      <c r="G34" s="41" t="n">
        <f aca="false">G29+G30-G33</f>
        <v>22338533.6822628</v>
      </c>
    </row>
    <row r="35" customFormat="false" ht="15" hidden="false" customHeight="false" outlineLevel="0" collapsed="false">
      <c r="A35" s="3"/>
      <c r="B35" s="3"/>
      <c r="C35" s="3"/>
      <c r="D35" s="3"/>
      <c r="E35" s="3"/>
      <c r="F35" s="3"/>
      <c r="G35" s="3"/>
    </row>
    <row r="36" customFormat="false" ht="15" hidden="false" customHeight="false" outlineLevel="0" collapsed="false">
      <c r="A36" s="3"/>
      <c r="B36" s="38" t="s">
        <v>135</v>
      </c>
      <c r="C36" s="15"/>
      <c r="D36" s="15"/>
      <c r="E36" s="15"/>
      <c r="F36" s="15"/>
      <c r="G36" s="15"/>
    </row>
    <row r="37" customFormat="false" ht="15" hidden="false" customHeight="false" outlineLevel="0" collapsed="false">
      <c r="A37" s="3"/>
      <c r="B37" s="6" t="s">
        <v>136</v>
      </c>
      <c r="C37" s="39" t="n">
        <f aca="false">C5+C13+C21+C29</f>
        <v>100000000</v>
      </c>
      <c r="D37" s="39" t="n">
        <f aca="false">D5+D13+D21+D29</f>
        <v>109656200</v>
      </c>
      <c r="E37" s="39" t="n">
        <f aca="false">E5+E13+E21+E29</f>
        <v>119282576.664</v>
      </c>
      <c r="F37" s="39" t="n">
        <f aca="false">F5+F13+F21+F29</f>
        <v>128879518.067049</v>
      </c>
      <c r="G37" s="39" t="n">
        <f aca="false">G5+G13+G21+G29</f>
        <v>138447406.537721</v>
      </c>
    </row>
    <row r="38" customFormat="false" ht="15" hidden="false" customHeight="false" outlineLevel="0" collapsed="false">
      <c r="A38" s="3"/>
      <c r="B38" s="40" t="s">
        <v>137</v>
      </c>
      <c r="C38" s="39" t="n">
        <f aca="false">C6+C14+C22+C30</f>
        <v>10000000</v>
      </c>
      <c r="D38" s="39" t="n">
        <f aca="false">D6+D14+D22+D30</f>
        <v>10000000</v>
      </c>
      <c r="E38" s="39" t="n">
        <f aca="false">E6+E14+E22+E30</f>
        <v>10000000</v>
      </c>
      <c r="F38" s="39" t="n">
        <f aca="false">F6+F14+F22+F30</f>
        <v>10000000</v>
      </c>
      <c r="G38" s="39" t="n">
        <f aca="false">G6+G14+G22+G30</f>
        <v>10000000</v>
      </c>
    </row>
    <row r="39" customFormat="false" ht="15" hidden="false" customHeight="false" outlineLevel="0" collapsed="false">
      <c r="A39" s="3"/>
      <c r="B39" s="40" t="s">
        <v>138</v>
      </c>
      <c r="C39" s="39" t="n">
        <f aca="false">C7+C15+C23+C31</f>
        <v>19000000</v>
      </c>
      <c r="D39" s="39" t="n">
        <f aca="false">D7+D15+D23+D31</f>
        <v>20830730</v>
      </c>
      <c r="E39" s="39" t="n">
        <f aca="false">E7+E15+E23+E31</f>
        <v>22655446.3596</v>
      </c>
      <c r="F39" s="39" t="n">
        <f aca="false">F7+F15+F23+F31</f>
        <v>24474226.8923094</v>
      </c>
      <c r="G39" s="39" t="n">
        <f aca="false">G7+G15+G23+G31</f>
        <v>26287148.2619322</v>
      </c>
    </row>
    <row r="40" customFormat="false" ht="15" hidden="false" customHeight="false" outlineLevel="0" collapsed="false">
      <c r="A40" s="3"/>
      <c r="B40" s="40" t="s">
        <v>139</v>
      </c>
      <c r="C40" s="39" t="n">
        <f aca="false">C8+C16+C24+C32</f>
        <v>19000000</v>
      </c>
      <c r="D40" s="39" t="n">
        <f aca="false">D8+D16+D24+D32</f>
        <v>20830730</v>
      </c>
      <c r="E40" s="39" t="n">
        <f aca="false">E8+E16+E24+E32</f>
        <v>22655446.3596</v>
      </c>
      <c r="F40" s="39" t="n">
        <f aca="false">F8+F16+F24+F32</f>
        <v>24474226.8923094</v>
      </c>
      <c r="G40" s="39" t="n">
        <f aca="false">G8+G16+G24+G32</f>
        <v>26287148.2619322</v>
      </c>
    </row>
    <row r="41" customFormat="false" ht="15" hidden="false" customHeight="false" outlineLevel="0" collapsed="false">
      <c r="A41" s="3"/>
      <c r="B41" s="40" t="s">
        <v>140</v>
      </c>
      <c r="C41" s="39" t="n">
        <f aca="false">C9+C17+C25+C33</f>
        <v>343800</v>
      </c>
      <c r="D41" s="39" t="n">
        <f aca="false">D9+D17+D25+D33</f>
        <v>373623.336</v>
      </c>
      <c r="E41" s="39" t="n">
        <f aca="false">E9+E17+E25+E33</f>
        <v>403058.59695072</v>
      </c>
      <c r="F41" s="39" t="n">
        <f aca="false">F9+F17+F25+F33</f>
        <v>432111.52932791</v>
      </c>
      <c r="G41" s="39" t="n">
        <f aca="false">G9+G17+G25+G33</f>
        <v>460787.793529172</v>
      </c>
    </row>
    <row r="42" customFormat="false" ht="15" hidden="false" customHeight="false" outlineLevel="0" collapsed="false">
      <c r="A42" s="3"/>
      <c r="B42" s="6" t="s">
        <v>141</v>
      </c>
      <c r="C42" s="42" t="n">
        <f aca="false">C10+C18+C26+C34</f>
        <v>109656200</v>
      </c>
      <c r="D42" s="42" t="n">
        <f aca="false">D10+D18+D26+D34</f>
        <v>119282576.664</v>
      </c>
      <c r="E42" s="42" t="n">
        <f aca="false">E10+E18+E26+E34</f>
        <v>128879518.067049</v>
      </c>
      <c r="F42" s="42" t="n">
        <f aca="false">F10+F18+F26+F34</f>
        <v>138447406.537721</v>
      </c>
      <c r="G42" s="42" t="n">
        <f aca="false">G10+G18+G26+G34</f>
        <v>147986618.744192</v>
      </c>
    </row>
    <row r="43" customFormat="false" ht="15" hidden="false" customHeight="false" outlineLevel="0" collapsed="false">
      <c r="A43" s="3"/>
      <c r="B43" s="3"/>
      <c r="C43" s="3"/>
      <c r="D43" s="3"/>
      <c r="E43" s="3"/>
      <c r="F43" s="3"/>
      <c r="G43" s="3"/>
    </row>
    <row r="44" customFormat="false" ht="15" hidden="false" customHeight="false" outlineLevel="0" collapsed="false">
      <c r="A44" s="3"/>
      <c r="B44" s="38" t="s">
        <v>142</v>
      </c>
      <c r="C44" s="15"/>
      <c r="D44" s="15"/>
      <c r="E44" s="15"/>
      <c r="F44" s="15"/>
      <c r="G44" s="15"/>
    </row>
    <row r="45" customFormat="false" ht="15" hidden="false" customHeight="false" outlineLevel="0" collapsed="false">
      <c r="A45" s="3"/>
      <c r="B45" s="40" t="s">
        <v>143</v>
      </c>
      <c r="C45" s="43" t="n">
        <f aca="false">IF(C42=0,0,C10/C42)</f>
        <v>0.300940576091457</v>
      </c>
      <c r="D45" s="43" t="n">
        <f aca="false">IF(D42=0,0,D10/D42)</f>
        <v>0.301804345670753</v>
      </c>
      <c r="E45" s="43" t="n">
        <f aca="false">IF(E42=0,0,E10/E42)</f>
        <v>0.302608207921063</v>
      </c>
      <c r="F45" s="43" t="n">
        <f aca="false">IF(F42=0,0,F10/F42)</f>
        <v>0.303364295874742</v>
      </c>
      <c r="G45" s="43" t="n">
        <f aca="false">IF(G42=0,0,G10/G42)</f>
        <v>0.304081547249799</v>
      </c>
    </row>
    <row r="46" customFormat="false" ht="15" hidden="false" customHeight="false" outlineLevel="0" collapsed="false">
      <c r="A46" s="3"/>
      <c r="B46" s="40" t="s">
        <v>144</v>
      </c>
      <c r="C46" s="43" t="n">
        <f aca="false">IF(C42=0,0,C18/C42)</f>
        <v>0.350944132661902</v>
      </c>
      <c r="D46" s="43" t="n">
        <f aca="false">IF(D42=0,0,D18/D42)</f>
        <v>0.351809369294628</v>
      </c>
      <c r="E46" s="43" t="n">
        <f aca="false">IF(E42=0,0,E18/E42)</f>
        <v>0.352612933972075</v>
      </c>
      <c r="F46" s="43" t="n">
        <f aca="false">IF(F42=0,0,F18/F42)</f>
        <v>0.353367194208888</v>
      </c>
      <c r="G46" s="43" t="n">
        <f aca="false">IF(G42=0,0,G18/G42)</f>
        <v>0.354081261589899</v>
      </c>
    </row>
    <row r="47" customFormat="false" ht="15" hidden="false" customHeight="false" outlineLevel="0" collapsed="false">
      <c r="A47" s="3"/>
      <c r="B47" s="40" t="s">
        <v>145</v>
      </c>
      <c r="C47" s="43" t="n">
        <f aca="false">IF(C42=0,0,C26/C42)</f>
        <v>0.197891227308625</v>
      </c>
      <c r="D47" s="43" t="n">
        <f aca="false">IF(D42=0,0,D26/D42)</f>
        <v>0.195959046607806</v>
      </c>
      <c r="E47" s="43" t="n">
        <f aca="false">IF(E42=0,0,E26/E42)</f>
        <v>0.194164929193647</v>
      </c>
      <c r="F47" s="43" t="n">
        <f aca="false">IF(F42=0,0,F26/F42)</f>
        <v>0.192481209499864</v>
      </c>
      <c r="G47" s="43" t="n">
        <f aca="false">IF(G42=0,0,G26/G42)</f>
        <v>0.190887504818209</v>
      </c>
    </row>
    <row r="48" customFormat="false" ht="15" hidden="false" customHeight="false" outlineLevel="0" collapsed="false">
      <c r="A48" s="3"/>
      <c r="B48" s="40" t="s">
        <v>146</v>
      </c>
      <c r="C48" s="43" t="n">
        <f aca="false">IF(C42=0,0,C34/C42)</f>
        <v>0.150224063938017</v>
      </c>
      <c r="D48" s="43" t="n">
        <f aca="false">IF(D42=0,0,D34/D42)</f>
        <v>0.150427238426812</v>
      </c>
      <c r="E48" s="43" t="n">
        <f aca="false">IF(E42=0,0,E34/E42)</f>
        <v>0.150613928913215</v>
      </c>
      <c r="F48" s="43" t="n">
        <f aca="false">IF(F42=0,0,F34/F42)</f>
        <v>0.150787300416506</v>
      </c>
      <c r="G48" s="43" t="n">
        <f aca="false">IF(G42=0,0,G34/G42)</f>
        <v>0.150949686342094</v>
      </c>
    </row>
    <row r="49" customFormat="false" ht="15" hidden="false" customHeight="false" outlineLevel="0" collapsed="false">
      <c r="A49" s="3"/>
      <c r="B49" s="6" t="s">
        <v>147</v>
      </c>
      <c r="C49" s="44" t="n">
        <f aca="false">C45+C46+C47+C48</f>
        <v>1</v>
      </c>
      <c r="D49" s="44" t="n">
        <f aca="false">D45+D46+D47+D48</f>
        <v>1</v>
      </c>
      <c r="E49" s="44" t="n">
        <f aca="false">E45+E46+E47+E48</f>
        <v>1</v>
      </c>
      <c r="F49" s="44" t="n">
        <f aca="false">F45+F46+F47+F48</f>
        <v>1</v>
      </c>
      <c r="G49" s="44" t="n">
        <f aca="false">G45+G46+G47+G48</f>
        <v>1</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G2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4"/>
    <col collapsed="false" customWidth="true" hidden="false" outlineLevel="0" max="7" min="3" style="0" width="16"/>
  </cols>
  <sheetData>
    <row r="1" customFormat="false" ht="15" hidden="false" customHeight="false" outlineLevel="0" collapsed="false">
      <c r="A1" s="3"/>
      <c r="B1" s="3"/>
      <c r="C1" s="3"/>
      <c r="D1" s="3"/>
      <c r="E1" s="3"/>
      <c r="F1" s="3"/>
      <c r="G1" s="3"/>
    </row>
    <row r="2" customFormat="false" ht="22.05" hidden="false" customHeight="false" outlineLevel="0" collapsed="false">
      <c r="A2" s="3"/>
      <c r="B2" s="35" t="s">
        <v>148</v>
      </c>
      <c r="C2" s="3"/>
      <c r="D2" s="3"/>
      <c r="E2" s="3"/>
      <c r="F2" s="3"/>
      <c r="G2" s="3"/>
    </row>
    <row r="3" customFormat="false" ht="15" hidden="false" customHeight="false" outlineLevel="0" collapsed="false">
      <c r="A3" s="3"/>
      <c r="B3" s="36"/>
      <c r="C3" s="37" t="s">
        <v>124</v>
      </c>
      <c r="D3" s="37" t="s">
        <v>125</v>
      </c>
      <c r="E3" s="37" t="s">
        <v>126</v>
      </c>
      <c r="F3" s="37" t="s">
        <v>127</v>
      </c>
      <c r="G3" s="37" t="s">
        <v>128</v>
      </c>
    </row>
    <row r="4" customFormat="false" ht="15" hidden="false" customHeight="false" outlineLevel="0" collapsed="false">
      <c r="A4" s="3"/>
      <c r="B4" s="38" t="s">
        <v>149</v>
      </c>
      <c r="C4" s="15"/>
      <c r="D4" s="15"/>
      <c r="E4" s="15"/>
      <c r="F4" s="15"/>
      <c r="G4" s="15"/>
    </row>
    <row r="5" customFormat="false" ht="15" hidden="false" customHeight="false" outlineLevel="0" collapsed="false">
      <c r="A5" s="3"/>
      <c r="B5" s="40" t="s">
        <v>150</v>
      </c>
      <c r="C5" s="39" t="n">
        <f aca="false">PA_Govt_Open*Coupon_Govt</f>
        <v>1200000</v>
      </c>
      <c r="D5" s="39" t="n">
        <f aca="false">PA_Govt_Open*Coupon_Govt</f>
        <v>1320000</v>
      </c>
      <c r="E5" s="39" t="n">
        <f aca="false">PA_Govt_Open*Coupon_Govt</f>
        <v>1440000</v>
      </c>
      <c r="F5" s="39" t="n">
        <f aca="false">PA_Govt_Open*Coupon_Govt</f>
        <v>1560000</v>
      </c>
      <c r="G5" s="39" t="n">
        <f aca="false">PA_Govt_Open*Coupon_Govt</f>
        <v>1680000</v>
      </c>
    </row>
    <row r="6" customFormat="false" ht="15" hidden="false" customHeight="false" outlineLevel="0" collapsed="false">
      <c r="A6" s="3"/>
      <c r="B6" s="40" t="s">
        <v>151</v>
      </c>
      <c r="C6" s="39" t="n">
        <f aca="false">PA_IG_Open*Coupon_IG</f>
        <v>1750000</v>
      </c>
      <c r="D6" s="39" t="n">
        <f aca="false">PA_IG_Open*Coupon_IG</f>
        <v>1924160</v>
      </c>
      <c r="E6" s="39" t="n">
        <f aca="false">PA_IG_Open*Coupon_IG</f>
        <v>2098236.4032</v>
      </c>
      <c r="F6" s="39" t="n">
        <f aca="false">PA_IG_Open*Coupon_IG</f>
        <v>2272229.24972646</v>
      </c>
      <c r="G6" s="39" t="n">
        <f aca="false">PA_IG_Open*Coupon_IG</f>
        <v>2446138.5796866</v>
      </c>
    </row>
    <row r="7" customFormat="false" ht="15" hidden="false" customHeight="false" outlineLevel="0" collapsed="false">
      <c r="A7" s="3"/>
      <c r="B7" s="40" t="s">
        <v>152</v>
      </c>
      <c r="C7" s="39" t="n">
        <f aca="false">PA_HY_Open*Coupon_HY</f>
        <v>1500000</v>
      </c>
      <c r="D7" s="39" t="n">
        <f aca="false">PA_HY_Open*Coupon_HY</f>
        <v>1627500</v>
      </c>
      <c r="E7" s="39" t="n">
        <f aca="false">PA_HY_Open*Coupon_HY</f>
        <v>1753087.5</v>
      </c>
      <c r="F7" s="39" t="n">
        <f aca="false">PA_HY_Open*Coupon_HY</f>
        <v>1876791.1875</v>
      </c>
      <c r="G7" s="39" t="n">
        <f aca="false">PA_HY_Open*Coupon_HY</f>
        <v>1998639.3196875</v>
      </c>
    </row>
    <row r="8" customFormat="false" ht="15" hidden="false" customHeight="false" outlineLevel="0" collapsed="false">
      <c r="A8" s="3"/>
      <c r="B8" s="40" t="s">
        <v>153</v>
      </c>
      <c r="C8" s="39" t="n">
        <f aca="false">PA_MBS_Open*Coupon_MBS</f>
        <v>675000</v>
      </c>
      <c r="D8" s="39" t="n">
        <f aca="false">PA_MBS_Open*Coupon_MBS</f>
        <v>741285</v>
      </c>
      <c r="E8" s="39" t="n">
        <f aca="false">PA_MBS_Open*Coupon_MBS</f>
        <v>807450.687</v>
      </c>
      <c r="F8" s="39" t="n">
        <f aca="false">PA_MBS_Open*Coupon_MBS</f>
        <v>873497.2757634</v>
      </c>
      <c r="G8" s="39" t="n">
        <f aca="false">PA_MBS_Open*Coupon_MBS</f>
        <v>939424.980667026</v>
      </c>
    </row>
    <row r="9" customFormat="false" ht="15" hidden="false" customHeight="false" outlineLevel="0" collapsed="false">
      <c r="A9" s="3"/>
      <c r="B9" s="6" t="s">
        <v>154</v>
      </c>
      <c r="C9" s="41" t="n">
        <f aca="false">C5+C6+C7+C8</f>
        <v>5125000</v>
      </c>
      <c r="D9" s="41" t="n">
        <f aca="false">D5+D6+D7+D8</f>
        <v>5612945</v>
      </c>
      <c r="E9" s="41" t="n">
        <f aca="false">E5+E6+E7+E8</f>
        <v>6098774.5902</v>
      </c>
      <c r="F9" s="41" t="n">
        <f aca="false">F5+F6+F7+F8</f>
        <v>6582517.71298987</v>
      </c>
      <c r="G9" s="41" t="n">
        <f aca="false">G5+G6+G7+G8</f>
        <v>7064202.88004112</v>
      </c>
    </row>
    <row r="10" customFormat="false" ht="15" hidden="false" customHeight="false" outlineLevel="0" collapsed="false">
      <c r="A10" s="3"/>
      <c r="B10" s="3"/>
      <c r="C10" s="3"/>
      <c r="D10" s="3"/>
      <c r="E10" s="3"/>
      <c r="F10" s="3"/>
      <c r="G10" s="3"/>
    </row>
    <row r="11" customFormat="false" ht="15" hidden="false" customHeight="false" outlineLevel="0" collapsed="false">
      <c r="A11" s="3"/>
      <c r="B11" s="38" t="s">
        <v>93</v>
      </c>
      <c r="C11" s="15"/>
      <c r="D11" s="15"/>
      <c r="E11" s="15"/>
      <c r="F11" s="15"/>
      <c r="G11" s="15"/>
    </row>
    <row r="12" customFormat="false" ht="15" hidden="false" customHeight="false" outlineLevel="0" collapsed="false">
      <c r="A12" s="3"/>
      <c r="B12" s="40" t="s">
        <v>94</v>
      </c>
      <c r="C12" s="39" t="n">
        <f aca="false">PA_Govt_Open*Amort_Govt</f>
        <v>60000</v>
      </c>
      <c r="D12" s="39" t="n">
        <f aca="false">PA_Govt_Open*Amort_Govt</f>
        <v>66000</v>
      </c>
      <c r="E12" s="39" t="n">
        <f aca="false">PA_Govt_Open*Amort_Govt</f>
        <v>72000</v>
      </c>
      <c r="F12" s="39" t="n">
        <f aca="false">PA_Govt_Open*Amort_Govt</f>
        <v>78000</v>
      </c>
      <c r="G12" s="39" t="n">
        <f aca="false">PA_Govt_Open*Amort_Govt</f>
        <v>84000</v>
      </c>
    </row>
    <row r="13" customFormat="false" ht="15" hidden="false" customHeight="false" outlineLevel="0" collapsed="false">
      <c r="A13" s="3"/>
      <c r="B13" s="40" t="s">
        <v>96</v>
      </c>
      <c r="C13" s="39" t="n">
        <f aca="false">PA_IG_Open*Amort_IG</f>
        <v>-105000</v>
      </c>
      <c r="D13" s="39" t="n">
        <f aca="false">PA_IG_Open*Amort_IG</f>
        <v>-115449.6</v>
      </c>
      <c r="E13" s="39" t="n">
        <f aca="false">PA_IG_Open*Amort_IG</f>
        <v>-125894.184192</v>
      </c>
      <c r="F13" s="39" t="n">
        <f aca="false">PA_IG_Open*Amort_IG</f>
        <v>-136333.754983588</v>
      </c>
      <c r="G13" s="39" t="n">
        <f aca="false">PA_IG_Open*Amort_IG</f>
        <v>-146768.314781196</v>
      </c>
    </row>
    <row r="14" customFormat="false" ht="15" hidden="false" customHeight="false" outlineLevel="0" collapsed="false">
      <c r="A14" s="3"/>
      <c r="B14" s="40" t="s">
        <v>98</v>
      </c>
      <c r="C14" s="39" t="n">
        <f aca="false">PA_HY_Open*Amort_HY</f>
        <v>-100000</v>
      </c>
      <c r="D14" s="39" t="n">
        <f aca="false">PA_HY_Open*Amort_HY</f>
        <v>-108500</v>
      </c>
      <c r="E14" s="39" t="n">
        <f aca="false">PA_HY_Open*Amort_HY</f>
        <v>-116872.5</v>
      </c>
      <c r="F14" s="39" t="n">
        <f aca="false">PA_HY_Open*Amort_HY</f>
        <v>-125119.4125</v>
      </c>
      <c r="G14" s="39" t="n">
        <f aca="false">PA_HY_Open*Amort_HY</f>
        <v>-133242.6213125</v>
      </c>
    </row>
    <row r="15" customFormat="false" ht="15" hidden="false" customHeight="false" outlineLevel="0" collapsed="false">
      <c r="A15" s="3"/>
      <c r="B15" s="40" t="s">
        <v>99</v>
      </c>
      <c r="C15" s="39" t="n">
        <f aca="false">PA_MBS_Open*Amort_MBS</f>
        <v>15000</v>
      </c>
      <c r="D15" s="39" t="n">
        <f aca="false">PA_MBS_Open*Amort_MBS</f>
        <v>16473</v>
      </c>
      <c r="E15" s="39" t="n">
        <f aca="false">PA_MBS_Open*Amort_MBS</f>
        <v>17943.3486</v>
      </c>
      <c r="F15" s="39" t="n">
        <f aca="false">PA_MBS_Open*Amort_MBS</f>
        <v>19411.05057252</v>
      </c>
      <c r="G15" s="39" t="n">
        <f aca="false">PA_MBS_Open*Amort_MBS</f>
        <v>20876.1106814895</v>
      </c>
    </row>
    <row r="16" customFormat="false" ht="15" hidden="false" customHeight="false" outlineLevel="0" collapsed="false">
      <c r="A16" s="3"/>
      <c r="B16" s="6" t="s">
        <v>155</v>
      </c>
      <c r="C16" s="41" t="n">
        <f aca="false">C12+C13+C14+C15</f>
        <v>-130000</v>
      </c>
      <c r="D16" s="41" t="n">
        <f aca="false">D12+D13+D14+D15</f>
        <v>-141476.6</v>
      </c>
      <c r="E16" s="41" t="n">
        <f aca="false">E12+E13+E14+E15</f>
        <v>-152823.335592</v>
      </c>
      <c r="F16" s="41" t="n">
        <f aca="false">F12+F13+F14+F15</f>
        <v>-164042.116911068</v>
      </c>
      <c r="G16" s="41" t="n">
        <f aca="false">G12+G13+G14+G15</f>
        <v>-175134.825412206</v>
      </c>
    </row>
    <row r="17" customFormat="false" ht="15" hidden="false" customHeight="false" outlineLevel="0" collapsed="false">
      <c r="A17" s="3"/>
      <c r="B17" s="3"/>
      <c r="C17" s="3"/>
      <c r="D17" s="3"/>
      <c r="E17" s="3"/>
      <c r="F17" s="3"/>
      <c r="G17" s="3"/>
    </row>
    <row r="18" customFormat="false" ht="15" hidden="false" customHeight="false" outlineLevel="0" collapsed="false">
      <c r="A18" s="3"/>
      <c r="B18" s="38" t="s">
        <v>156</v>
      </c>
      <c r="C18" s="15"/>
      <c r="D18" s="15"/>
      <c r="E18" s="15"/>
      <c r="F18" s="15"/>
      <c r="G18" s="15"/>
    </row>
    <row r="19" customFormat="false" ht="15" hidden="false" customHeight="false" outlineLevel="0" collapsed="false">
      <c r="A19" s="3"/>
      <c r="B19" s="40" t="s">
        <v>157</v>
      </c>
      <c r="C19" s="39" t="n">
        <f aca="false">PA_Govt_Mature*(Reinv_Govt-Coupon_Govt)</f>
        <v>12000</v>
      </c>
      <c r="D19" s="39" t="n">
        <f aca="false">PA_Govt_Mature*(Reinv_Govt-Coupon_Govt)</f>
        <v>13200</v>
      </c>
      <c r="E19" s="39" t="n">
        <f aca="false">PA_Govt_Mature*(Reinv_Govt-Coupon_Govt)</f>
        <v>14400</v>
      </c>
      <c r="F19" s="39" t="n">
        <f aca="false">PA_Govt_Mature*(Reinv_Govt-Coupon_Govt)</f>
        <v>15600</v>
      </c>
      <c r="G19" s="39" t="n">
        <f aca="false">PA_Govt_Mature*(Reinv_Govt-Coupon_Govt)</f>
        <v>16800</v>
      </c>
    </row>
    <row r="20" customFormat="false" ht="15" hidden="false" customHeight="false" outlineLevel="0" collapsed="false">
      <c r="A20" s="3"/>
      <c r="B20" s="40" t="s">
        <v>158</v>
      </c>
      <c r="C20" s="39" t="n">
        <f aca="false">PA_IG_Mature*(Reinv_IG-Coupon_IG)</f>
        <v>26250</v>
      </c>
      <c r="D20" s="39" t="n">
        <f aca="false">PA_IG_Mature*(Reinv_IG-Coupon_IG)</f>
        <v>28862.4</v>
      </c>
      <c r="E20" s="39" t="n">
        <f aca="false">PA_IG_Mature*(Reinv_IG-Coupon_IG)</f>
        <v>31473.546048</v>
      </c>
      <c r="F20" s="39" t="n">
        <f aca="false">PA_IG_Mature*(Reinv_IG-Coupon_IG)</f>
        <v>34083.4387458969</v>
      </c>
      <c r="G20" s="39" t="n">
        <f aca="false">PA_IG_Mature*(Reinv_IG-Coupon_IG)</f>
        <v>36692.0786952989</v>
      </c>
    </row>
    <row r="21" customFormat="false" ht="15" hidden="false" customHeight="false" outlineLevel="0" collapsed="false">
      <c r="A21" s="3"/>
      <c r="B21" s="40" t="s">
        <v>159</v>
      </c>
      <c r="C21" s="39" t="n">
        <f aca="false">PA_HY_Mature*(Reinv_HY-Coupon_HY)</f>
        <v>20000</v>
      </c>
      <c r="D21" s="39" t="n">
        <f aca="false">PA_HY_Mature*(Reinv_HY-Coupon_HY)</f>
        <v>21700</v>
      </c>
      <c r="E21" s="39" t="n">
        <f aca="false">PA_HY_Mature*(Reinv_HY-Coupon_HY)</f>
        <v>23374.5</v>
      </c>
      <c r="F21" s="39" t="n">
        <f aca="false">PA_HY_Mature*(Reinv_HY-Coupon_HY)</f>
        <v>25023.8825</v>
      </c>
      <c r="G21" s="39" t="n">
        <f aca="false">PA_HY_Mature*(Reinv_HY-Coupon_HY)</f>
        <v>26648.5242625</v>
      </c>
    </row>
    <row r="22" customFormat="false" ht="15" hidden="false" customHeight="false" outlineLevel="0" collapsed="false">
      <c r="A22" s="3"/>
      <c r="B22" s="40" t="s">
        <v>160</v>
      </c>
      <c r="C22" s="39" t="n">
        <f aca="false">PA_MBS_Mature*(Reinv_MBS-Coupon_MBS)</f>
        <v>18750</v>
      </c>
      <c r="D22" s="39" t="n">
        <f aca="false">PA_MBS_Mature*(Reinv_MBS-Coupon_MBS)</f>
        <v>20591.25</v>
      </c>
      <c r="E22" s="39" t="n">
        <f aca="false">PA_MBS_Mature*(Reinv_MBS-Coupon_MBS)</f>
        <v>22429.18575</v>
      </c>
      <c r="F22" s="39" t="n">
        <f aca="false">PA_MBS_Mature*(Reinv_MBS-Coupon_MBS)</f>
        <v>24263.81321565</v>
      </c>
      <c r="G22" s="39" t="n">
        <f aca="false">PA_MBS_Mature*(Reinv_MBS-Coupon_MBS)</f>
        <v>26095.1383518619</v>
      </c>
    </row>
    <row r="23" customFormat="false" ht="15" hidden="false" customHeight="false" outlineLevel="0" collapsed="false">
      <c r="A23" s="3"/>
      <c r="B23" s="6" t="s">
        <v>161</v>
      </c>
      <c r="C23" s="41" t="n">
        <f aca="false">C19+C20+C21+C22</f>
        <v>77000</v>
      </c>
      <c r="D23" s="41" t="n">
        <f aca="false">D19+D20+D21+D22</f>
        <v>84353.65</v>
      </c>
      <c r="E23" s="41" t="n">
        <f aca="false">E19+E20+E21+E22</f>
        <v>91677.231798</v>
      </c>
      <c r="F23" s="41" t="n">
        <f aca="false">F19+F20+F21+F22</f>
        <v>98971.134461547</v>
      </c>
      <c r="G23" s="41" t="n">
        <f aca="false">G19+G20+G21+G22</f>
        <v>106235.741309661</v>
      </c>
    </row>
    <row r="24" customFormat="false" ht="15" hidden="false" customHeight="false" outlineLevel="0" collapsed="false">
      <c r="A24" s="3"/>
      <c r="B24" s="3"/>
      <c r="C24" s="3"/>
      <c r="D24" s="3"/>
      <c r="E24" s="3"/>
      <c r="F24" s="3"/>
      <c r="G24" s="3"/>
    </row>
    <row r="25" customFormat="false" ht="15" hidden="false" customHeight="false" outlineLevel="0" collapsed="false">
      <c r="A25" s="3"/>
      <c r="B25" s="6" t="s">
        <v>162</v>
      </c>
      <c r="C25" s="42" t="n">
        <f aca="false">C9+C16+C23</f>
        <v>5072000</v>
      </c>
      <c r="D25" s="42" t="n">
        <f aca="false">D9+D16+D23</f>
        <v>5555822.05</v>
      </c>
      <c r="E25" s="42" t="n">
        <f aca="false">E9+E16+E23</f>
        <v>6037628.486406</v>
      </c>
      <c r="F25" s="42" t="n">
        <f aca="false">F9+F16+F23</f>
        <v>6517446.73054034</v>
      </c>
      <c r="G25" s="42" t="n">
        <f aca="false">G9+G16+G23</f>
        <v>6995303.79593858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ED7D31"/>
    <pageSetUpPr fitToPage="false"/>
  </sheetPr>
  <dimension ref="A1:G2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4"/>
    <col collapsed="false" customWidth="true" hidden="false" outlineLevel="0" max="7" min="3" style="0" width="16"/>
  </cols>
  <sheetData>
    <row r="1" customFormat="false" ht="15" hidden="false" customHeight="false" outlineLevel="0" collapsed="false">
      <c r="A1" s="3"/>
      <c r="B1" s="3"/>
      <c r="C1" s="3"/>
      <c r="D1" s="3"/>
      <c r="E1" s="3"/>
      <c r="F1" s="3"/>
      <c r="G1" s="3"/>
    </row>
    <row r="2" customFormat="false" ht="22.05" hidden="false" customHeight="false" outlineLevel="0" collapsed="false">
      <c r="A2" s="3"/>
      <c r="B2" s="35" t="s">
        <v>133</v>
      </c>
      <c r="C2" s="3"/>
      <c r="D2" s="3"/>
      <c r="E2" s="3"/>
      <c r="F2" s="3"/>
      <c r="G2" s="3"/>
    </row>
    <row r="3" customFormat="false" ht="15" hidden="false" customHeight="false" outlineLevel="0" collapsed="false">
      <c r="A3" s="3"/>
      <c r="B3" s="36"/>
      <c r="C3" s="37" t="s">
        <v>124</v>
      </c>
      <c r="D3" s="37" t="s">
        <v>125</v>
      </c>
      <c r="E3" s="37" t="s">
        <v>126</v>
      </c>
      <c r="F3" s="37" t="s">
        <v>127</v>
      </c>
      <c r="G3" s="37" t="s">
        <v>128</v>
      </c>
    </row>
    <row r="4" customFormat="false" ht="15" hidden="false" customHeight="false" outlineLevel="0" collapsed="false">
      <c r="A4" s="3"/>
      <c r="B4" s="38" t="s">
        <v>163</v>
      </c>
      <c r="C4" s="15"/>
      <c r="D4" s="15"/>
      <c r="E4" s="15"/>
      <c r="F4" s="15"/>
      <c r="G4" s="15"/>
    </row>
    <row r="5" customFormat="false" ht="15" hidden="false" customHeight="false" outlineLevel="0" collapsed="false">
      <c r="A5" s="3"/>
      <c r="B5" s="40" t="s">
        <v>164</v>
      </c>
      <c r="C5" s="39" t="n">
        <f aca="false">PA_Govt_Open*Default_Govt</f>
        <v>0</v>
      </c>
      <c r="D5" s="39" t="n">
        <f aca="false">PA_Govt_Open*Default_Govt</f>
        <v>0</v>
      </c>
      <c r="E5" s="39" t="n">
        <f aca="false">PA_Govt_Open*Default_Govt</f>
        <v>0</v>
      </c>
      <c r="F5" s="39" t="n">
        <f aca="false">PA_Govt_Open*Default_Govt</f>
        <v>0</v>
      </c>
      <c r="G5" s="39" t="n">
        <f aca="false">PA_Govt_Open*Default_Govt</f>
        <v>0</v>
      </c>
    </row>
    <row r="6" customFormat="false" ht="15" hidden="false" customHeight="false" outlineLevel="0" collapsed="false">
      <c r="A6" s="3"/>
      <c r="B6" s="40" t="s">
        <v>165</v>
      </c>
      <c r="C6" s="39" t="n">
        <f aca="false">PA_IG_Open*Default_IG</f>
        <v>28000</v>
      </c>
      <c r="D6" s="39" t="n">
        <f aca="false">PA_IG_Open*Default_IG</f>
        <v>30786.56</v>
      </c>
      <c r="E6" s="39" t="n">
        <f aca="false">PA_IG_Open*Default_IG</f>
        <v>33571.7824512</v>
      </c>
      <c r="F6" s="39" t="n">
        <f aca="false">PA_IG_Open*Default_IG</f>
        <v>36355.6679956234</v>
      </c>
      <c r="G6" s="39" t="n">
        <f aca="false">PA_IG_Open*Default_IG</f>
        <v>39138.2172749855</v>
      </c>
    </row>
    <row r="7" customFormat="false" ht="15" hidden="false" customHeight="false" outlineLevel="0" collapsed="false">
      <c r="A7" s="3"/>
      <c r="B7" s="40" t="s">
        <v>166</v>
      </c>
      <c r="C7" s="39" t="n">
        <f aca="false">PA_HY_Open*Default_HY</f>
        <v>500000</v>
      </c>
      <c r="D7" s="39" t="n">
        <f aca="false">PA_HY_Open*Default_HY</f>
        <v>542500</v>
      </c>
      <c r="E7" s="39" t="n">
        <f aca="false">PA_HY_Open*Default_HY</f>
        <v>584362.5</v>
      </c>
      <c r="F7" s="39" t="n">
        <f aca="false">PA_HY_Open*Default_HY</f>
        <v>625597.0625</v>
      </c>
      <c r="G7" s="39" t="n">
        <f aca="false">PA_HY_Open*Default_HY</f>
        <v>666213.1065625</v>
      </c>
    </row>
    <row r="8" customFormat="false" ht="15" hidden="false" customHeight="false" outlineLevel="0" collapsed="false">
      <c r="A8" s="3"/>
      <c r="B8" s="40" t="s">
        <v>167</v>
      </c>
      <c r="C8" s="39" t="n">
        <f aca="false">PA_MBS_Open*Default_MBS</f>
        <v>45000</v>
      </c>
      <c r="D8" s="39" t="n">
        <f aca="false">PA_MBS_Open*Default_MBS</f>
        <v>49419</v>
      </c>
      <c r="E8" s="39" t="n">
        <f aca="false">PA_MBS_Open*Default_MBS</f>
        <v>53830.0458</v>
      </c>
      <c r="F8" s="39" t="n">
        <f aca="false">PA_MBS_Open*Default_MBS</f>
        <v>58233.15171756</v>
      </c>
      <c r="G8" s="39" t="n">
        <f aca="false">PA_MBS_Open*Default_MBS</f>
        <v>62628.3320444684</v>
      </c>
    </row>
    <row r="9" customFormat="false" ht="15" hidden="false" customHeight="false" outlineLevel="0" collapsed="false">
      <c r="A9" s="3"/>
      <c r="B9" s="6" t="s">
        <v>168</v>
      </c>
      <c r="C9" s="41" t="n">
        <f aca="false">C5+C6+C7+C8</f>
        <v>573000</v>
      </c>
      <c r="D9" s="41" t="n">
        <f aca="false">D5+D6+D7+D8</f>
        <v>622705.56</v>
      </c>
      <c r="E9" s="41" t="n">
        <f aca="false">E5+E6+E7+E8</f>
        <v>671764.3282512</v>
      </c>
      <c r="F9" s="41" t="n">
        <f aca="false">F5+F6+F7+F8</f>
        <v>720185.882213183</v>
      </c>
      <c r="G9" s="41" t="n">
        <f aca="false">G5+G6+G7+G8</f>
        <v>767979.655881954</v>
      </c>
    </row>
    <row r="10" customFormat="false" ht="15" hidden="false" customHeight="false" outlineLevel="0" collapsed="false">
      <c r="A10" s="3"/>
      <c r="B10" s="3"/>
      <c r="C10" s="3"/>
      <c r="D10" s="3"/>
      <c r="E10" s="3"/>
      <c r="F10" s="3"/>
      <c r="G10" s="3"/>
    </row>
    <row r="11" customFormat="false" ht="15" hidden="false" customHeight="false" outlineLevel="0" collapsed="false">
      <c r="A11" s="3"/>
      <c r="B11" s="38" t="s">
        <v>169</v>
      </c>
      <c r="C11" s="15"/>
      <c r="D11" s="15"/>
      <c r="E11" s="15"/>
      <c r="F11" s="15"/>
      <c r="G11" s="15"/>
    </row>
    <row r="12" customFormat="false" ht="15" hidden="false" customHeight="false" outlineLevel="0" collapsed="false">
      <c r="A12" s="3"/>
      <c r="B12" s="40" t="s">
        <v>170</v>
      </c>
      <c r="C12" s="39" t="n">
        <f aca="false">C5*Recovery_Rate</f>
        <v>0</v>
      </c>
      <c r="D12" s="39" t="n">
        <f aca="false">D5*Recovery_Rate</f>
        <v>0</v>
      </c>
      <c r="E12" s="39" t="n">
        <f aca="false">E5*Recovery_Rate</f>
        <v>0</v>
      </c>
      <c r="F12" s="39" t="n">
        <f aca="false">F5*Recovery_Rate</f>
        <v>0</v>
      </c>
      <c r="G12" s="39" t="n">
        <f aca="false">G5*Recovery_Rate</f>
        <v>0</v>
      </c>
    </row>
    <row r="13" customFormat="false" ht="15" hidden="false" customHeight="false" outlineLevel="0" collapsed="false">
      <c r="A13" s="3"/>
      <c r="B13" s="40" t="s">
        <v>171</v>
      </c>
      <c r="C13" s="39" t="n">
        <f aca="false">C6*Recovery_Rate</f>
        <v>11200</v>
      </c>
      <c r="D13" s="39" t="n">
        <f aca="false">D6*Recovery_Rate</f>
        <v>12314.624</v>
      </c>
      <c r="E13" s="39" t="n">
        <f aca="false">E6*Recovery_Rate</f>
        <v>13428.71298048</v>
      </c>
      <c r="F13" s="39" t="n">
        <f aca="false">F6*Recovery_Rate</f>
        <v>14542.2671982494</v>
      </c>
      <c r="G13" s="39" t="n">
        <f aca="false">G6*Recovery_Rate</f>
        <v>15655.2869099942</v>
      </c>
    </row>
    <row r="14" customFormat="false" ht="15" hidden="false" customHeight="false" outlineLevel="0" collapsed="false">
      <c r="A14" s="3"/>
      <c r="B14" s="40" t="s">
        <v>172</v>
      </c>
      <c r="C14" s="39" t="n">
        <f aca="false">C7*Recovery_Rate</f>
        <v>200000</v>
      </c>
      <c r="D14" s="39" t="n">
        <f aca="false">D7*Recovery_Rate</f>
        <v>217000</v>
      </c>
      <c r="E14" s="39" t="n">
        <f aca="false">E7*Recovery_Rate</f>
        <v>233745</v>
      </c>
      <c r="F14" s="39" t="n">
        <f aca="false">F7*Recovery_Rate</f>
        <v>250238.825</v>
      </c>
      <c r="G14" s="39" t="n">
        <f aca="false">G7*Recovery_Rate</f>
        <v>266485.242625</v>
      </c>
    </row>
    <row r="15" customFormat="false" ht="15" hidden="false" customHeight="false" outlineLevel="0" collapsed="false">
      <c r="A15" s="3"/>
      <c r="B15" s="40" t="s">
        <v>173</v>
      </c>
      <c r="C15" s="39" t="n">
        <f aca="false">C8*Recovery_Rate</f>
        <v>18000</v>
      </c>
      <c r="D15" s="39" t="n">
        <f aca="false">D8*Recovery_Rate</f>
        <v>19767.6</v>
      </c>
      <c r="E15" s="39" t="n">
        <f aca="false">E8*Recovery_Rate</f>
        <v>21532.01832</v>
      </c>
      <c r="F15" s="39" t="n">
        <f aca="false">F8*Recovery_Rate</f>
        <v>23293.260687024</v>
      </c>
      <c r="G15" s="39" t="n">
        <f aca="false">G8*Recovery_Rate</f>
        <v>25051.3328177874</v>
      </c>
    </row>
    <row r="16" customFormat="false" ht="15" hidden="false" customHeight="false" outlineLevel="0" collapsed="false">
      <c r="A16" s="3"/>
      <c r="B16" s="6" t="s">
        <v>174</v>
      </c>
      <c r="C16" s="41" t="n">
        <f aca="false">C12+C13+C14+C15</f>
        <v>229200</v>
      </c>
      <c r="D16" s="41" t="n">
        <f aca="false">D12+D13+D14+D15</f>
        <v>249082.224</v>
      </c>
      <c r="E16" s="41" t="n">
        <f aca="false">E12+E13+E14+E15</f>
        <v>268705.73130048</v>
      </c>
      <c r="F16" s="41" t="n">
        <f aca="false">F12+F13+F14+F15</f>
        <v>288074.352885273</v>
      </c>
      <c r="G16" s="41" t="n">
        <f aca="false">G12+G13+G14+G15</f>
        <v>307191.862352782</v>
      </c>
    </row>
    <row r="17" customFormat="false" ht="15" hidden="false" customHeight="false" outlineLevel="0" collapsed="false">
      <c r="A17" s="3"/>
      <c r="B17" s="3"/>
      <c r="C17" s="3"/>
      <c r="D17" s="3"/>
      <c r="E17" s="3"/>
      <c r="F17" s="3"/>
      <c r="G17" s="3"/>
    </row>
    <row r="18" customFormat="false" ht="15" hidden="false" customHeight="false" outlineLevel="0" collapsed="false">
      <c r="A18" s="3"/>
      <c r="B18" s="38" t="s">
        <v>175</v>
      </c>
      <c r="C18" s="15"/>
      <c r="D18" s="15"/>
      <c r="E18" s="15"/>
      <c r="F18" s="15"/>
      <c r="G18" s="15"/>
    </row>
    <row r="19" customFormat="false" ht="15" hidden="false" customHeight="false" outlineLevel="0" collapsed="false">
      <c r="A19" s="3"/>
      <c r="B19" s="40" t="s">
        <v>176</v>
      </c>
      <c r="C19" s="39" t="n">
        <f aca="false">C5-C12</f>
        <v>0</v>
      </c>
      <c r="D19" s="39" t="n">
        <f aca="false">D5-D12</f>
        <v>0</v>
      </c>
      <c r="E19" s="39" t="n">
        <f aca="false">E5-E12</f>
        <v>0</v>
      </c>
      <c r="F19" s="39" t="n">
        <f aca="false">F5-F12</f>
        <v>0</v>
      </c>
      <c r="G19" s="39" t="n">
        <f aca="false">G5-G12</f>
        <v>0</v>
      </c>
    </row>
    <row r="20" customFormat="false" ht="15" hidden="false" customHeight="false" outlineLevel="0" collapsed="false">
      <c r="A20" s="3"/>
      <c r="B20" s="40" t="s">
        <v>177</v>
      </c>
      <c r="C20" s="39" t="n">
        <f aca="false">C6-C13</f>
        <v>16800</v>
      </c>
      <c r="D20" s="39" t="n">
        <f aca="false">D6-D13</f>
        <v>18471.936</v>
      </c>
      <c r="E20" s="39" t="n">
        <f aca="false">E6-E13</f>
        <v>20143.06947072</v>
      </c>
      <c r="F20" s="39" t="n">
        <f aca="false">F6-F13</f>
        <v>21813.4007973741</v>
      </c>
      <c r="G20" s="39" t="n">
        <f aca="false">G6-G13</f>
        <v>23482.9303649913</v>
      </c>
    </row>
    <row r="21" customFormat="false" ht="15" hidden="false" customHeight="false" outlineLevel="0" collapsed="false">
      <c r="A21" s="3"/>
      <c r="B21" s="40" t="s">
        <v>178</v>
      </c>
      <c r="C21" s="39" t="n">
        <f aca="false">C7-C14</f>
        <v>300000</v>
      </c>
      <c r="D21" s="39" t="n">
        <f aca="false">D7-D14</f>
        <v>325500</v>
      </c>
      <c r="E21" s="39" t="n">
        <f aca="false">E7-E14</f>
        <v>350617.5</v>
      </c>
      <c r="F21" s="39" t="n">
        <f aca="false">F7-F14</f>
        <v>375358.2375</v>
      </c>
      <c r="G21" s="39" t="n">
        <f aca="false">G7-G14</f>
        <v>399727.8639375</v>
      </c>
    </row>
    <row r="22" customFormat="false" ht="15" hidden="false" customHeight="false" outlineLevel="0" collapsed="false">
      <c r="A22" s="3"/>
      <c r="B22" s="40" t="s">
        <v>179</v>
      </c>
      <c r="C22" s="39" t="n">
        <f aca="false">C8-C15</f>
        <v>27000</v>
      </c>
      <c r="D22" s="39" t="n">
        <f aca="false">D8-D15</f>
        <v>29651.4</v>
      </c>
      <c r="E22" s="39" t="n">
        <f aca="false">E8-E15</f>
        <v>32298.02748</v>
      </c>
      <c r="F22" s="39" t="n">
        <f aca="false">F8-F15</f>
        <v>34939.891030536</v>
      </c>
      <c r="G22" s="39" t="n">
        <f aca="false">G8-G15</f>
        <v>37576.999226681</v>
      </c>
    </row>
    <row r="23" customFormat="false" ht="15" hidden="false" customHeight="false" outlineLevel="0" collapsed="false">
      <c r="A23" s="3"/>
      <c r="B23" s="6" t="s">
        <v>180</v>
      </c>
      <c r="C23" s="42" t="n">
        <f aca="false">C19+C20+C21+C22</f>
        <v>343800</v>
      </c>
      <c r="D23" s="42" t="n">
        <f aca="false">D19+D20+D21+D22</f>
        <v>373623.336</v>
      </c>
      <c r="E23" s="42" t="n">
        <f aca="false">E19+E20+E21+E22</f>
        <v>403058.59695072</v>
      </c>
      <c r="F23" s="42" t="n">
        <f aca="false">F19+F20+F21+F22</f>
        <v>432111.52932791</v>
      </c>
      <c r="G23" s="42" t="n">
        <f aca="false">G19+G20+G21+G22</f>
        <v>460787.793529172</v>
      </c>
    </row>
    <row r="24" customFormat="false" ht="15" hidden="false" customHeight="false" outlineLevel="0" collapsed="false">
      <c r="A24" s="3"/>
      <c r="B24" s="3"/>
      <c r="C24" s="3"/>
      <c r="D24" s="3"/>
      <c r="E24" s="3"/>
      <c r="F24" s="3"/>
      <c r="G24" s="3"/>
    </row>
    <row r="25" customFormat="false" ht="15" hidden="false" customHeight="false" outlineLevel="0" collapsed="false">
      <c r="A25" s="3"/>
      <c r="B25" s="7" t="s">
        <v>181</v>
      </c>
      <c r="C25" s="39" t="n">
        <f aca="false">C23</f>
        <v>343800</v>
      </c>
      <c r="D25" s="39" t="n">
        <f aca="false">C25+D23</f>
        <v>717423.336</v>
      </c>
      <c r="E25" s="39" t="n">
        <f aca="false">D25+E23</f>
        <v>1120481.93295072</v>
      </c>
      <c r="F25" s="39" t="n">
        <f aca="false">E25+F23</f>
        <v>1552593.46227863</v>
      </c>
      <c r="G25" s="39" t="n">
        <f aca="false">F25+G23</f>
        <v>2013381.2558078</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0000"/>
    <pageSetUpPr fitToPage="false"/>
  </sheetPr>
  <dimension ref="A1:G1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4"/>
    <col collapsed="false" customWidth="true" hidden="false" outlineLevel="0" max="7" min="3" style="0" width="16"/>
  </cols>
  <sheetData>
    <row r="1" customFormat="false" ht="15" hidden="false" customHeight="false" outlineLevel="0" collapsed="false">
      <c r="A1" s="3"/>
      <c r="B1" s="3"/>
      <c r="C1" s="3"/>
      <c r="D1" s="3"/>
      <c r="E1" s="3"/>
      <c r="F1" s="3"/>
      <c r="G1" s="3"/>
    </row>
    <row r="2" customFormat="false" ht="22.05" hidden="false" customHeight="false" outlineLevel="0" collapsed="false">
      <c r="A2" s="3"/>
      <c r="B2" s="35" t="s">
        <v>182</v>
      </c>
      <c r="C2" s="3"/>
      <c r="D2" s="3"/>
      <c r="E2" s="3"/>
      <c r="F2" s="3"/>
      <c r="G2" s="3"/>
    </row>
    <row r="3" customFormat="false" ht="15" hidden="false" customHeight="false" outlineLevel="0" collapsed="false">
      <c r="A3" s="3"/>
      <c r="B3" s="36"/>
      <c r="C3" s="37" t="s">
        <v>124</v>
      </c>
      <c r="D3" s="37" t="s">
        <v>125</v>
      </c>
      <c r="E3" s="37" t="s">
        <v>126</v>
      </c>
      <c r="F3" s="37" t="s">
        <v>127</v>
      </c>
      <c r="G3" s="37" t="s">
        <v>128</v>
      </c>
    </row>
    <row r="4" customFormat="false" ht="15" hidden="false" customHeight="false" outlineLevel="0" collapsed="false">
      <c r="A4" s="3"/>
      <c r="B4" s="38" t="s">
        <v>183</v>
      </c>
      <c r="C4" s="15"/>
      <c r="D4" s="15"/>
      <c r="E4" s="15"/>
      <c r="F4" s="15"/>
      <c r="G4" s="15"/>
    </row>
    <row r="5" customFormat="false" ht="15" hidden="false" customHeight="false" outlineLevel="0" collapsed="false">
      <c r="A5" s="3"/>
      <c r="B5" s="40" t="s">
        <v>184</v>
      </c>
      <c r="C5" s="39" t="n">
        <f aca="false">PA_Total_Open*Mgmt_Fee_Rate</f>
        <v>350000</v>
      </c>
      <c r="D5" s="39" t="n">
        <f aca="false">PA_Total_Open*Mgmt_Fee_Rate</f>
        <v>383796.7</v>
      </c>
      <c r="E5" s="39" t="n">
        <f aca="false">PA_Total_Open*Mgmt_Fee_Rate</f>
        <v>417489.018324</v>
      </c>
      <c r="F5" s="39" t="n">
        <f aca="false">PA_Total_Open*Mgmt_Fee_Rate</f>
        <v>451078.313234673</v>
      </c>
      <c r="G5" s="39" t="n">
        <f aca="false">PA_Total_Open*Mgmt_Fee_Rate</f>
        <v>484565.922882025</v>
      </c>
    </row>
    <row r="6" customFormat="false" ht="15" hidden="false" customHeight="false" outlineLevel="0" collapsed="false">
      <c r="A6" s="3"/>
      <c r="B6" s="40" t="s">
        <v>185</v>
      </c>
      <c r="C6" s="39" t="n">
        <f aca="false">PA_Total_Open*Custody_Fee_Rate</f>
        <v>30000</v>
      </c>
      <c r="D6" s="39" t="n">
        <f aca="false">PA_Total_Open*Custody_Fee_Rate</f>
        <v>32896.86</v>
      </c>
      <c r="E6" s="39" t="n">
        <f aca="false">PA_Total_Open*Custody_Fee_Rate</f>
        <v>35784.7729992</v>
      </c>
      <c r="F6" s="39" t="n">
        <f aca="false">PA_Total_Open*Custody_Fee_Rate</f>
        <v>38663.8554201148</v>
      </c>
      <c r="G6" s="39" t="n">
        <f aca="false">PA_Total_Open*Custody_Fee_Rate</f>
        <v>41534.2219613164</v>
      </c>
    </row>
    <row r="7" customFormat="false" ht="15" hidden="false" customHeight="false" outlineLevel="0" collapsed="false">
      <c r="A7" s="3"/>
      <c r="B7" s="40" t="s">
        <v>186</v>
      </c>
      <c r="C7" s="39" t="n">
        <f aca="false">Admin_Cost</f>
        <v>75000</v>
      </c>
      <c r="D7" s="39" t="n">
        <f aca="false">Admin_Cost</f>
        <v>75000</v>
      </c>
      <c r="E7" s="39" t="n">
        <f aca="false">Admin_Cost</f>
        <v>75000</v>
      </c>
      <c r="F7" s="39" t="n">
        <f aca="false">Admin_Cost</f>
        <v>75000</v>
      </c>
      <c r="G7" s="39" t="n">
        <f aca="false">Admin_Cost</f>
        <v>75000</v>
      </c>
    </row>
    <row r="8" customFormat="false" ht="15" hidden="false" customHeight="false" outlineLevel="0" collapsed="false">
      <c r="A8" s="3"/>
      <c r="B8" s="40" t="s">
        <v>187</v>
      </c>
      <c r="C8" s="39" t="n">
        <f aca="false">Portfolio_Turnover*PA_Total_Open*Transaction_Cost</f>
        <v>25000</v>
      </c>
      <c r="D8" s="39" t="n">
        <f aca="false">Portfolio_Turnover*PA_Total_Open*Transaction_Cost</f>
        <v>27414.05</v>
      </c>
      <c r="E8" s="39" t="n">
        <f aca="false">Portfolio_Turnover*PA_Total_Open*Transaction_Cost</f>
        <v>29820.644166</v>
      </c>
      <c r="F8" s="39" t="n">
        <f aca="false">Portfolio_Turnover*PA_Total_Open*Transaction_Cost</f>
        <v>32219.8795167623</v>
      </c>
      <c r="G8" s="39" t="n">
        <f aca="false">Portfolio_Turnover*PA_Total_Open*Transaction_Cost</f>
        <v>34611.8516344304</v>
      </c>
    </row>
    <row r="9" customFormat="false" ht="15" hidden="false" customHeight="false" outlineLevel="0" collapsed="false">
      <c r="A9" s="3"/>
      <c r="B9" s="40" t="s">
        <v>188</v>
      </c>
      <c r="C9" s="39" t="n">
        <f aca="false">Audit_Legal_Cost</f>
        <v>40000</v>
      </c>
      <c r="D9" s="39" t="n">
        <f aca="false">Audit_Legal_Cost</f>
        <v>40000</v>
      </c>
      <c r="E9" s="39" t="n">
        <f aca="false">Audit_Legal_Cost</f>
        <v>40000</v>
      </c>
      <c r="F9" s="39" t="n">
        <f aca="false">Audit_Legal_Cost</f>
        <v>40000</v>
      </c>
      <c r="G9" s="39" t="n">
        <f aca="false">Audit_Legal_Cost</f>
        <v>40000</v>
      </c>
    </row>
    <row r="10" customFormat="false" ht="15" hidden="false" customHeight="false" outlineLevel="0" collapsed="false">
      <c r="A10" s="3"/>
      <c r="B10" s="6" t="s">
        <v>189</v>
      </c>
      <c r="C10" s="42" t="n">
        <f aca="false">C5+C6+C7+C8+C9</f>
        <v>520000</v>
      </c>
      <c r="D10" s="42" t="n">
        <f aca="false">D5+D6+D7+D8+D9</f>
        <v>559107.61</v>
      </c>
      <c r="E10" s="42" t="n">
        <f aca="false">E5+E6+E7+E8+E9</f>
        <v>598094.4354892</v>
      </c>
      <c r="F10" s="42" t="n">
        <f aca="false">F5+F6+F7+F8+F9</f>
        <v>636962.04817155</v>
      </c>
      <c r="G10" s="42" t="n">
        <f aca="false">G5+G6+G7+G8+G9</f>
        <v>675711.996477772</v>
      </c>
    </row>
    <row r="11" customFormat="false" ht="15" hidden="false" customHeight="false" outlineLevel="0" collapsed="false">
      <c r="A11" s="3"/>
      <c r="B11" s="3"/>
      <c r="C11" s="3"/>
      <c r="D11" s="3"/>
      <c r="E11" s="3"/>
      <c r="F11" s="3"/>
      <c r="G11" s="3"/>
    </row>
    <row r="12" customFormat="false" ht="15" hidden="false" customHeight="false" outlineLevel="0" collapsed="false">
      <c r="A12" s="3"/>
      <c r="B12" s="7" t="s">
        <v>190</v>
      </c>
      <c r="C12" s="43" t="n">
        <f aca="false">IF(PA_Total_Open=0,0,C10/PA_Total_Open)</f>
        <v>0.0052</v>
      </c>
      <c r="D12" s="43" t="n">
        <f aca="false">IF(PA_Total_Open=0,0,D10/PA_Total_Open)</f>
        <v>0.00509873231062174</v>
      </c>
      <c r="E12" s="43" t="n">
        <f aca="false">IF(PA_Total_Open=0,0,E10/PA_Total_Open)</f>
        <v>0.00501409721533713</v>
      </c>
      <c r="F12" s="43" t="n">
        <f aca="false">IF(PA_Total_Open=0,0,F10/PA_Total_Open)</f>
        <v>0.00494230625412621</v>
      </c>
      <c r="G12" s="43" t="n">
        <f aca="false">IF(PA_Total_Open=0,0,G10/PA_Total_Open)</f>
        <v>0.00488064033394275</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G2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4"/>
    <col collapsed="false" customWidth="true" hidden="false" outlineLevel="0" max="7" min="3" style="0" width="16"/>
  </cols>
  <sheetData>
    <row r="1" customFormat="false" ht="15" hidden="false" customHeight="false" outlineLevel="0" collapsed="false">
      <c r="A1" s="3"/>
      <c r="B1" s="3"/>
      <c r="C1" s="3"/>
      <c r="D1" s="3"/>
      <c r="E1" s="3"/>
      <c r="F1" s="3"/>
      <c r="G1" s="3"/>
    </row>
    <row r="2" customFormat="false" ht="22.05" hidden="false" customHeight="false" outlineLevel="0" collapsed="false">
      <c r="A2" s="3"/>
      <c r="B2" s="35" t="s">
        <v>191</v>
      </c>
      <c r="C2" s="3"/>
      <c r="D2" s="3"/>
      <c r="E2" s="3"/>
      <c r="F2" s="3"/>
      <c r="G2" s="3"/>
    </row>
    <row r="3" customFormat="false" ht="15" hidden="false" customHeight="false" outlineLevel="0" collapsed="false">
      <c r="A3" s="3"/>
      <c r="B3" s="36"/>
      <c r="C3" s="37" t="s">
        <v>124</v>
      </c>
      <c r="D3" s="37" t="s">
        <v>125</v>
      </c>
      <c r="E3" s="37" t="s">
        <v>126</v>
      </c>
      <c r="F3" s="37" t="s">
        <v>127</v>
      </c>
      <c r="G3" s="37" t="s">
        <v>128</v>
      </c>
    </row>
    <row r="4" customFormat="false" ht="15" hidden="false" customHeight="false" outlineLevel="0" collapsed="false">
      <c r="A4" s="3"/>
      <c r="B4" s="3"/>
      <c r="C4" s="3"/>
      <c r="D4" s="3"/>
      <c r="E4" s="3"/>
      <c r="F4" s="3"/>
      <c r="G4" s="3"/>
    </row>
    <row r="5" customFormat="false" ht="15" hidden="false" customHeight="false" outlineLevel="0" collapsed="false">
      <c r="A5" s="3"/>
      <c r="B5" s="6" t="s">
        <v>192</v>
      </c>
      <c r="C5" s="39" t="n">
        <f aca="false">0</f>
        <v>0</v>
      </c>
      <c r="D5" s="39" t="n">
        <f aca="false">C20</f>
        <v>1238440</v>
      </c>
      <c r="E5" s="39" t="n">
        <f aca="false">D20</f>
        <v>2593804.5068</v>
      </c>
      <c r="F5" s="39" t="n">
        <f aca="false">E20</f>
        <v>4065304.29833794</v>
      </c>
      <c r="G5" s="39" t="n">
        <f aca="false">F20</f>
        <v>5652161.44072354</v>
      </c>
    </row>
    <row r="6" customFormat="false" ht="15" hidden="false" customHeight="false" outlineLevel="0" collapsed="false">
      <c r="A6" s="3"/>
      <c r="B6" s="38" t="s">
        <v>193</v>
      </c>
      <c r="C6" s="15"/>
      <c r="D6" s="15"/>
      <c r="E6" s="15"/>
      <c r="F6" s="15"/>
      <c r="G6" s="15"/>
    </row>
    <row r="7" customFormat="false" ht="15" hidden="false" customHeight="false" outlineLevel="0" collapsed="false">
      <c r="A7" s="3"/>
      <c r="B7" s="40" t="s">
        <v>194</v>
      </c>
      <c r="C7" s="39" t="n">
        <f aca="false">IS_Total_Coupon</f>
        <v>5125000</v>
      </c>
      <c r="D7" s="39" t="n">
        <f aca="false">IS_Total_Coupon</f>
        <v>5612945</v>
      </c>
      <c r="E7" s="39" t="n">
        <f aca="false">IS_Total_Coupon</f>
        <v>6098774.5902</v>
      </c>
      <c r="F7" s="39" t="n">
        <f aca="false">IS_Total_Coupon</f>
        <v>6582517.71298987</v>
      </c>
      <c r="G7" s="39" t="n">
        <f aca="false">IS_Total_Coupon</f>
        <v>7064202.88004112</v>
      </c>
    </row>
    <row r="8" customFormat="false" ht="15" hidden="false" customHeight="false" outlineLevel="0" collapsed="false">
      <c r="A8" s="3"/>
      <c r="B8" s="40" t="s">
        <v>195</v>
      </c>
      <c r="C8" s="39" t="n">
        <f aca="false">PA_Total_Mature</f>
        <v>19000000</v>
      </c>
      <c r="D8" s="39" t="n">
        <f aca="false">PA_Total_Mature</f>
        <v>20830730</v>
      </c>
      <c r="E8" s="39" t="n">
        <f aca="false">PA_Total_Mature</f>
        <v>22655446.3596</v>
      </c>
      <c r="F8" s="39" t="n">
        <f aca="false">PA_Total_Mature</f>
        <v>24474226.8923094</v>
      </c>
      <c r="G8" s="39" t="n">
        <f aca="false">PA_Total_Mature</f>
        <v>26287148.2619322</v>
      </c>
    </row>
    <row r="9" customFormat="false" ht="15" hidden="false" customHeight="false" outlineLevel="0" collapsed="false">
      <c r="A9" s="3"/>
      <c r="B9" s="40" t="s">
        <v>130</v>
      </c>
      <c r="C9" s="39" t="n">
        <f aca="false">Annual_New_Capital</f>
        <v>10000000</v>
      </c>
      <c r="D9" s="39" t="n">
        <f aca="false">Annual_New_Capital</f>
        <v>10000000</v>
      </c>
      <c r="E9" s="39" t="n">
        <f aca="false">Annual_New_Capital</f>
        <v>10000000</v>
      </c>
      <c r="F9" s="39" t="n">
        <f aca="false">Annual_New_Capital</f>
        <v>10000000</v>
      </c>
      <c r="G9" s="39" t="n">
        <f aca="false">Annual_New_Capital</f>
        <v>10000000</v>
      </c>
    </row>
    <row r="10" customFormat="false" ht="15" hidden="false" customHeight="false" outlineLevel="0" collapsed="false">
      <c r="A10" s="3"/>
      <c r="B10" s="6" t="s">
        <v>196</v>
      </c>
      <c r="C10" s="41" t="n">
        <f aca="false">C7+C8+C9</f>
        <v>34125000</v>
      </c>
      <c r="D10" s="41" t="n">
        <f aca="false">D7+D8+D9</f>
        <v>36443675</v>
      </c>
      <c r="E10" s="41" t="n">
        <f aca="false">E7+E8+E9</f>
        <v>38754220.9498</v>
      </c>
      <c r="F10" s="41" t="n">
        <f aca="false">F7+F8+F9</f>
        <v>41056744.6052993</v>
      </c>
      <c r="G10" s="41" t="n">
        <f aca="false">G7+G8+G9</f>
        <v>43351351.1419733</v>
      </c>
    </row>
    <row r="11" customFormat="false" ht="15" hidden="false" customHeight="false" outlineLevel="0" collapsed="false">
      <c r="A11" s="3"/>
      <c r="B11" s="3"/>
      <c r="C11" s="3"/>
      <c r="D11" s="3"/>
      <c r="E11" s="3"/>
      <c r="F11" s="3"/>
      <c r="G11" s="3"/>
    </row>
    <row r="12" customFormat="false" ht="15" hidden="false" customHeight="false" outlineLevel="0" collapsed="false">
      <c r="A12" s="3"/>
      <c r="B12" s="38" t="s">
        <v>197</v>
      </c>
      <c r="C12" s="15"/>
      <c r="D12" s="15"/>
      <c r="E12" s="15"/>
      <c r="F12" s="15"/>
      <c r="G12" s="15"/>
    </row>
    <row r="13" customFormat="false" ht="15" hidden="false" customHeight="false" outlineLevel="0" collapsed="false">
      <c r="A13" s="3"/>
      <c r="B13" s="40" t="s">
        <v>198</v>
      </c>
      <c r="C13" s="39" t="n">
        <f aca="false">C8+C9</f>
        <v>29000000</v>
      </c>
      <c r="D13" s="39" t="n">
        <f aca="false">D8+D9</f>
        <v>30830730</v>
      </c>
      <c r="E13" s="39" t="n">
        <f aca="false">E8+E9</f>
        <v>32655446.3596</v>
      </c>
      <c r="F13" s="39" t="n">
        <f aca="false">F8+F9</f>
        <v>34474226.8923094</v>
      </c>
      <c r="G13" s="39" t="n">
        <f aca="false">G8+G9</f>
        <v>36287148.2619322</v>
      </c>
    </row>
    <row r="14" customFormat="false" ht="15" hidden="false" customHeight="false" outlineLevel="0" collapsed="false">
      <c r="A14" s="3"/>
      <c r="B14" s="40" t="s">
        <v>199</v>
      </c>
      <c r="C14" s="39" t="n">
        <f aca="false">EX_Mgmt_Fee+EX_Custody_Fee</f>
        <v>380000</v>
      </c>
      <c r="D14" s="39" t="n">
        <f aca="false">EX_Mgmt_Fee+EX_Custody_Fee</f>
        <v>416693.56</v>
      </c>
      <c r="E14" s="39" t="n">
        <f aca="false">EX_Mgmt_Fee+EX_Custody_Fee</f>
        <v>453273.7913232</v>
      </c>
      <c r="F14" s="39" t="n">
        <f aca="false">EX_Mgmt_Fee+EX_Custody_Fee</f>
        <v>489742.168654787</v>
      </c>
      <c r="G14" s="39" t="n">
        <f aca="false">EX_Mgmt_Fee+EX_Custody_Fee</f>
        <v>526100.144843341</v>
      </c>
    </row>
    <row r="15" customFormat="false" ht="15" hidden="false" customHeight="false" outlineLevel="0" collapsed="false">
      <c r="A15" s="3"/>
      <c r="B15" s="40" t="s">
        <v>200</v>
      </c>
      <c r="C15" s="39" t="n">
        <f aca="false">EX_Admin+EX_Transaction+EX_Audit_Legal</f>
        <v>140000</v>
      </c>
      <c r="D15" s="39" t="n">
        <f aca="false">EX_Admin+EX_Transaction+EX_Audit_Legal</f>
        <v>142414.05</v>
      </c>
      <c r="E15" s="39" t="n">
        <f aca="false">EX_Admin+EX_Transaction+EX_Audit_Legal</f>
        <v>144820.644166</v>
      </c>
      <c r="F15" s="39" t="n">
        <f aca="false">EX_Admin+EX_Transaction+EX_Audit_Legal</f>
        <v>147219.879516762</v>
      </c>
      <c r="G15" s="39" t="n">
        <f aca="false">EX_Admin+EX_Transaction+EX_Audit_Legal</f>
        <v>149611.85163443</v>
      </c>
    </row>
    <row r="16" customFormat="false" ht="15" hidden="false" customHeight="false" outlineLevel="0" collapsed="false">
      <c r="A16" s="3"/>
      <c r="B16" s="40" t="s">
        <v>201</v>
      </c>
      <c r="C16" s="39" t="n">
        <f aca="false">MAX(0,(IS_Net_Inv_Income-CL_Total_Net-EX_Total)*Distribution_Rate)</f>
        <v>3366560</v>
      </c>
      <c r="D16" s="39" t="n">
        <f aca="false">MAX(0,(IS_Net_Inv_Income-CL_Total_Net-EX_Total)*Distribution_Rate)</f>
        <v>3698472.8832</v>
      </c>
      <c r="E16" s="39" t="n">
        <f aca="false">MAX(0,(IS_Net_Inv_Income-CL_Total_Net-EX_Total)*Distribution_Rate)</f>
        <v>4029180.36317286</v>
      </c>
      <c r="F16" s="39" t="n">
        <f aca="false">MAX(0,(IS_Net_Inv_Income-CL_Total_Net-EX_Total)*Distribution_Rate)</f>
        <v>4358698.52243271</v>
      </c>
      <c r="G16" s="39" t="n">
        <f aca="false">MAX(0,(IS_Net_Inv_Income-CL_Total_Net-EX_Total)*Distribution_Rate)</f>
        <v>4687043.20474531</v>
      </c>
    </row>
    <row r="17" customFormat="false" ht="15" hidden="false" customHeight="false" outlineLevel="0" collapsed="false">
      <c r="A17" s="3"/>
      <c r="B17" s="6" t="s">
        <v>202</v>
      </c>
      <c r="C17" s="41" t="n">
        <f aca="false">C13+C14+C15+C16</f>
        <v>32886560</v>
      </c>
      <c r="D17" s="41" t="n">
        <f aca="false">D13+D14+D15+D16</f>
        <v>35088310.4932</v>
      </c>
      <c r="E17" s="41" t="n">
        <f aca="false">E13+E14+E15+E16</f>
        <v>37282721.1582621</v>
      </c>
      <c r="F17" s="41" t="n">
        <f aca="false">F13+F14+F15+F16</f>
        <v>39469887.4629137</v>
      </c>
      <c r="G17" s="41" t="n">
        <f aca="false">G13+G14+G15+G16</f>
        <v>41649903.4631552</v>
      </c>
    </row>
    <row r="18" customFormat="false" ht="15" hidden="false" customHeight="false" outlineLevel="0" collapsed="false">
      <c r="A18" s="3"/>
      <c r="B18" s="3"/>
      <c r="C18" s="3"/>
      <c r="D18" s="3"/>
      <c r="E18" s="3"/>
      <c r="F18" s="3"/>
      <c r="G18" s="3"/>
    </row>
    <row r="19" customFormat="false" ht="15" hidden="false" customHeight="false" outlineLevel="0" collapsed="false">
      <c r="A19" s="3"/>
      <c r="B19" s="6" t="s">
        <v>203</v>
      </c>
      <c r="C19" s="39" t="n">
        <f aca="false">C10-C17</f>
        <v>1238440</v>
      </c>
      <c r="D19" s="39" t="n">
        <f aca="false">D10-D17</f>
        <v>1355364.5068</v>
      </c>
      <c r="E19" s="39" t="n">
        <f aca="false">E10-E17</f>
        <v>1471499.79153793</v>
      </c>
      <c r="F19" s="39" t="n">
        <f aca="false">F10-F17</f>
        <v>1586857.1423856</v>
      </c>
      <c r="G19" s="39" t="n">
        <f aca="false">G10-G17</f>
        <v>1701447.67881805</v>
      </c>
    </row>
    <row r="20" customFormat="false" ht="15" hidden="false" customHeight="false" outlineLevel="0" collapsed="false">
      <c r="A20" s="3"/>
      <c r="B20" s="6" t="s">
        <v>204</v>
      </c>
      <c r="C20" s="42" t="n">
        <f aca="false">C5+C19</f>
        <v>1238440</v>
      </c>
      <c r="D20" s="42" t="n">
        <f aca="false">D5+D19</f>
        <v>2593804.5068</v>
      </c>
      <c r="E20" s="42" t="n">
        <f aca="false">E5+E19</f>
        <v>4065304.29833794</v>
      </c>
      <c r="F20" s="42" t="n">
        <f aca="false">F5+F19</f>
        <v>5652161.44072354</v>
      </c>
      <c r="G20" s="42" t="n">
        <f aca="false">G5+G19</f>
        <v>7353609.11954159</v>
      </c>
    </row>
    <row r="21" customFormat="false" ht="15" hidden="false" customHeight="false" outlineLevel="0" collapsed="false">
      <c r="A21" s="3"/>
      <c r="B21" s="7" t="s">
        <v>205</v>
      </c>
      <c r="C21" s="43" t="n">
        <f aca="false">IF(PA_Total_Close=0,0,C20/PA_Total_Close)</f>
        <v>0.0112938438501425</v>
      </c>
      <c r="D21" s="43" t="n">
        <f aca="false">IF(PA_Total_Close=0,0,D20/PA_Total_Close)</f>
        <v>0.0217450408881285</v>
      </c>
      <c r="E21" s="43" t="n">
        <f aca="false">IF(PA_Total_Close=0,0,E20/PA_Total_Close)</f>
        <v>0.0315434473942009</v>
      </c>
      <c r="F21" s="43" t="n">
        <f aca="false">IF(PA_Total_Close=0,0,F20/PA_Total_Close)</f>
        <v>0.0408253327532253</v>
      </c>
      <c r="G21" s="43" t="n">
        <f aca="false">IF(PA_Total_Close=0,0,G20/PA_Total_Close)</f>
        <v>0.049691040865343</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5A5A5"/>
    <pageSetUpPr fitToPage="false"/>
  </sheetPr>
  <dimension ref="A1:G1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171875" defaultRowHeight="15" customHeight="false" zeroHeight="false" outlineLevelRow="0" outlineLevelCol="0"/>
  <cols>
    <col collapsed="false" customWidth="true" hidden="false" outlineLevel="0" max="1" min="1" style="0" width="3"/>
    <col collapsed="false" customWidth="true" hidden="false" outlineLevel="0" max="2" min="2" style="0" width="34"/>
    <col collapsed="false" customWidth="true" hidden="false" outlineLevel="0" max="7" min="3" style="0" width="16"/>
  </cols>
  <sheetData>
    <row r="1" customFormat="false" ht="15" hidden="false" customHeight="false" outlineLevel="0" collapsed="false">
      <c r="A1" s="3"/>
      <c r="B1" s="3"/>
      <c r="C1" s="3"/>
      <c r="D1" s="3"/>
      <c r="E1" s="3"/>
      <c r="F1" s="3"/>
      <c r="G1" s="3"/>
    </row>
    <row r="2" customFormat="false" ht="22.05" hidden="false" customHeight="false" outlineLevel="0" collapsed="false">
      <c r="A2" s="3"/>
      <c r="B2" s="35" t="s">
        <v>206</v>
      </c>
      <c r="C2" s="3"/>
      <c r="D2" s="3"/>
      <c r="E2" s="3"/>
      <c r="F2" s="3"/>
      <c r="G2" s="3"/>
    </row>
    <row r="3" customFormat="false" ht="15" hidden="false" customHeight="false" outlineLevel="0" collapsed="false">
      <c r="A3" s="3"/>
      <c r="B3" s="36"/>
      <c r="C3" s="37" t="s">
        <v>124</v>
      </c>
      <c r="D3" s="37" t="s">
        <v>125</v>
      </c>
      <c r="E3" s="37" t="s">
        <v>126</v>
      </c>
      <c r="F3" s="37" t="s">
        <v>127</v>
      </c>
      <c r="G3" s="37" t="s">
        <v>128</v>
      </c>
    </row>
    <row r="4" customFormat="false" ht="15" hidden="false" customHeight="false" outlineLevel="0" collapsed="false">
      <c r="A4" s="3"/>
      <c r="B4" s="38" t="s">
        <v>207</v>
      </c>
      <c r="C4" s="15"/>
      <c r="D4" s="15"/>
      <c r="E4" s="15"/>
      <c r="F4" s="15"/>
      <c r="G4" s="15"/>
    </row>
    <row r="5" customFormat="false" ht="15" hidden="false" customHeight="false" outlineLevel="0" collapsed="false">
      <c r="A5" s="3"/>
      <c r="B5" s="40" t="s">
        <v>208</v>
      </c>
      <c r="C5" s="39" t="n">
        <f aca="false">IS_Total_Coupon</f>
        <v>5125000</v>
      </c>
      <c r="D5" s="39" t="n">
        <f aca="false">IS_Total_Coupon</f>
        <v>5612945</v>
      </c>
      <c r="E5" s="39" t="n">
        <f aca="false">IS_Total_Coupon</f>
        <v>6098774.5902</v>
      </c>
      <c r="F5" s="39" t="n">
        <f aca="false">IS_Total_Coupon</f>
        <v>6582517.71298987</v>
      </c>
      <c r="G5" s="39" t="n">
        <f aca="false">IS_Total_Coupon</f>
        <v>7064202.88004112</v>
      </c>
    </row>
    <row r="6" customFormat="false" ht="15" hidden="false" customHeight="false" outlineLevel="0" collapsed="false">
      <c r="A6" s="3"/>
      <c r="B6" s="40" t="s">
        <v>209</v>
      </c>
      <c r="C6" s="39" t="n">
        <f aca="false">IS_Total_Amort</f>
        <v>-130000</v>
      </c>
      <c r="D6" s="39" t="n">
        <f aca="false">IS_Total_Amort</f>
        <v>-141476.6</v>
      </c>
      <c r="E6" s="39" t="n">
        <f aca="false">IS_Total_Amort</f>
        <v>-152823.335592</v>
      </c>
      <c r="F6" s="39" t="n">
        <f aca="false">IS_Total_Amort</f>
        <v>-164042.116911068</v>
      </c>
      <c r="G6" s="39" t="n">
        <f aca="false">IS_Total_Amort</f>
        <v>-175134.825412206</v>
      </c>
    </row>
    <row r="7" customFormat="false" ht="15" hidden="false" customHeight="false" outlineLevel="0" collapsed="false">
      <c r="A7" s="3"/>
      <c r="B7" s="6" t="s">
        <v>210</v>
      </c>
      <c r="C7" s="41" t="n">
        <f aca="false">C5+C6</f>
        <v>4995000</v>
      </c>
      <c r="D7" s="41" t="n">
        <f aca="false">D5+D6</f>
        <v>5471468.4</v>
      </c>
      <c r="E7" s="41" t="n">
        <f aca="false">E5+E6</f>
        <v>5945951.254608</v>
      </c>
      <c r="F7" s="41" t="n">
        <f aca="false">F5+F6</f>
        <v>6418475.5960788</v>
      </c>
      <c r="G7" s="41" t="n">
        <f aca="false">G5+G6</f>
        <v>6889068.05462892</v>
      </c>
    </row>
    <row r="8" customFormat="false" ht="15" hidden="false" customHeight="false" outlineLevel="0" collapsed="false">
      <c r="A8" s="3"/>
      <c r="B8" s="40" t="s">
        <v>211</v>
      </c>
      <c r="C8" s="39" t="n">
        <f aca="false">CL_Total_Net</f>
        <v>343800</v>
      </c>
      <c r="D8" s="39" t="n">
        <f aca="false">CL_Total_Net</f>
        <v>373623.336</v>
      </c>
      <c r="E8" s="39" t="n">
        <f aca="false">CL_Total_Net</f>
        <v>403058.59695072</v>
      </c>
      <c r="F8" s="39" t="n">
        <f aca="false">CL_Total_Net</f>
        <v>432111.52932791</v>
      </c>
      <c r="G8" s="39" t="n">
        <f aca="false">CL_Total_Net</f>
        <v>460787.793529172</v>
      </c>
    </row>
    <row r="9" customFormat="false" ht="15" hidden="false" customHeight="false" outlineLevel="0" collapsed="false">
      <c r="A9" s="3"/>
      <c r="B9" s="40" t="s">
        <v>212</v>
      </c>
      <c r="C9" s="39" t="n">
        <f aca="false">EX_Total</f>
        <v>520000</v>
      </c>
      <c r="D9" s="39" t="n">
        <f aca="false">EX_Total</f>
        <v>559107.61</v>
      </c>
      <c r="E9" s="39" t="n">
        <f aca="false">EX_Total</f>
        <v>598094.4354892</v>
      </c>
      <c r="F9" s="39" t="n">
        <f aca="false">EX_Total</f>
        <v>636962.04817155</v>
      </c>
      <c r="G9" s="39" t="n">
        <f aca="false">EX_Total</f>
        <v>675711.996477772</v>
      </c>
    </row>
    <row r="10" customFormat="false" ht="15" hidden="false" customHeight="false" outlineLevel="0" collapsed="false">
      <c r="A10" s="3"/>
      <c r="B10" s="6" t="s">
        <v>213</v>
      </c>
      <c r="C10" s="42" t="n">
        <f aca="false">C7-C8-C9</f>
        <v>4131200</v>
      </c>
      <c r="D10" s="42" t="n">
        <f aca="false">D7-D8-D9</f>
        <v>4538737.454</v>
      </c>
      <c r="E10" s="42" t="n">
        <f aca="false">E7-E8-E9</f>
        <v>4944798.22216808</v>
      </c>
      <c r="F10" s="42" t="n">
        <f aca="false">F7-F8-F9</f>
        <v>5349402.01857934</v>
      </c>
      <c r="G10" s="42" t="n">
        <f aca="false">G7-G8-G9</f>
        <v>5752568.26462197</v>
      </c>
    </row>
    <row r="11" customFormat="false" ht="15" hidden="false" customHeight="false" outlineLevel="0" collapsed="false">
      <c r="A11" s="3"/>
      <c r="B11" s="3"/>
      <c r="C11" s="3"/>
      <c r="D11" s="3"/>
      <c r="E11" s="3"/>
      <c r="F11" s="3"/>
      <c r="G11" s="3"/>
    </row>
    <row r="12" customFormat="false" ht="15" hidden="false" customHeight="false" outlineLevel="0" collapsed="false">
      <c r="A12" s="3"/>
      <c r="B12" s="7" t="s">
        <v>214</v>
      </c>
      <c r="C12" s="39" t="n">
        <f aca="false">C10</f>
        <v>4131200</v>
      </c>
      <c r="D12" s="39" t="n">
        <f aca="false">D10</f>
        <v>4538737.454</v>
      </c>
      <c r="E12" s="39" t="n">
        <f aca="false">E10</f>
        <v>4944798.22216808</v>
      </c>
      <c r="F12" s="39" t="n">
        <f aca="false">F10</f>
        <v>5349402.01857934</v>
      </c>
      <c r="G12" s="39" t="n">
        <f aca="false">G10</f>
        <v>5752568.26462197</v>
      </c>
    </row>
    <row r="13" customFormat="false" ht="15" hidden="false" customHeight="false" outlineLevel="0" collapsed="false">
      <c r="A13" s="3"/>
      <c r="B13" s="7" t="s">
        <v>215</v>
      </c>
      <c r="C13" s="43" t="n">
        <f aca="false">IF(PA_Total_Open=0,0,C12/PA_Total_Open)</f>
        <v>0.041312</v>
      </c>
      <c r="D13" s="43" t="n">
        <f aca="false">IF(PA_Total_Open=0,0,D12/PA_Total_Open)</f>
        <v>0.0413906140646858</v>
      </c>
      <c r="E13" s="43" t="n">
        <f aca="false">IF(PA_Total_Open=0,0,E12/PA_Total_Open)</f>
        <v>0.0414544886643151</v>
      </c>
      <c r="F13" s="43" t="n">
        <f aca="false">IF(PA_Total_Open=0,0,F12/PA_Total_Open)</f>
        <v>0.0415069989305541</v>
      </c>
      <c r="G13" s="43" t="n">
        <f aca="false">IF(PA_Total_Open=0,0,G12/PA_Total_Open)</f>
        <v>0.041550567168296</v>
      </c>
    </row>
    <row r="14" customFormat="false" ht="15" hidden="false" customHeight="false" outlineLevel="0" collapsed="false">
      <c r="A14" s="3"/>
      <c r="B14" s="7" t="s">
        <v>216</v>
      </c>
      <c r="C14" s="43" t="n">
        <f aca="false">IF(PA_Total_Open=0,0,C5/PA_Total_Open)</f>
        <v>0.05125</v>
      </c>
      <c r="D14" s="43" t="n">
        <f aca="false">IF(PA_Total_Open=0,0,D5/PA_Total_Open)</f>
        <v>0.051186754602111</v>
      </c>
      <c r="E14" s="43" t="n">
        <f aca="false">IF(PA_Total_Open=0,0,E5/PA_Total_Open)</f>
        <v>0.0511287965163536</v>
      </c>
      <c r="F14" s="43" t="n">
        <f aca="false">IF(PA_Total_Open=0,0,F5/PA_Total_Open)</f>
        <v>0.0510749715060645</v>
      </c>
      <c r="G14" s="43" t="n">
        <f aca="false">IF(PA_Total_Open=0,0,G5/PA_Total_Open)</f>
        <v>0.0510244507766667</v>
      </c>
    </row>
    <row r="15" customFormat="false" ht="15" hidden="false" customHeight="false" outlineLevel="0" collapsed="false">
      <c r="A15" s="3"/>
      <c r="B15" s="7" t="s">
        <v>217</v>
      </c>
      <c r="C15" s="39" t="n">
        <f aca="false">C12</f>
        <v>4131200</v>
      </c>
      <c r="D15" s="39" t="n">
        <f aca="false">C15+D12</f>
        <v>8669937.454</v>
      </c>
      <c r="E15" s="39" t="n">
        <f aca="false">D15+E12</f>
        <v>13614735.6761681</v>
      </c>
      <c r="F15" s="39" t="n">
        <f aca="false">E15+F12</f>
        <v>18964137.6947474</v>
      </c>
      <c r="G15" s="39" t="n">
        <f aca="false">F15+G12</f>
        <v>24716705.9593694</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LibreOffice/26.2.0.3$MacOSX_AARCH64 LibreOffice_project/afbbd0df0edb6d40b450b0337ac646b0913a760c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2026-05-15T18:53:13Z</dcterms:created>
  <dc:creator>openpyxl</dc:creator>
  <dc:description/>
  <dc:language>en-GB</dc:language>
  <cp:lastModifiedBy/>
  <dcterms:modified xsi:type="dcterms:W3CDTF">2026-05-15T18:53:14Z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