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Marketplace_KPIs" sheetId="3" state="visible" r:id="rId5"/>
    <sheet name="Revenue_Build" sheetId="4" state="visible" r:id="rId6"/>
    <sheet name="Cost_of_Revenue" sheetId="5" state="visible" r:id="rId7"/>
    <sheet name="OpEx" sheetId="6" state="visible" r:id="rId8"/>
    <sheet name="Income_Statement" sheetId="7" state="visible" r:id="rId9"/>
    <sheet name="Working_Capital" sheetId="8" state="visible" r:id="rId10"/>
    <sheet name="Cash_Flow" sheetId="9" state="visible" r:id="rId11"/>
    <sheet name="Balance_Sheet" sheetId="10" state="visible" r:id="rId12"/>
    <sheet name="Checks" sheetId="11" state="visible" r:id="rId13"/>
    <sheet name="Disclaimer" sheetId="12" state="visible" r:id="rId14"/>
  </sheets>
  <definedNames>
    <definedName function="false" hidden="false" name="Ad_Revenue_Pct" vbProcedure="false">Assumptions!$C$18</definedName>
    <definedName function="false" hidden="false" name="AOV_Base" vbProcedure="false">Assumptions!$C$11</definedName>
    <definedName function="false" hidden="false" name="AOV_Growth" vbProcedure="false">Assumptions!$C$12</definedName>
    <definedName function="false" hidden="false" name="BS_AP" vbProcedure="false">Balance_Sheet!$C$15:$Z$15</definedName>
    <definedName function="false" hidden="false" name="BS_APIC_SBC" vbProcedure="false">Balance_Sheet!$C$20:$Z$20</definedName>
    <definedName function="false" hidden="false" name="BS_AR" vbProcedure="false">Balance_Sheet!$C$10:$Z$10</definedName>
    <definedName function="false" hidden="false" name="BS_Cash" vbProcedure="false">Balance_Sheet!$C$9:$Z$9</definedName>
    <definedName function="false" hidden="false" name="BS_PPE" vbProcedure="false">Balance_Sheet!$C$11:$Z$11</definedName>
    <definedName function="false" hidden="false" name="BS_Ret_Earnings" vbProcedure="false">Balance_Sheet!$C$21:$Z$21</definedName>
    <definedName function="false" hidden="false" name="BS_Share_Cap" vbProcedure="false">Balance_Sheet!$C$19:$Z$19</definedName>
    <definedName function="false" hidden="false" name="BS_Total_Assets" vbProcedure="false">Balance_Sheet!$C$12:$Z$12</definedName>
    <definedName function="false" hidden="false" name="BS_Total_Equity" vbProcedure="false">Balance_Sheet!$C$22:$Z$22</definedName>
    <definedName function="false" hidden="false" name="BS_Total_LE" vbProcedure="false">Balance_Sheet!$C$24:$Z$24</definedName>
    <definedName function="false" hidden="false" name="BS_Total_Liab" vbProcedure="false">Balance_Sheet!$C$16:$Z$16</definedName>
    <definedName function="false" hidden="false" name="CapEx_Pct" vbProcedure="false">Assumptions!$C$39</definedName>
    <definedName function="false" hidden="false" name="CF_CapEx" vbProcedure="false">Cash_Flow!$C$17:$Z$17</definedName>
    <definedName function="false" hidden="false" name="CF_CFF" vbProcedure="false">Cash_Flow!$C$22:$Z$22</definedName>
    <definedName function="false" hidden="false" name="CF_CFI" vbProcedure="false">Cash_Flow!$C$18:$Z$18</definedName>
    <definedName function="false" hidden="false" name="CF_CFO" vbProcedure="false">Cash_Flow!$C$14:$Z$14</definedName>
    <definedName function="false" hidden="false" name="CF_Closing_Cash" vbProcedure="false">Cash_Flow!$C$26:$Z$26</definedName>
    <definedName function="false" hidden="false" name="CF_DA" vbProcedure="false">Cash_Flow!$C$10:$Z$10</definedName>
    <definedName function="false" hidden="false" name="CF_Equity_Inj" vbProcedure="false">Cash_Flow!$C$21:$Z$21</definedName>
    <definedName function="false" hidden="false" name="CF_Net_Cash" vbProcedure="false">Cash_Flow!$C$24:$Z$24</definedName>
    <definedName function="false" hidden="false" name="CF_Opening_Cash" vbProcedure="false">Cash_Flow!$C$25:$Z$25</definedName>
    <definedName function="false" hidden="false" name="CF_SBC" vbProcedure="false">Cash_Flow!$C$11:$Z$11</definedName>
    <definedName function="false" hidden="false" name="Cloud_Hosting" vbProcedure="false">Assumptions!$C$26</definedName>
    <definedName function="false" hidden="false" name="Commission_Rate" vbProcedure="false">Assumptions!$C$15</definedName>
    <definedName function="false" hidden="false" name="Courier_Insurance" vbProcedure="false">Assumptions!$C$25</definedName>
    <definedName function="false" hidden="false" name="Courier_Payout" vbProcedure="false">Assumptions!$C$23</definedName>
    <definedName function="false" hidden="false" name="CR_Courier_Payout" vbProcedure="false">Cost_of_Revenue!$C$9:$Z$9</definedName>
    <definedName function="false" hidden="false" name="CR_Gross_Margin" vbProcedure="false">Cost_of_Revenue!$C$16:$Z$16</definedName>
    <definedName function="false" hidden="false" name="CR_Gross_Profit" vbProcedure="false">Cost_of_Revenue!$C$15:$Z$15</definedName>
    <definedName function="false" hidden="false" name="CR_Total_COGS" vbProcedure="false">Cost_of_Revenue!$C$13:$Z$13</definedName>
    <definedName function="false" hidden="false" name="Delivery_Fee" vbProcedure="false">Assumptions!$C$16</definedName>
    <definedName function="false" hidden="false" name="Depr_Rate" vbProcedure="false">Assumptions!$C$40</definedName>
    <definedName function="false" hidden="false" name="DPO_Days" vbProcedure="false">Assumptions!$C$36</definedName>
    <definedName function="false" hidden="false" name="DSO_Days" vbProcedure="false">Assumptions!$C$35</definedName>
    <definedName function="false" hidden="false" name="Equity_Injection" vbProcedure="false">Assumptions!$C$45</definedName>
    <definedName function="false" hidden="false" name="GA_Pct" vbProcedure="false">Assumptions!$C$31</definedName>
    <definedName function="false" hidden="false" name="IS_COGS" vbProcedure="false">Income_Statement!$C$10:$Z$10</definedName>
    <definedName function="false" hidden="false" name="IS_DA" vbProcedure="false">Income_Statement!$C$23:$Z$23</definedName>
    <definedName function="false" hidden="false" name="IS_EBIT" vbProcedure="false">Income_Statement!$C$24:$Z$24</definedName>
    <definedName function="false" hidden="false" name="IS_EBITDA" vbProcedure="false">Income_Statement!$C$21:$Z$21</definedName>
    <definedName function="false" hidden="false" name="IS_GA" vbProcedure="false">Income_Statement!$C$17:$Z$17</definedName>
    <definedName function="false" hidden="false" name="IS_Gross_Profit" vbProcedure="false">Income_Statement!$C$11:$Z$11</definedName>
    <definedName function="false" hidden="false" name="IS_Net_Income" vbProcedure="false">Income_Statement!$C$27:$Z$27</definedName>
    <definedName function="false" hidden="false" name="IS_RD" vbProcedure="false">Income_Statement!$C$16:$Z$16</definedName>
    <definedName function="false" hidden="false" name="IS_Revenue" vbProcedure="false">Income_Statement!$C$9:$Z$9</definedName>
    <definedName function="false" hidden="false" name="IS_SBC" vbProcedure="false">Income_Statement!$C$18:$Z$18</definedName>
    <definedName function="false" hidden="false" name="IS_SM" vbProcedure="false">Income_Statement!$C$15:$Z$15</definedName>
    <definedName function="false" hidden="false" name="IS_Tax" vbProcedure="false">Income_Statement!$C$26:$Z$26</definedName>
    <definedName function="false" hidden="false" name="IS_Total_OpEx" vbProcedure="false">Income_Statement!$C$19:$Z$19</definedName>
    <definedName function="false" hidden="false" name="MAPC_Growth" vbProcedure="false">Assumptions!$C$9</definedName>
    <definedName function="false" hidden="false" name="MK_AOV" vbProcedure="false">Marketplace_KPIs!$C$16:$Z$16</definedName>
    <definedName function="false" hidden="false" name="MK_GOV" vbProcedure="false">Marketplace_KPIs!$C$19:$Z$19</definedName>
    <definedName function="false" hidden="false" name="MK_MAPCs" vbProcedure="false">Marketplace_KPIs!$C$9:$Z$9</definedName>
    <definedName function="false" hidden="false" name="MK_New_MAPCs" vbProcedure="false">Marketplace_KPIs!$C$10:$Z$10</definedName>
    <definedName function="false" hidden="false" name="MK_Orders" vbProcedure="false">Marketplace_KPIs!$C$13:$Z$13</definedName>
    <definedName function="false" hidden="false" name="Orders_Per_MAPC" vbProcedure="false">Assumptions!$C$10</definedName>
    <definedName function="false" hidden="false" name="OX_EBITDA" vbProcedure="false">OpEx!$C$24:$Z$24</definedName>
    <definedName function="false" hidden="false" name="OX_GA" vbProcedure="false">OpEx!$C$17:$Z$17</definedName>
    <definedName function="false" hidden="false" name="OX_RD" vbProcedure="false">OpEx!$C$14:$Z$14</definedName>
    <definedName function="false" hidden="false" name="OX_SBC" vbProcedure="false">OpEx!$C$20:$Z$20</definedName>
    <definedName function="false" hidden="false" name="OX_SM" vbProcedure="false">OpEx!$C$9:$Z$9</definedName>
    <definedName function="false" hidden="false" name="OX_Total_OpEx" vbProcedure="false">OpEx!$C$22:$Z$22</definedName>
    <definedName function="false" hidden="false" name="Payment_Proc_Pct" vbProcedure="false">Assumptions!$C$24</definedName>
    <definedName function="false" hidden="false" name="RB_Ad_Rev" vbProcedure="false">Revenue_Build!$C$17:$Z$17</definedName>
    <definedName function="false" hidden="false" name="RB_Commission" vbProcedure="false">Revenue_Build!$C$9:$Z$9</definedName>
    <definedName function="false" hidden="false" name="RB_Consumer_Fees" vbProcedure="false">Revenue_Build!$C$14:$Z$14</definedName>
    <definedName function="false" hidden="false" name="RB_Subscribers" vbProcedure="false">Revenue_Build!$C$20:$Z$20</definedName>
    <definedName function="false" hidden="false" name="RB_Sub_Rev" vbProcedure="false">Revenue_Build!$C$21:$Z$21</definedName>
    <definedName function="false" hidden="false" name="RB_Take_Rate" vbProcedure="false">Revenue_Build!$C$25:$Z$25</definedName>
    <definedName function="false" hidden="false" name="RB_Total_Revenue" vbProcedure="false">Revenue_Build!$C$24:$Z$24</definedName>
    <definedName function="false" hidden="false" name="RD_Pct" vbProcedure="false">Assumptions!$C$30</definedName>
    <definedName function="false" hidden="false" name="SBC_Pct" vbProcedure="false">Assumptions!$C$32</definedName>
    <definedName function="false" hidden="false" name="Service_Fee_Pct" vbProcedure="false">Assumptions!$C$17</definedName>
    <definedName function="false" hidden="false" name="SM_Pct" vbProcedure="false">Assumptions!$C$29</definedName>
    <definedName function="false" hidden="false" name="Starting_Cash" vbProcedure="false">Assumptions!$C$44</definedName>
    <definedName function="false" hidden="false" name="Starting_MAPCs" vbProcedure="false">Assumptions!$C$8</definedName>
    <definedName function="false" hidden="false" name="Start_Month" vbProcedure="false">Assumptions!$C$49</definedName>
    <definedName function="false" hidden="false" name="Start_Year" vbProcedure="false">Assumptions!$C$48</definedName>
    <definedName function="false" hidden="false" name="Sub_Fee" vbProcedure="false">Assumptions!$C$19</definedName>
    <definedName function="false" hidden="false" name="Sub_Penetration" vbProcedure="false">Assumptions!$C$20</definedName>
    <definedName function="false" hidden="false" name="Tax_Rate" vbProcedure="false">Assumptions!$C$43</definedName>
    <definedName function="false" hidden="false" name="WC_AP" vbProcedure="false">Working_Capital!$C$12:$Z$12</definedName>
    <definedName function="false" hidden="false" name="WC_AR" vbProcedure="false">Working_Capital!$C$9:$Z$9</definedName>
    <definedName function="false" hidden="false" name="WC_Chg_AP" vbProcedure="false">Working_Capital!$C$18:$Z$18</definedName>
    <definedName function="false" hidden="false" name="WC_Chg_AR" vbProcedure="false">Working_Capital!$C$17:$Z$17</definedName>
    <definedName function="false" hidden="false" name="WC_Chg_NWC" vbProcedure="false">Working_Capital!$C$19:$Z$19</definedName>
    <definedName function="false" hidden="false" name="WC_NWC" vbProcedure="false">Working_Capital!$C$15:$Z$15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<sst xmlns="http://schemas.openxmlformats.org/spreadsheetml/2006/main" count="291" uniqueCount="220">
  <si>
    <t xml:space="preserve">Food Delivery Aggregator</t>
  </si>
  <si>
    <t xml:space="preserve">FINAMODEL.com</t>
  </si>
  <si>
    <t xml:space="preserve">Financial Model</t>
  </si>
  <si>
    <t xml:space="preserve">Sheet Guide</t>
  </si>
  <si>
    <t xml:space="preserve">Cover</t>
  </si>
  <si>
    <t xml:space="preserve">Title and navigation</t>
  </si>
  <si>
    <t xml:space="preserve">Assumptions</t>
  </si>
  <si>
    <t xml:space="preserve">All model inputs</t>
  </si>
  <si>
    <t xml:space="preserve">Marketplace_KPIs</t>
  </si>
  <si>
    <t xml:space="preserve">MAPCs, orders, AOV, GOV</t>
  </si>
  <si>
    <t xml:space="preserve">Revenue_Build</t>
  </si>
  <si>
    <t xml:space="preserve">Commission, fees, ads, subscriptions</t>
  </si>
  <si>
    <t xml:space="preserve">Cost_of_Revenue</t>
  </si>
  <si>
    <t xml:space="preserve">Courier payouts, processing, hosting</t>
  </si>
  <si>
    <t xml:space="preserve">OpEx</t>
  </si>
  <si>
    <t xml:space="preserve">S&amp;M, R&amp;D, G&amp;A, SBC</t>
  </si>
  <si>
    <t xml:space="preserve">Income_Statement</t>
  </si>
  <si>
    <t xml:space="preserve">P&amp;L from revenue to net income</t>
  </si>
  <si>
    <t xml:space="preserve">Working_Capital</t>
  </si>
  <si>
    <t xml:space="preserve">AR, AP, NWC changes</t>
  </si>
  <si>
    <t xml:space="preserve">Cash_Flow</t>
  </si>
  <si>
    <t xml:space="preserve">CFO, CFI, CFF, closing cash</t>
  </si>
  <si>
    <t xml:space="preserve">Balance_Sheet</t>
  </si>
  <si>
    <t xml:space="preserve">Assets, liabilities, equity</t>
  </si>
  <si>
    <t xml:space="preserve">Checks</t>
  </si>
  <si>
    <t xml:space="preserve">Validation and error flags</t>
  </si>
  <si>
    <t xml:space="preserve">About this model</t>
  </si>
  <si>
    <t xml:space="preserve">A food delivery aggregator financial model projects the unit economics of a regional marketplace connecting consumers, restaurants, and couriers. Revenue comes from restaurant commissions (20â25% of order value for platform couriers, 15% for restaurant own-drivers), consumer delivery fees ($2.50 + 10% of order value typical), advertising revenue (restaurants bid for top placement: 2% of GOV at maturity), and subscription programs ($9.99/month at 15% penetration). The key is not to confuse Gross Order Value (GOVâtotal food sold on the platform) with Revenue (the platform's take cut): GOV might be $10 million annually while Revenue is only $1.5â2.5 million depending on take rate.
Variable costs are dominated by courier payouts ($7.50 per order at opening, declining as order density increases and batching improves), payment processing (2.2% of GOV), and insurance. Operating expenses include sales &amp; marketing (aggressive discounts to acquire users, plus brand advertising), R&amp;D (app dev and algorithms), and G&amp;A. The model shows that the contribution margin (revenue minus courier payouts and processing) is thin (5â15% of revenue) because delivery logistics are inherently expensive. Profitability requires advertising revenue growth (high-margin, near 100% GM) and reduced consumer discounts as network effects kick in.
Cash conversion is favorable due to negative working capital: the platform collects from consumers immediately but remits to restaurants weekly, generating float. This template is suitable for VC and PE investors evaluating food delivery companies and marketplace executives stress-testing unit economics against competitive pricing.</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</si>
  <si>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</si>
  <si>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</si>
  <si>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</si>
  <si>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</si>
  <si>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t>
  </si>
  <si>
    <t xml:space="preserve">Parameter</t>
  </si>
  <si>
    <t xml:space="preserve">Value</t>
  </si>
  <si>
    <t xml:space="preserve">Unit</t>
  </si>
  <si>
    <t xml:space="preserve">Notes</t>
  </si>
  <si>
    <t xml:space="preserve">Marketplace KPIs</t>
  </si>
  <si>
    <t xml:space="preserve">Starting MAPCs</t>
  </si>
  <si>
    <t xml:space="preserve">users</t>
  </si>
  <si>
    <t xml:space="preserve">Monthly active platform consumers</t>
  </si>
  <si>
    <t xml:space="preserve">MAPC Growth Rate</t>
  </si>
  <si>
    <t xml:space="preserve">%/month</t>
  </si>
  <si>
    <t xml:space="preserve">Monthly user growth</t>
  </si>
  <si>
    <t xml:space="preserve">Orders per MAPC/Mo</t>
  </si>
  <si>
    <t xml:space="preserve">orders</t>
  </si>
  <si>
    <t xml:space="preserve">~1 order per week</t>
  </si>
  <si>
    <t xml:space="preserve">Average Order Value</t>
  </si>
  <si>
    <t xml:space="preserve">$</t>
  </si>
  <si>
    <t xml:space="preserve">Typical 1-2 person meal</t>
  </si>
  <si>
    <t xml:space="preserve">AOV Annual Growth</t>
  </si>
  <si>
    <t xml:space="preserve">%/year</t>
  </si>
  <si>
    <t xml:space="preserve">Food inflation tracker</t>
  </si>
  <si>
    <t xml:space="preserve">Revenue Rates</t>
  </si>
  <si>
    <t xml:space="preserve">Restaurant Commission</t>
  </si>
  <si>
    <t xml:space="preserve">%</t>
  </si>
  <si>
    <t xml:space="preserve">Blended rate</t>
  </si>
  <si>
    <t xml:space="preserve">Consumer Delivery Fee</t>
  </si>
  <si>
    <t xml:space="preserve">$/order</t>
  </si>
  <si>
    <t xml:space="preserve">Average per-order fee</t>
  </si>
  <si>
    <t xml:space="preserve">Consumer Service Fee</t>
  </si>
  <si>
    <t xml:space="preserve">% of AOV</t>
  </si>
  <si>
    <t xml:space="preserve">Variable fee on order value</t>
  </si>
  <si>
    <t xml:space="preserve">Advertising Revenue</t>
  </si>
  <si>
    <t xml:space="preserve">% of GOV</t>
  </si>
  <si>
    <t xml:space="preserve">Promoted listings</t>
  </si>
  <si>
    <t xml:space="preserve">Subscription Fee</t>
  </si>
  <si>
    <t xml:space="preserve">$/month</t>
  </si>
  <si>
    <t xml:space="preserve">DashPass equivalent</t>
  </si>
  <si>
    <t xml:space="preserve">Subscription Penetration</t>
  </si>
  <si>
    <t xml:space="preserve">% of MAPCs</t>
  </si>
  <si>
    <t xml:space="preserve">Users subscribing</t>
  </si>
  <si>
    <t xml:space="preserve">Cost of Revenue</t>
  </si>
  <si>
    <t xml:space="preserve">Courier Payout/Order</t>
  </si>
  <si>
    <t xml:space="preserve">Base pay + distance + time</t>
  </si>
  <si>
    <t xml:space="preserve">Payment Processing</t>
  </si>
  <si>
    <t xml:space="preserve">Interchange + gateway</t>
  </si>
  <si>
    <t xml:space="preserve">Courier Insurance</t>
  </si>
  <si>
    <t xml:space="preserve">% of Revenue</t>
  </si>
  <si>
    <t xml:space="preserve">Platform insurance</t>
  </si>
  <si>
    <t xml:space="preserve">Cloud Hosting</t>
  </si>
  <si>
    <t xml:space="preserve">Server costs</t>
  </si>
  <si>
    <t xml:space="preserve">Operating Expenses</t>
  </si>
  <si>
    <t xml:space="preserve">S&amp;M % of Revenue</t>
  </si>
  <si>
    <t xml:space="preserve">Promos, brand ads, CAC</t>
  </si>
  <si>
    <t xml:space="preserve">R&amp;D % of Revenue</t>
  </si>
  <si>
    <t xml:space="preserve">App dev, algorithms</t>
  </si>
  <si>
    <t xml:space="preserve">G&amp;A % of Revenue</t>
  </si>
  <si>
    <t xml:space="preserve">Corporate overhead, legal</t>
  </si>
  <si>
    <t xml:space="preserve">SBC % of Revenue</t>
  </si>
  <si>
    <t xml:space="preserve">Equity comp for tech talent</t>
  </si>
  <si>
    <t xml:space="preserve">Working Capital</t>
  </si>
  <si>
    <t xml:space="preserve">DSO</t>
  </si>
  <si>
    <t xml:space="preserve">days</t>
  </si>
  <si>
    <t xml:space="preserve">Credit card processing speed</t>
  </si>
  <si>
    <t xml:space="preserve">DPO</t>
  </si>
  <si>
    <t xml:space="preserve">Restaurant remittance cycle</t>
  </si>
  <si>
    <t xml:space="preserve">CapEx &amp; Depreciation</t>
  </si>
  <si>
    <t xml:space="preserve">CapEx % of Revenue</t>
  </si>
  <si>
    <t xml:space="preserve">Capitalised software + IT</t>
  </si>
  <si>
    <t xml:space="preserve">Depreciation Rate</t>
  </si>
  <si>
    <t xml:space="preserve">3-year straight-line</t>
  </si>
  <si>
    <t xml:space="preserve">Tax &amp; Finance</t>
  </si>
  <si>
    <t xml:space="preserve">Corporate Tax Rate</t>
  </si>
  <si>
    <t xml:space="preserve">US federal rate</t>
  </si>
  <si>
    <t xml:space="preserve">Starting Cash</t>
  </si>
  <si>
    <t xml:space="preserve">Series A proceeds</t>
  </si>
  <si>
    <t xml:space="preserve">Equity Injection</t>
  </si>
  <si>
    <t xml:space="preserve">Initial equity funding</t>
  </si>
  <si>
    <t xml:space="preserve">Model Setup</t>
  </si>
  <si>
    <t xml:space="preserve">Start Year</t>
  </si>
  <si>
    <t xml:space="preserve">year</t>
  </si>
  <si>
    <t xml:space="preserve">Projection start year</t>
  </si>
  <si>
    <t xml:space="preserve">Start Month</t>
  </si>
  <si>
    <t xml:space="preserve">month</t>
  </si>
  <si>
    <t xml:space="preserve">January</t>
  </si>
  <si>
    <t xml:space="preserve">24-Month Projections</t>
  </si>
  <si>
    <t xml:space="preserve">Date</t>
  </si>
  <si>
    <t xml:space="preserve">Month</t>
  </si>
  <si>
    <t xml:space="preserve">Platform Users</t>
  </si>
  <si>
    <t xml:space="preserve">MAPCs</t>
  </si>
  <si>
    <t xml:space="preserve">New MAPCs</t>
  </si>
  <si>
    <t xml:space="preserve">Orders</t>
  </si>
  <si>
    <t xml:space="preserve">Total Orders</t>
  </si>
  <si>
    <t xml:space="preserve">AOV</t>
  </si>
  <si>
    <t xml:space="preserve">Gross Order Value</t>
  </si>
  <si>
    <t xml:space="preserve">GOV</t>
  </si>
  <si>
    <t xml:space="preserve">Revenue Build</t>
  </si>
  <si>
    <t xml:space="preserve">Restaurant Commissions</t>
  </si>
  <si>
    <t xml:space="preserve">Commission Revenue</t>
  </si>
  <si>
    <t xml:space="preserve">Consumer Fees</t>
  </si>
  <si>
    <t xml:space="preserve">Delivery Fee Revenue</t>
  </si>
  <si>
    <t xml:space="preserve">Service Fee Revenue</t>
  </si>
  <si>
    <t xml:space="preserve">Total Consumer Fees</t>
  </si>
  <si>
    <t xml:space="preserve">Advertising</t>
  </si>
  <si>
    <t xml:space="preserve">Subscriptions</t>
  </si>
  <si>
    <t xml:space="preserve">Active Subscribers</t>
  </si>
  <si>
    <t xml:space="preserve">Subscription Revenue</t>
  </si>
  <si>
    <t xml:space="preserve">Total Revenue</t>
  </si>
  <si>
    <t xml:space="preserve">TOTAL REVENUE</t>
  </si>
  <si>
    <t xml:space="preserve">Implied Take Rate</t>
  </si>
  <si>
    <t xml:space="preserve">Courier Payouts</t>
  </si>
  <si>
    <t xml:space="preserve">TOTAL COGS</t>
  </si>
  <si>
    <t xml:space="preserve">Gross Profit</t>
  </si>
  <si>
    <t xml:space="preserve">Gross Margin</t>
  </si>
  <si>
    <t xml:space="preserve">Sales &amp; Marketing</t>
  </si>
  <si>
    <t xml:space="preserve">S&amp;M Expense</t>
  </si>
  <si>
    <t xml:space="preserve">CAC</t>
  </si>
  <si>
    <t xml:space="preserve">Research &amp; Development</t>
  </si>
  <si>
    <t xml:space="preserve">R&amp;D Expense</t>
  </si>
  <si>
    <t xml:space="preserve">General &amp; Administrative</t>
  </si>
  <si>
    <t xml:space="preserve">G&amp;A Expense</t>
  </si>
  <si>
    <t xml:space="preserve">Stock-Based Compensation</t>
  </si>
  <si>
    <t xml:space="preserve">SBC Expense</t>
  </si>
  <si>
    <t xml:space="preserve">TOTAL OPEX</t>
  </si>
  <si>
    <t xml:space="preserve">EBITDA</t>
  </si>
  <si>
    <t xml:space="preserve">EBITDA Margin</t>
  </si>
  <si>
    <t xml:space="preserve">Income Statement</t>
  </si>
  <si>
    <t xml:space="preserve">Revenue &amp; Gross Profit</t>
  </si>
  <si>
    <t xml:space="preserve">Stock-Based Comp</t>
  </si>
  <si>
    <t xml:space="preserve">Total OpEx</t>
  </si>
  <si>
    <t xml:space="preserve">Depreciation &amp; Amort</t>
  </si>
  <si>
    <t xml:space="preserve">EBIT</t>
  </si>
  <si>
    <t xml:space="preserve">Cumulative EBT</t>
  </si>
  <si>
    <t xml:space="preserve">Income Tax</t>
  </si>
  <si>
    <t xml:space="preserve">NET INCOME</t>
  </si>
  <si>
    <t xml:space="preserve">Net Margin</t>
  </si>
  <si>
    <t xml:space="preserve">Accounts Receivable</t>
  </si>
  <si>
    <t xml:space="preserve">Accounts Payable</t>
  </si>
  <si>
    <t xml:space="preserve">Net Working Capital</t>
  </si>
  <si>
    <t xml:space="preserve">Change in AR</t>
  </si>
  <si>
    <t xml:space="preserve">Change in AP</t>
  </si>
  <si>
    <t xml:space="preserve">Total WC Change</t>
  </si>
  <si>
    <t xml:space="preserve">Cash Flow Statement</t>
  </si>
  <si>
    <t xml:space="preserve">Cash from Operations</t>
  </si>
  <si>
    <t xml:space="preserve">Net Income</t>
  </si>
  <si>
    <t xml:space="preserve">Cash from Investing</t>
  </si>
  <si>
    <t xml:space="preserve">Capital Expenditures</t>
  </si>
  <si>
    <t xml:space="preserve">Cash from Financing</t>
  </si>
  <si>
    <t xml:space="preserve">NET CASH FLOW</t>
  </si>
  <si>
    <t xml:space="preserve">Opening Cash</t>
  </si>
  <si>
    <t xml:space="preserve">Closing Cash</t>
  </si>
  <si>
    <t xml:space="preserve">Balance Sheet</t>
  </si>
  <si>
    <t xml:space="preserve">Assets</t>
  </si>
  <si>
    <t xml:space="preserve">Cash</t>
  </si>
  <si>
    <t xml:space="preserve">PP&amp;E (Net)</t>
  </si>
  <si>
    <t xml:space="preserve">TOTAL ASSETS</t>
  </si>
  <si>
    <t xml:space="preserve">Liabilities</t>
  </si>
  <si>
    <t xml:space="preserve">TOTAL LIABILITIES</t>
  </si>
  <si>
    <t xml:space="preserve">Equity</t>
  </si>
  <si>
    <t xml:space="preserve">Share Capital</t>
  </si>
  <si>
    <t xml:space="preserve">APIC (SBC)</t>
  </si>
  <si>
    <t xml:space="preserve">Retained Earnings</t>
  </si>
  <si>
    <t xml:space="preserve">Total Equity</t>
  </si>
  <si>
    <t xml:space="preserve">TOTAL L&amp;E</t>
  </si>
  <si>
    <t xml:space="preserve">Balance Check</t>
  </si>
  <si>
    <t xml:space="preserve">Validation Checks</t>
  </si>
  <si>
    <t xml:space="preserve">Error Flags</t>
  </si>
  <si>
    <t xml:space="preserve">BS Balance</t>
  </si>
  <si>
    <t xml:space="preserve">Take Rate (10-30%)</t>
  </si>
  <si>
    <t xml:space="preserve">Gross Margin (30-60%)</t>
  </si>
  <si>
    <t xml:space="preserve">Cash &gt;= 0</t>
  </si>
  <si>
    <t xml:space="preserve">Contribution Margin</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</si>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</sst>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mmm\-yy"/>
    <numFmt numFmtId="169" formatCode="@"/>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2"/>
      <name val="Arial"/>
      <family val="0"/>
      <charset val="1"/>
    </font>
    <font>
      <b val="true"/>
      <sz val="11"/>
      <color theme="0"/>
      <name val="Arial"/>
      <family val="0"/>
      <charset val="1"/>
    </font>
    <font>
      <b val="true"/>
      <sz val="11"/>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sz val="11"/>
      <color rgb="FF808080"/>
      <name val="Arial"/>
      <family val="0"/>
      <charset val="1"/>
    </font>
    <font>
      <i val="true"/>
      <sz val="11"/>
      <color rgb="FF808080"/>
      <name val="Arial"/>
      <family val="0"/>
      <charset val="1"/>
    </font>
    <font>
      <b val="true"/>
      <sz val="11"/>
      <color rgb="FF80808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EBF5FB"/>
        <bgColor rgb="FFF2F2F2"/>
      </patternFill>
    </fill>
    <fill>
      <patternFill patternType="solid">
        <fgColor rgb="FF1F4E79"/>
        <bgColor rgb="FF1F497D"/>
      </patternFill>
    </fill>
    <fill>
      <patternFill patternType="solid">
        <fgColor rgb="FFF2F2F2"/>
        <bgColor rgb="FFEBF5FB"/>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true" applyProtection="false">
      <alignment horizontal="left" vertical="bottom" textRotation="0" wrapText="false" indent="0" shrinkToFit="false"/>
      <protection locked="true" hidden="false"/>
    </xf>
    <xf numFmtId="164" fontId="12" fillId="4" borderId="0" xfId="0" applyFont="true" applyBorder="false" applyAlignment="true" applyProtection="false">
      <alignment horizontal="left" vertical="bottom" textRotation="0" wrapText="false" indent="0" shrinkToFit="false"/>
      <protection locked="true" hidden="false"/>
    </xf>
    <xf numFmtId="164" fontId="12" fillId="5" borderId="0" xfId="0" applyFont="true" applyBorder="false" applyAlignment="true" applyProtection="false">
      <alignment horizontal="left" vertical="bottom" textRotation="0" wrapText="false" indent="0" shrinkToFit="false"/>
      <protection locked="true" hidden="false"/>
    </xf>
    <xf numFmtId="164" fontId="12" fillId="6" borderId="0" xfId="0" applyFont="true" applyBorder="false" applyAlignment="true" applyProtection="false">
      <alignment horizontal="left" vertical="bottom" textRotation="0" wrapText="false" indent="0" shrinkToFit="false"/>
      <protection locked="true" hidden="false"/>
    </xf>
    <xf numFmtId="164" fontId="12" fillId="7" borderId="0" xfId="0" applyFont="true" applyBorder="false" applyAlignment="true" applyProtection="false">
      <alignment horizontal="left" vertical="bottom" textRotation="0" wrapText="false" indent="0" shrinkToFit="false"/>
      <protection locked="true" hidden="false"/>
    </xf>
    <xf numFmtId="164" fontId="13" fillId="8" borderId="0" xfId="0" applyFont="true" applyBorder="false" applyAlignment="true" applyProtection="false">
      <alignment horizontal="left" vertical="center" textRotation="0" wrapText="false" indent="0" shrinkToFit="false"/>
      <protection locked="true" hidden="false"/>
    </xf>
    <xf numFmtId="164" fontId="14" fillId="8"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xf numFmtId="164" fontId="18" fillId="9" borderId="0" xfId="0" applyFont="true" applyBorder="false" applyAlignment="true" applyProtection="false">
      <alignment horizontal="left"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5" fontId="19" fillId="1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6" fontId="19" fillId="10" borderId="0" xfId="0" applyFont="true" applyBorder="false" applyAlignment="true" applyProtection="false">
      <alignment horizontal="right" vertical="bottom" textRotation="0" wrapText="false" indent="0" shrinkToFit="false"/>
      <protection locked="true" hidden="false"/>
    </xf>
    <xf numFmtId="167" fontId="19" fillId="1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8" fontId="11" fillId="2" borderId="0" xfId="0" applyFont="true" applyBorder="false" applyAlignment="true" applyProtection="false">
      <alignment horizontal="center" vertical="bottom" textRotation="0" wrapText="false" indent="0" shrinkToFit="false"/>
      <protection locked="true" hidden="false"/>
    </xf>
    <xf numFmtId="165" fontId="20"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left" vertical="bottom" textRotation="0" wrapText="false" indent="0" shrinkToFit="false"/>
      <protection locked="true" hidden="false"/>
    </xf>
    <xf numFmtId="165" fontId="23"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7" fontId="23" fillId="0" borderId="2" xfId="0" applyFont="true" applyBorder="true" applyAlignment="true" applyProtection="false">
      <alignment horizontal="right" vertical="bottom" textRotation="0" wrapText="false" indent="0" shrinkToFit="false"/>
      <protection locked="true" hidden="false"/>
    </xf>
    <xf numFmtId="167" fontId="23" fillId="0" borderId="1"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5" fillId="11"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8" fillId="12"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5FB"/>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5"/>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6"/>
    </row>
    <row r="6" customFormat="false" ht="15" hidden="false" customHeight="false" outlineLevel="0" collapsed="false">
      <c r="A6" s="6"/>
      <c r="B6" s="6"/>
      <c r="C6" s="6"/>
    </row>
    <row r="7" customFormat="false" ht="15" hidden="false" customHeight="false" outlineLevel="0" collapsed="false">
      <c r="A7" s="6"/>
      <c r="B7" s="8" t="s">
        <v>4</v>
      </c>
      <c r="C7" s="9" t="s">
        <v>5</v>
      </c>
    </row>
    <row r="8" customFormat="false" ht="15" hidden="false" customHeight="false" outlineLevel="0" collapsed="false">
      <c r="A8" s="6"/>
      <c r="B8" s="10" t="s">
        <v>6</v>
      </c>
      <c r="C8" s="9" t="s">
        <v>7</v>
      </c>
    </row>
    <row r="9" customFormat="false" ht="15" hidden="false" customHeight="false" outlineLevel="0" collapsed="false">
      <c r="A9" s="6"/>
      <c r="B9" s="11" t="s">
        <v>8</v>
      </c>
      <c r="C9" s="9" t="s">
        <v>9</v>
      </c>
    </row>
    <row r="10" customFormat="false" ht="15" hidden="false" customHeight="false" outlineLevel="0" collapsed="false">
      <c r="A10" s="6"/>
      <c r="B10" s="11" t="s">
        <v>10</v>
      </c>
      <c r="C10" s="9" t="s">
        <v>11</v>
      </c>
    </row>
    <row r="11" customFormat="false" ht="15" hidden="false" customHeight="false" outlineLevel="0" collapsed="false">
      <c r="A11" s="6"/>
      <c r="B11" s="12" t="s">
        <v>12</v>
      </c>
      <c r="C11" s="9" t="s">
        <v>13</v>
      </c>
    </row>
    <row r="12" customFormat="false" ht="15" hidden="false" customHeight="false" outlineLevel="0" collapsed="false">
      <c r="A12" s="6"/>
      <c r="B12" s="12" t="s">
        <v>14</v>
      </c>
      <c r="C12" s="9" t="s">
        <v>15</v>
      </c>
    </row>
    <row r="13" customFormat="false" ht="15" hidden="false" customHeight="false" outlineLevel="0" collapsed="false">
      <c r="A13" s="6"/>
      <c r="B13" s="13" t="s">
        <v>16</v>
      </c>
      <c r="C13" s="9" t="s">
        <v>17</v>
      </c>
    </row>
    <row r="14" customFormat="false" ht="15" hidden="false" customHeight="false" outlineLevel="0" collapsed="false">
      <c r="A14" s="6"/>
      <c r="B14" s="13" t="s">
        <v>18</v>
      </c>
      <c r="C14" s="9" t="s">
        <v>19</v>
      </c>
    </row>
    <row r="15" customFormat="false" ht="15" hidden="false" customHeight="false" outlineLevel="0" collapsed="false">
      <c r="A15" s="6"/>
      <c r="B15" s="13" t="s">
        <v>20</v>
      </c>
      <c r="C15" s="9" t="s">
        <v>21</v>
      </c>
    </row>
    <row r="16" customFormat="false" ht="15" hidden="false" customHeight="false" outlineLevel="0" collapsed="false">
      <c r="A16" s="6"/>
      <c r="B16" s="13" t="s">
        <v>22</v>
      </c>
      <c r="C16" s="9" t="s">
        <v>23</v>
      </c>
    </row>
    <row r="17" customFormat="false" ht="15" hidden="false" customHeight="false" outlineLevel="0" collapsed="false">
      <c r="A17" s="6"/>
      <c r="B17" s="14" t="s">
        <v>24</v>
      </c>
      <c r="C17" s="9" t="s">
        <v>25</v>
      </c>
    </row>
    <row r="20" customFormat="false" ht="19.5" hidden="false" customHeight="true" outlineLevel="0" collapsed="false">
      <c r="B20" s="15" t="s">
        <v>26</v>
      </c>
      <c r="C20" s="16"/>
      <c r="D20" s="16"/>
      <c r="E20" s="16"/>
      <c r="F20" s="16"/>
      <c r="G20" s="16"/>
    </row>
    <row r="21" customFormat="false" ht="246" hidden="false" customHeight="true" outlineLevel="0" collapsed="false">
      <c r="B21" s="17" t="s">
        <v>27</v>
      </c>
      <c r="C21" s="17"/>
      <c r="D21" s="17"/>
      <c r="E21" s="17"/>
      <c r="F21" s="17"/>
      <c r="G21" s="17"/>
    </row>
    <row r="23" customFormat="false" ht="19.5" hidden="false" customHeight="true" outlineLevel="0" collapsed="false">
      <c r="B23" s="15" t="s">
        <v>28</v>
      </c>
      <c r="C23" s="16"/>
      <c r="D23" s="16"/>
      <c r="E23" s="16"/>
      <c r="F23" s="16"/>
      <c r="G23" s="16"/>
    </row>
    <row r="24" customFormat="false" ht="57" hidden="false" customHeight="true" outlineLevel="0" collapsed="false">
      <c r="B24" s="17" t="s">
        <v>29</v>
      </c>
      <c r="C24" s="17"/>
      <c r="D24" s="17"/>
      <c r="E24" s="17"/>
      <c r="F24" s="17"/>
      <c r="G24" s="17"/>
    </row>
    <row r="25" customFormat="false" ht="15" hidden="false" customHeight="false" outlineLevel="0" collapsed="false">
      <c r="B25" s="18" t="s">
        <v>30</v>
      </c>
      <c r="C25" s="18"/>
      <c r="D25" s="18"/>
      <c r="E25" s="18"/>
      <c r="F25" s="18"/>
      <c r="G25" s="18"/>
    </row>
    <row r="26" customFormat="false" ht="15" hidden="false" customHeight="false" outlineLevel="0" collapsed="false">
      <c r="B26" s="19" t="s">
        <v>31</v>
      </c>
    </row>
  </sheetData>
  <mergeCells count="3">
    <mergeCell ref="B21:G21"/>
    <mergeCell ref="B24:G24"/>
    <mergeCell ref="B25:G2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182</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183</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33" t="s">
        <v>184</v>
      </c>
      <c r="C9" s="35" t="n">
        <f aca="false">CF_Closing_Cash</f>
        <v>25166929.1666667</v>
      </c>
      <c r="D9" s="35" t="n">
        <f aca="false">CF_Closing_Cash</f>
        <v>25074667.225</v>
      </c>
      <c r="E9" s="35" t="n">
        <f aca="false">CF_Closing_Cash</f>
        <v>24979379.62945</v>
      </c>
      <c r="F9" s="35" t="n">
        <f aca="false">CF_Closing_Cash</f>
        <v>24880998.6365209</v>
      </c>
      <c r="G9" s="35" t="n">
        <f aca="false">CF_Closing_Cash</f>
        <v>24779457.5117925</v>
      </c>
      <c r="H9" s="35" t="n">
        <f aca="false">CF_Closing_Cash</f>
        <v>24674690.8117264</v>
      </c>
      <c r="I9" s="35" t="n">
        <f aca="false">CF_Closing_Cash</f>
        <v>24566634.6917382</v>
      </c>
      <c r="J9" s="35" t="n">
        <f aca="false">CF_Closing_Cash</f>
        <v>24455227.2424878</v>
      </c>
      <c r="K9" s="35" t="n">
        <f aca="false">CF_Closing_Cash</f>
        <v>24340408.8564755</v>
      </c>
      <c r="L9" s="35" t="n">
        <f aca="false">CF_Closing_Cash</f>
        <v>24222122.6271669</v>
      </c>
      <c r="M9" s="35" t="n">
        <f aca="false">CF_Closing_Cash</f>
        <v>24100314.7830218</v>
      </c>
      <c r="N9" s="35" t="n">
        <f aca="false">CF_Closing_Cash</f>
        <v>23974935.1589587</v>
      </c>
      <c r="O9" s="35" t="n">
        <f aca="false">CF_Closing_Cash</f>
        <v>23845937.7079532</v>
      </c>
      <c r="P9" s="35" t="n">
        <f aca="false">CF_Closing_Cash</f>
        <v>23713281.0556513</v>
      </c>
      <c r="Q9" s="35" t="n">
        <f aca="false">CF_Closing_Cash</f>
        <v>23576929.1010629</v>
      </c>
      <c r="R9" s="35" t="n">
        <f aca="false">CF_Closing_Cash</f>
        <v>23436851.6666071</v>
      </c>
      <c r="S9" s="35" t="n">
        <f aca="false">CF_Closing_Cash</f>
        <v>23293025.2009932</v>
      </c>
      <c r="T9" s="35" t="n">
        <f aca="false">CF_Closing_Cash</f>
        <v>23145433.5386478</v>
      </c>
      <c r="U9" s="35" t="n">
        <f aca="false">CF_Closing_Cash</f>
        <v>22994068.7196442</v>
      </c>
      <c r="V9" s="35" t="n">
        <f aca="false">CF_Closing_Cash</f>
        <v>22838931.8743417</v>
      </c>
      <c r="W9" s="35" t="n">
        <f aca="false">CF_Closing_Cash</f>
        <v>22680034.1772215</v>
      </c>
      <c r="X9" s="35" t="n">
        <f aca="false">CF_Closing_Cash</f>
        <v>22517397.87469</v>
      </c>
      <c r="Y9" s="35" t="n">
        <f aca="false">CF_Closing_Cash</f>
        <v>22351057.3919324</v>
      </c>
      <c r="Z9" s="35" t="n">
        <f aca="false">CF_Closing_Cash</f>
        <v>22181060.5242239</v>
      </c>
    </row>
    <row r="10" customFormat="false" ht="15" hidden="false" customHeight="false" outlineLevel="0" collapsed="false">
      <c r="A10" s="6"/>
      <c r="B10" s="33" t="s">
        <v>167</v>
      </c>
      <c r="C10" s="35" t="n">
        <f aca="false">WC_AR</f>
        <v>123661.666666667</v>
      </c>
      <c r="D10" s="35" t="n">
        <f aca="false">WC_AR</f>
        <v>130068.75</v>
      </c>
      <c r="E10" s="35" t="n">
        <f aca="false">WC_AR</f>
        <v>136807.9755</v>
      </c>
      <c r="F10" s="35" t="n">
        <f aca="false">WC_AR</f>
        <v>143896.5706185</v>
      </c>
      <c r="G10" s="35" t="n">
        <f aca="false">WC_AR</f>
        <v>151352.656825502</v>
      </c>
      <c r="H10" s="35" t="n">
        <f aca="false">WC_AR</f>
        <v>159195.296028057</v>
      </c>
      <c r="I10" s="35" t="n">
        <f aca="false">WC_AR</f>
        <v>167444.539400503</v>
      </c>
      <c r="J10" s="35" t="n">
        <f aca="false">WC_AR</f>
        <v>176121.478751371</v>
      </c>
      <c r="K10" s="35" t="n">
        <f aca="false">WC_AR</f>
        <v>185248.300558826</v>
      </c>
      <c r="L10" s="35" t="n">
        <f aca="false">WC_AR</f>
        <v>194848.342813305</v>
      </c>
      <c r="M10" s="35" t="n">
        <f aca="false">WC_AR</f>
        <v>204946.154813305</v>
      </c>
      <c r="N10" s="35" t="n">
        <f aca="false">WC_AR</f>
        <v>215567.560067778</v>
      </c>
      <c r="O10" s="35" t="n">
        <f aca="false">WC_AR</f>
        <v>226739.722466638</v>
      </c>
      <c r="P10" s="35" t="n">
        <f aca="false">WC_AR</f>
        <v>238491.215889254</v>
      </c>
      <c r="Q10" s="35" t="n">
        <f aca="false">WC_AR</f>
        <v>250852.097429624</v>
      </c>
      <c r="R10" s="35" t="n">
        <f aca="false">WC_AR</f>
        <v>263853.984426267</v>
      </c>
      <c r="S10" s="35" t="n">
        <f aca="false">WC_AR</f>
        <v>277530.135494578</v>
      </c>
      <c r="T10" s="35" t="n">
        <f aca="false">WC_AR</f>
        <v>291915.535769753</v>
      </c>
      <c r="U10" s="35" t="n">
        <f aca="false">WC_AR</f>
        <v>307046.986579148</v>
      </c>
      <c r="V10" s="35" t="n">
        <f aca="false">WC_AR</f>
        <v>322963.199774363</v>
      </c>
      <c r="W10" s="35" t="n">
        <f aca="false">WC_AR</f>
        <v>339704.896965301</v>
      </c>
      <c r="X10" s="35" t="n">
        <f aca="false">WC_AR</f>
        <v>357314.913911052</v>
      </c>
      <c r="Y10" s="35" t="n">
        <f aca="false">WC_AR</f>
        <v>375838.310335721</v>
      </c>
      <c r="Z10" s="35" t="n">
        <f aca="false">WC_AR</f>
        <v>395322.485451243</v>
      </c>
    </row>
    <row r="11" customFormat="false" ht="15" hidden="false" customHeight="false" outlineLevel="0" collapsed="false">
      <c r="A11" s="6"/>
      <c r="B11" s="33" t="s">
        <v>185</v>
      </c>
      <c r="C11" s="35" t="n">
        <f aca="false">-CF_CapEx-IS_DA</f>
        <v>42199.54375</v>
      </c>
      <c r="D11" s="35" t="n">
        <f aca="false">C11-CF_CapEx-IS_DA</f>
        <v>91686.5484375</v>
      </c>
      <c r="E11" s="35" t="n">
        <f aca="false">D11-CF_CapEx-IS_DA</f>
        <v>148838.649764375</v>
      </c>
      <c r="F11" s="35" t="n">
        <f aca="false">E11-CF_CapEx-IS_DA</f>
        <v>214053.063164813</v>
      </c>
      <c r="G11" s="35" t="n">
        <f aca="false">F11-CF_CapEx-IS_DA</f>
        <v>287747.599521404</v>
      </c>
      <c r="H11" s="35" t="n">
        <f aca="false">G11-CF_CapEx-IS_DA</f>
        <v>370361.733599918</v>
      </c>
      <c r="I11" s="35" t="n">
        <f aca="false">H11-CF_CapEx-IS_DA</f>
        <v>462357.727940437</v>
      </c>
      <c r="J11" s="35" t="n">
        <f aca="false">I11-CF_CapEx-IS_DA</f>
        <v>564221.815084711</v>
      </c>
      <c r="K11" s="35" t="n">
        <f aca="false">J11-CF_CapEx-IS_DA</f>
        <v>676465.441169272</v>
      </c>
      <c r="L11" s="35" t="n">
        <f aca="false">K11-CF_CapEx-IS_DA</f>
        <v>799626.574071226</v>
      </c>
      <c r="M11" s="35" t="n">
        <f aca="false">L11-CF_CapEx-IS_DA</f>
        <v>934271.079459229</v>
      </c>
      <c r="N11" s="35" t="n">
        <f aca="false">M11-CF_CapEx-IS_DA</f>
        <v>1080994.16827637</v>
      </c>
      <c r="O11" s="35" t="n">
        <f aca="false">N11-CF_CapEx-IS_DA</f>
        <v>1240421.91936492</v>
      </c>
      <c r="P11" s="35" t="n">
        <f aca="false">O11-CF_CapEx-IS_DA</f>
        <v>1413212.88113568</v>
      </c>
      <c r="Q11" s="35" t="n">
        <f aca="false">P11-CF_CapEx-IS_DA</f>
        <v>1600059.75638753</v>
      </c>
      <c r="R11" s="35" t="n">
        <f aca="false">Q11-CF_CapEx-IS_DA</f>
        <v>1801691.17459595</v>
      </c>
      <c r="S11" s="35" t="n">
        <f aca="false">R11-CF_CapEx-IS_DA</f>
        <v>2018873.55621402</v>
      </c>
      <c r="T11" s="35" t="n">
        <f aca="false">S11-CF_CapEx-IS_DA</f>
        <v>2252413.07376514</v>
      </c>
      <c r="U11" s="35" t="n">
        <f aca="false">T11-CF_CapEx-IS_DA</f>
        <v>2503157.71475547</v>
      </c>
      <c r="V11" s="35" t="n">
        <f aca="false">U11-CF_CapEx-IS_DA</f>
        <v>2771999.45169506</v>
      </c>
      <c r="W11" s="35" t="n">
        <f aca="false">V11-CF_CapEx-IS_DA</f>
        <v>3059876.52479175</v>
      </c>
      <c r="X11" s="35" t="n">
        <f aca="false">W11-CF_CapEx-IS_DA</f>
        <v>3367775.843171</v>
      </c>
      <c r="Y11" s="35" t="n">
        <f aca="false">X11-CF_CapEx-IS_DA</f>
        <v>3696735.51077899</v>
      </c>
      <c r="Z11" s="35" t="n">
        <f aca="false">Y11-CF_CapEx-IS_DA</f>
        <v>4047847.4834465</v>
      </c>
    </row>
    <row r="12" customFormat="false" ht="15" hidden="false" customHeight="false" outlineLevel="0" collapsed="false">
      <c r="A12" s="6"/>
      <c r="B12" s="31" t="s">
        <v>186</v>
      </c>
      <c r="C12" s="36" t="n">
        <f aca="false">C9+C10+C11</f>
        <v>25332790.3770833</v>
      </c>
      <c r="D12" s="36" t="n">
        <f aca="false">D9+D10+D11</f>
        <v>25296422.5234375</v>
      </c>
      <c r="E12" s="36" t="n">
        <f aca="false">E9+E10+E11</f>
        <v>25265026.2547144</v>
      </c>
      <c r="F12" s="36" t="n">
        <f aca="false">F9+F10+F11</f>
        <v>25238948.2703042</v>
      </c>
      <c r="G12" s="36" t="n">
        <f aca="false">G9+G10+G11</f>
        <v>25218557.7681394</v>
      </c>
      <c r="H12" s="36" t="n">
        <f aca="false">H9+H10+H11</f>
        <v>25204247.8413544</v>
      </c>
      <c r="I12" s="36" t="n">
        <f aca="false">I9+I10+I11</f>
        <v>25196436.9590791</v>
      </c>
      <c r="J12" s="36" t="n">
        <f aca="false">J9+J10+J11</f>
        <v>25195570.5363239</v>
      </c>
      <c r="K12" s="36" t="n">
        <f aca="false">K9+K10+K11</f>
        <v>25202122.5982036</v>
      </c>
      <c r="L12" s="36" t="n">
        <f aca="false">L9+L10+L11</f>
        <v>25216597.5440514</v>
      </c>
      <c r="M12" s="36" t="n">
        <f aca="false">M9+M10+M11</f>
        <v>25239532.0172944</v>
      </c>
      <c r="N12" s="36" t="n">
        <f aca="false">N9+N10+N11</f>
        <v>25271496.8873028</v>
      </c>
      <c r="O12" s="36" t="n">
        <f aca="false">O9+O10+O11</f>
        <v>25313099.3497848</v>
      </c>
      <c r="P12" s="36" t="n">
        <f aca="false">P9+P10+P11</f>
        <v>25364985.1526763</v>
      </c>
      <c r="Q12" s="36" t="n">
        <f aca="false">Q9+Q10+Q11</f>
        <v>25427840.95488</v>
      </c>
      <c r="R12" s="36" t="n">
        <f aca="false">R9+R10+R11</f>
        <v>25502396.8256293</v>
      </c>
      <c r="S12" s="36" t="n">
        <f aca="false">S9+S10+S11</f>
        <v>25589428.8927018</v>
      </c>
      <c r="T12" s="36" t="n">
        <f aca="false">T9+T10+T11</f>
        <v>25689762.1481827</v>
      </c>
      <c r="U12" s="36" t="n">
        <f aca="false">U9+U10+U11</f>
        <v>25804273.4209788</v>
      </c>
      <c r="V12" s="36" t="n">
        <f aca="false">V9+V10+V11</f>
        <v>25933894.5258111</v>
      </c>
      <c r="W12" s="36" t="n">
        <f aca="false">W9+W10+W11</f>
        <v>26079615.5989786</v>
      </c>
      <c r="X12" s="36" t="n">
        <f aca="false">X9+X10+X11</f>
        <v>26242488.631772</v>
      </c>
      <c r="Y12" s="36" t="n">
        <f aca="false">Y9+Y10+Y11</f>
        <v>26423631.2130471</v>
      </c>
      <c r="Z12" s="36" t="n">
        <f aca="false">Z9+Z10+Z11</f>
        <v>26624230.4931217</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21" t="s">
        <v>187</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6"/>
      <c r="B15" s="33" t="s">
        <v>168</v>
      </c>
      <c r="C15" s="35" t="n">
        <f aca="false">WC_AP</f>
        <v>392632.833333333</v>
      </c>
      <c r="D15" s="35" t="n">
        <f aca="false">WC_AP</f>
        <v>412410.075</v>
      </c>
      <c r="E15" s="35" t="n">
        <f aca="false">WC_AP</f>
        <v>433183.84095</v>
      </c>
      <c r="F15" s="35" t="n">
        <f aca="false">WC_AP</f>
        <v>455004.360620775</v>
      </c>
      <c r="G15" s="35" t="n">
        <f aca="false">WC_AP</f>
        <v>477924.396141264</v>
      </c>
      <c r="H15" s="35" t="n">
        <f aca="false">WC_AP</f>
        <v>501999.370083159</v>
      </c>
      <c r="I15" s="35" t="n">
        <f aca="false">WC_AP</f>
        <v>527287.499658495</v>
      </c>
      <c r="J15" s="35" t="n">
        <f aca="false">WC_AP</f>
        <v>553849.937688968</v>
      </c>
      <c r="K15" s="35" t="n">
        <f aca="false">WC_AP</f>
        <v>581750.920688842</v>
      </c>
      <c r="L15" s="35" t="n">
        <f aca="false">WC_AP</f>
        <v>611057.924420534</v>
      </c>
      <c r="M15" s="35" t="n">
        <f aca="false">WC_AP</f>
        <v>641841.827300128</v>
      </c>
      <c r="N15" s="35" t="n">
        <f aca="false">WC_AP</f>
        <v>674177.08204911</v>
      </c>
      <c r="O15" s="35" t="n">
        <f aca="false">WC_AP</f>
        <v>708141.896008622</v>
      </c>
      <c r="P15" s="35" t="n">
        <f aca="false">WC_AP</f>
        <v>743818.420553587</v>
      </c>
      <c r="Q15" s="35" t="n">
        <f aca="false">WC_AP</f>
        <v>781292.950066107</v>
      </c>
      <c r="R15" s="35" t="n">
        <f aca="false">WC_AP</f>
        <v>820656.130950767</v>
      </c>
      <c r="S15" s="35" t="n">
        <f aca="false">WC_AP</f>
        <v>862003.181198854</v>
      </c>
      <c r="T15" s="35" t="n">
        <f aca="false">WC_AP</f>
        <v>905434.121034087</v>
      </c>
      <c r="U15" s="35" t="n">
        <f aca="false">WC_AP</f>
        <v>951054.015199381</v>
      </c>
      <c r="V15" s="35" t="n">
        <f aca="false">WC_AP</f>
        <v>998973.227472417</v>
      </c>
      <c r="W15" s="35" t="n">
        <f aca="false">WC_AP</f>
        <v>1049307.68802748</v>
      </c>
      <c r="X15" s="35" t="n">
        <f aca="false">WC_AP</f>
        <v>1102179.17429222</v>
      </c>
      <c r="Y15" s="35" t="n">
        <f aca="false">WC_AP</f>
        <v>1157715.60598076</v>
      </c>
      <c r="Z15" s="35" t="n">
        <f aca="false">WC_AP</f>
        <v>1216051.35501897</v>
      </c>
    </row>
    <row r="16" customFormat="false" ht="15" hidden="false" customHeight="false" outlineLevel="0" collapsed="false">
      <c r="A16" s="6"/>
      <c r="B16" s="31" t="s">
        <v>188</v>
      </c>
      <c r="C16" s="37" t="n">
        <f aca="false">C15</f>
        <v>392632.833333333</v>
      </c>
      <c r="D16" s="37" t="n">
        <f aca="false">D15</f>
        <v>412410.075</v>
      </c>
      <c r="E16" s="37" t="n">
        <f aca="false">E15</f>
        <v>433183.84095</v>
      </c>
      <c r="F16" s="37" t="n">
        <f aca="false">F15</f>
        <v>455004.360620775</v>
      </c>
      <c r="G16" s="37" t="n">
        <f aca="false">G15</f>
        <v>477924.396141264</v>
      </c>
      <c r="H16" s="37" t="n">
        <f aca="false">H15</f>
        <v>501999.370083159</v>
      </c>
      <c r="I16" s="37" t="n">
        <f aca="false">I15</f>
        <v>527287.499658495</v>
      </c>
      <c r="J16" s="37" t="n">
        <f aca="false">J15</f>
        <v>553849.937688968</v>
      </c>
      <c r="K16" s="37" t="n">
        <f aca="false">K15</f>
        <v>581750.920688842</v>
      </c>
      <c r="L16" s="37" t="n">
        <f aca="false">L15</f>
        <v>611057.924420534</v>
      </c>
      <c r="M16" s="37" t="n">
        <f aca="false">M15</f>
        <v>641841.827300128</v>
      </c>
      <c r="N16" s="37" t="n">
        <f aca="false">N15</f>
        <v>674177.08204911</v>
      </c>
      <c r="O16" s="37" t="n">
        <f aca="false">O15</f>
        <v>708141.896008622</v>
      </c>
      <c r="P16" s="37" t="n">
        <f aca="false">P15</f>
        <v>743818.420553587</v>
      </c>
      <c r="Q16" s="37" t="n">
        <f aca="false">Q15</f>
        <v>781292.950066107</v>
      </c>
      <c r="R16" s="37" t="n">
        <f aca="false">R15</f>
        <v>820656.130950767</v>
      </c>
      <c r="S16" s="37" t="n">
        <f aca="false">S15</f>
        <v>862003.181198854</v>
      </c>
      <c r="T16" s="37" t="n">
        <f aca="false">T15</f>
        <v>905434.121034087</v>
      </c>
      <c r="U16" s="37" t="n">
        <f aca="false">U15</f>
        <v>951054.015199381</v>
      </c>
      <c r="V16" s="37" t="n">
        <f aca="false">V15</f>
        <v>998973.227472417</v>
      </c>
      <c r="W16" s="37" t="n">
        <f aca="false">W15</f>
        <v>1049307.68802748</v>
      </c>
      <c r="X16" s="37" t="n">
        <f aca="false">X15</f>
        <v>1102179.17429222</v>
      </c>
      <c r="Y16" s="37" t="n">
        <f aca="false">Y15</f>
        <v>1157715.60598076</v>
      </c>
      <c r="Z16" s="37" t="n">
        <f aca="false">Z15</f>
        <v>1216051.35501897</v>
      </c>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6"/>
      <c r="B18" s="21" t="s">
        <v>189</v>
      </c>
      <c r="C18" s="22"/>
      <c r="D18" s="22"/>
      <c r="E18" s="22"/>
      <c r="F18" s="22"/>
      <c r="G18" s="22"/>
      <c r="H18" s="22"/>
      <c r="I18" s="22"/>
      <c r="J18" s="22"/>
      <c r="K18" s="22"/>
      <c r="L18" s="22"/>
      <c r="M18" s="22"/>
      <c r="N18" s="22"/>
      <c r="O18" s="22"/>
      <c r="P18" s="22"/>
      <c r="Q18" s="22"/>
      <c r="R18" s="22"/>
      <c r="S18" s="22"/>
      <c r="T18" s="22"/>
      <c r="U18" s="22"/>
      <c r="V18" s="22"/>
      <c r="W18" s="22"/>
      <c r="X18" s="22"/>
      <c r="Y18" s="22"/>
      <c r="Z18" s="22"/>
    </row>
    <row r="19" customFormat="false" ht="15" hidden="false" customHeight="false" outlineLevel="0" collapsed="false">
      <c r="A19" s="6"/>
      <c r="B19" s="33" t="s">
        <v>190</v>
      </c>
      <c r="C19" s="35" t="n">
        <f aca="false">Starting_Cash+Equity_Injection</f>
        <v>25000000</v>
      </c>
      <c r="D19" s="35" t="n">
        <f aca="false">C19+CF_Equity_Inj</f>
        <v>25000000</v>
      </c>
      <c r="E19" s="35" t="n">
        <f aca="false">D19+CF_Equity_Inj</f>
        <v>25000000</v>
      </c>
      <c r="F19" s="35" t="n">
        <f aca="false">E19+CF_Equity_Inj</f>
        <v>25000000</v>
      </c>
      <c r="G19" s="35" t="n">
        <f aca="false">F19+CF_Equity_Inj</f>
        <v>25000000</v>
      </c>
      <c r="H19" s="35" t="n">
        <f aca="false">G19+CF_Equity_Inj</f>
        <v>25000000</v>
      </c>
      <c r="I19" s="35" t="n">
        <f aca="false">H19+CF_Equity_Inj</f>
        <v>25000000</v>
      </c>
      <c r="J19" s="35" t="n">
        <f aca="false">I19+CF_Equity_Inj</f>
        <v>25000000</v>
      </c>
      <c r="K19" s="35" t="n">
        <f aca="false">J19+CF_Equity_Inj</f>
        <v>25000000</v>
      </c>
      <c r="L19" s="35" t="n">
        <f aca="false">K19+CF_Equity_Inj</f>
        <v>25000000</v>
      </c>
      <c r="M19" s="35" t="n">
        <f aca="false">L19+CF_Equity_Inj</f>
        <v>25000000</v>
      </c>
      <c r="N19" s="35" t="n">
        <f aca="false">M19+CF_Equity_Inj</f>
        <v>25000000</v>
      </c>
      <c r="O19" s="35" t="n">
        <f aca="false">N19+CF_Equity_Inj</f>
        <v>25000000</v>
      </c>
      <c r="P19" s="35" t="n">
        <f aca="false">O19+CF_Equity_Inj</f>
        <v>25000000</v>
      </c>
      <c r="Q19" s="35" t="n">
        <f aca="false">P19+CF_Equity_Inj</f>
        <v>25000000</v>
      </c>
      <c r="R19" s="35" t="n">
        <f aca="false">Q19+CF_Equity_Inj</f>
        <v>25000000</v>
      </c>
      <c r="S19" s="35" t="n">
        <f aca="false">R19+CF_Equity_Inj</f>
        <v>25000000</v>
      </c>
      <c r="T19" s="35" t="n">
        <f aca="false">S19+CF_Equity_Inj</f>
        <v>25000000</v>
      </c>
      <c r="U19" s="35" t="n">
        <f aca="false">T19+CF_Equity_Inj</f>
        <v>25000000</v>
      </c>
      <c r="V19" s="35" t="n">
        <f aca="false">U19+CF_Equity_Inj</f>
        <v>25000000</v>
      </c>
      <c r="W19" s="35" t="n">
        <f aca="false">V19+CF_Equity_Inj</f>
        <v>25000000</v>
      </c>
      <c r="X19" s="35" t="n">
        <f aca="false">W19+CF_Equity_Inj</f>
        <v>25000000</v>
      </c>
      <c r="Y19" s="35" t="n">
        <f aca="false">X19+CF_Equity_Inj</f>
        <v>25000000</v>
      </c>
      <c r="Z19" s="35" t="n">
        <f aca="false">Y19+CF_Equity_Inj</f>
        <v>25000000</v>
      </c>
    </row>
    <row r="20" customFormat="false" ht="15" hidden="false" customHeight="false" outlineLevel="0" collapsed="false">
      <c r="A20" s="6"/>
      <c r="B20" s="33" t="s">
        <v>191</v>
      </c>
      <c r="C20" s="35" t="n">
        <f aca="false">IS_SBC</f>
        <v>148394</v>
      </c>
      <c r="D20" s="35" t="n">
        <f aca="false">C20+IS_SBC</f>
        <v>304476.5</v>
      </c>
      <c r="E20" s="35" t="n">
        <f aca="false">D20+IS_SBC</f>
        <v>468646.0706</v>
      </c>
      <c r="F20" s="35" t="n">
        <f aca="false">E20+IS_SBC</f>
        <v>641321.9553422</v>
      </c>
      <c r="G20" s="35" t="n">
        <f aca="false">F20+IS_SBC</f>
        <v>822945.143532802</v>
      </c>
      <c r="H20" s="35" t="n">
        <f aca="false">G20+IS_SBC</f>
        <v>1013979.49876647</v>
      </c>
      <c r="I20" s="35" t="n">
        <f aca="false">H20+IS_SBC</f>
        <v>1214912.94604707</v>
      </c>
      <c r="J20" s="35" t="n">
        <f aca="false">I20+IS_SBC</f>
        <v>1426258.72054872</v>
      </c>
      <c r="K20" s="35" t="n">
        <f aca="false">J20+IS_SBC</f>
        <v>1648556.68121931</v>
      </c>
      <c r="L20" s="35" t="n">
        <f aca="false">K20+IS_SBC</f>
        <v>1882374.69259528</v>
      </c>
      <c r="M20" s="35" t="n">
        <f aca="false">L20+IS_SBC</f>
        <v>2128310.07837124</v>
      </c>
      <c r="N20" s="35" t="n">
        <f aca="false">M20+IS_SBC</f>
        <v>2386991.15045258</v>
      </c>
      <c r="O20" s="35" t="n">
        <f aca="false">N20+IS_SBC</f>
        <v>2659078.81741254</v>
      </c>
      <c r="P20" s="35" t="n">
        <f aca="false">O20+IS_SBC</f>
        <v>2945268.27647965</v>
      </c>
      <c r="Q20" s="35" t="n">
        <f aca="false">P20+IS_SBC</f>
        <v>3246290.7933952</v>
      </c>
      <c r="R20" s="35" t="n">
        <f aca="false">Q20+IS_SBC</f>
        <v>3562915.57470672</v>
      </c>
      <c r="S20" s="35" t="n">
        <f aca="false">R20+IS_SBC</f>
        <v>3895951.73730021</v>
      </c>
      <c r="T20" s="35" t="n">
        <f aca="false">S20+IS_SBC</f>
        <v>4246250.38022391</v>
      </c>
      <c r="U20" s="35" t="n">
        <f aca="false">T20+IS_SBC</f>
        <v>4614706.76411889</v>
      </c>
      <c r="V20" s="35" t="n">
        <f aca="false">U20+IS_SBC</f>
        <v>5002262.60384813</v>
      </c>
      <c r="W20" s="35" t="n">
        <f aca="false">V20+IS_SBC</f>
        <v>5409908.48020649</v>
      </c>
      <c r="X20" s="35" t="n">
        <f aca="false">W20+IS_SBC</f>
        <v>5838686.37689975</v>
      </c>
      <c r="Y20" s="35" t="n">
        <f aca="false">X20+IS_SBC</f>
        <v>6289692.34930262</v>
      </c>
      <c r="Z20" s="35" t="n">
        <f aca="false">Y20+IS_SBC</f>
        <v>6764079.33184411</v>
      </c>
    </row>
    <row r="21" customFormat="false" ht="15" hidden="false" customHeight="false" outlineLevel="0" collapsed="false">
      <c r="A21" s="6"/>
      <c r="B21" s="33" t="s">
        <v>192</v>
      </c>
      <c r="C21" s="35" t="n">
        <f aca="false">IS_Net_Income</f>
        <v>-208236.45625</v>
      </c>
      <c r="D21" s="35" t="n">
        <f aca="false">C21+IS_Net_Income</f>
        <v>-420464.0515625</v>
      </c>
      <c r="E21" s="35" t="n">
        <f aca="false">D21+IS_Net_Income</f>
        <v>-636803.656835625</v>
      </c>
      <c r="F21" s="35" t="n">
        <f aca="false">E21+IS_Net_Income</f>
        <v>-857378.045658762</v>
      </c>
      <c r="G21" s="35" t="n">
        <f aca="false">F21+IS_Net_Income</f>
        <v>-1082311.7715347</v>
      </c>
      <c r="H21" s="35" t="n">
        <f aca="false">G21+IS_Net_Income</f>
        <v>-1311731.02749523</v>
      </c>
      <c r="I21" s="35" t="n">
        <f aca="false">H21+IS_Net_Income</f>
        <v>-1545763.48662643</v>
      </c>
      <c r="J21" s="35" t="n">
        <f aca="false">I21+IS_Net_Income</f>
        <v>-1784538.12191378</v>
      </c>
      <c r="K21" s="35" t="n">
        <f aca="false">J21+IS_Net_Income</f>
        <v>-2028185.00370455</v>
      </c>
      <c r="L21" s="35" t="n">
        <f aca="false">K21+IS_Net_Income</f>
        <v>-2276835.07296441</v>
      </c>
      <c r="M21" s="35" t="n">
        <f aca="false">L21+IS_Net_Income</f>
        <v>-2530619.888377</v>
      </c>
      <c r="N21" s="35" t="n">
        <f aca="false">M21+IS_Net_Income</f>
        <v>-2789671.34519886</v>
      </c>
      <c r="O21" s="35" t="n">
        <f aca="false">N21+IS_Net_Income</f>
        <v>-3054121.36363638</v>
      </c>
      <c r="P21" s="35" t="n">
        <f aca="false">O21+IS_Net_Income</f>
        <v>-3324101.54435698</v>
      </c>
      <c r="Q21" s="35" t="n">
        <f aca="false">P21+IS_Net_Income</f>
        <v>-3599742.78858127</v>
      </c>
      <c r="R21" s="35" t="n">
        <f aca="false">Q21+IS_Net_Income</f>
        <v>-3881174.88002815</v>
      </c>
      <c r="S21" s="35" t="n">
        <f aca="false">R21+IS_Net_Income</f>
        <v>-4168526.0257973</v>
      </c>
      <c r="T21" s="35" t="n">
        <f aca="false">S21+IS_Net_Income</f>
        <v>-4461922.35307529</v>
      </c>
      <c r="U21" s="35" t="n">
        <f aca="false">T21+IS_Net_Income</f>
        <v>-4761487.35833949</v>
      </c>
      <c r="V21" s="35" t="n">
        <f aca="false">U21+IS_Net_Income</f>
        <v>-5067341.30550942</v>
      </c>
      <c r="W21" s="35" t="n">
        <f aca="false">V21+IS_Net_Income</f>
        <v>-5379600.56925542</v>
      </c>
      <c r="X21" s="35" t="n">
        <f aca="false">W21+IS_Net_Income</f>
        <v>-5698376.91941995</v>
      </c>
      <c r="Y21" s="35" t="n">
        <f aca="false">X21+IS_Net_Income</f>
        <v>-6023776.74223632</v>
      </c>
      <c r="Z21" s="35" t="n">
        <f aca="false">Y21+IS_Net_Income</f>
        <v>-6355900.1937414</v>
      </c>
    </row>
    <row r="22" customFormat="false" ht="15" hidden="false" customHeight="false" outlineLevel="0" collapsed="false">
      <c r="A22" s="6"/>
      <c r="B22" s="31" t="s">
        <v>193</v>
      </c>
      <c r="C22" s="37" t="n">
        <f aca="false">C19+C20+C21</f>
        <v>24940157.54375</v>
      </c>
      <c r="D22" s="37" t="n">
        <f aca="false">D19+D20+D21</f>
        <v>24884012.4484375</v>
      </c>
      <c r="E22" s="37" t="n">
        <f aca="false">E19+E20+E21</f>
        <v>24831842.4137644</v>
      </c>
      <c r="F22" s="37" t="n">
        <f aca="false">F19+F20+F21</f>
        <v>24783943.9096834</v>
      </c>
      <c r="G22" s="37" t="n">
        <f aca="false">G19+G20+G21</f>
        <v>24740633.3719981</v>
      </c>
      <c r="H22" s="37" t="n">
        <f aca="false">H19+H20+H21</f>
        <v>24702248.4712712</v>
      </c>
      <c r="I22" s="37" t="n">
        <f aca="false">I19+I20+I21</f>
        <v>24669149.4594206</v>
      </c>
      <c r="J22" s="37" t="n">
        <f aca="false">J19+J20+J21</f>
        <v>24641720.5986349</v>
      </c>
      <c r="K22" s="37" t="n">
        <f aca="false">K19+K20+K21</f>
        <v>24620371.6775148</v>
      </c>
      <c r="L22" s="37" t="n">
        <f aca="false">L19+L20+L21</f>
        <v>24605539.6196309</v>
      </c>
      <c r="M22" s="37" t="n">
        <f aca="false">M19+M20+M21</f>
        <v>24597690.1899942</v>
      </c>
      <c r="N22" s="37" t="n">
        <f aca="false">N19+N20+N21</f>
        <v>24597319.8052537</v>
      </c>
      <c r="O22" s="37" t="n">
        <f aca="false">O19+O20+O21</f>
        <v>24604957.4537762</v>
      </c>
      <c r="P22" s="37" t="n">
        <f aca="false">P19+P20+P21</f>
        <v>24621166.7321227</v>
      </c>
      <c r="Q22" s="37" t="n">
        <f aca="false">Q19+Q20+Q21</f>
        <v>24646548.0048139</v>
      </c>
      <c r="R22" s="37" t="n">
        <f aca="false">R19+R20+R21</f>
        <v>24681740.6946786</v>
      </c>
      <c r="S22" s="37" t="n">
        <f aca="false">S19+S20+S21</f>
        <v>24727425.7115029</v>
      </c>
      <c r="T22" s="37" t="n">
        <f aca="false">T19+T20+T21</f>
        <v>24784328.0271486</v>
      </c>
      <c r="U22" s="37" t="n">
        <f aca="false">U19+U20+U21</f>
        <v>24853219.4057794</v>
      </c>
      <c r="V22" s="37" t="n">
        <f aca="false">V19+V20+V21</f>
        <v>24934921.2983387</v>
      </c>
      <c r="W22" s="37" t="n">
        <f aca="false">W19+W20+W21</f>
        <v>25030307.9109511</v>
      </c>
      <c r="X22" s="37" t="n">
        <f aca="false">X19+X20+X21</f>
        <v>25140309.4574798</v>
      </c>
      <c r="Y22" s="37" t="n">
        <f aca="false">Y19+Y20+Y21</f>
        <v>25265915.6070663</v>
      </c>
      <c r="Z22" s="37" t="n">
        <f aca="false">Z19+Z20+Z21</f>
        <v>25408179.1381027</v>
      </c>
    </row>
    <row r="23" customFormat="false" ht="15" hidden="false" customHeight="fals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 hidden="false" customHeight="false" outlineLevel="0" collapsed="false">
      <c r="A24" s="6"/>
      <c r="B24" s="31" t="s">
        <v>194</v>
      </c>
      <c r="C24" s="36" t="n">
        <f aca="false">C16+C22</f>
        <v>25332790.3770833</v>
      </c>
      <c r="D24" s="36" t="n">
        <f aca="false">D16+D22</f>
        <v>25296422.5234375</v>
      </c>
      <c r="E24" s="36" t="n">
        <f aca="false">E16+E22</f>
        <v>25265026.2547144</v>
      </c>
      <c r="F24" s="36" t="n">
        <f aca="false">F16+F22</f>
        <v>25238948.2703042</v>
      </c>
      <c r="G24" s="36" t="n">
        <f aca="false">G16+G22</f>
        <v>25218557.7681394</v>
      </c>
      <c r="H24" s="36" t="n">
        <f aca="false">H16+H22</f>
        <v>25204247.8413544</v>
      </c>
      <c r="I24" s="36" t="n">
        <f aca="false">I16+I22</f>
        <v>25196436.9590791</v>
      </c>
      <c r="J24" s="36" t="n">
        <f aca="false">J16+J22</f>
        <v>25195570.5363239</v>
      </c>
      <c r="K24" s="36" t="n">
        <f aca="false">K16+K22</f>
        <v>25202122.5982036</v>
      </c>
      <c r="L24" s="36" t="n">
        <f aca="false">L16+L22</f>
        <v>25216597.5440514</v>
      </c>
      <c r="M24" s="36" t="n">
        <f aca="false">M16+M22</f>
        <v>25239532.0172944</v>
      </c>
      <c r="N24" s="36" t="n">
        <f aca="false">N16+N22</f>
        <v>25271496.8873028</v>
      </c>
      <c r="O24" s="36" t="n">
        <f aca="false">O16+O22</f>
        <v>25313099.3497848</v>
      </c>
      <c r="P24" s="36" t="n">
        <f aca="false">P16+P22</f>
        <v>25364985.1526763</v>
      </c>
      <c r="Q24" s="36" t="n">
        <f aca="false">Q16+Q22</f>
        <v>25427840.95488</v>
      </c>
      <c r="R24" s="36" t="n">
        <f aca="false">R16+R22</f>
        <v>25502396.8256293</v>
      </c>
      <c r="S24" s="36" t="n">
        <f aca="false">S16+S22</f>
        <v>25589428.8927018</v>
      </c>
      <c r="T24" s="36" t="n">
        <f aca="false">T16+T22</f>
        <v>25689762.1481827</v>
      </c>
      <c r="U24" s="36" t="n">
        <f aca="false">U16+U22</f>
        <v>25804273.4209788</v>
      </c>
      <c r="V24" s="36" t="n">
        <f aca="false">V16+V22</f>
        <v>25933894.5258111</v>
      </c>
      <c r="W24" s="36" t="n">
        <f aca="false">W16+W22</f>
        <v>26079615.5989786</v>
      </c>
      <c r="X24" s="36" t="n">
        <f aca="false">X16+X22</f>
        <v>26242488.631772</v>
      </c>
      <c r="Y24" s="36" t="n">
        <f aca="false">Y16+Y22</f>
        <v>26423631.2130471</v>
      </c>
      <c r="Z24" s="36" t="n">
        <f aca="false">Z16+Z22</f>
        <v>26624230.4931217</v>
      </c>
    </row>
    <row r="25" customFormat="false" ht="15" hidden="false" customHeight="false" outlineLevel="0" collapsed="false">
      <c r="A25" s="6"/>
      <c r="B25" s="9" t="s">
        <v>195</v>
      </c>
      <c r="C25" s="35" t="n">
        <f aca="false">C12-C24</f>
        <v>0</v>
      </c>
      <c r="D25" s="35" t="n">
        <f aca="false">D12-D24</f>
        <v>0</v>
      </c>
      <c r="E25" s="35" t="n">
        <f aca="false">E12-E24</f>
        <v>0</v>
      </c>
      <c r="F25" s="35" t="n">
        <f aca="false">F12-F24</f>
        <v>0</v>
      </c>
      <c r="G25" s="35" t="n">
        <f aca="false">G12-G24</f>
        <v>0</v>
      </c>
      <c r="H25" s="35" t="n">
        <f aca="false">H12-H24</f>
        <v>0</v>
      </c>
      <c r="I25" s="35" t="n">
        <f aca="false">I12-I24</f>
        <v>0</v>
      </c>
      <c r="J25" s="35" t="n">
        <f aca="false">J12-J24</f>
        <v>0</v>
      </c>
      <c r="K25" s="35" t="n">
        <f aca="false">K12-K24</f>
        <v>0</v>
      </c>
      <c r="L25" s="35" t="n">
        <f aca="false">L12-L24</f>
        <v>0</v>
      </c>
      <c r="M25" s="35" t="n">
        <f aca="false">M12-M24</f>
        <v>0</v>
      </c>
      <c r="N25" s="35" t="n">
        <f aca="false">N12-N24</f>
        <v>0</v>
      </c>
      <c r="O25" s="35" t="n">
        <f aca="false">O12-O24</f>
        <v>0</v>
      </c>
      <c r="P25" s="35" t="n">
        <f aca="false">P12-P24</f>
        <v>0</v>
      </c>
      <c r="Q25" s="35" t="n">
        <f aca="false">Q12-Q24</f>
        <v>0</v>
      </c>
      <c r="R25" s="35" t="n">
        <f aca="false">R12-R24</f>
        <v>0</v>
      </c>
      <c r="S25" s="35" t="n">
        <f aca="false">S12-S24</f>
        <v>0</v>
      </c>
      <c r="T25" s="35" t="n">
        <f aca="false">T12-T24</f>
        <v>0</v>
      </c>
      <c r="U25" s="35" t="n">
        <f aca="false">U12-U24</f>
        <v>0</v>
      </c>
      <c r="V25" s="35" t="n">
        <f aca="false">V12-V24</f>
        <v>0</v>
      </c>
      <c r="W25" s="35" t="n">
        <f aca="false">W12-W24</f>
        <v>0</v>
      </c>
      <c r="X25" s="35" t="n">
        <f aca="false">X12-X24</f>
        <v>0</v>
      </c>
      <c r="Y25" s="35" t="n">
        <f aca="false">Y12-Y24</f>
        <v>0</v>
      </c>
      <c r="Z25" s="35" t="n">
        <f aca="false">Z12-Z24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196</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197</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9" t="s">
        <v>198</v>
      </c>
      <c r="C8" s="39" t="str">
        <f aca="false">IF(ABS(BS_Total_Assets-BS_Total_LE)&lt;1,"PASS","FAIL")</f>
        <v>PASS</v>
      </c>
      <c r="D8" s="39" t="str">
        <f aca="false">IF(ABS(BS_Total_Assets-BS_Total_LE)&lt;1,"PASS","FAIL")</f>
        <v>PASS</v>
      </c>
      <c r="E8" s="39" t="str">
        <f aca="false">IF(ABS(BS_Total_Assets-BS_Total_LE)&lt;1,"PASS","FAIL")</f>
        <v>PASS</v>
      </c>
      <c r="F8" s="39" t="str">
        <f aca="false">IF(ABS(BS_Total_Assets-BS_Total_LE)&lt;1,"PASS","FAIL")</f>
        <v>PASS</v>
      </c>
      <c r="G8" s="39" t="str">
        <f aca="false">IF(ABS(BS_Total_Assets-BS_Total_LE)&lt;1,"PASS","FAIL")</f>
        <v>PASS</v>
      </c>
      <c r="H8" s="39" t="str">
        <f aca="false">IF(ABS(BS_Total_Assets-BS_Total_LE)&lt;1,"PASS","FAIL")</f>
        <v>PASS</v>
      </c>
      <c r="I8" s="39" t="str">
        <f aca="false">IF(ABS(BS_Total_Assets-BS_Total_LE)&lt;1,"PASS","FAIL")</f>
        <v>PASS</v>
      </c>
      <c r="J8" s="39" t="str">
        <f aca="false">IF(ABS(BS_Total_Assets-BS_Total_LE)&lt;1,"PASS","FAIL")</f>
        <v>PASS</v>
      </c>
      <c r="K8" s="39" t="str">
        <f aca="false">IF(ABS(BS_Total_Assets-BS_Total_LE)&lt;1,"PASS","FAIL")</f>
        <v>PASS</v>
      </c>
      <c r="L8" s="39" t="str">
        <f aca="false">IF(ABS(BS_Total_Assets-BS_Total_LE)&lt;1,"PASS","FAIL")</f>
        <v>PASS</v>
      </c>
      <c r="M8" s="39" t="str">
        <f aca="false">IF(ABS(BS_Total_Assets-BS_Total_LE)&lt;1,"PASS","FAIL")</f>
        <v>PASS</v>
      </c>
      <c r="N8" s="39" t="str">
        <f aca="false">IF(ABS(BS_Total_Assets-BS_Total_LE)&lt;1,"PASS","FAIL")</f>
        <v>PASS</v>
      </c>
      <c r="O8" s="39" t="str">
        <f aca="false">IF(ABS(BS_Total_Assets-BS_Total_LE)&lt;1,"PASS","FAIL")</f>
        <v>PASS</v>
      </c>
      <c r="P8" s="39" t="str">
        <f aca="false">IF(ABS(BS_Total_Assets-BS_Total_LE)&lt;1,"PASS","FAIL")</f>
        <v>PASS</v>
      </c>
      <c r="Q8" s="39" t="str">
        <f aca="false">IF(ABS(BS_Total_Assets-BS_Total_LE)&lt;1,"PASS","FAIL")</f>
        <v>PASS</v>
      </c>
      <c r="R8" s="39" t="str">
        <f aca="false">IF(ABS(BS_Total_Assets-BS_Total_LE)&lt;1,"PASS","FAIL")</f>
        <v>PASS</v>
      </c>
      <c r="S8" s="39" t="str">
        <f aca="false">IF(ABS(BS_Total_Assets-BS_Total_LE)&lt;1,"PASS","FAIL")</f>
        <v>PASS</v>
      </c>
      <c r="T8" s="39" t="str">
        <f aca="false">IF(ABS(BS_Total_Assets-BS_Total_LE)&lt;1,"PASS","FAIL")</f>
        <v>PASS</v>
      </c>
      <c r="U8" s="39" t="str">
        <f aca="false">IF(ABS(BS_Total_Assets-BS_Total_LE)&lt;1,"PASS","FAIL")</f>
        <v>PASS</v>
      </c>
      <c r="V8" s="39" t="str">
        <f aca="false">IF(ABS(BS_Total_Assets-BS_Total_LE)&lt;1,"PASS","FAIL")</f>
        <v>PASS</v>
      </c>
      <c r="W8" s="39" t="str">
        <f aca="false">IF(ABS(BS_Total_Assets-BS_Total_LE)&lt;1,"PASS","FAIL")</f>
        <v>PASS</v>
      </c>
      <c r="X8" s="39" t="str">
        <f aca="false">IF(ABS(BS_Total_Assets-BS_Total_LE)&lt;1,"PASS","FAIL")</f>
        <v>PASS</v>
      </c>
      <c r="Y8" s="39" t="str">
        <f aca="false">IF(ABS(BS_Total_Assets-BS_Total_LE)&lt;1,"PASS","FAIL")</f>
        <v>PASS</v>
      </c>
      <c r="Z8" s="39" t="str">
        <f aca="false">IF(ABS(BS_Total_Assets-BS_Total_LE)&lt;1,"PASS","FAIL")</f>
        <v>PASS</v>
      </c>
    </row>
    <row r="9" customFormat="false" ht="15" hidden="false" customHeight="false" outlineLevel="0" collapsed="false">
      <c r="A9" s="6"/>
      <c r="B9" s="9" t="s">
        <v>199</v>
      </c>
      <c r="C9" s="39" t="str">
        <f aca="false">IF(AND(RB_Take_Rate&gt;=0.1,RB_Take_Rate&lt;=0.3),"PASS","FAIL")</f>
        <v>PASS</v>
      </c>
      <c r="D9" s="39" t="str">
        <f aca="false">IF(AND(RB_Take_Rate&gt;=0.1,RB_Take_Rate&lt;=0.3),"PASS","FAIL")</f>
        <v>PASS</v>
      </c>
      <c r="E9" s="39" t="str">
        <f aca="false">IF(AND(RB_Take_Rate&gt;=0.1,RB_Take_Rate&lt;=0.3),"PASS","FAIL")</f>
        <v>PASS</v>
      </c>
      <c r="F9" s="39" t="str">
        <f aca="false">IF(AND(RB_Take_Rate&gt;=0.1,RB_Take_Rate&lt;=0.3),"PASS","FAIL")</f>
        <v>PASS</v>
      </c>
      <c r="G9" s="39" t="str">
        <f aca="false">IF(AND(RB_Take_Rate&gt;=0.1,RB_Take_Rate&lt;=0.3),"PASS","FAIL")</f>
        <v>PASS</v>
      </c>
      <c r="H9" s="39" t="str">
        <f aca="false">IF(AND(RB_Take_Rate&gt;=0.1,RB_Take_Rate&lt;=0.3),"PASS","FAIL")</f>
        <v>PASS</v>
      </c>
      <c r="I9" s="39" t="str">
        <f aca="false">IF(AND(RB_Take_Rate&gt;=0.1,RB_Take_Rate&lt;=0.3),"PASS","FAIL")</f>
        <v>PASS</v>
      </c>
      <c r="J9" s="39" t="str">
        <f aca="false">IF(AND(RB_Take_Rate&gt;=0.1,RB_Take_Rate&lt;=0.3),"PASS","FAIL")</f>
        <v>PASS</v>
      </c>
      <c r="K9" s="39" t="str">
        <f aca="false">IF(AND(RB_Take_Rate&gt;=0.1,RB_Take_Rate&lt;=0.3),"PASS","FAIL")</f>
        <v>PASS</v>
      </c>
      <c r="L9" s="39" t="str">
        <f aca="false">IF(AND(RB_Take_Rate&gt;=0.1,RB_Take_Rate&lt;=0.3),"PASS","FAIL")</f>
        <v>PASS</v>
      </c>
      <c r="M9" s="39" t="str">
        <f aca="false">IF(AND(RB_Take_Rate&gt;=0.1,RB_Take_Rate&lt;=0.3),"PASS","FAIL")</f>
        <v>PASS</v>
      </c>
      <c r="N9" s="39" t="str">
        <f aca="false">IF(AND(RB_Take_Rate&gt;=0.1,RB_Take_Rate&lt;=0.3),"PASS","FAIL")</f>
        <v>PASS</v>
      </c>
      <c r="O9" s="39" t="str">
        <f aca="false">IF(AND(RB_Take_Rate&gt;=0.1,RB_Take_Rate&lt;=0.3),"PASS","FAIL")</f>
        <v>PASS</v>
      </c>
      <c r="P9" s="39" t="str">
        <f aca="false">IF(AND(RB_Take_Rate&gt;=0.1,RB_Take_Rate&lt;=0.3),"PASS","FAIL")</f>
        <v>PASS</v>
      </c>
      <c r="Q9" s="39" t="str">
        <f aca="false">IF(AND(RB_Take_Rate&gt;=0.1,RB_Take_Rate&lt;=0.3),"PASS","FAIL")</f>
        <v>PASS</v>
      </c>
      <c r="R9" s="39" t="str">
        <f aca="false">IF(AND(RB_Take_Rate&gt;=0.1,RB_Take_Rate&lt;=0.3),"PASS","FAIL")</f>
        <v>PASS</v>
      </c>
      <c r="S9" s="39" t="str">
        <f aca="false">IF(AND(RB_Take_Rate&gt;=0.1,RB_Take_Rate&lt;=0.3),"PASS","FAIL")</f>
        <v>PASS</v>
      </c>
      <c r="T9" s="39" t="str">
        <f aca="false">IF(AND(RB_Take_Rate&gt;=0.1,RB_Take_Rate&lt;=0.3),"PASS","FAIL")</f>
        <v>PASS</v>
      </c>
      <c r="U9" s="39" t="str">
        <f aca="false">IF(AND(RB_Take_Rate&gt;=0.1,RB_Take_Rate&lt;=0.3),"PASS","FAIL")</f>
        <v>PASS</v>
      </c>
      <c r="V9" s="39" t="str">
        <f aca="false">IF(AND(RB_Take_Rate&gt;=0.1,RB_Take_Rate&lt;=0.3),"PASS","FAIL")</f>
        <v>PASS</v>
      </c>
      <c r="W9" s="39" t="str">
        <f aca="false">IF(AND(RB_Take_Rate&gt;=0.1,RB_Take_Rate&lt;=0.3),"PASS","FAIL")</f>
        <v>PASS</v>
      </c>
      <c r="X9" s="39" t="str">
        <f aca="false">IF(AND(RB_Take_Rate&gt;=0.1,RB_Take_Rate&lt;=0.3),"PASS","FAIL")</f>
        <v>PASS</v>
      </c>
      <c r="Y9" s="39" t="str">
        <f aca="false">IF(AND(RB_Take_Rate&gt;=0.1,RB_Take_Rate&lt;=0.3),"PASS","FAIL")</f>
        <v>PASS</v>
      </c>
      <c r="Z9" s="39" t="str">
        <f aca="false">IF(AND(RB_Take_Rate&gt;=0.1,RB_Take_Rate&lt;=0.3),"PASS","FAIL")</f>
        <v>PASS</v>
      </c>
    </row>
    <row r="10" customFormat="false" ht="15" hidden="false" customHeight="false" outlineLevel="0" collapsed="false">
      <c r="A10" s="6"/>
      <c r="B10" s="9" t="s">
        <v>200</v>
      </c>
      <c r="C10" s="39" t="str">
        <f aca="false">IF(AND(CR_Gross_Margin&gt;=0.3,CR_Gross_Margin&lt;=0.6),"PASS","FAIL")</f>
        <v>PASS</v>
      </c>
      <c r="D10" s="39" t="str">
        <f aca="false">IF(AND(CR_Gross_Margin&gt;=0.3,CR_Gross_Margin&lt;=0.6),"PASS","FAIL")</f>
        <v>PASS</v>
      </c>
      <c r="E10" s="39" t="str">
        <f aca="false">IF(AND(CR_Gross_Margin&gt;=0.3,CR_Gross_Margin&lt;=0.6),"PASS","FAIL")</f>
        <v>PASS</v>
      </c>
      <c r="F10" s="39" t="str">
        <f aca="false">IF(AND(CR_Gross_Margin&gt;=0.3,CR_Gross_Margin&lt;=0.6),"PASS","FAIL")</f>
        <v>PASS</v>
      </c>
      <c r="G10" s="39" t="str">
        <f aca="false">IF(AND(CR_Gross_Margin&gt;=0.3,CR_Gross_Margin&lt;=0.6),"PASS","FAIL")</f>
        <v>PASS</v>
      </c>
      <c r="H10" s="39" t="str">
        <f aca="false">IF(AND(CR_Gross_Margin&gt;=0.3,CR_Gross_Margin&lt;=0.6),"PASS","FAIL")</f>
        <v>PASS</v>
      </c>
      <c r="I10" s="39" t="str">
        <f aca="false">IF(AND(CR_Gross_Margin&gt;=0.3,CR_Gross_Margin&lt;=0.6),"PASS","FAIL")</f>
        <v>PASS</v>
      </c>
      <c r="J10" s="39" t="str">
        <f aca="false">IF(AND(CR_Gross_Margin&gt;=0.3,CR_Gross_Margin&lt;=0.6),"PASS","FAIL")</f>
        <v>PASS</v>
      </c>
      <c r="K10" s="39" t="str">
        <f aca="false">IF(AND(CR_Gross_Margin&gt;=0.3,CR_Gross_Margin&lt;=0.6),"PASS","FAIL")</f>
        <v>PASS</v>
      </c>
      <c r="L10" s="39" t="str">
        <f aca="false">IF(AND(CR_Gross_Margin&gt;=0.3,CR_Gross_Margin&lt;=0.6),"PASS","FAIL")</f>
        <v>PASS</v>
      </c>
      <c r="M10" s="39" t="str">
        <f aca="false">IF(AND(CR_Gross_Margin&gt;=0.3,CR_Gross_Margin&lt;=0.6),"PASS","FAIL")</f>
        <v>PASS</v>
      </c>
      <c r="N10" s="39" t="str">
        <f aca="false">IF(AND(CR_Gross_Margin&gt;=0.3,CR_Gross_Margin&lt;=0.6),"PASS","FAIL")</f>
        <v>PASS</v>
      </c>
      <c r="O10" s="39" t="str">
        <f aca="false">IF(AND(CR_Gross_Margin&gt;=0.3,CR_Gross_Margin&lt;=0.6),"PASS","FAIL")</f>
        <v>PASS</v>
      </c>
      <c r="P10" s="39" t="str">
        <f aca="false">IF(AND(CR_Gross_Margin&gt;=0.3,CR_Gross_Margin&lt;=0.6),"PASS","FAIL")</f>
        <v>PASS</v>
      </c>
      <c r="Q10" s="39" t="str">
        <f aca="false">IF(AND(CR_Gross_Margin&gt;=0.3,CR_Gross_Margin&lt;=0.6),"PASS","FAIL")</f>
        <v>PASS</v>
      </c>
      <c r="R10" s="39" t="str">
        <f aca="false">IF(AND(CR_Gross_Margin&gt;=0.3,CR_Gross_Margin&lt;=0.6),"PASS","FAIL")</f>
        <v>PASS</v>
      </c>
      <c r="S10" s="39" t="str">
        <f aca="false">IF(AND(CR_Gross_Margin&gt;=0.3,CR_Gross_Margin&lt;=0.6),"PASS","FAIL")</f>
        <v>PASS</v>
      </c>
      <c r="T10" s="39" t="str">
        <f aca="false">IF(AND(CR_Gross_Margin&gt;=0.3,CR_Gross_Margin&lt;=0.6),"PASS","FAIL")</f>
        <v>PASS</v>
      </c>
      <c r="U10" s="39" t="str">
        <f aca="false">IF(AND(CR_Gross_Margin&gt;=0.3,CR_Gross_Margin&lt;=0.6),"PASS","FAIL")</f>
        <v>PASS</v>
      </c>
      <c r="V10" s="39" t="str">
        <f aca="false">IF(AND(CR_Gross_Margin&gt;=0.3,CR_Gross_Margin&lt;=0.6),"PASS","FAIL")</f>
        <v>PASS</v>
      </c>
      <c r="W10" s="39" t="str">
        <f aca="false">IF(AND(CR_Gross_Margin&gt;=0.3,CR_Gross_Margin&lt;=0.6),"PASS","FAIL")</f>
        <v>PASS</v>
      </c>
      <c r="X10" s="39" t="str">
        <f aca="false">IF(AND(CR_Gross_Margin&gt;=0.3,CR_Gross_Margin&lt;=0.6),"PASS","FAIL")</f>
        <v>PASS</v>
      </c>
      <c r="Y10" s="39" t="str">
        <f aca="false">IF(AND(CR_Gross_Margin&gt;=0.3,CR_Gross_Margin&lt;=0.6),"PASS","FAIL")</f>
        <v>PASS</v>
      </c>
      <c r="Z10" s="39" t="str">
        <f aca="false">IF(AND(CR_Gross_Margin&gt;=0.3,CR_Gross_Margin&lt;=0.6),"PASS","FAIL")</f>
        <v>PASS</v>
      </c>
    </row>
    <row r="11" customFormat="false" ht="15" hidden="false" customHeight="false" outlineLevel="0" collapsed="false">
      <c r="A11" s="6"/>
      <c r="B11" s="9" t="s">
        <v>201</v>
      </c>
      <c r="C11" s="39" t="str">
        <f aca="false">IF(CF_Closing_Cash&gt;=0,"PASS","FAIL")</f>
        <v>PASS</v>
      </c>
      <c r="D11" s="39" t="str">
        <f aca="false">IF(CF_Closing_Cash&gt;=0,"PASS","FAIL")</f>
        <v>PASS</v>
      </c>
      <c r="E11" s="39" t="str">
        <f aca="false">IF(CF_Closing_Cash&gt;=0,"PASS","FAIL")</f>
        <v>PASS</v>
      </c>
      <c r="F11" s="39" t="str">
        <f aca="false">IF(CF_Closing_Cash&gt;=0,"PASS","FAIL")</f>
        <v>PASS</v>
      </c>
      <c r="G11" s="39" t="str">
        <f aca="false">IF(CF_Closing_Cash&gt;=0,"PASS","FAIL")</f>
        <v>PASS</v>
      </c>
      <c r="H11" s="39" t="str">
        <f aca="false">IF(CF_Closing_Cash&gt;=0,"PASS","FAIL")</f>
        <v>PASS</v>
      </c>
      <c r="I11" s="39" t="str">
        <f aca="false">IF(CF_Closing_Cash&gt;=0,"PASS","FAIL")</f>
        <v>PASS</v>
      </c>
      <c r="J11" s="39" t="str">
        <f aca="false">IF(CF_Closing_Cash&gt;=0,"PASS","FAIL")</f>
        <v>PASS</v>
      </c>
      <c r="K11" s="39" t="str">
        <f aca="false">IF(CF_Closing_Cash&gt;=0,"PASS","FAIL")</f>
        <v>PASS</v>
      </c>
      <c r="L11" s="39" t="str">
        <f aca="false">IF(CF_Closing_Cash&gt;=0,"PASS","FAIL")</f>
        <v>PASS</v>
      </c>
      <c r="M11" s="39" t="str">
        <f aca="false">IF(CF_Closing_Cash&gt;=0,"PASS","FAIL")</f>
        <v>PASS</v>
      </c>
      <c r="N11" s="39" t="str">
        <f aca="false">IF(CF_Closing_Cash&gt;=0,"PASS","FAIL")</f>
        <v>PASS</v>
      </c>
      <c r="O11" s="39" t="str">
        <f aca="false">IF(CF_Closing_Cash&gt;=0,"PASS","FAIL")</f>
        <v>PASS</v>
      </c>
      <c r="P11" s="39" t="str">
        <f aca="false">IF(CF_Closing_Cash&gt;=0,"PASS","FAIL")</f>
        <v>PASS</v>
      </c>
      <c r="Q11" s="39" t="str">
        <f aca="false">IF(CF_Closing_Cash&gt;=0,"PASS","FAIL")</f>
        <v>PASS</v>
      </c>
      <c r="R11" s="39" t="str">
        <f aca="false">IF(CF_Closing_Cash&gt;=0,"PASS","FAIL")</f>
        <v>PASS</v>
      </c>
      <c r="S11" s="39" t="str">
        <f aca="false">IF(CF_Closing_Cash&gt;=0,"PASS","FAIL")</f>
        <v>PASS</v>
      </c>
      <c r="T11" s="39" t="str">
        <f aca="false">IF(CF_Closing_Cash&gt;=0,"PASS","FAIL")</f>
        <v>PASS</v>
      </c>
      <c r="U11" s="39" t="str">
        <f aca="false">IF(CF_Closing_Cash&gt;=0,"PASS","FAIL")</f>
        <v>PASS</v>
      </c>
      <c r="V11" s="39" t="str">
        <f aca="false">IF(CF_Closing_Cash&gt;=0,"PASS","FAIL")</f>
        <v>PASS</v>
      </c>
      <c r="W11" s="39" t="str">
        <f aca="false">IF(CF_Closing_Cash&gt;=0,"PASS","FAIL")</f>
        <v>PASS</v>
      </c>
      <c r="X11" s="39" t="str">
        <f aca="false">IF(CF_Closing_Cash&gt;=0,"PASS","FAIL")</f>
        <v>PASS</v>
      </c>
      <c r="Y11" s="39" t="str">
        <f aca="false">IF(CF_Closing_Cash&gt;=0,"PASS","FAIL")</f>
        <v>PASS</v>
      </c>
      <c r="Z11" s="39" t="str">
        <f aca="false">IF(CF_Closing_Cash&gt;=0,"PASS","FAIL")</f>
        <v>PASS</v>
      </c>
    </row>
    <row r="12" customFormat="false" ht="15" hidden="false" customHeight="false" outlineLevel="0" collapsed="false">
      <c r="A12" s="6"/>
      <c r="B12" s="9" t="s">
        <v>202</v>
      </c>
      <c r="C12" s="39" t="str">
        <f aca="false">IF(CR_Gross_Profit-OX_SM&gt;0,"PASS","WARN")</f>
        <v>PASS</v>
      </c>
      <c r="D12" s="39" t="str">
        <f aca="false">IF(CR_Gross_Profit-OX_SM&gt;0,"PASS","WARN")</f>
        <v>PASS</v>
      </c>
      <c r="E12" s="39" t="str">
        <f aca="false">IF(CR_Gross_Profit-OX_SM&gt;0,"PASS","WARN")</f>
        <v>PASS</v>
      </c>
      <c r="F12" s="39" t="str">
        <f aca="false">IF(CR_Gross_Profit-OX_SM&gt;0,"PASS","WARN")</f>
        <v>PASS</v>
      </c>
      <c r="G12" s="39" t="str">
        <f aca="false">IF(CR_Gross_Profit-OX_SM&gt;0,"PASS","WARN")</f>
        <v>PASS</v>
      </c>
      <c r="H12" s="39" t="str">
        <f aca="false">IF(CR_Gross_Profit-OX_SM&gt;0,"PASS","WARN")</f>
        <v>PASS</v>
      </c>
      <c r="I12" s="39" t="str">
        <f aca="false">IF(CR_Gross_Profit-OX_SM&gt;0,"PASS","WARN")</f>
        <v>PASS</v>
      </c>
      <c r="J12" s="39" t="str">
        <f aca="false">IF(CR_Gross_Profit-OX_SM&gt;0,"PASS","WARN")</f>
        <v>PASS</v>
      </c>
      <c r="K12" s="39" t="str">
        <f aca="false">IF(CR_Gross_Profit-OX_SM&gt;0,"PASS","WARN")</f>
        <v>PASS</v>
      </c>
      <c r="L12" s="39" t="str">
        <f aca="false">IF(CR_Gross_Profit-OX_SM&gt;0,"PASS","WARN")</f>
        <v>PASS</v>
      </c>
      <c r="M12" s="39" t="str">
        <f aca="false">IF(CR_Gross_Profit-OX_SM&gt;0,"PASS","WARN")</f>
        <v>PASS</v>
      </c>
      <c r="N12" s="39" t="str">
        <f aca="false">IF(CR_Gross_Profit-OX_SM&gt;0,"PASS","WARN")</f>
        <v>PASS</v>
      </c>
      <c r="O12" s="39" t="str">
        <f aca="false">IF(CR_Gross_Profit-OX_SM&gt;0,"PASS","WARN")</f>
        <v>PASS</v>
      </c>
      <c r="P12" s="39" t="str">
        <f aca="false">IF(CR_Gross_Profit-OX_SM&gt;0,"PASS","WARN")</f>
        <v>PASS</v>
      </c>
      <c r="Q12" s="39" t="str">
        <f aca="false">IF(CR_Gross_Profit-OX_SM&gt;0,"PASS","WARN")</f>
        <v>PASS</v>
      </c>
      <c r="R12" s="39" t="str">
        <f aca="false">IF(CR_Gross_Profit-OX_SM&gt;0,"PASS","WARN")</f>
        <v>PASS</v>
      </c>
      <c r="S12" s="39" t="str">
        <f aca="false">IF(CR_Gross_Profit-OX_SM&gt;0,"PASS","WARN")</f>
        <v>PASS</v>
      </c>
      <c r="T12" s="39" t="str">
        <f aca="false">IF(CR_Gross_Profit-OX_SM&gt;0,"PASS","WARN")</f>
        <v>PASS</v>
      </c>
      <c r="U12" s="39" t="str">
        <f aca="false">IF(CR_Gross_Profit-OX_SM&gt;0,"PASS","WARN")</f>
        <v>PASS</v>
      </c>
      <c r="V12" s="39" t="str">
        <f aca="false">IF(CR_Gross_Profit-OX_SM&gt;0,"PASS","WARN")</f>
        <v>PASS</v>
      </c>
      <c r="W12" s="39" t="str">
        <f aca="false">IF(CR_Gross_Profit-OX_SM&gt;0,"PASS","WARN")</f>
        <v>PASS</v>
      </c>
      <c r="X12" s="39" t="str">
        <f aca="false">IF(CR_Gross_Profit-OX_SM&gt;0,"PASS","WARN")</f>
        <v>PASS</v>
      </c>
      <c r="Y12" s="39" t="str">
        <f aca="false">IF(CR_Gross_Profit-OX_SM&gt;0,"PASS","WARN")</f>
        <v>PASS</v>
      </c>
      <c r="Z12" s="39" t="str">
        <f aca="false">IF(CR_Gross_Profit-OX_SM&gt;0,"PASS","WARN")</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0" t="s">
        <v>203</v>
      </c>
    </row>
    <row r="3" customFormat="false" ht="3.75" hidden="false" customHeight="true" outlineLevel="0" collapsed="false">
      <c r="B3" s="41"/>
    </row>
    <row r="5" customFormat="false" ht="19.5" hidden="false" customHeight="true" outlineLevel="0" collapsed="false">
      <c r="B5" s="42" t="s">
        <v>204</v>
      </c>
    </row>
    <row r="6" customFormat="false" ht="48" hidden="false" customHeight="true" outlineLevel="0" collapsed="false">
      <c r="B6" s="43" t="s">
        <v>205</v>
      </c>
    </row>
    <row r="8" customFormat="false" ht="19.5" hidden="false" customHeight="true" outlineLevel="0" collapsed="false">
      <c r="B8" s="42" t="s">
        <v>206</v>
      </c>
    </row>
    <row r="9" customFormat="false" ht="61.5" hidden="false" customHeight="true" outlineLevel="0" collapsed="false">
      <c r="B9" s="43" t="s">
        <v>207</v>
      </c>
    </row>
    <row r="11" customFormat="false" ht="19.5" hidden="false" customHeight="true" outlineLevel="0" collapsed="false">
      <c r="B11" s="42" t="s">
        <v>208</v>
      </c>
    </row>
    <row r="12" customFormat="false" ht="75.75" hidden="false" customHeight="true" outlineLevel="0" collapsed="false">
      <c r="B12" s="43" t="s">
        <v>209</v>
      </c>
    </row>
    <row r="14" customFormat="false" ht="19.5" hidden="false" customHeight="true" outlineLevel="0" collapsed="false">
      <c r="B14" s="42" t="s">
        <v>210</v>
      </c>
    </row>
    <row r="15" customFormat="false" ht="61.5" hidden="false" customHeight="true" outlineLevel="0" collapsed="false">
      <c r="B15" s="43" t="s">
        <v>211</v>
      </c>
    </row>
    <row r="17" customFormat="false" ht="19.5" hidden="false" customHeight="true" outlineLevel="0" collapsed="false">
      <c r="B17" s="42" t="s">
        <v>212</v>
      </c>
    </row>
    <row r="18" customFormat="false" ht="33.75" hidden="false" customHeight="true" outlineLevel="0" collapsed="false">
      <c r="B18" s="43" t="s">
        <v>213</v>
      </c>
    </row>
    <row r="20" customFormat="false" ht="19.5" hidden="false" customHeight="true" outlineLevel="0" collapsed="false">
      <c r="B20" s="42" t="s">
        <v>214</v>
      </c>
    </row>
    <row r="21" customFormat="false" ht="33.75" hidden="false" customHeight="true" outlineLevel="0" collapsed="false">
      <c r="B21" s="43" t="s">
        <v>215</v>
      </c>
    </row>
    <row r="23" customFormat="false" ht="21.75" hidden="false" customHeight="true" outlineLevel="0" collapsed="false">
      <c r="B23" s="44" t="s">
        <v>216</v>
      </c>
    </row>
    <row r="25" customFormat="false" ht="18" hidden="false" customHeight="true" outlineLevel="0" collapsed="false">
      <c r="B25" s="45" t="s">
        <v>217</v>
      </c>
    </row>
    <row r="26" customFormat="false" ht="201.75" hidden="false" customHeight="true" outlineLevel="0" collapsed="false">
      <c r="B26" s="46" t="s">
        <v>218</v>
      </c>
    </row>
    <row r="28" customFormat="false" ht="18" hidden="false" customHeight="true" outlineLevel="0" collapsed="false">
      <c r="B28" s="47" t="s">
        <v>219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6</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8" t="s">
        <v>33</v>
      </c>
      <c r="C5" s="20" t="s">
        <v>34</v>
      </c>
      <c r="D5" s="8" t="s">
        <v>35</v>
      </c>
      <c r="E5" s="8" t="s">
        <v>36</v>
      </c>
    </row>
    <row r="6" customFormat="false" ht="15" hidden="false" customHeight="false" outlineLevel="0" collapsed="false">
      <c r="A6" s="6"/>
      <c r="B6" s="6"/>
      <c r="C6" s="6"/>
      <c r="D6" s="6"/>
      <c r="E6" s="6"/>
    </row>
    <row r="7" customFormat="false" ht="15" hidden="false" customHeight="false" outlineLevel="0" collapsed="false">
      <c r="A7" s="6"/>
      <c r="B7" s="21" t="s">
        <v>37</v>
      </c>
      <c r="C7" s="22"/>
      <c r="D7" s="22"/>
      <c r="E7" s="22"/>
    </row>
    <row r="8" customFormat="false" ht="15" hidden="false" customHeight="false" outlineLevel="0" collapsed="false">
      <c r="A8" s="6"/>
      <c r="B8" s="9" t="s">
        <v>38</v>
      </c>
      <c r="C8" s="23" t="n">
        <v>50000</v>
      </c>
      <c r="D8" s="24" t="s">
        <v>39</v>
      </c>
      <c r="E8" s="25" t="s">
        <v>40</v>
      </c>
    </row>
    <row r="9" customFormat="false" ht="15" hidden="false" customHeight="false" outlineLevel="0" collapsed="false">
      <c r="A9" s="6"/>
      <c r="B9" s="9" t="s">
        <v>41</v>
      </c>
      <c r="C9" s="26" t="n">
        <v>0.05</v>
      </c>
      <c r="D9" s="24" t="s">
        <v>42</v>
      </c>
      <c r="E9" s="25" t="s">
        <v>43</v>
      </c>
    </row>
    <row r="10" customFormat="false" ht="15" hidden="false" customHeight="false" outlineLevel="0" collapsed="false">
      <c r="A10" s="6"/>
      <c r="B10" s="9" t="s">
        <v>44</v>
      </c>
      <c r="C10" s="23" t="n">
        <v>4</v>
      </c>
      <c r="D10" s="24" t="s">
        <v>45</v>
      </c>
      <c r="E10" s="25" t="s">
        <v>46</v>
      </c>
    </row>
    <row r="11" customFormat="false" ht="15" hidden="false" customHeight="false" outlineLevel="0" collapsed="false">
      <c r="A11" s="6"/>
      <c r="B11" s="9" t="s">
        <v>47</v>
      </c>
      <c r="C11" s="27" t="n">
        <v>32</v>
      </c>
      <c r="D11" s="24" t="s">
        <v>48</v>
      </c>
      <c r="E11" s="25" t="s">
        <v>49</v>
      </c>
    </row>
    <row r="12" customFormat="false" ht="15" hidden="false" customHeight="false" outlineLevel="0" collapsed="false">
      <c r="A12" s="6"/>
      <c r="B12" s="9" t="s">
        <v>50</v>
      </c>
      <c r="C12" s="26" t="n">
        <v>0.03</v>
      </c>
      <c r="D12" s="24" t="s">
        <v>51</v>
      </c>
      <c r="E12" s="25" t="s">
        <v>52</v>
      </c>
    </row>
    <row r="13" customFormat="false" ht="15" hidden="false" customHeight="false" outlineLevel="0" collapsed="false">
      <c r="A13" s="6"/>
      <c r="B13" s="6"/>
      <c r="C13" s="6"/>
      <c r="D13" s="6"/>
      <c r="E13" s="6"/>
    </row>
    <row r="14" customFormat="false" ht="15" hidden="false" customHeight="false" outlineLevel="0" collapsed="false">
      <c r="A14" s="6"/>
      <c r="B14" s="21" t="s">
        <v>53</v>
      </c>
      <c r="C14" s="22"/>
      <c r="D14" s="22"/>
      <c r="E14" s="22"/>
    </row>
    <row r="15" customFormat="false" ht="15" hidden="false" customHeight="false" outlineLevel="0" collapsed="false">
      <c r="A15" s="6"/>
      <c r="B15" s="9" t="s">
        <v>54</v>
      </c>
      <c r="C15" s="26" t="n">
        <v>0.14</v>
      </c>
      <c r="D15" s="24" t="s">
        <v>55</v>
      </c>
      <c r="E15" s="25" t="s">
        <v>56</v>
      </c>
    </row>
    <row r="16" customFormat="false" ht="15" hidden="false" customHeight="false" outlineLevel="0" collapsed="false">
      <c r="A16" s="6"/>
      <c r="B16" s="9" t="s">
        <v>57</v>
      </c>
      <c r="C16" s="27" t="n">
        <v>2.5</v>
      </c>
      <c r="D16" s="24" t="s">
        <v>58</v>
      </c>
      <c r="E16" s="25" t="s">
        <v>59</v>
      </c>
    </row>
    <row r="17" customFormat="false" ht="15" hidden="false" customHeight="false" outlineLevel="0" collapsed="false">
      <c r="A17" s="6"/>
      <c r="B17" s="9" t="s">
        <v>60</v>
      </c>
      <c r="C17" s="26" t="n">
        <v>0.04</v>
      </c>
      <c r="D17" s="24" t="s">
        <v>61</v>
      </c>
      <c r="E17" s="25" t="s">
        <v>62</v>
      </c>
    </row>
    <row r="18" customFormat="false" ht="15" hidden="false" customHeight="false" outlineLevel="0" collapsed="false">
      <c r="A18" s="6"/>
      <c r="B18" s="9" t="s">
        <v>63</v>
      </c>
      <c r="C18" s="26" t="n">
        <v>0.02</v>
      </c>
      <c r="D18" s="24" t="s">
        <v>64</v>
      </c>
      <c r="E18" s="25" t="s">
        <v>65</v>
      </c>
    </row>
    <row r="19" customFormat="false" ht="15" hidden="false" customHeight="false" outlineLevel="0" collapsed="false">
      <c r="A19" s="6"/>
      <c r="B19" s="9" t="s">
        <v>66</v>
      </c>
      <c r="C19" s="27" t="n">
        <v>9.99</v>
      </c>
      <c r="D19" s="24" t="s">
        <v>67</v>
      </c>
      <c r="E19" s="25" t="s">
        <v>68</v>
      </c>
    </row>
    <row r="20" customFormat="false" ht="15" hidden="false" customHeight="false" outlineLevel="0" collapsed="false">
      <c r="A20" s="6"/>
      <c r="B20" s="9" t="s">
        <v>69</v>
      </c>
      <c r="C20" s="26" t="n">
        <v>0.15</v>
      </c>
      <c r="D20" s="24" t="s">
        <v>70</v>
      </c>
      <c r="E20" s="25" t="s">
        <v>71</v>
      </c>
    </row>
    <row r="21" customFormat="false" ht="15" hidden="false" customHeight="false" outlineLevel="0" collapsed="false">
      <c r="A21" s="6"/>
      <c r="B21" s="6"/>
      <c r="C21" s="6"/>
      <c r="D21" s="6"/>
      <c r="E21" s="6"/>
    </row>
    <row r="22" customFormat="false" ht="15" hidden="false" customHeight="false" outlineLevel="0" collapsed="false">
      <c r="A22" s="6"/>
      <c r="B22" s="21" t="s">
        <v>72</v>
      </c>
      <c r="C22" s="22"/>
      <c r="D22" s="22"/>
      <c r="E22" s="22"/>
    </row>
    <row r="23" customFormat="false" ht="15" hidden="false" customHeight="false" outlineLevel="0" collapsed="false">
      <c r="A23" s="6"/>
      <c r="B23" s="9" t="s">
        <v>73</v>
      </c>
      <c r="C23" s="27" t="n">
        <v>5</v>
      </c>
      <c r="D23" s="24" t="s">
        <v>58</v>
      </c>
      <c r="E23" s="25" t="s">
        <v>74</v>
      </c>
    </row>
    <row r="24" customFormat="false" ht="15" hidden="false" customHeight="false" outlineLevel="0" collapsed="false">
      <c r="A24" s="6"/>
      <c r="B24" s="9" t="s">
        <v>75</v>
      </c>
      <c r="C24" s="26" t="n">
        <v>0.022</v>
      </c>
      <c r="D24" s="24" t="s">
        <v>64</v>
      </c>
      <c r="E24" s="25" t="s">
        <v>76</v>
      </c>
    </row>
    <row r="25" customFormat="false" ht="15" hidden="false" customHeight="false" outlineLevel="0" collapsed="false">
      <c r="A25" s="6"/>
      <c r="B25" s="9" t="s">
        <v>77</v>
      </c>
      <c r="C25" s="26" t="n">
        <v>0.005</v>
      </c>
      <c r="D25" s="24" t="s">
        <v>78</v>
      </c>
      <c r="E25" s="25" t="s">
        <v>79</v>
      </c>
    </row>
    <row r="26" customFormat="false" ht="15" hidden="false" customHeight="false" outlineLevel="0" collapsed="false">
      <c r="A26" s="6"/>
      <c r="B26" s="9" t="s">
        <v>80</v>
      </c>
      <c r="C26" s="26" t="n">
        <v>0.015</v>
      </c>
      <c r="D26" s="24" t="s">
        <v>78</v>
      </c>
      <c r="E26" s="25" t="s">
        <v>81</v>
      </c>
    </row>
    <row r="27" customFormat="false" ht="15" hidden="false" customHeight="false" outlineLevel="0" collapsed="false">
      <c r="A27" s="6"/>
      <c r="B27" s="6"/>
      <c r="C27" s="6"/>
      <c r="D27" s="6"/>
      <c r="E27" s="6"/>
    </row>
    <row r="28" customFormat="false" ht="15" hidden="false" customHeight="false" outlineLevel="0" collapsed="false">
      <c r="A28" s="6"/>
      <c r="B28" s="21" t="s">
        <v>82</v>
      </c>
      <c r="C28" s="22"/>
      <c r="D28" s="22"/>
      <c r="E28" s="22"/>
    </row>
    <row r="29" customFormat="false" ht="15" hidden="false" customHeight="false" outlineLevel="0" collapsed="false">
      <c r="A29" s="6"/>
      <c r="B29" s="9" t="s">
        <v>83</v>
      </c>
      <c r="C29" s="26" t="n">
        <v>0.18</v>
      </c>
      <c r="D29" s="24" t="s">
        <v>55</v>
      </c>
      <c r="E29" s="25" t="s">
        <v>84</v>
      </c>
    </row>
    <row r="30" customFormat="false" ht="15" hidden="false" customHeight="false" outlineLevel="0" collapsed="false">
      <c r="A30" s="6"/>
      <c r="B30" s="9" t="s">
        <v>85</v>
      </c>
      <c r="C30" s="26" t="n">
        <v>0.12</v>
      </c>
      <c r="D30" s="24" t="s">
        <v>55</v>
      </c>
      <c r="E30" s="25" t="s">
        <v>86</v>
      </c>
    </row>
    <row r="31" customFormat="false" ht="15" hidden="false" customHeight="false" outlineLevel="0" collapsed="false">
      <c r="A31" s="6"/>
      <c r="B31" s="9" t="s">
        <v>87</v>
      </c>
      <c r="C31" s="26" t="n">
        <v>0.1</v>
      </c>
      <c r="D31" s="24" t="s">
        <v>55</v>
      </c>
      <c r="E31" s="25" t="s">
        <v>88</v>
      </c>
    </row>
    <row r="32" customFormat="false" ht="15" hidden="false" customHeight="false" outlineLevel="0" collapsed="false">
      <c r="A32" s="6"/>
      <c r="B32" s="9" t="s">
        <v>89</v>
      </c>
      <c r="C32" s="26" t="n">
        <v>0.08</v>
      </c>
      <c r="D32" s="24" t="s">
        <v>55</v>
      </c>
      <c r="E32" s="25" t="s">
        <v>90</v>
      </c>
    </row>
    <row r="33" customFormat="false" ht="15" hidden="false" customHeight="false" outlineLevel="0" collapsed="false">
      <c r="A33" s="6"/>
      <c r="B33" s="6"/>
      <c r="C33" s="6"/>
      <c r="D33" s="6"/>
      <c r="E33" s="6"/>
    </row>
    <row r="34" customFormat="false" ht="15" hidden="false" customHeight="false" outlineLevel="0" collapsed="false">
      <c r="A34" s="6"/>
      <c r="B34" s="21" t="s">
        <v>91</v>
      </c>
      <c r="C34" s="22"/>
      <c r="D34" s="22"/>
      <c r="E34" s="22"/>
    </row>
    <row r="35" customFormat="false" ht="15" hidden="false" customHeight="false" outlineLevel="0" collapsed="false">
      <c r="A35" s="6"/>
      <c r="B35" s="9" t="s">
        <v>92</v>
      </c>
      <c r="C35" s="23" t="n">
        <v>2</v>
      </c>
      <c r="D35" s="24" t="s">
        <v>93</v>
      </c>
      <c r="E35" s="25" t="s">
        <v>94</v>
      </c>
    </row>
    <row r="36" customFormat="false" ht="15" hidden="false" customHeight="false" outlineLevel="0" collapsed="false">
      <c r="A36" s="6"/>
      <c r="B36" s="9" t="s">
        <v>95</v>
      </c>
      <c r="C36" s="23" t="n">
        <v>10</v>
      </c>
      <c r="D36" s="24" t="s">
        <v>93</v>
      </c>
      <c r="E36" s="25" t="s">
        <v>96</v>
      </c>
    </row>
    <row r="37" customFormat="false" ht="15" hidden="false" customHeight="false" outlineLevel="0" collapsed="false">
      <c r="A37" s="6"/>
      <c r="B37" s="6"/>
      <c r="C37" s="6"/>
      <c r="D37" s="6"/>
      <c r="E37" s="6"/>
    </row>
    <row r="38" customFormat="false" ht="15" hidden="false" customHeight="false" outlineLevel="0" collapsed="false">
      <c r="A38" s="6"/>
      <c r="B38" s="21" t="s">
        <v>97</v>
      </c>
      <c r="C38" s="22"/>
      <c r="D38" s="22"/>
      <c r="E38" s="22"/>
    </row>
    <row r="39" customFormat="false" ht="15" hidden="false" customHeight="false" outlineLevel="0" collapsed="false">
      <c r="A39" s="6"/>
      <c r="B39" s="9" t="s">
        <v>98</v>
      </c>
      <c r="C39" s="26" t="n">
        <v>0.02</v>
      </c>
      <c r="D39" s="24" t="s">
        <v>55</v>
      </c>
      <c r="E39" s="25" t="s">
        <v>99</v>
      </c>
    </row>
    <row r="40" customFormat="false" ht="15" hidden="false" customHeight="false" outlineLevel="0" collapsed="false">
      <c r="A40" s="6"/>
      <c r="B40" s="9" t="s">
        <v>100</v>
      </c>
      <c r="C40" s="26" t="n">
        <v>0.33</v>
      </c>
      <c r="D40" s="24" t="s">
        <v>51</v>
      </c>
      <c r="E40" s="25" t="s">
        <v>101</v>
      </c>
    </row>
    <row r="41" customFormat="false" ht="15" hidden="false" customHeight="false" outlineLevel="0" collapsed="false">
      <c r="A41" s="6"/>
      <c r="B41" s="6"/>
      <c r="C41" s="6"/>
      <c r="D41" s="6"/>
      <c r="E41" s="6"/>
    </row>
    <row r="42" customFormat="false" ht="15" hidden="false" customHeight="false" outlineLevel="0" collapsed="false">
      <c r="A42" s="6"/>
      <c r="B42" s="21" t="s">
        <v>102</v>
      </c>
      <c r="C42" s="22"/>
      <c r="D42" s="22"/>
      <c r="E42" s="22"/>
    </row>
    <row r="43" customFormat="false" ht="15" hidden="false" customHeight="false" outlineLevel="0" collapsed="false">
      <c r="A43" s="6"/>
      <c r="B43" s="9" t="s">
        <v>103</v>
      </c>
      <c r="C43" s="26" t="n">
        <v>0.21</v>
      </c>
      <c r="D43" s="24" t="s">
        <v>55</v>
      </c>
      <c r="E43" s="25" t="s">
        <v>104</v>
      </c>
    </row>
    <row r="44" customFormat="false" ht="15" hidden="false" customHeight="false" outlineLevel="0" collapsed="false">
      <c r="A44" s="6"/>
      <c r="B44" s="9" t="s">
        <v>105</v>
      </c>
      <c r="C44" s="27" t="n">
        <v>20000000</v>
      </c>
      <c r="D44" s="24" t="s">
        <v>48</v>
      </c>
      <c r="E44" s="25" t="s">
        <v>106</v>
      </c>
    </row>
    <row r="45" customFormat="false" ht="15" hidden="false" customHeight="false" outlineLevel="0" collapsed="false">
      <c r="A45" s="6"/>
      <c r="B45" s="9" t="s">
        <v>107</v>
      </c>
      <c r="C45" s="27" t="n">
        <v>5000000</v>
      </c>
      <c r="D45" s="24" t="s">
        <v>48</v>
      </c>
      <c r="E45" s="25" t="s">
        <v>108</v>
      </c>
    </row>
    <row r="46" customFormat="false" ht="15" hidden="false" customHeight="false" outlineLevel="0" collapsed="false">
      <c r="A46" s="6"/>
      <c r="B46" s="6"/>
      <c r="C46" s="6"/>
      <c r="D46" s="6"/>
      <c r="E46" s="6"/>
    </row>
    <row r="47" customFormat="false" ht="15" hidden="false" customHeight="false" outlineLevel="0" collapsed="false">
      <c r="A47" s="6"/>
      <c r="B47" s="21" t="s">
        <v>109</v>
      </c>
      <c r="C47" s="22"/>
      <c r="D47" s="22"/>
      <c r="E47" s="22"/>
    </row>
    <row r="48" customFormat="false" ht="15" hidden="false" customHeight="false" outlineLevel="0" collapsed="false">
      <c r="A48" s="6"/>
      <c r="B48" s="9" t="s">
        <v>110</v>
      </c>
      <c r="C48" s="23" t="n">
        <v>2026</v>
      </c>
      <c r="D48" s="24" t="s">
        <v>111</v>
      </c>
      <c r="E48" s="25" t="s">
        <v>112</v>
      </c>
    </row>
    <row r="49" customFormat="false" ht="15" hidden="false" customHeight="false" outlineLevel="0" collapsed="false">
      <c r="A49" s="6"/>
      <c r="B49" s="9" t="s">
        <v>113</v>
      </c>
      <c r="C49" s="23" t="n">
        <v>1</v>
      </c>
      <c r="D49" s="24" t="s">
        <v>114</v>
      </c>
      <c r="E49" s="25" t="s">
        <v>115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37</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119</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31" t="s">
        <v>120</v>
      </c>
      <c r="C9" s="32" t="n">
        <f aca="false">Starting_MAPCs*(1+MAPC_Growth)^0</f>
        <v>50000</v>
      </c>
      <c r="D9" s="32" t="n">
        <f aca="false">Starting_MAPCs*(1+MAPC_Growth)^1</f>
        <v>52500</v>
      </c>
      <c r="E9" s="32" t="n">
        <f aca="false">Starting_MAPCs*(1+MAPC_Growth)^2</f>
        <v>55125</v>
      </c>
      <c r="F9" s="32" t="n">
        <f aca="false">Starting_MAPCs*(1+MAPC_Growth)^3</f>
        <v>57881.25</v>
      </c>
      <c r="G9" s="32" t="n">
        <f aca="false">Starting_MAPCs*(1+MAPC_Growth)^4</f>
        <v>60775.3125</v>
      </c>
      <c r="H9" s="32" t="n">
        <f aca="false">Starting_MAPCs*(1+MAPC_Growth)^5</f>
        <v>63814.078125</v>
      </c>
      <c r="I9" s="32" t="n">
        <f aca="false">Starting_MAPCs*(1+MAPC_Growth)^6</f>
        <v>67004.78203125</v>
      </c>
      <c r="J9" s="32" t="n">
        <f aca="false">Starting_MAPCs*(1+MAPC_Growth)^7</f>
        <v>70355.0211328125</v>
      </c>
      <c r="K9" s="32" t="n">
        <f aca="false">Starting_MAPCs*(1+MAPC_Growth)^8</f>
        <v>73872.7721894532</v>
      </c>
      <c r="L9" s="32" t="n">
        <f aca="false">Starting_MAPCs*(1+MAPC_Growth)^9</f>
        <v>77566.4107989258</v>
      </c>
      <c r="M9" s="32" t="n">
        <f aca="false">Starting_MAPCs*(1+MAPC_Growth)^10</f>
        <v>81444.7313388721</v>
      </c>
      <c r="N9" s="32" t="n">
        <f aca="false">Starting_MAPCs*(1+MAPC_Growth)^11</f>
        <v>85516.9679058157</v>
      </c>
      <c r="O9" s="32" t="n">
        <f aca="false">Starting_MAPCs*(1+MAPC_Growth)^12</f>
        <v>89792.8163011065</v>
      </c>
      <c r="P9" s="32" t="n">
        <f aca="false">Starting_MAPCs*(1+MAPC_Growth)^13</f>
        <v>94282.4571161618</v>
      </c>
      <c r="Q9" s="32" t="n">
        <f aca="false">Starting_MAPCs*(1+MAPC_Growth)^14</f>
        <v>98996.5799719699</v>
      </c>
      <c r="R9" s="32" t="n">
        <f aca="false">Starting_MAPCs*(1+MAPC_Growth)^15</f>
        <v>103946.408970568</v>
      </c>
      <c r="S9" s="32" t="n">
        <f aca="false">Starting_MAPCs*(1+MAPC_Growth)^16</f>
        <v>109143.729419097</v>
      </c>
      <c r="T9" s="32" t="n">
        <f aca="false">Starting_MAPCs*(1+MAPC_Growth)^17</f>
        <v>114600.915890052</v>
      </c>
      <c r="U9" s="32" t="n">
        <f aca="false">Starting_MAPCs*(1+MAPC_Growth)^18</f>
        <v>120330.961684554</v>
      </c>
      <c r="V9" s="32" t="n">
        <f aca="false">Starting_MAPCs*(1+MAPC_Growth)^19</f>
        <v>126347.509768782</v>
      </c>
      <c r="W9" s="32" t="n">
        <f aca="false">Starting_MAPCs*(1+MAPC_Growth)^20</f>
        <v>132664.885257221</v>
      </c>
      <c r="X9" s="32" t="n">
        <f aca="false">Starting_MAPCs*(1+MAPC_Growth)^21</f>
        <v>139298.129520082</v>
      </c>
      <c r="Y9" s="32" t="n">
        <f aca="false">Starting_MAPCs*(1+MAPC_Growth)^22</f>
        <v>146263.035996086</v>
      </c>
      <c r="Z9" s="32" t="n">
        <f aca="false">Starting_MAPCs*(1+MAPC_Growth)^23</f>
        <v>153576.187795891</v>
      </c>
    </row>
    <row r="10" customFormat="false" ht="15" hidden="false" customHeight="false" outlineLevel="0" collapsed="false">
      <c r="A10" s="6"/>
      <c r="B10" s="33" t="s">
        <v>121</v>
      </c>
      <c r="C10" s="34" t="n">
        <f aca="false">Starting_MAPCs*MAPC_Growth</f>
        <v>2500</v>
      </c>
      <c r="D10" s="34" t="n">
        <f aca="false">D9-C9</f>
        <v>2500</v>
      </c>
      <c r="E10" s="34" t="n">
        <f aca="false">E9-D9</f>
        <v>2625</v>
      </c>
      <c r="F10" s="34" t="n">
        <f aca="false">F9-E9</f>
        <v>2756.25000000001</v>
      </c>
      <c r="G10" s="34" t="n">
        <f aca="false">G9-F9</f>
        <v>2894.06250000001</v>
      </c>
      <c r="H10" s="34" t="n">
        <f aca="false">H9-G9</f>
        <v>3038.765625</v>
      </c>
      <c r="I10" s="34" t="n">
        <f aca="false">I9-H9</f>
        <v>3190.70390625001</v>
      </c>
      <c r="J10" s="34" t="n">
        <f aca="false">J9-I9</f>
        <v>3350.2391015625</v>
      </c>
      <c r="K10" s="34" t="n">
        <f aca="false">K9-J9</f>
        <v>3517.75105664063</v>
      </c>
      <c r="L10" s="34" t="n">
        <f aca="false">L9-K9</f>
        <v>3693.63860947265</v>
      </c>
      <c r="M10" s="34" t="n">
        <f aca="false">M9-L9</f>
        <v>3878.32053994629</v>
      </c>
      <c r="N10" s="34" t="n">
        <f aca="false">N9-M9</f>
        <v>4072.23656694361</v>
      </c>
      <c r="O10" s="34" t="n">
        <f aca="false">O9-N9</f>
        <v>4275.8483952908</v>
      </c>
      <c r="P10" s="34" t="n">
        <f aca="false">P9-O9</f>
        <v>4489.64081505533</v>
      </c>
      <c r="Q10" s="34" t="n">
        <f aca="false">Q9-P9</f>
        <v>4714.12285580809</v>
      </c>
      <c r="R10" s="34" t="n">
        <f aca="false">R9-Q9</f>
        <v>4949.8289985985</v>
      </c>
      <c r="S10" s="34" t="n">
        <f aca="false">S9-R9</f>
        <v>5197.32044852842</v>
      </c>
      <c r="T10" s="34" t="n">
        <f aca="false">T9-S9</f>
        <v>5457.18647095485</v>
      </c>
      <c r="U10" s="34" t="n">
        <f aca="false">U9-T9</f>
        <v>5730.04579450257</v>
      </c>
      <c r="V10" s="34" t="n">
        <f aca="false">V9-U9</f>
        <v>6016.54808422775</v>
      </c>
      <c r="W10" s="34" t="n">
        <f aca="false">W9-V9</f>
        <v>6317.3754884391</v>
      </c>
      <c r="X10" s="34" t="n">
        <f aca="false">X9-W9</f>
        <v>6633.24426286106</v>
      </c>
      <c r="Y10" s="34" t="n">
        <f aca="false">Y9-X9</f>
        <v>6964.90647600414</v>
      </c>
      <c r="Z10" s="34" t="n">
        <f aca="false">Z9-Y9</f>
        <v>7313.1517998043</v>
      </c>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row>
    <row r="12" customFormat="false" ht="15" hidden="false" customHeight="false" outlineLevel="0" collapsed="false">
      <c r="A12" s="6"/>
      <c r="B12" s="21" t="s">
        <v>122</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6"/>
      <c r="B13" s="31" t="s">
        <v>123</v>
      </c>
      <c r="C13" s="32" t="n">
        <f aca="false">C9*Orders_Per_MAPC</f>
        <v>200000</v>
      </c>
      <c r="D13" s="32" t="n">
        <f aca="false">D9*Orders_Per_MAPC</f>
        <v>210000</v>
      </c>
      <c r="E13" s="32" t="n">
        <f aca="false">E9*Orders_Per_MAPC</f>
        <v>220500</v>
      </c>
      <c r="F13" s="32" t="n">
        <f aca="false">F9*Orders_Per_MAPC</f>
        <v>231525</v>
      </c>
      <c r="G13" s="32" t="n">
        <f aca="false">G9*Orders_Per_MAPC</f>
        <v>243101.25</v>
      </c>
      <c r="H13" s="32" t="n">
        <f aca="false">H9*Orders_Per_MAPC</f>
        <v>255256.3125</v>
      </c>
      <c r="I13" s="32" t="n">
        <f aca="false">I9*Orders_Per_MAPC</f>
        <v>268019.128125</v>
      </c>
      <c r="J13" s="32" t="n">
        <f aca="false">J9*Orders_Per_MAPC</f>
        <v>281420.08453125</v>
      </c>
      <c r="K13" s="32" t="n">
        <f aca="false">K9*Orders_Per_MAPC</f>
        <v>295491.088757813</v>
      </c>
      <c r="L13" s="32" t="n">
        <f aca="false">L9*Orders_Per_MAPC</f>
        <v>310265.643195703</v>
      </c>
      <c r="M13" s="32" t="n">
        <f aca="false">M9*Orders_Per_MAPC</f>
        <v>325778.925355488</v>
      </c>
      <c r="N13" s="32" t="n">
        <f aca="false">N9*Orders_Per_MAPC</f>
        <v>342067.871623263</v>
      </c>
      <c r="O13" s="32" t="n">
        <f aca="false">O9*Orders_Per_MAPC</f>
        <v>359171.265204426</v>
      </c>
      <c r="P13" s="32" t="n">
        <f aca="false">P9*Orders_Per_MAPC</f>
        <v>377129.828464647</v>
      </c>
      <c r="Q13" s="32" t="n">
        <f aca="false">Q9*Orders_Per_MAPC</f>
        <v>395986.31988788</v>
      </c>
      <c r="R13" s="32" t="n">
        <f aca="false">R9*Orders_Per_MAPC</f>
        <v>415785.635882274</v>
      </c>
      <c r="S13" s="32" t="n">
        <f aca="false">S9*Orders_Per_MAPC</f>
        <v>436574.917676387</v>
      </c>
      <c r="T13" s="32" t="n">
        <f aca="false">T9*Orders_Per_MAPC</f>
        <v>458403.663560207</v>
      </c>
      <c r="U13" s="32" t="n">
        <f aca="false">U9*Orders_Per_MAPC</f>
        <v>481323.846738217</v>
      </c>
      <c r="V13" s="32" t="n">
        <f aca="false">V9*Orders_Per_MAPC</f>
        <v>505390.039075128</v>
      </c>
      <c r="W13" s="32" t="n">
        <f aca="false">W9*Orders_Per_MAPC</f>
        <v>530659.541028885</v>
      </c>
      <c r="X13" s="32" t="n">
        <f aca="false">X9*Orders_Per_MAPC</f>
        <v>557192.518080329</v>
      </c>
      <c r="Y13" s="32" t="n">
        <f aca="false">Y9*Orders_Per_MAPC</f>
        <v>585052.143984345</v>
      </c>
      <c r="Z13" s="32" t="n">
        <f aca="false">Z9*Orders_Per_MAPC</f>
        <v>614304.751183562</v>
      </c>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6"/>
      <c r="B15" s="21" t="s">
        <v>47</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6"/>
      <c r="B16" s="9" t="s">
        <v>124</v>
      </c>
      <c r="C16" s="35" t="n">
        <f aca="false">AOV_Base*(1+AOV_Growth/12)^0</f>
        <v>32</v>
      </c>
      <c r="D16" s="35" t="n">
        <f aca="false">AOV_Base*(1+AOV_Growth/12)^1</f>
        <v>32.08</v>
      </c>
      <c r="E16" s="35" t="n">
        <f aca="false">AOV_Base*(1+AOV_Growth/12)^2</f>
        <v>32.1602</v>
      </c>
      <c r="F16" s="35" t="n">
        <f aca="false">AOV_Base*(1+AOV_Growth/12)^3</f>
        <v>32.2406005</v>
      </c>
      <c r="G16" s="35" t="n">
        <f aca="false">AOV_Base*(1+AOV_Growth/12)^4</f>
        <v>32.32120200125</v>
      </c>
      <c r="H16" s="35" t="n">
        <f aca="false">AOV_Base*(1+AOV_Growth/12)^5</f>
        <v>32.4020050062531</v>
      </c>
      <c r="I16" s="35" t="n">
        <f aca="false">AOV_Base*(1+AOV_Growth/12)^6</f>
        <v>32.4830100187687</v>
      </c>
      <c r="J16" s="35" t="n">
        <f aca="false">AOV_Base*(1+AOV_Growth/12)^7</f>
        <v>32.5642175438157</v>
      </c>
      <c r="K16" s="35" t="n">
        <f aca="false">AOV_Base*(1+AOV_Growth/12)^8</f>
        <v>32.6456280876752</v>
      </c>
      <c r="L16" s="35" t="n">
        <f aca="false">AOV_Base*(1+AOV_Growth/12)^9</f>
        <v>32.7272421578944</v>
      </c>
      <c r="M16" s="35" t="n">
        <f aca="false">AOV_Base*(1+AOV_Growth/12)^10</f>
        <v>32.8090602632891</v>
      </c>
      <c r="N16" s="35" t="n">
        <f aca="false">AOV_Base*(1+AOV_Growth/12)^11</f>
        <v>32.8910829139473</v>
      </c>
      <c r="O16" s="35" t="n">
        <f aca="false">AOV_Base*(1+AOV_Growth/12)^12</f>
        <v>32.9733106212322</v>
      </c>
      <c r="P16" s="35" t="n">
        <f aca="false">AOV_Base*(1+AOV_Growth/12)^13</f>
        <v>33.0557438977853</v>
      </c>
      <c r="Q16" s="35" t="n">
        <f aca="false">AOV_Base*(1+AOV_Growth/12)^14</f>
        <v>33.1383832575298</v>
      </c>
      <c r="R16" s="35" t="n">
        <f aca="false">AOV_Base*(1+AOV_Growth/12)^15</f>
        <v>33.2212292156736</v>
      </c>
      <c r="S16" s="35" t="n">
        <f aca="false">AOV_Base*(1+AOV_Growth/12)^16</f>
        <v>33.3042822887128</v>
      </c>
      <c r="T16" s="35" t="n">
        <f aca="false">AOV_Base*(1+AOV_Growth/12)^17</f>
        <v>33.3875429944345</v>
      </c>
      <c r="U16" s="35" t="n">
        <f aca="false">AOV_Base*(1+AOV_Growth/12)^18</f>
        <v>33.4710118519206</v>
      </c>
      <c r="V16" s="35" t="n">
        <f aca="false">AOV_Base*(1+AOV_Growth/12)^19</f>
        <v>33.5546893815504</v>
      </c>
      <c r="W16" s="35" t="n">
        <f aca="false">AOV_Base*(1+AOV_Growth/12)^20</f>
        <v>33.6385761050043</v>
      </c>
      <c r="X16" s="35" t="n">
        <f aca="false">AOV_Base*(1+AOV_Growth/12)^21</f>
        <v>33.7226725452668</v>
      </c>
      <c r="Y16" s="35" t="n">
        <f aca="false">AOV_Base*(1+AOV_Growth/12)^22</f>
        <v>33.80697922663</v>
      </c>
      <c r="Z16" s="35" t="n">
        <f aca="false">AOV_Base*(1+AOV_Growth/12)^23</f>
        <v>33.8914966746966</v>
      </c>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6"/>
      <c r="B18" s="21" t="s">
        <v>125</v>
      </c>
      <c r="C18" s="22"/>
      <c r="D18" s="22"/>
      <c r="E18" s="22"/>
      <c r="F18" s="22"/>
      <c r="G18" s="22"/>
      <c r="H18" s="22"/>
      <c r="I18" s="22"/>
      <c r="J18" s="22"/>
      <c r="K18" s="22"/>
      <c r="L18" s="22"/>
      <c r="M18" s="22"/>
      <c r="N18" s="22"/>
      <c r="O18" s="22"/>
      <c r="P18" s="22"/>
      <c r="Q18" s="22"/>
      <c r="R18" s="22"/>
      <c r="S18" s="22"/>
      <c r="T18" s="22"/>
      <c r="U18" s="22"/>
      <c r="V18" s="22"/>
      <c r="W18" s="22"/>
      <c r="X18" s="22"/>
      <c r="Y18" s="22"/>
      <c r="Z18" s="22"/>
    </row>
    <row r="19" customFormat="false" ht="15" hidden="false" customHeight="false" outlineLevel="0" collapsed="false">
      <c r="A19" s="6"/>
      <c r="B19" s="31" t="s">
        <v>126</v>
      </c>
      <c r="C19" s="36" t="n">
        <f aca="false">C13*C16</f>
        <v>6400000</v>
      </c>
      <c r="D19" s="36" t="n">
        <f aca="false">D13*D16</f>
        <v>6736800</v>
      </c>
      <c r="E19" s="36" t="n">
        <f aca="false">E13*E16</f>
        <v>7091324.1</v>
      </c>
      <c r="F19" s="36" t="n">
        <f aca="false">F13*F16</f>
        <v>7464505.0307625</v>
      </c>
      <c r="G19" s="36" t="n">
        <f aca="false">G13*G16</f>
        <v>7857324.60800638</v>
      </c>
      <c r="H19" s="36" t="n">
        <f aca="false">H13*H16</f>
        <v>8270816.31550271</v>
      </c>
      <c r="I19" s="36" t="n">
        <f aca="false">I13*I16</f>
        <v>8706068.02410604</v>
      </c>
      <c r="J19" s="36" t="n">
        <f aca="false">J13*J16</f>
        <v>9164224.85387462</v>
      </c>
      <c r="K19" s="36" t="n">
        <f aca="false">K13*K16</f>
        <v>9646492.18680977</v>
      </c>
      <c r="L19" s="36" t="n">
        <f aca="false">L13*L16</f>
        <v>10154138.8381406</v>
      </c>
      <c r="M19" s="36" t="n">
        <f aca="false">M13*M16</f>
        <v>10688500.3944978</v>
      </c>
      <c r="N19" s="36" t="n">
        <f aca="false">N13*N16</f>
        <v>11250982.7277582</v>
      </c>
      <c r="O19" s="36" t="n">
        <f aca="false">O13*O16</f>
        <v>11843065.6938065</v>
      </c>
      <c r="P19" s="36" t="n">
        <f aca="false">P13*P16</f>
        <v>12466307.0259431</v>
      </c>
      <c r="Q19" s="36" t="n">
        <f aca="false">Q13*Q16</f>
        <v>13122346.4331833</v>
      </c>
      <c r="R19" s="36" t="n">
        <f aca="false">R13*R16</f>
        <v>13812909.9142296</v>
      </c>
      <c r="S19" s="36" t="n">
        <f aca="false">S13*S16</f>
        <v>14539814.2984659</v>
      </c>
      <c r="T19" s="36" t="n">
        <f aca="false">T13*T16</f>
        <v>15304972.0259227</v>
      </c>
      <c r="U19" s="36" t="n">
        <f aca="false">U13*U16</f>
        <v>16110396.1787869</v>
      </c>
      <c r="V19" s="36" t="n">
        <f aca="false">V13*V16</f>
        <v>16958205.7776956</v>
      </c>
      <c r="W19" s="36" t="n">
        <f aca="false">W13*W16</f>
        <v>17850631.3567468</v>
      </c>
      <c r="X19" s="36" t="n">
        <f aca="false">X13*X16</f>
        <v>18790020.8318956</v>
      </c>
      <c r="Y19" s="36" t="n">
        <f aca="false">Y13*Y16</f>
        <v>19778845.6781741</v>
      </c>
      <c r="Z19" s="36" t="n">
        <f aca="false">Z13*Z16</f>
        <v>20819707.431988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127</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128</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9" t="s">
        <v>129</v>
      </c>
      <c r="C9" s="35" t="n">
        <f aca="false">MK_GOV*Commission_Rate</f>
        <v>896000</v>
      </c>
      <c r="D9" s="35" t="n">
        <f aca="false">MK_GOV*Commission_Rate</f>
        <v>943152</v>
      </c>
      <c r="E9" s="35" t="n">
        <f aca="false">MK_GOV*Commission_Rate</f>
        <v>992785.374</v>
      </c>
      <c r="F9" s="35" t="n">
        <f aca="false">MK_GOV*Commission_Rate</f>
        <v>1045030.70430675</v>
      </c>
      <c r="G9" s="35" t="n">
        <f aca="false">MK_GOV*Commission_Rate</f>
        <v>1100025.44512089</v>
      </c>
      <c r="H9" s="35" t="n">
        <f aca="false">MK_GOV*Commission_Rate</f>
        <v>1157914.28417038</v>
      </c>
      <c r="I9" s="35" t="n">
        <f aca="false">MK_GOV*Commission_Rate</f>
        <v>1218849.52337485</v>
      </c>
      <c r="J9" s="35" t="n">
        <f aca="false">MK_GOV*Commission_Rate</f>
        <v>1282991.47954245</v>
      </c>
      <c r="K9" s="35" t="n">
        <f aca="false">MK_GOV*Commission_Rate</f>
        <v>1350508.90615337</v>
      </c>
      <c r="L9" s="35" t="n">
        <f aca="false">MK_GOV*Commission_Rate</f>
        <v>1421579.43733969</v>
      </c>
      <c r="M9" s="35" t="n">
        <f aca="false">MK_GOV*Commission_Rate</f>
        <v>1496390.05522969</v>
      </c>
      <c r="N9" s="35" t="n">
        <f aca="false">MK_GOV*Commission_Rate</f>
        <v>1575137.58188615</v>
      </c>
      <c r="O9" s="35" t="n">
        <f aca="false">MK_GOV*Commission_Rate</f>
        <v>1658029.19713291</v>
      </c>
      <c r="P9" s="35" t="n">
        <f aca="false">MK_GOV*Commission_Rate</f>
        <v>1745282.98363203</v>
      </c>
      <c r="Q9" s="35" t="n">
        <f aca="false">MK_GOV*Commission_Rate</f>
        <v>1837128.50064567</v>
      </c>
      <c r="R9" s="35" t="n">
        <f aca="false">MK_GOV*Commission_Rate</f>
        <v>1933807.38799215</v>
      </c>
      <c r="S9" s="35" t="n">
        <f aca="false">MK_GOV*Commission_Rate</f>
        <v>2035574.00178523</v>
      </c>
      <c r="T9" s="35" t="n">
        <f aca="false">MK_GOV*Commission_Rate</f>
        <v>2142696.08362918</v>
      </c>
      <c r="U9" s="35" t="n">
        <f aca="false">MK_GOV*Commission_Rate</f>
        <v>2255455.46503017</v>
      </c>
      <c r="V9" s="35" t="n">
        <f aca="false">MK_GOV*Commission_Rate</f>
        <v>2374148.80887738</v>
      </c>
      <c r="W9" s="35" t="n">
        <f aca="false">MK_GOV*Commission_Rate</f>
        <v>2499088.38994455</v>
      </c>
      <c r="X9" s="35" t="n">
        <f aca="false">MK_GOV*Commission_Rate</f>
        <v>2630602.91646538</v>
      </c>
      <c r="Y9" s="35" t="n">
        <f aca="false">MK_GOV*Commission_Rate</f>
        <v>2769038.39494437</v>
      </c>
      <c r="Z9" s="35" t="n">
        <f aca="false">MK_GOV*Commission_Rate</f>
        <v>2914759.04047832</v>
      </c>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6"/>
      <c r="B11" s="21" t="s">
        <v>130</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customFormat="false" ht="15" hidden="false" customHeight="false" outlineLevel="0" collapsed="false">
      <c r="A12" s="6"/>
      <c r="B12" s="33" t="s">
        <v>131</v>
      </c>
      <c r="C12" s="35" t="n">
        <f aca="false">MK_Orders*Delivery_Fee</f>
        <v>500000</v>
      </c>
      <c r="D12" s="35" t="n">
        <f aca="false">MK_Orders*Delivery_Fee</f>
        <v>525000</v>
      </c>
      <c r="E12" s="35" t="n">
        <f aca="false">MK_Orders*Delivery_Fee</f>
        <v>551250</v>
      </c>
      <c r="F12" s="35" t="n">
        <f aca="false">MK_Orders*Delivery_Fee</f>
        <v>578812.5</v>
      </c>
      <c r="G12" s="35" t="n">
        <f aca="false">MK_Orders*Delivery_Fee</f>
        <v>607753.125</v>
      </c>
      <c r="H12" s="35" t="n">
        <f aca="false">MK_Orders*Delivery_Fee</f>
        <v>638140.78125</v>
      </c>
      <c r="I12" s="35" t="n">
        <f aca="false">MK_Orders*Delivery_Fee</f>
        <v>670047.8203125</v>
      </c>
      <c r="J12" s="35" t="n">
        <f aca="false">MK_Orders*Delivery_Fee</f>
        <v>703550.211328125</v>
      </c>
      <c r="K12" s="35" t="n">
        <f aca="false">MK_Orders*Delivery_Fee</f>
        <v>738727.721894532</v>
      </c>
      <c r="L12" s="35" t="n">
        <f aca="false">MK_Orders*Delivery_Fee</f>
        <v>775664.107989258</v>
      </c>
      <c r="M12" s="35" t="n">
        <f aca="false">MK_Orders*Delivery_Fee</f>
        <v>814447.313388721</v>
      </c>
      <c r="N12" s="35" t="n">
        <f aca="false">MK_Orders*Delivery_Fee</f>
        <v>855169.679058157</v>
      </c>
      <c r="O12" s="35" t="n">
        <f aca="false">MK_Orders*Delivery_Fee</f>
        <v>897928.163011065</v>
      </c>
      <c r="P12" s="35" t="n">
        <f aca="false">MK_Orders*Delivery_Fee</f>
        <v>942824.571161618</v>
      </c>
      <c r="Q12" s="35" t="n">
        <f aca="false">MK_Orders*Delivery_Fee</f>
        <v>989965.799719699</v>
      </c>
      <c r="R12" s="35" t="n">
        <f aca="false">MK_Orders*Delivery_Fee</f>
        <v>1039464.08970568</v>
      </c>
      <c r="S12" s="35" t="n">
        <f aca="false">MK_Orders*Delivery_Fee</f>
        <v>1091437.29419097</v>
      </c>
      <c r="T12" s="35" t="n">
        <f aca="false">MK_Orders*Delivery_Fee</f>
        <v>1146009.15890052</v>
      </c>
      <c r="U12" s="35" t="n">
        <f aca="false">MK_Orders*Delivery_Fee</f>
        <v>1203309.61684554</v>
      </c>
      <c r="V12" s="35" t="n">
        <f aca="false">MK_Orders*Delivery_Fee</f>
        <v>1263475.09768782</v>
      </c>
      <c r="W12" s="35" t="n">
        <f aca="false">MK_Orders*Delivery_Fee</f>
        <v>1326648.85257221</v>
      </c>
      <c r="X12" s="35" t="n">
        <f aca="false">MK_Orders*Delivery_Fee</f>
        <v>1392981.29520082</v>
      </c>
      <c r="Y12" s="35" t="n">
        <f aca="false">MK_Orders*Delivery_Fee</f>
        <v>1462630.35996086</v>
      </c>
      <c r="Z12" s="35" t="n">
        <f aca="false">MK_Orders*Delivery_Fee</f>
        <v>1535761.87795891</v>
      </c>
    </row>
    <row r="13" customFormat="false" ht="15" hidden="false" customHeight="false" outlineLevel="0" collapsed="false">
      <c r="A13" s="6"/>
      <c r="B13" s="33" t="s">
        <v>132</v>
      </c>
      <c r="C13" s="35" t="n">
        <f aca="false">MK_GOV*Service_Fee_Pct</f>
        <v>256000</v>
      </c>
      <c r="D13" s="35" t="n">
        <f aca="false">MK_GOV*Service_Fee_Pct</f>
        <v>269472</v>
      </c>
      <c r="E13" s="35" t="n">
        <f aca="false">MK_GOV*Service_Fee_Pct</f>
        <v>283652.964</v>
      </c>
      <c r="F13" s="35" t="n">
        <f aca="false">MK_GOV*Service_Fee_Pct</f>
        <v>298580.2012305</v>
      </c>
      <c r="G13" s="35" t="n">
        <f aca="false">MK_GOV*Service_Fee_Pct</f>
        <v>314292.984320255</v>
      </c>
      <c r="H13" s="35" t="n">
        <f aca="false">MK_GOV*Service_Fee_Pct</f>
        <v>330832.652620109</v>
      </c>
      <c r="I13" s="35" t="n">
        <f aca="false">MK_GOV*Service_Fee_Pct</f>
        <v>348242.720964242</v>
      </c>
      <c r="J13" s="35" t="n">
        <f aca="false">MK_GOV*Service_Fee_Pct</f>
        <v>366568.994154985</v>
      </c>
      <c r="K13" s="35" t="n">
        <f aca="false">MK_GOV*Service_Fee_Pct</f>
        <v>385859.687472391</v>
      </c>
      <c r="L13" s="35" t="n">
        <f aca="false">MK_GOV*Service_Fee_Pct</f>
        <v>406165.553525626</v>
      </c>
      <c r="M13" s="35" t="n">
        <f aca="false">MK_GOV*Service_Fee_Pct</f>
        <v>427540.015779912</v>
      </c>
      <c r="N13" s="35" t="n">
        <f aca="false">MK_GOV*Service_Fee_Pct</f>
        <v>450039.309110329</v>
      </c>
      <c r="O13" s="35" t="n">
        <f aca="false">MK_GOV*Service_Fee_Pct</f>
        <v>473722.627752261</v>
      </c>
      <c r="P13" s="35" t="n">
        <f aca="false">MK_GOV*Service_Fee_Pct</f>
        <v>498652.281037723</v>
      </c>
      <c r="Q13" s="35" t="n">
        <f aca="false">MK_GOV*Service_Fee_Pct</f>
        <v>524893.857327333</v>
      </c>
      <c r="R13" s="35" t="n">
        <f aca="false">MK_GOV*Service_Fee_Pct</f>
        <v>552516.396569184</v>
      </c>
      <c r="S13" s="35" t="n">
        <f aca="false">MK_GOV*Service_Fee_Pct</f>
        <v>581592.571938638</v>
      </c>
      <c r="T13" s="35" t="n">
        <f aca="false">MK_GOV*Service_Fee_Pct</f>
        <v>612198.881036909</v>
      </c>
      <c r="U13" s="35" t="n">
        <f aca="false">MK_GOV*Service_Fee_Pct</f>
        <v>644415.847151476</v>
      </c>
      <c r="V13" s="35" t="n">
        <f aca="false">MK_GOV*Service_Fee_Pct</f>
        <v>678328.231107822</v>
      </c>
      <c r="W13" s="35" t="n">
        <f aca="false">MK_GOV*Service_Fee_Pct</f>
        <v>714025.254269871</v>
      </c>
      <c r="X13" s="35" t="n">
        <f aca="false">MK_GOV*Service_Fee_Pct</f>
        <v>751600.833275823</v>
      </c>
      <c r="Y13" s="35" t="n">
        <f aca="false">MK_GOV*Service_Fee_Pct</f>
        <v>791153.827126963</v>
      </c>
      <c r="Z13" s="35" t="n">
        <f aca="false">MK_GOV*Service_Fee_Pct</f>
        <v>832788.29727952</v>
      </c>
    </row>
    <row r="14" customFormat="false" ht="15" hidden="false" customHeight="false" outlineLevel="0" collapsed="false">
      <c r="A14" s="6"/>
      <c r="B14" s="31" t="s">
        <v>133</v>
      </c>
      <c r="C14" s="37" t="n">
        <f aca="false">C12+C13</f>
        <v>756000</v>
      </c>
      <c r="D14" s="37" t="n">
        <f aca="false">D12+D13</f>
        <v>794472</v>
      </c>
      <c r="E14" s="37" t="n">
        <f aca="false">E12+E13</f>
        <v>834902.964</v>
      </c>
      <c r="F14" s="37" t="n">
        <f aca="false">F12+F13</f>
        <v>877392.7012305</v>
      </c>
      <c r="G14" s="37" t="n">
        <f aca="false">G12+G13</f>
        <v>922046.109320255</v>
      </c>
      <c r="H14" s="37" t="n">
        <f aca="false">H12+H13</f>
        <v>968973.433870109</v>
      </c>
      <c r="I14" s="37" t="n">
        <f aca="false">I12+I13</f>
        <v>1018290.54127674</v>
      </c>
      <c r="J14" s="37" t="n">
        <f aca="false">J12+J13</f>
        <v>1070119.20548311</v>
      </c>
      <c r="K14" s="37" t="n">
        <f aca="false">K12+K13</f>
        <v>1124587.40936692</v>
      </c>
      <c r="L14" s="37" t="n">
        <f aca="false">L12+L13</f>
        <v>1181829.66151488</v>
      </c>
      <c r="M14" s="37" t="n">
        <f aca="false">M12+M13</f>
        <v>1241987.32916863</v>
      </c>
      <c r="N14" s="37" t="n">
        <f aca="false">N12+N13</f>
        <v>1305208.98816849</v>
      </c>
      <c r="O14" s="37" t="n">
        <f aca="false">O12+O13</f>
        <v>1371650.79076333</v>
      </c>
      <c r="P14" s="37" t="n">
        <f aca="false">P12+P13</f>
        <v>1441476.85219934</v>
      </c>
      <c r="Q14" s="37" t="n">
        <f aca="false">Q12+Q13</f>
        <v>1514859.65704703</v>
      </c>
      <c r="R14" s="37" t="n">
        <f aca="false">R12+R13</f>
        <v>1591980.48627487</v>
      </c>
      <c r="S14" s="37" t="n">
        <f aca="false">S12+S13</f>
        <v>1673029.86612961</v>
      </c>
      <c r="T14" s="37" t="n">
        <f aca="false">T12+T13</f>
        <v>1758208.03993743</v>
      </c>
      <c r="U14" s="37" t="n">
        <f aca="false">U12+U13</f>
        <v>1847725.46399702</v>
      </c>
      <c r="V14" s="37" t="n">
        <f aca="false">V12+V13</f>
        <v>1941803.32879564</v>
      </c>
      <c r="W14" s="37" t="n">
        <f aca="false">W12+W13</f>
        <v>2040674.10684208</v>
      </c>
      <c r="X14" s="37" t="n">
        <f aca="false">X12+X13</f>
        <v>2144582.12847665</v>
      </c>
      <c r="Y14" s="37" t="n">
        <f aca="false">Y12+Y13</f>
        <v>2253784.18708783</v>
      </c>
      <c r="Z14" s="37" t="n">
        <f aca="false">Z12+Z13</f>
        <v>2368550.17523843</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21" t="s">
        <v>134</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6"/>
      <c r="B17" s="9" t="s">
        <v>63</v>
      </c>
      <c r="C17" s="35" t="n">
        <f aca="false">MK_GOV*Ad_Revenue_Pct</f>
        <v>128000</v>
      </c>
      <c r="D17" s="35" t="n">
        <f aca="false">MK_GOV*Ad_Revenue_Pct</f>
        <v>134736</v>
      </c>
      <c r="E17" s="35" t="n">
        <f aca="false">MK_GOV*Ad_Revenue_Pct</f>
        <v>141826.482</v>
      </c>
      <c r="F17" s="35" t="n">
        <f aca="false">MK_GOV*Ad_Revenue_Pct</f>
        <v>149290.10061525</v>
      </c>
      <c r="G17" s="35" t="n">
        <f aca="false">MK_GOV*Ad_Revenue_Pct</f>
        <v>157146.492160128</v>
      </c>
      <c r="H17" s="35" t="n">
        <f aca="false">MK_GOV*Ad_Revenue_Pct</f>
        <v>165416.326310054</v>
      </c>
      <c r="I17" s="35" t="n">
        <f aca="false">MK_GOV*Ad_Revenue_Pct</f>
        <v>174121.360482121</v>
      </c>
      <c r="J17" s="35" t="n">
        <f aca="false">MK_GOV*Ad_Revenue_Pct</f>
        <v>183284.497077492</v>
      </c>
      <c r="K17" s="35" t="n">
        <f aca="false">MK_GOV*Ad_Revenue_Pct</f>
        <v>192929.843736196</v>
      </c>
      <c r="L17" s="35" t="n">
        <f aca="false">MK_GOV*Ad_Revenue_Pct</f>
        <v>203082.776762813</v>
      </c>
      <c r="M17" s="35" t="n">
        <f aca="false">MK_GOV*Ad_Revenue_Pct</f>
        <v>213770.007889956</v>
      </c>
      <c r="N17" s="35" t="n">
        <f aca="false">MK_GOV*Ad_Revenue_Pct</f>
        <v>225019.654555165</v>
      </c>
      <c r="O17" s="35" t="n">
        <f aca="false">MK_GOV*Ad_Revenue_Pct</f>
        <v>236861.31387613</v>
      </c>
      <c r="P17" s="35" t="n">
        <f aca="false">MK_GOV*Ad_Revenue_Pct</f>
        <v>249326.140518862</v>
      </c>
      <c r="Q17" s="35" t="n">
        <f aca="false">MK_GOV*Ad_Revenue_Pct</f>
        <v>262446.928663667</v>
      </c>
      <c r="R17" s="35" t="n">
        <f aca="false">MK_GOV*Ad_Revenue_Pct</f>
        <v>276258.198284592</v>
      </c>
      <c r="S17" s="35" t="n">
        <f aca="false">MK_GOV*Ad_Revenue_Pct</f>
        <v>290796.285969319</v>
      </c>
      <c r="T17" s="35" t="n">
        <f aca="false">MK_GOV*Ad_Revenue_Pct</f>
        <v>306099.440518454</v>
      </c>
      <c r="U17" s="35" t="n">
        <f aca="false">MK_GOV*Ad_Revenue_Pct</f>
        <v>322207.923575738</v>
      </c>
      <c r="V17" s="35" t="n">
        <f aca="false">MK_GOV*Ad_Revenue_Pct</f>
        <v>339164.115553911</v>
      </c>
      <c r="W17" s="35" t="n">
        <f aca="false">MK_GOV*Ad_Revenue_Pct</f>
        <v>357012.627134936</v>
      </c>
      <c r="X17" s="35" t="n">
        <f aca="false">MK_GOV*Ad_Revenue_Pct</f>
        <v>375800.416637912</v>
      </c>
      <c r="Y17" s="35" t="n">
        <f aca="false">MK_GOV*Ad_Revenue_Pct</f>
        <v>395576.913563482</v>
      </c>
      <c r="Z17" s="35" t="n">
        <f aca="false">MK_GOV*Ad_Revenue_Pct</f>
        <v>416394.14863976</v>
      </c>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21" t="s">
        <v>135</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6"/>
      <c r="B20" s="33" t="s">
        <v>136</v>
      </c>
      <c r="C20" s="34" t="n">
        <f aca="false">MK_MAPCs*Sub_Penetration</f>
        <v>7500</v>
      </c>
      <c r="D20" s="34" t="n">
        <f aca="false">MK_MAPCs*Sub_Penetration</f>
        <v>7875</v>
      </c>
      <c r="E20" s="34" t="n">
        <f aca="false">MK_MAPCs*Sub_Penetration</f>
        <v>8268.75</v>
      </c>
      <c r="F20" s="34" t="n">
        <f aca="false">MK_MAPCs*Sub_Penetration</f>
        <v>8682.1875</v>
      </c>
      <c r="G20" s="34" t="n">
        <f aca="false">MK_MAPCs*Sub_Penetration</f>
        <v>9116.296875</v>
      </c>
      <c r="H20" s="34" t="n">
        <f aca="false">MK_MAPCs*Sub_Penetration</f>
        <v>9572.11171875</v>
      </c>
      <c r="I20" s="34" t="n">
        <f aca="false">MK_MAPCs*Sub_Penetration</f>
        <v>10050.7173046875</v>
      </c>
      <c r="J20" s="34" t="n">
        <f aca="false">MK_MAPCs*Sub_Penetration</f>
        <v>10553.2531699219</v>
      </c>
      <c r="K20" s="34" t="n">
        <f aca="false">MK_MAPCs*Sub_Penetration</f>
        <v>11080.915828418</v>
      </c>
      <c r="L20" s="34" t="n">
        <f aca="false">MK_MAPCs*Sub_Penetration</f>
        <v>11634.9616198389</v>
      </c>
      <c r="M20" s="34" t="n">
        <f aca="false">MK_MAPCs*Sub_Penetration</f>
        <v>12216.7097008308</v>
      </c>
      <c r="N20" s="34" t="n">
        <f aca="false">MK_MAPCs*Sub_Penetration</f>
        <v>12827.5451858724</v>
      </c>
      <c r="O20" s="34" t="n">
        <f aca="false">MK_MAPCs*Sub_Penetration</f>
        <v>13468.922445166</v>
      </c>
      <c r="P20" s="34" t="n">
        <f aca="false">MK_MAPCs*Sub_Penetration</f>
        <v>14142.3685674243</v>
      </c>
      <c r="Q20" s="34" t="n">
        <f aca="false">MK_MAPCs*Sub_Penetration</f>
        <v>14849.4869957955</v>
      </c>
      <c r="R20" s="34" t="n">
        <f aca="false">MK_MAPCs*Sub_Penetration</f>
        <v>15591.9613455853</v>
      </c>
      <c r="S20" s="34" t="n">
        <f aca="false">MK_MAPCs*Sub_Penetration</f>
        <v>16371.5594128645</v>
      </c>
      <c r="T20" s="34" t="n">
        <f aca="false">MK_MAPCs*Sub_Penetration</f>
        <v>17190.1373835078</v>
      </c>
      <c r="U20" s="34" t="n">
        <f aca="false">MK_MAPCs*Sub_Penetration</f>
        <v>18049.6442526831</v>
      </c>
      <c r="V20" s="34" t="n">
        <f aca="false">MK_MAPCs*Sub_Penetration</f>
        <v>18952.1264653173</v>
      </c>
      <c r="W20" s="34" t="n">
        <f aca="false">MK_MAPCs*Sub_Penetration</f>
        <v>19899.7327885832</v>
      </c>
      <c r="X20" s="34" t="n">
        <f aca="false">MK_MAPCs*Sub_Penetration</f>
        <v>20894.7194280123</v>
      </c>
      <c r="Y20" s="34" t="n">
        <f aca="false">MK_MAPCs*Sub_Penetration</f>
        <v>21939.4553994129</v>
      </c>
      <c r="Z20" s="34" t="n">
        <f aca="false">MK_MAPCs*Sub_Penetration</f>
        <v>23036.4281693836</v>
      </c>
    </row>
    <row r="21" customFormat="false" ht="15" hidden="false" customHeight="false" outlineLevel="0" collapsed="false">
      <c r="A21" s="6"/>
      <c r="B21" s="9" t="s">
        <v>137</v>
      </c>
      <c r="C21" s="35" t="n">
        <f aca="false">C20*Sub_Fee</f>
        <v>74925</v>
      </c>
      <c r="D21" s="35" t="n">
        <f aca="false">D20*Sub_Fee</f>
        <v>78671.25</v>
      </c>
      <c r="E21" s="35" t="n">
        <f aca="false">E20*Sub_Fee</f>
        <v>82604.8125</v>
      </c>
      <c r="F21" s="35" t="n">
        <f aca="false">F20*Sub_Fee</f>
        <v>86735.053125</v>
      </c>
      <c r="G21" s="35" t="n">
        <f aca="false">G20*Sub_Fee</f>
        <v>91071.80578125</v>
      </c>
      <c r="H21" s="35" t="n">
        <f aca="false">H20*Sub_Fee</f>
        <v>95625.3960703125</v>
      </c>
      <c r="I21" s="35" t="n">
        <f aca="false">I20*Sub_Fee</f>
        <v>100406.665873828</v>
      </c>
      <c r="J21" s="35" t="n">
        <f aca="false">J20*Sub_Fee</f>
        <v>105426.99916752</v>
      </c>
      <c r="K21" s="35" t="n">
        <f aca="false">K20*Sub_Fee</f>
        <v>110698.349125896</v>
      </c>
      <c r="L21" s="35" t="n">
        <f aca="false">L20*Sub_Fee</f>
        <v>116233.26658219</v>
      </c>
      <c r="M21" s="35" t="n">
        <f aca="false">M20*Sub_Fee</f>
        <v>122044.9299113</v>
      </c>
      <c r="N21" s="35" t="n">
        <f aca="false">N20*Sub_Fee</f>
        <v>128147.176406865</v>
      </c>
      <c r="O21" s="35" t="n">
        <f aca="false">O20*Sub_Fee</f>
        <v>134554.535227208</v>
      </c>
      <c r="P21" s="35" t="n">
        <f aca="false">P20*Sub_Fee</f>
        <v>141282.261988569</v>
      </c>
      <c r="Q21" s="35" t="n">
        <f aca="false">Q20*Sub_Fee</f>
        <v>148346.375087997</v>
      </c>
      <c r="R21" s="35" t="n">
        <f aca="false">R20*Sub_Fee</f>
        <v>155763.693842397</v>
      </c>
      <c r="S21" s="35" t="n">
        <f aca="false">S20*Sub_Fee</f>
        <v>163551.878534517</v>
      </c>
      <c r="T21" s="35" t="n">
        <f aca="false">T20*Sub_Fee</f>
        <v>171729.472461242</v>
      </c>
      <c r="U21" s="35" t="n">
        <f aca="false">U20*Sub_Fee</f>
        <v>180315.946084305</v>
      </c>
      <c r="V21" s="35" t="n">
        <f aca="false">V20*Sub_Fee</f>
        <v>189331.74338852</v>
      </c>
      <c r="W21" s="35" t="n">
        <f aca="false">W20*Sub_Fee</f>
        <v>198798.330557946</v>
      </c>
      <c r="X21" s="35" t="n">
        <f aca="false">X20*Sub_Fee</f>
        <v>208738.247085843</v>
      </c>
      <c r="Y21" s="35" t="n">
        <f aca="false">Y20*Sub_Fee</f>
        <v>219175.159440135</v>
      </c>
      <c r="Z21" s="35" t="n">
        <f aca="false">Z20*Sub_Fee</f>
        <v>230133.917412142</v>
      </c>
    </row>
    <row r="22" customFormat="false" ht="15" hidden="false" customHeight="fals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row>
    <row r="23" customFormat="false" ht="15" hidden="false" customHeight="false" outlineLevel="0" collapsed="false">
      <c r="A23" s="6"/>
      <c r="B23" s="21" t="s">
        <v>138</v>
      </c>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 hidden="false" customHeight="false" outlineLevel="0" collapsed="false">
      <c r="A24" s="6"/>
      <c r="B24" s="31" t="s">
        <v>139</v>
      </c>
      <c r="C24" s="36" t="n">
        <f aca="false">C9+C14+C17+C21</f>
        <v>1854925</v>
      </c>
      <c r="D24" s="36" t="n">
        <f aca="false">D9+D14+D17+D21</f>
        <v>1951031.25</v>
      </c>
      <c r="E24" s="36" t="n">
        <f aca="false">E9+E14+E17+E21</f>
        <v>2052119.6325</v>
      </c>
      <c r="F24" s="36" t="n">
        <f aca="false">F9+F14+F17+F21</f>
        <v>2158448.5592775</v>
      </c>
      <c r="G24" s="36" t="n">
        <f aca="false">G9+G14+G17+G21</f>
        <v>2270289.85238253</v>
      </c>
      <c r="H24" s="36" t="n">
        <f aca="false">H9+H14+H17+H21</f>
        <v>2387929.44042086</v>
      </c>
      <c r="I24" s="36" t="n">
        <f aca="false">I9+I14+I17+I21</f>
        <v>2511668.09100754</v>
      </c>
      <c r="J24" s="36" t="n">
        <f aca="false">J9+J14+J17+J21</f>
        <v>2641822.18127057</v>
      </c>
      <c r="K24" s="36" t="n">
        <f aca="false">K9+K14+K17+K21</f>
        <v>2778724.50838238</v>
      </c>
      <c r="L24" s="36" t="n">
        <f aca="false">L9+L14+L17+L21</f>
        <v>2922725.14219958</v>
      </c>
      <c r="M24" s="36" t="n">
        <f aca="false">M9+M14+M17+M21</f>
        <v>3074192.32219958</v>
      </c>
      <c r="N24" s="36" t="n">
        <f aca="false">N9+N14+N17+N21</f>
        <v>3233513.40101667</v>
      </c>
      <c r="O24" s="36" t="n">
        <f aca="false">O9+O14+O17+O21</f>
        <v>3401095.83699958</v>
      </c>
      <c r="P24" s="36" t="n">
        <f aca="false">P9+P14+P17+P21</f>
        <v>3577368.2383388</v>
      </c>
      <c r="Q24" s="36" t="n">
        <f aca="false">Q9+Q14+Q17+Q21</f>
        <v>3762781.46144436</v>
      </c>
      <c r="R24" s="36" t="n">
        <f aca="false">R9+R14+R17+R21</f>
        <v>3957809.766394</v>
      </c>
      <c r="S24" s="36" t="n">
        <f aca="false">S9+S14+S17+S21</f>
        <v>4162952.03241867</v>
      </c>
      <c r="T24" s="36" t="n">
        <f aca="false">T9+T14+T17+T21</f>
        <v>4378733.0365463</v>
      </c>
      <c r="U24" s="36" t="n">
        <f aca="false">U9+U14+U17+U21</f>
        <v>4605704.79868723</v>
      </c>
      <c r="V24" s="36" t="n">
        <f aca="false">V9+V14+V17+V21</f>
        <v>4844447.99661545</v>
      </c>
      <c r="W24" s="36" t="n">
        <f aca="false">W9+W14+W17+W21</f>
        <v>5095573.45447951</v>
      </c>
      <c r="X24" s="36" t="n">
        <f aca="false">X9+X14+X17+X21</f>
        <v>5359723.70866578</v>
      </c>
      <c r="Y24" s="36" t="n">
        <f aca="false">Y9+Y14+Y17+Y21</f>
        <v>5637574.65503582</v>
      </c>
      <c r="Z24" s="36" t="n">
        <f aca="false">Z9+Z14+Z17+Z21</f>
        <v>5929837.28176865</v>
      </c>
    </row>
    <row r="25" customFormat="false" ht="15" hidden="false" customHeight="false" outlineLevel="0" collapsed="false">
      <c r="A25" s="6"/>
      <c r="B25" s="33" t="s">
        <v>140</v>
      </c>
      <c r="C25" s="38" t="n">
        <f aca="false">IFERROR(C24/MK_GOV,0)</f>
        <v>0.28983203125</v>
      </c>
      <c r="D25" s="38" t="n">
        <f aca="false">IFERROR(D24/MK_GOV,0)</f>
        <v>0.289608011221945</v>
      </c>
      <c r="E25" s="38" t="n">
        <f aca="false">IFERROR(E24/MK_GOV,0)</f>
        <v>0.289384549847327</v>
      </c>
      <c r="F25" s="38" t="n">
        <f aca="false">IFERROR(F24/MK_GOV,0)</f>
        <v>0.289161645732994</v>
      </c>
      <c r="G25" s="38" t="n">
        <f aca="false">IFERROR(G24/MK_GOV,0)</f>
        <v>0.288939297489271</v>
      </c>
      <c r="H25" s="38" t="n">
        <f aca="false">IFERROR(H24/MK_GOV,0)</f>
        <v>0.288717503729946</v>
      </c>
      <c r="I25" s="38" t="n">
        <f aca="false">IFERROR(I24/MK_GOV,0)</f>
        <v>0.288496263072266</v>
      </c>
      <c r="J25" s="38" t="n">
        <f aca="false">IFERROR(J24/MK_GOV,0)</f>
        <v>0.288275574136923</v>
      </c>
      <c r="K25" s="38" t="n">
        <f aca="false">IFERROR(K24/MK_GOV,0)</f>
        <v>0.288055435548053</v>
      </c>
      <c r="L25" s="38" t="n">
        <f aca="false">IFERROR(L24/MK_GOV,0)</f>
        <v>0.28783584593322</v>
      </c>
      <c r="M25" s="38" t="n">
        <f aca="false">IFERROR(M24/MK_GOV,0)</f>
        <v>0.287616803923412</v>
      </c>
      <c r="N25" s="38" t="n">
        <f aca="false">IFERROR(N24/MK_GOV,0)</f>
        <v>0.287398308153029</v>
      </c>
      <c r="O25" s="38" t="n">
        <f aca="false">IFERROR(O24/MK_GOV,0)</f>
        <v>0.287180357259879</v>
      </c>
      <c r="P25" s="38" t="n">
        <f aca="false">IFERROR(P24/MK_GOV,0)</f>
        <v>0.286962949885167</v>
      </c>
      <c r="Q25" s="38" t="n">
        <f aca="false">IFERROR(Q24/MK_GOV,0)</f>
        <v>0.286746084673483</v>
      </c>
      <c r="R25" s="38" t="n">
        <f aca="false">IFERROR(R24/MK_GOV,0)</f>
        <v>0.286529760272801</v>
      </c>
      <c r="S25" s="38" t="n">
        <f aca="false">IFERROR(S24/MK_GOV,0)</f>
        <v>0.286313975334465</v>
      </c>
      <c r="T25" s="38" t="n">
        <f aca="false">IFERROR(T24/MK_GOV,0)</f>
        <v>0.286098728513182</v>
      </c>
      <c r="U25" s="38" t="n">
        <f aca="false">IFERROR(U24/MK_GOV,0)</f>
        <v>0.285884018467014</v>
      </c>
      <c r="V25" s="38" t="n">
        <f aca="false">IFERROR(V24/MK_GOV,0)</f>
        <v>0.285669843857371</v>
      </c>
      <c r="W25" s="38" t="n">
        <f aca="false">IFERROR(W24/MK_GOV,0)</f>
        <v>0.285456203348998</v>
      </c>
      <c r="X25" s="38" t="n">
        <f aca="false">IFERROR(X24/MK_GOV,0)</f>
        <v>0.285243095609973</v>
      </c>
      <c r="Y25" s="38" t="n">
        <f aca="false">IFERROR(Y24/MK_GOV,0)</f>
        <v>0.285030519311694</v>
      </c>
      <c r="Z25" s="38" t="n">
        <f aca="false">IFERROR(Z24/MK_GOV,0)</f>
        <v>0.284818473128872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72</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72</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33" t="s">
        <v>141</v>
      </c>
      <c r="C9" s="35" t="n">
        <f aca="false">MK_Orders*Courier_Payout</f>
        <v>1000000</v>
      </c>
      <c r="D9" s="35" t="n">
        <f aca="false">MK_Orders*Courier_Payout</f>
        <v>1050000</v>
      </c>
      <c r="E9" s="35" t="n">
        <f aca="false">MK_Orders*Courier_Payout</f>
        <v>1102500</v>
      </c>
      <c r="F9" s="35" t="n">
        <f aca="false">MK_Orders*Courier_Payout</f>
        <v>1157625</v>
      </c>
      <c r="G9" s="35" t="n">
        <f aca="false">MK_Orders*Courier_Payout</f>
        <v>1215506.25</v>
      </c>
      <c r="H9" s="35" t="n">
        <f aca="false">MK_Orders*Courier_Payout</f>
        <v>1276281.5625</v>
      </c>
      <c r="I9" s="35" t="n">
        <f aca="false">MK_Orders*Courier_Payout</f>
        <v>1340095.640625</v>
      </c>
      <c r="J9" s="35" t="n">
        <f aca="false">MK_Orders*Courier_Payout</f>
        <v>1407100.42265625</v>
      </c>
      <c r="K9" s="35" t="n">
        <f aca="false">MK_Orders*Courier_Payout</f>
        <v>1477455.44378906</v>
      </c>
      <c r="L9" s="35" t="n">
        <f aca="false">MK_Orders*Courier_Payout</f>
        <v>1551328.21597852</v>
      </c>
      <c r="M9" s="35" t="n">
        <f aca="false">MK_Orders*Courier_Payout</f>
        <v>1628894.62677744</v>
      </c>
      <c r="N9" s="35" t="n">
        <f aca="false">MK_Orders*Courier_Payout</f>
        <v>1710339.35811631</v>
      </c>
      <c r="O9" s="35" t="n">
        <f aca="false">MK_Orders*Courier_Payout</f>
        <v>1795856.32602213</v>
      </c>
      <c r="P9" s="35" t="n">
        <f aca="false">MK_Orders*Courier_Payout</f>
        <v>1885649.14232324</v>
      </c>
      <c r="Q9" s="35" t="n">
        <f aca="false">MK_Orders*Courier_Payout</f>
        <v>1979931.5994394</v>
      </c>
      <c r="R9" s="35" t="n">
        <f aca="false">MK_Orders*Courier_Payout</f>
        <v>2078928.17941137</v>
      </c>
      <c r="S9" s="35" t="n">
        <f aca="false">MK_Orders*Courier_Payout</f>
        <v>2182874.58838194</v>
      </c>
      <c r="T9" s="35" t="n">
        <f aca="false">MK_Orders*Courier_Payout</f>
        <v>2292018.31780103</v>
      </c>
      <c r="U9" s="35" t="n">
        <f aca="false">MK_Orders*Courier_Payout</f>
        <v>2406619.23369109</v>
      </c>
      <c r="V9" s="35" t="n">
        <f aca="false">MK_Orders*Courier_Payout</f>
        <v>2526950.19537564</v>
      </c>
      <c r="W9" s="35" t="n">
        <f aca="false">MK_Orders*Courier_Payout</f>
        <v>2653297.70514442</v>
      </c>
      <c r="X9" s="35" t="n">
        <f aca="false">MK_Orders*Courier_Payout</f>
        <v>2785962.59040164</v>
      </c>
      <c r="Y9" s="35" t="n">
        <f aca="false">MK_Orders*Courier_Payout</f>
        <v>2925260.71992173</v>
      </c>
      <c r="Z9" s="35" t="n">
        <f aca="false">MK_Orders*Courier_Payout</f>
        <v>3071523.75591781</v>
      </c>
    </row>
    <row r="10" customFormat="false" ht="15" hidden="false" customHeight="false" outlineLevel="0" collapsed="false">
      <c r="A10" s="6"/>
      <c r="B10" s="33" t="s">
        <v>75</v>
      </c>
      <c r="C10" s="35" t="n">
        <f aca="false">MK_GOV*Payment_Proc_Pct</f>
        <v>140800</v>
      </c>
      <c r="D10" s="35" t="n">
        <f aca="false">MK_GOV*Payment_Proc_Pct</f>
        <v>148209.6</v>
      </c>
      <c r="E10" s="35" t="n">
        <f aca="false">MK_GOV*Payment_Proc_Pct</f>
        <v>156009.1302</v>
      </c>
      <c r="F10" s="35" t="n">
        <f aca="false">MK_GOV*Payment_Proc_Pct</f>
        <v>164219.110676775</v>
      </c>
      <c r="G10" s="35" t="n">
        <f aca="false">MK_GOV*Payment_Proc_Pct</f>
        <v>172861.14137614</v>
      </c>
      <c r="H10" s="35" t="n">
        <f aca="false">MK_GOV*Payment_Proc_Pct</f>
        <v>181957.95894106</v>
      </c>
      <c r="I10" s="35" t="n">
        <f aca="false">MK_GOV*Payment_Proc_Pct</f>
        <v>191533.496530333</v>
      </c>
      <c r="J10" s="35" t="n">
        <f aca="false">MK_GOV*Payment_Proc_Pct</f>
        <v>201612.946785242</v>
      </c>
      <c r="K10" s="35" t="n">
        <f aca="false">MK_GOV*Payment_Proc_Pct</f>
        <v>212222.828109815</v>
      </c>
      <c r="L10" s="35" t="n">
        <f aca="false">MK_GOV*Payment_Proc_Pct</f>
        <v>223391.054439094</v>
      </c>
      <c r="M10" s="35" t="n">
        <f aca="false">MK_GOV*Payment_Proc_Pct</f>
        <v>235147.008678951</v>
      </c>
      <c r="N10" s="35" t="n">
        <f aca="false">MK_GOV*Payment_Proc_Pct</f>
        <v>247521.620010681</v>
      </c>
      <c r="O10" s="35" t="n">
        <f aca="false">MK_GOV*Payment_Proc_Pct</f>
        <v>260547.445263743</v>
      </c>
      <c r="P10" s="35" t="n">
        <f aca="false">MK_GOV*Payment_Proc_Pct</f>
        <v>274258.754570748</v>
      </c>
      <c r="Q10" s="35" t="n">
        <f aca="false">MK_GOV*Payment_Proc_Pct</f>
        <v>288691.621530033</v>
      </c>
      <c r="R10" s="35" t="n">
        <f aca="false">MK_GOV*Payment_Proc_Pct</f>
        <v>303884.018113051</v>
      </c>
      <c r="S10" s="35" t="n">
        <f aca="false">MK_GOV*Payment_Proc_Pct</f>
        <v>319875.914566251</v>
      </c>
      <c r="T10" s="35" t="n">
        <f aca="false">MK_GOV*Payment_Proc_Pct</f>
        <v>336709.3845703</v>
      </c>
      <c r="U10" s="35" t="n">
        <f aca="false">MK_GOV*Payment_Proc_Pct</f>
        <v>354428.715933312</v>
      </c>
      <c r="V10" s="35" t="n">
        <f aca="false">MK_GOV*Payment_Proc_Pct</f>
        <v>373080.527109302</v>
      </c>
      <c r="W10" s="35" t="n">
        <f aca="false">MK_GOV*Payment_Proc_Pct</f>
        <v>392713.889848429</v>
      </c>
      <c r="X10" s="35" t="n">
        <f aca="false">MK_GOV*Payment_Proc_Pct</f>
        <v>413380.458301703</v>
      </c>
      <c r="Y10" s="35" t="n">
        <f aca="false">MK_GOV*Payment_Proc_Pct</f>
        <v>435134.60491983</v>
      </c>
      <c r="Z10" s="35" t="n">
        <f aca="false">MK_GOV*Payment_Proc_Pct</f>
        <v>458033.563503736</v>
      </c>
    </row>
    <row r="11" customFormat="false" ht="15" hidden="false" customHeight="false" outlineLevel="0" collapsed="false">
      <c r="A11" s="6"/>
      <c r="B11" s="33" t="s">
        <v>77</v>
      </c>
      <c r="C11" s="35" t="n">
        <f aca="false">RB_Total_Revenue*Courier_Insurance</f>
        <v>9274.625</v>
      </c>
      <c r="D11" s="35" t="n">
        <f aca="false">RB_Total_Revenue*Courier_Insurance</f>
        <v>9755.15625</v>
      </c>
      <c r="E11" s="35" t="n">
        <f aca="false">RB_Total_Revenue*Courier_Insurance</f>
        <v>10260.5981625</v>
      </c>
      <c r="F11" s="35" t="n">
        <f aca="false">RB_Total_Revenue*Courier_Insurance</f>
        <v>10792.2427963875</v>
      </c>
      <c r="G11" s="35" t="n">
        <f aca="false">RB_Total_Revenue*Courier_Insurance</f>
        <v>11351.4492619126</v>
      </c>
      <c r="H11" s="35" t="n">
        <f aca="false">RB_Total_Revenue*Courier_Insurance</f>
        <v>11939.6472021043</v>
      </c>
      <c r="I11" s="35" t="n">
        <f aca="false">RB_Total_Revenue*Courier_Insurance</f>
        <v>12558.3404550377</v>
      </c>
      <c r="J11" s="35" t="n">
        <f aca="false">RB_Total_Revenue*Courier_Insurance</f>
        <v>13209.1109063528</v>
      </c>
      <c r="K11" s="35" t="n">
        <f aca="false">RB_Total_Revenue*Courier_Insurance</f>
        <v>13893.6225419119</v>
      </c>
      <c r="L11" s="35" t="n">
        <f aca="false">RB_Total_Revenue*Courier_Insurance</f>
        <v>14613.6257109979</v>
      </c>
      <c r="M11" s="35" t="n">
        <f aca="false">RB_Total_Revenue*Courier_Insurance</f>
        <v>15370.9616109979</v>
      </c>
      <c r="N11" s="35" t="n">
        <f aca="false">RB_Total_Revenue*Courier_Insurance</f>
        <v>16167.5670050833</v>
      </c>
      <c r="O11" s="35" t="n">
        <f aca="false">RB_Total_Revenue*Courier_Insurance</f>
        <v>17005.4791849979</v>
      </c>
      <c r="P11" s="35" t="n">
        <f aca="false">RB_Total_Revenue*Courier_Insurance</f>
        <v>17886.841191694</v>
      </c>
      <c r="Q11" s="35" t="n">
        <f aca="false">RB_Total_Revenue*Courier_Insurance</f>
        <v>18813.9073072218</v>
      </c>
      <c r="R11" s="35" t="n">
        <f aca="false">RB_Total_Revenue*Courier_Insurance</f>
        <v>19789.04883197</v>
      </c>
      <c r="S11" s="35" t="n">
        <f aca="false">RB_Total_Revenue*Courier_Insurance</f>
        <v>20814.7601620934</v>
      </c>
      <c r="T11" s="35" t="n">
        <f aca="false">RB_Total_Revenue*Courier_Insurance</f>
        <v>21893.6651827315</v>
      </c>
      <c r="U11" s="35" t="n">
        <f aca="false">RB_Total_Revenue*Courier_Insurance</f>
        <v>23028.5239934361</v>
      </c>
      <c r="V11" s="35" t="n">
        <f aca="false">RB_Total_Revenue*Courier_Insurance</f>
        <v>24222.2399830773</v>
      </c>
      <c r="W11" s="35" t="n">
        <f aca="false">RB_Total_Revenue*Courier_Insurance</f>
        <v>25477.8672723976</v>
      </c>
      <c r="X11" s="35" t="n">
        <f aca="false">RB_Total_Revenue*Courier_Insurance</f>
        <v>26798.6185433289</v>
      </c>
      <c r="Y11" s="35" t="n">
        <f aca="false">RB_Total_Revenue*Courier_Insurance</f>
        <v>28187.8732751791</v>
      </c>
      <c r="Z11" s="35" t="n">
        <f aca="false">RB_Total_Revenue*Courier_Insurance</f>
        <v>29649.1864088432</v>
      </c>
    </row>
    <row r="12" customFormat="false" ht="15" hidden="false" customHeight="false" outlineLevel="0" collapsed="false">
      <c r="A12" s="6"/>
      <c r="B12" s="33" t="s">
        <v>80</v>
      </c>
      <c r="C12" s="35" t="n">
        <f aca="false">RB_Total_Revenue*Cloud_Hosting</f>
        <v>27823.875</v>
      </c>
      <c r="D12" s="35" t="n">
        <f aca="false">RB_Total_Revenue*Cloud_Hosting</f>
        <v>29265.46875</v>
      </c>
      <c r="E12" s="35" t="n">
        <f aca="false">RB_Total_Revenue*Cloud_Hosting</f>
        <v>30781.7944875</v>
      </c>
      <c r="F12" s="35" t="n">
        <f aca="false">RB_Total_Revenue*Cloud_Hosting</f>
        <v>32376.7283891625</v>
      </c>
      <c r="G12" s="35" t="n">
        <f aca="false">RB_Total_Revenue*Cloud_Hosting</f>
        <v>34054.3477857379</v>
      </c>
      <c r="H12" s="35" t="n">
        <f aca="false">RB_Total_Revenue*Cloud_Hosting</f>
        <v>35818.9416063128</v>
      </c>
      <c r="I12" s="35" t="n">
        <f aca="false">RB_Total_Revenue*Cloud_Hosting</f>
        <v>37675.0213651131</v>
      </c>
      <c r="J12" s="35" t="n">
        <f aca="false">RB_Total_Revenue*Cloud_Hosting</f>
        <v>39627.3327190585</v>
      </c>
      <c r="K12" s="35" t="n">
        <f aca="false">RB_Total_Revenue*Cloud_Hosting</f>
        <v>41680.8676257357</v>
      </c>
      <c r="L12" s="35" t="n">
        <f aca="false">RB_Total_Revenue*Cloud_Hosting</f>
        <v>43840.8771329937</v>
      </c>
      <c r="M12" s="35" t="n">
        <f aca="false">RB_Total_Revenue*Cloud_Hosting</f>
        <v>46112.8848329937</v>
      </c>
      <c r="N12" s="35" t="n">
        <f aca="false">RB_Total_Revenue*Cloud_Hosting</f>
        <v>48502.70101525</v>
      </c>
      <c r="O12" s="35" t="n">
        <f aca="false">RB_Total_Revenue*Cloud_Hosting</f>
        <v>51016.4375549936</v>
      </c>
      <c r="P12" s="35" t="n">
        <f aca="false">RB_Total_Revenue*Cloud_Hosting</f>
        <v>53660.5235750821</v>
      </c>
      <c r="Q12" s="35" t="n">
        <f aca="false">RB_Total_Revenue*Cloud_Hosting</f>
        <v>56441.7219216655</v>
      </c>
      <c r="R12" s="35" t="n">
        <f aca="false">RB_Total_Revenue*Cloud_Hosting</f>
        <v>59367.14649591</v>
      </c>
      <c r="S12" s="35" t="n">
        <f aca="false">RB_Total_Revenue*Cloud_Hosting</f>
        <v>62444.2804862801</v>
      </c>
      <c r="T12" s="35" t="n">
        <f aca="false">RB_Total_Revenue*Cloud_Hosting</f>
        <v>65680.9955481945</v>
      </c>
      <c r="U12" s="35" t="n">
        <f aca="false">RB_Total_Revenue*Cloud_Hosting</f>
        <v>69085.5719803084</v>
      </c>
      <c r="V12" s="35" t="n">
        <f aca="false">RB_Total_Revenue*Cloud_Hosting</f>
        <v>72666.7199492318</v>
      </c>
      <c r="W12" s="35" t="n">
        <f aca="false">RB_Total_Revenue*Cloud_Hosting</f>
        <v>76433.6018171927</v>
      </c>
      <c r="X12" s="35" t="n">
        <f aca="false">RB_Total_Revenue*Cloud_Hosting</f>
        <v>80395.8556299867</v>
      </c>
      <c r="Y12" s="35" t="n">
        <f aca="false">RB_Total_Revenue*Cloud_Hosting</f>
        <v>84563.6198255372</v>
      </c>
      <c r="Z12" s="35" t="n">
        <f aca="false">RB_Total_Revenue*Cloud_Hosting</f>
        <v>88947.5592265297</v>
      </c>
    </row>
    <row r="13" customFormat="false" ht="15" hidden="false" customHeight="false" outlineLevel="0" collapsed="false">
      <c r="A13" s="6"/>
      <c r="B13" s="31" t="s">
        <v>142</v>
      </c>
      <c r="C13" s="36" t="n">
        <f aca="false">C9+C10+C11+C12</f>
        <v>1177898.5</v>
      </c>
      <c r="D13" s="36" t="n">
        <f aca="false">D9+D10+D11+D12</f>
        <v>1237230.225</v>
      </c>
      <c r="E13" s="36" t="n">
        <f aca="false">E9+E10+E11+E12</f>
        <v>1299551.52285</v>
      </c>
      <c r="F13" s="36" t="n">
        <f aca="false">F9+F10+F11+F12</f>
        <v>1365013.08186233</v>
      </c>
      <c r="G13" s="36" t="n">
        <f aca="false">G9+G10+G11+G12</f>
        <v>1433773.18842379</v>
      </c>
      <c r="H13" s="36" t="n">
        <f aca="false">H9+H10+H11+H12</f>
        <v>1505998.11024948</v>
      </c>
      <c r="I13" s="36" t="n">
        <f aca="false">I9+I10+I11+I12</f>
        <v>1581862.49897548</v>
      </c>
      <c r="J13" s="36" t="n">
        <f aca="false">J9+J10+J11+J12</f>
        <v>1661549.8130669</v>
      </c>
      <c r="K13" s="36" t="n">
        <f aca="false">K9+K10+K11+K12</f>
        <v>1745252.76206653</v>
      </c>
      <c r="L13" s="36" t="n">
        <f aca="false">L9+L10+L11+L12</f>
        <v>1833173.7732616</v>
      </c>
      <c r="M13" s="36" t="n">
        <f aca="false">M9+M10+M11+M12</f>
        <v>1925525.48190038</v>
      </c>
      <c r="N13" s="36" t="n">
        <f aca="false">N9+N10+N11+N12</f>
        <v>2022531.24614733</v>
      </c>
      <c r="O13" s="36" t="n">
        <f aca="false">O9+O10+O11+O12</f>
        <v>2124425.68802587</v>
      </c>
      <c r="P13" s="36" t="n">
        <f aca="false">P9+P10+P11+P12</f>
        <v>2231455.26166076</v>
      </c>
      <c r="Q13" s="36" t="n">
        <f aca="false">Q9+Q10+Q11+Q12</f>
        <v>2343878.85019832</v>
      </c>
      <c r="R13" s="36" t="n">
        <f aca="false">R9+R10+R11+R12</f>
        <v>2461968.3928523</v>
      </c>
      <c r="S13" s="36" t="n">
        <f aca="false">S9+S10+S11+S12</f>
        <v>2586009.54359656</v>
      </c>
      <c r="T13" s="36" t="n">
        <f aca="false">T9+T10+T11+T12</f>
        <v>2716302.36310226</v>
      </c>
      <c r="U13" s="36" t="n">
        <f aca="false">U9+U10+U11+U12</f>
        <v>2853162.04559814</v>
      </c>
      <c r="V13" s="36" t="n">
        <f aca="false">V9+V10+V11+V12</f>
        <v>2996919.68241725</v>
      </c>
      <c r="W13" s="36" t="n">
        <f aca="false">W9+W10+W11+W12</f>
        <v>3147923.06408244</v>
      </c>
      <c r="X13" s="36" t="n">
        <f aca="false">X9+X10+X11+X12</f>
        <v>3306537.52287666</v>
      </c>
      <c r="Y13" s="36" t="n">
        <f aca="false">Y9+Y10+Y11+Y12</f>
        <v>3473146.81794227</v>
      </c>
      <c r="Z13" s="36" t="n">
        <f aca="false">Z9+Z10+Z11+Z12</f>
        <v>3648154.06505692</v>
      </c>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6"/>
      <c r="B15" s="31" t="s">
        <v>143</v>
      </c>
      <c r="C15" s="37" t="n">
        <f aca="false">RB_Total_Revenue-C13</f>
        <v>677026.5</v>
      </c>
      <c r="D15" s="37" t="n">
        <f aca="false">RB_Total_Revenue-D13</f>
        <v>713801.025</v>
      </c>
      <c r="E15" s="37" t="n">
        <f aca="false">RB_Total_Revenue-E13</f>
        <v>752568.10965</v>
      </c>
      <c r="F15" s="37" t="n">
        <f aca="false">RB_Total_Revenue-F13</f>
        <v>793435.477415175</v>
      </c>
      <c r="G15" s="37" t="n">
        <f aca="false">RB_Total_Revenue-G13</f>
        <v>836516.663958735</v>
      </c>
      <c r="H15" s="37" t="n">
        <f aca="false">RB_Total_Revenue-H13</f>
        <v>881931.330171379</v>
      </c>
      <c r="I15" s="37" t="n">
        <f aca="false">RB_Total_Revenue-I13</f>
        <v>929805.592032053</v>
      </c>
      <c r="J15" s="37" t="n">
        <f aca="false">RB_Total_Revenue-J13</f>
        <v>980272.368203666</v>
      </c>
      <c r="K15" s="37" t="n">
        <f aca="false">RB_Total_Revenue-K13</f>
        <v>1033471.74631586</v>
      </c>
      <c r="L15" s="37" t="n">
        <f aca="false">RB_Total_Revenue-L13</f>
        <v>1089551.36893798</v>
      </c>
      <c r="M15" s="37" t="n">
        <f aca="false">RB_Total_Revenue-M13</f>
        <v>1148666.84029919</v>
      </c>
      <c r="N15" s="37" t="n">
        <f aca="false">RB_Total_Revenue-N13</f>
        <v>1210982.15486934</v>
      </c>
      <c r="O15" s="37" t="n">
        <f aca="false">RB_Total_Revenue-O13</f>
        <v>1276670.14897371</v>
      </c>
      <c r="P15" s="37" t="n">
        <f aca="false">RB_Total_Revenue-P13</f>
        <v>1345912.97667804</v>
      </c>
      <c r="Q15" s="37" t="n">
        <f aca="false">RB_Total_Revenue-Q13</f>
        <v>1418902.61124604</v>
      </c>
      <c r="R15" s="37" t="n">
        <f aca="false">RB_Total_Revenue-R13</f>
        <v>1495841.3735417</v>
      </c>
      <c r="S15" s="37" t="n">
        <f aca="false">RB_Total_Revenue-S13</f>
        <v>1576942.48882211</v>
      </c>
      <c r="T15" s="37" t="n">
        <f aca="false">RB_Total_Revenue-T13</f>
        <v>1662430.67344404</v>
      </c>
      <c r="U15" s="37" t="n">
        <f aca="false">RB_Total_Revenue-U13</f>
        <v>1752542.75308908</v>
      </c>
      <c r="V15" s="37" t="n">
        <f aca="false">RB_Total_Revenue-V13</f>
        <v>1847528.3141982</v>
      </c>
      <c r="W15" s="37" t="n">
        <f aca="false">RB_Total_Revenue-W13</f>
        <v>1947650.39039707</v>
      </c>
      <c r="X15" s="37" t="n">
        <f aca="false">RB_Total_Revenue-X13</f>
        <v>2053186.18578912</v>
      </c>
      <c r="Y15" s="37" t="n">
        <f aca="false">RB_Total_Revenue-Y13</f>
        <v>2164427.83709354</v>
      </c>
      <c r="Z15" s="37" t="n">
        <f aca="false">RB_Total_Revenue-Z13</f>
        <v>2281683.21671173</v>
      </c>
    </row>
    <row r="16" customFormat="false" ht="15" hidden="false" customHeight="false" outlineLevel="0" collapsed="false">
      <c r="A16" s="6"/>
      <c r="B16" s="33" t="s">
        <v>144</v>
      </c>
      <c r="C16" s="38" t="n">
        <f aca="false">IFERROR(C15/RB_Total_Revenue,0)</f>
        <v>0.364988611399383</v>
      </c>
      <c r="D16" s="38" t="n">
        <f aca="false">IFERROR(D15/RB_Total_Revenue,0)</f>
        <v>0.365858324924319</v>
      </c>
      <c r="E16" s="38" t="n">
        <f aca="false">IFERROR(E15/RB_Total_Revenue,0)</f>
        <v>0.366727211090117</v>
      </c>
      <c r="F16" s="38" t="n">
        <f aca="false">IFERROR(F15/RB_Total_Revenue,0)</f>
        <v>0.367595268372188</v>
      </c>
      <c r="G16" s="38" t="n">
        <f aca="false">IFERROR(G15/RB_Total_Revenue,0)</f>
        <v>0.368462495254015</v>
      </c>
      <c r="H16" s="38" t="n">
        <f aca="false">IFERROR(H15/RB_Total_Revenue,0)</f>
        <v>0.369328890227152</v>
      </c>
      <c r="I16" s="38" t="n">
        <f aca="false">IFERROR(I15/RB_Total_Revenue,0)</f>
        <v>0.370194451791227</v>
      </c>
      <c r="J16" s="38" t="n">
        <f aca="false">IFERROR(J15/RB_Total_Revenue,0)</f>
        <v>0.371059178453945</v>
      </c>
      <c r="K16" s="38" t="n">
        <f aca="false">IFERROR(K15/RB_Total_Revenue,0)</f>
        <v>0.371923068731087</v>
      </c>
      <c r="L16" s="38" t="n">
        <f aca="false">IFERROR(L15/RB_Total_Revenue,0)</f>
        <v>0.372786121146514</v>
      </c>
      <c r="M16" s="38" t="n">
        <f aca="false">IFERROR(M15/RB_Total_Revenue,0)</f>
        <v>0.373648334232168</v>
      </c>
      <c r="N16" s="38" t="n">
        <f aca="false">IFERROR(N15/RB_Total_Revenue,0)</f>
        <v>0.374509706528072</v>
      </c>
      <c r="O16" s="38" t="n">
        <f aca="false">IFERROR(O15/RB_Total_Revenue,0)</f>
        <v>0.375370236582331</v>
      </c>
      <c r="P16" s="38" t="n">
        <f aca="false">IFERROR(P15/RB_Total_Revenue,0)</f>
        <v>0.376229922951134</v>
      </c>
      <c r="Q16" s="38" t="n">
        <f aca="false">IFERROR(Q15/RB_Total_Revenue,0)</f>
        <v>0.377088764198756</v>
      </c>
      <c r="R16" s="38" t="n">
        <f aca="false">IFERROR(R15/RB_Total_Revenue,0)</f>
        <v>0.377946758897555</v>
      </c>
      <c r="S16" s="38" t="n">
        <f aca="false">IFERROR(S15/RB_Total_Revenue,0)</f>
        <v>0.378803905627976</v>
      </c>
      <c r="T16" s="38" t="n">
        <f aca="false">IFERROR(T15/RB_Total_Revenue,0)</f>
        <v>0.379660202978548</v>
      </c>
      <c r="U16" s="38" t="n">
        <f aca="false">IFERROR(U15/RB_Total_Revenue,0)</f>
        <v>0.380515649545888</v>
      </c>
      <c r="V16" s="38" t="n">
        <f aca="false">IFERROR(V15/RB_Total_Revenue,0)</f>
        <v>0.381370243934699</v>
      </c>
      <c r="W16" s="38" t="n">
        <f aca="false">IFERROR(W15/RB_Total_Revenue,0)</f>
        <v>0.38222398475777</v>
      </c>
      <c r="X16" s="38" t="n">
        <f aca="false">IFERROR(X15/RB_Total_Revenue,0)</f>
        <v>0.383076870635973</v>
      </c>
      <c r="Y16" s="38" t="n">
        <f aca="false">IFERROR(Y15/RB_Total_Revenue,0)</f>
        <v>0.38392890019827</v>
      </c>
      <c r="Z16" s="38" t="n">
        <f aca="false">IFERROR(Z15/RB_Total_Revenue,0)</f>
        <v>0.384780072081706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82</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145</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9" t="s">
        <v>146</v>
      </c>
      <c r="C9" s="35" t="n">
        <f aca="false">RB_Total_Revenue*SM_Pct</f>
        <v>333886.5</v>
      </c>
      <c r="D9" s="35" t="n">
        <f aca="false">RB_Total_Revenue*SM_Pct</f>
        <v>351185.625</v>
      </c>
      <c r="E9" s="35" t="n">
        <f aca="false">RB_Total_Revenue*SM_Pct</f>
        <v>369381.53385</v>
      </c>
      <c r="F9" s="35" t="n">
        <f aca="false">RB_Total_Revenue*SM_Pct</f>
        <v>388520.74066995</v>
      </c>
      <c r="G9" s="35" t="n">
        <f aca="false">RB_Total_Revenue*SM_Pct</f>
        <v>408652.173428855</v>
      </c>
      <c r="H9" s="35" t="n">
        <f aca="false">RB_Total_Revenue*SM_Pct</f>
        <v>429827.299275754</v>
      </c>
      <c r="I9" s="35" t="n">
        <f aca="false">RB_Total_Revenue*SM_Pct</f>
        <v>452100.256381357</v>
      </c>
      <c r="J9" s="35" t="n">
        <f aca="false">RB_Total_Revenue*SM_Pct</f>
        <v>475527.992628703</v>
      </c>
      <c r="K9" s="35" t="n">
        <f aca="false">RB_Total_Revenue*SM_Pct</f>
        <v>500170.411508829</v>
      </c>
      <c r="L9" s="35" t="n">
        <f aca="false">RB_Total_Revenue*SM_Pct</f>
        <v>526090.525595924</v>
      </c>
      <c r="M9" s="35" t="n">
        <f aca="false">RB_Total_Revenue*SM_Pct</f>
        <v>553354.617995924</v>
      </c>
      <c r="N9" s="35" t="n">
        <f aca="false">RB_Total_Revenue*SM_Pct</f>
        <v>582032.412183</v>
      </c>
      <c r="O9" s="35" t="n">
        <f aca="false">RB_Total_Revenue*SM_Pct</f>
        <v>612197.250659924</v>
      </c>
      <c r="P9" s="35" t="n">
        <f aca="false">RB_Total_Revenue*SM_Pct</f>
        <v>643926.282900985</v>
      </c>
      <c r="Q9" s="35" t="n">
        <f aca="false">RB_Total_Revenue*SM_Pct</f>
        <v>677300.663059985</v>
      </c>
      <c r="R9" s="35" t="n">
        <f aca="false">RB_Total_Revenue*SM_Pct</f>
        <v>712405.75795092</v>
      </c>
      <c r="S9" s="35" t="n">
        <f aca="false">RB_Total_Revenue*SM_Pct</f>
        <v>749331.365835361</v>
      </c>
      <c r="T9" s="35" t="n">
        <f aca="false">RB_Total_Revenue*SM_Pct</f>
        <v>788171.946578334</v>
      </c>
      <c r="U9" s="35" t="n">
        <f aca="false">RB_Total_Revenue*SM_Pct</f>
        <v>829026.863763701</v>
      </c>
      <c r="V9" s="35" t="n">
        <f aca="false">RB_Total_Revenue*SM_Pct</f>
        <v>872000.639390781</v>
      </c>
      <c r="W9" s="35" t="n">
        <f aca="false">RB_Total_Revenue*SM_Pct</f>
        <v>917203.221806312</v>
      </c>
      <c r="X9" s="35" t="n">
        <f aca="false">RB_Total_Revenue*SM_Pct</f>
        <v>964750.267559841</v>
      </c>
      <c r="Y9" s="35" t="n">
        <f aca="false">RB_Total_Revenue*SM_Pct</f>
        <v>1014763.43790645</v>
      </c>
      <c r="Z9" s="35" t="n">
        <f aca="false">RB_Total_Revenue*SM_Pct</f>
        <v>1067370.71071836</v>
      </c>
    </row>
    <row r="10" customFormat="false" ht="15" hidden="false" customHeight="false" outlineLevel="0" collapsed="false">
      <c r="A10" s="6"/>
      <c r="B10" s="33" t="s">
        <v>121</v>
      </c>
      <c r="C10" s="34" t="n">
        <f aca="false">MK_New_MAPCs</f>
        <v>2500</v>
      </c>
      <c r="D10" s="34" t="n">
        <f aca="false">MK_New_MAPCs</f>
        <v>2500</v>
      </c>
      <c r="E10" s="34" t="n">
        <f aca="false">MK_New_MAPCs</f>
        <v>2625</v>
      </c>
      <c r="F10" s="34" t="n">
        <f aca="false">MK_New_MAPCs</f>
        <v>2756.25000000001</v>
      </c>
      <c r="G10" s="34" t="n">
        <f aca="false">MK_New_MAPCs</f>
        <v>2894.06250000001</v>
      </c>
      <c r="H10" s="34" t="n">
        <f aca="false">MK_New_MAPCs</f>
        <v>3038.765625</v>
      </c>
      <c r="I10" s="34" t="n">
        <f aca="false">MK_New_MAPCs</f>
        <v>3190.70390625001</v>
      </c>
      <c r="J10" s="34" t="n">
        <f aca="false">MK_New_MAPCs</f>
        <v>3350.2391015625</v>
      </c>
      <c r="K10" s="34" t="n">
        <f aca="false">MK_New_MAPCs</f>
        <v>3517.75105664063</v>
      </c>
      <c r="L10" s="34" t="n">
        <f aca="false">MK_New_MAPCs</f>
        <v>3693.63860947265</v>
      </c>
      <c r="M10" s="34" t="n">
        <f aca="false">MK_New_MAPCs</f>
        <v>3878.32053994629</v>
      </c>
      <c r="N10" s="34" t="n">
        <f aca="false">MK_New_MAPCs</f>
        <v>4072.23656694361</v>
      </c>
      <c r="O10" s="34" t="n">
        <f aca="false">MK_New_MAPCs</f>
        <v>4275.8483952908</v>
      </c>
      <c r="P10" s="34" t="n">
        <f aca="false">MK_New_MAPCs</f>
        <v>4489.64081505533</v>
      </c>
      <c r="Q10" s="34" t="n">
        <f aca="false">MK_New_MAPCs</f>
        <v>4714.12285580809</v>
      </c>
      <c r="R10" s="34" t="n">
        <f aca="false">MK_New_MAPCs</f>
        <v>4949.8289985985</v>
      </c>
      <c r="S10" s="34" t="n">
        <f aca="false">MK_New_MAPCs</f>
        <v>5197.32044852842</v>
      </c>
      <c r="T10" s="34" t="n">
        <f aca="false">MK_New_MAPCs</f>
        <v>5457.18647095485</v>
      </c>
      <c r="U10" s="34" t="n">
        <f aca="false">MK_New_MAPCs</f>
        <v>5730.04579450257</v>
      </c>
      <c r="V10" s="34" t="n">
        <f aca="false">MK_New_MAPCs</f>
        <v>6016.54808422775</v>
      </c>
      <c r="W10" s="34" t="n">
        <f aca="false">MK_New_MAPCs</f>
        <v>6317.3754884391</v>
      </c>
      <c r="X10" s="34" t="n">
        <f aca="false">MK_New_MAPCs</f>
        <v>6633.24426286106</v>
      </c>
      <c r="Y10" s="34" t="n">
        <f aca="false">MK_New_MAPCs</f>
        <v>6964.90647600414</v>
      </c>
      <c r="Z10" s="34" t="n">
        <f aca="false">MK_New_MAPCs</f>
        <v>7313.1517998043</v>
      </c>
    </row>
    <row r="11" customFormat="false" ht="15" hidden="false" customHeight="false" outlineLevel="0" collapsed="false">
      <c r="A11" s="6"/>
      <c r="B11" s="33" t="s">
        <v>147</v>
      </c>
      <c r="C11" s="35" t="n">
        <f aca="false">IFERROR(C9/C10,0)</f>
        <v>133.5546</v>
      </c>
      <c r="D11" s="35" t="n">
        <f aca="false">IFERROR(D9/D10,0)</f>
        <v>140.47425</v>
      </c>
      <c r="E11" s="35" t="n">
        <f aca="false">IFERROR(E9/E10,0)</f>
        <v>140.7167748</v>
      </c>
      <c r="F11" s="35" t="n">
        <f aca="false">IFERROR(F9/F10,0)</f>
        <v>140.959905912</v>
      </c>
      <c r="G11" s="35" t="n">
        <f aca="false">IFERROR(G9/G10,0)</f>
        <v>141.20364485178</v>
      </c>
      <c r="H11" s="35" t="n">
        <f aca="false">IFERROR(H9/H10,0)</f>
        <v>141.447993138909</v>
      </c>
      <c r="I11" s="35" t="n">
        <f aca="false">IFERROR(I9/I10,0)</f>
        <v>141.692952296756</v>
      </c>
      <c r="J11" s="35" t="n">
        <f aca="false">IFERROR(J9/J10,0)</f>
        <v>141.938523852499</v>
      </c>
      <c r="K11" s="35" t="n">
        <f aca="false">IFERROR(K9/K10,0)</f>
        <v>142.18470933713</v>
      </c>
      <c r="L11" s="35" t="n">
        <f aca="false">IFERROR(L9/L10,0)</f>
        <v>142.431510285473</v>
      </c>
      <c r="M11" s="35" t="n">
        <f aca="false">IFERROR(M9/M10,0)</f>
        <v>142.678928236186</v>
      </c>
      <c r="N11" s="35" t="n">
        <f aca="false">IFERROR(N9/N10,0)</f>
        <v>142.926964731777</v>
      </c>
      <c r="O11" s="35" t="n">
        <f aca="false">IFERROR(O9/O10,0)</f>
        <v>143.175621318606</v>
      </c>
      <c r="P11" s="35" t="n">
        <f aca="false">IFERROR(P9/P10,0)</f>
        <v>143.424899546903</v>
      </c>
      <c r="Q11" s="35" t="n">
        <f aca="false">IFERROR(Q9/Q10,0)</f>
        <v>143.67480097077</v>
      </c>
      <c r="R11" s="35" t="n">
        <f aca="false">IFERROR(R9/R10,0)</f>
        <v>143.925327148197</v>
      </c>
      <c r="S11" s="35" t="n">
        <f aca="false">IFERROR(S9/S10,0)</f>
        <v>144.176479641067</v>
      </c>
      <c r="T11" s="35" t="n">
        <f aca="false">IFERROR(T9/T10,0)</f>
        <v>144.42826001517</v>
      </c>
      <c r="U11" s="35" t="n">
        <f aca="false">IFERROR(U9/U10,0)</f>
        <v>144.680669840208</v>
      </c>
      <c r="V11" s="35" t="n">
        <f aca="false">IFERROR(V9/V10,0)</f>
        <v>144.933710689808</v>
      </c>
      <c r="W11" s="35" t="n">
        <f aca="false">IFERROR(W9/W10,0)</f>
        <v>145.187384141533</v>
      </c>
      <c r="X11" s="35" t="n">
        <f aca="false">IFERROR(X9/X10,0)</f>
        <v>145.441691776887</v>
      </c>
      <c r="Y11" s="35" t="n">
        <f aca="false">IFERROR(Y9/Y10,0)</f>
        <v>145.696635181328</v>
      </c>
      <c r="Z11" s="35" t="n">
        <f aca="false">IFERROR(Z9/Z10,0)</f>
        <v>145.952215944283</v>
      </c>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6"/>
      <c r="B13" s="21" t="s">
        <v>148</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6"/>
      <c r="B14" s="9" t="s">
        <v>149</v>
      </c>
      <c r="C14" s="35" t="n">
        <f aca="false">RB_Total_Revenue*RD_Pct</f>
        <v>222591</v>
      </c>
      <c r="D14" s="35" t="n">
        <f aca="false">RB_Total_Revenue*RD_Pct</f>
        <v>234123.75</v>
      </c>
      <c r="E14" s="35" t="n">
        <f aca="false">RB_Total_Revenue*RD_Pct</f>
        <v>246254.3559</v>
      </c>
      <c r="F14" s="35" t="n">
        <f aca="false">RB_Total_Revenue*RD_Pct</f>
        <v>259013.8271133</v>
      </c>
      <c r="G14" s="35" t="n">
        <f aca="false">RB_Total_Revenue*RD_Pct</f>
        <v>272434.782285903</v>
      </c>
      <c r="H14" s="35" t="n">
        <f aca="false">RB_Total_Revenue*RD_Pct</f>
        <v>286551.532850503</v>
      </c>
      <c r="I14" s="35" t="n">
        <f aca="false">RB_Total_Revenue*RD_Pct</f>
        <v>301400.170920904</v>
      </c>
      <c r="J14" s="35" t="n">
        <f aca="false">RB_Total_Revenue*RD_Pct</f>
        <v>317018.661752468</v>
      </c>
      <c r="K14" s="35" t="n">
        <f aca="false">RB_Total_Revenue*RD_Pct</f>
        <v>333446.941005886</v>
      </c>
      <c r="L14" s="35" t="n">
        <f aca="false">RB_Total_Revenue*RD_Pct</f>
        <v>350727.017063949</v>
      </c>
      <c r="M14" s="35" t="n">
        <f aca="false">RB_Total_Revenue*RD_Pct</f>
        <v>368903.078663949</v>
      </c>
      <c r="N14" s="35" t="n">
        <f aca="false">RB_Total_Revenue*RD_Pct</f>
        <v>388021.608122</v>
      </c>
      <c r="O14" s="35" t="n">
        <f aca="false">RB_Total_Revenue*RD_Pct</f>
        <v>408131.500439949</v>
      </c>
      <c r="P14" s="35" t="n">
        <f aca="false">RB_Total_Revenue*RD_Pct</f>
        <v>429284.188600656</v>
      </c>
      <c r="Q14" s="35" t="n">
        <f aca="false">RB_Total_Revenue*RD_Pct</f>
        <v>451533.775373324</v>
      </c>
      <c r="R14" s="35" t="n">
        <f aca="false">RB_Total_Revenue*RD_Pct</f>
        <v>474937.17196728</v>
      </c>
      <c r="S14" s="35" t="n">
        <f aca="false">RB_Total_Revenue*RD_Pct</f>
        <v>499554.243890241</v>
      </c>
      <c r="T14" s="35" t="n">
        <f aca="false">RB_Total_Revenue*RD_Pct</f>
        <v>525447.964385556</v>
      </c>
      <c r="U14" s="35" t="n">
        <f aca="false">RB_Total_Revenue*RD_Pct</f>
        <v>552684.575842467</v>
      </c>
      <c r="V14" s="35" t="n">
        <f aca="false">RB_Total_Revenue*RD_Pct</f>
        <v>581333.759593854</v>
      </c>
      <c r="W14" s="35" t="n">
        <f aca="false">RB_Total_Revenue*RD_Pct</f>
        <v>611468.814537542</v>
      </c>
      <c r="X14" s="35" t="n">
        <f aca="false">RB_Total_Revenue*RD_Pct</f>
        <v>643166.845039894</v>
      </c>
      <c r="Y14" s="35" t="n">
        <f aca="false">RB_Total_Revenue*RD_Pct</f>
        <v>676508.958604298</v>
      </c>
      <c r="Z14" s="35" t="n">
        <f aca="false">RB_Total_Revenue*RD_Pct</f>
        <v>711580.473812238</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21" t="s">
        <v>150</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6"/>
      <c r="B17" s="9" t="s">
        <v>151</v>
      </c>
      <c r="C17" s="35" t="n">
        <f aca="false">RB_Total_Revenue*GA_Pct</f>
        <v>185492.5</v>
      </c>
      <c r="D17" s="35" t="n">
        <f aca="false">RB_Total_Revenue*GA_Pct</f>
        <v>195103.125</v>
      </c>
      <c r="E17" s="35" t="n">
        <f aca="false">RB_Total_Revenue*GA_Pct</f>
        <v>205211.96325</v>
      </c>
      <c r="F17" s="35" t="n">
        <f aca="false">RB_Total_Revenue*GA_Pct</f>
        <v>215844.85592775</v>
      </c>
      <c r="G17" s="35" t="n">
        <f aca="false">RB_Total_Revenue*GA_Pct</f>
        <v>227028.985238253</v>
      </c>
      <c r="H17" s="35" t="n">
        <f aca="false">RB_Total_Revenue*GA_Pct</f>
        <v>238792.944042086</v>
      </c>
      <c r="I17" s="35" t="n">
        <f aca="false">RB_Total_Revenue*GA_Pct</f>
        <v>251166.809100754</v>
      </c>
      <c r="J17" s="35" t="n">
        <f aca="false">RB_Total_Revenue*GA_Pct</f>
        <v>264182.218127057</v>
      </c>
      <c r="K17" s="35" t="n">
        <f aca="false">RB_Total_Revenue*GA_Pct</f>
        <v>277872.450838238</v>
      </c>
      <c r="L17" s="35" t="n">
        <f aca="false">RB_Total_Revenue*GA_Pct</f>
        <v>292272.514219958</v>
      </c>
      <c r="M17" s="35" t="n">
        <f aca="false">RB_Total_Revenue*GA_Pct</f>
        <v>307419.232219958</v>
      </c>
      <c r="N17" s="35" t="n">
        <f aca="false">RB_Total_Revenue*GA_Pct</f>
        <v>323351.340101667</v>
      </c>
      <c r="O17" s="35" t="n">
        <f aca="false">RB_Total_Revenue*GA_Pct</f>
        <v>340109.583699958</v>
      </c>
      <c r="P17" s="35" t="n">
        <f aca="false">RB_Total_Revenue*GA_Pct</f>
        <v>357736.82383388</v>
      </c>
      <c r="Q17" s="35" t="n">
        <f aca="false">RB_Total_Revenue*GA_Pct</f>
        <v>376278.146144436</v>
      </c>
      <c r="R17" s="35" t="n">
        <f aca="false">RB_Total_Revenue*GA_Pct</f>
        <v>395780.9766394</v>
      </c>
      <c r="S17" s="35" t="n">
        <f aca="false">RB_Total_Revenue*GA_Pct</f>
        <v>416295.203241867</v>
      </c>
      <c r="T17" s="35" t="n">
        <f aca="false">RB_Total_Revenue*GA_Pct</f>
        <v>437873.30365463</v>
      </c>
      <c r="U17" s="35" t="n">
        <f aca="false">RB_Total_Revenue*GA_Pct</f>
        <v>460570.479868723</v>
      </c>
      <c r="V17" s="35" t="n">
        <f aca="false">RB_Total_Revenue*GA_Pct</f>
        <v>484444.799661545</v>
      </c>
      <c r="W17" s="35" t="n">
        <f aca="false">RB_Total_Revenue*GA_Pct</f>
        <v>509557.345447951</v>
      </c>
      <c r="X17" s="35" t="n">
        <f aca="false">RB_Total_Revenue*GA_Pct</f>
        <v>535972.370866578</v>
      </c>
      <c r="Y17" s="35" t="n">
        <f aca="false">RB_Total_Revenue*GA_Pct</f>
        <v>563757.465503582</v>
      </c>
      <c r="Z17" s="35" t="n">
        <f aca="false">RB_Total_Revenue*GA_Pct</f>
        <v>592983.728176865</v>
      </c>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21" t="s">
        <v>152</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6"/>
      <c r="B20" s="9" t="s">
        <v>153</v>
      </c>
      <c r="C20" s="35" t="n">
        <f aca="false">RB_Total_Revenue*SBC_Pct</f>
        <v>148394</v>
      </c>
      <c r="D20" s="35" t="n">
        <f aca="false">RB_Total_Revenue*SBC_Pct</f>
        <v>156082.5</v>
      </c>
      <c r="E20" s="35" t="n">
        <f aca="false">RB_Total_Revenue*SBC_Pct</f>
        <v>164169.5706</v>
      </c>
      <c r="F20" s="35" t="n">
        <f aca="false">RB_Total_Revenue*SBC_Pct</f>
        <v>172675.8847422</v>
      </c>
      <c r="G20" s="35" t="n">
        <f aca="false">RB_Total_Revenue*SBC_Pct</f>
        <v>181623.188190602</v>
      </c>
      <c r="H20" s="35" t="n">
        <f aca="false">RB_Total_Revenue*SBC_Pct</f>
        <v>191034.355233668</v>
      </c>
      <c r="I20" s="35" t="n">
        <f aca="false">RB_Total_Revenue*SBC_Pct</f>
        <v>200933.447280603</v>
      </c>
      <c r="J20" s="35" t="n">
        <f aca="false">RB_Total_Revenue*SBC_Pct</f>
        <v>211345.774501646</v>
      </c>
      <c r="K20" s="35" t="n">
        <f aca="false">RB_Total_Revenue*SBC_Pct</f>
        <v>222297.960670591</v>
      </c>
      <c r="L20" s="35" t="n">
        <f aca="false">RB_Total_Revenue*SBC_Pct</f>
        <v>233818.011375966</v>
      </c>
      <c r="M20" s="35" t="n">
        <f aca="false">RB_Total_Revenue*SBC_Pct</f>
        <v>245935.385775966</v>
      </c>
      <c r="N20" s="35" t="n">
        <f aca="false">RB_Total_Revenue*SBC_Pct</f>
        <v>258681.072081334</v>
      </c>
      <c r="O20" s="35" t="n">
        <f aca="false">RB_Total_Revenue*SBC_Pct</f>
        <v>272087.666959966</v>
      </c>
      <c r="P20" s="35" t="n">
        <f aca="false">RB_Total_Revenue*SBC_Pct</f>
        <v>286189.459067104</v>
      </c>
      <c r="Q20" s="35" t="n">
        <f aca="false">RB_Total_Revenue*SBC_Pct</f>
        <v>301022.516915549</v>
      </c>
      <c r="R20" s="35" t="n">
        <f aca="false">RB_Total_Revenue*SBC_Pct</f>
        <v>316624.78131152</v>
      </c>
      <c r="S20" s="35" t="n">
        <f aca="false">RB_Total_Revenue*SBC_Pct</f>
        <v>333036.162593494</v>
      </c>
      <c r="T20" s="35" t="n">
        <f aca="false">RB_Total_Revenue*SBC_Pct</f>
        <v>350298.642923704</v>
      </c>
      <c r="U20" s="35" t="n">
        <f aca="false">RB_Total_Revenue*SBC_Pct</f>
        <v>368456.383894978</v>
      </c>
      <c r="V20" s="35" t="n">
        <f aca="false">RB_Total_Revenue*SBC_Pct</f>
        <v>387555.839729236</v>
      </c>
      <c r="W20" s="35" t="n">
        <f aca="false">RB_Total_Revenue*SBC_Pct</f>
        <v>407645.876358361</v>
      </c>
      <c r="X20" s="35" t="n">
        <f aca="false">RB_Total_Revenue*SBC_Pct</f>
        <v>428777.896693262</v>
      </c>
      <c r="Y20" s="35" t="n">
        <f aca="false">RB_Total_Revenue*SBC_Pct</f>
        <v>451005.972402865</v>
      </c>
      <c r="Z20" s="35" t="n">
        <f aca="false">RB_Total_Revenue*SBC_Pct</f>
        <v>474386.982541492</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 hidden="false" customHeight="false" outlineLevel="0" collapsed="false">
      <c r="A22" s="6"/>
      <c r="B22" s="31" t="s">
        <v>154</v>
      </c>
      <c r="C22" s="36" t="n">
        <f aca="false">C9+C14+C17+C20</f>
        <v>890364</v>
      </c>
      <c r="D22" s="36" t="n">
        <f aca="false">D9+D14+D17+D20</f>
        <v>936495</v>
      </c>
      <c r="E22" s="36" t="n">
        <f aca="false">E9+E14+E17+E20</f>
        <v>985017.4236</v>
      </c>
      <c r="F22" s="36" t="n">
        <f aca="false">F9+F14+F17+F20</f>
        <v>1036055.3084532</v>
      </c>
      <c r="G22" s="36" t="n">
        <f aca="false">G9+G14+G17+G20</f>
        <v>1089739.12914361</v>
      </c>
      <c r="H22" s="36" t="n">
        <f aca="false">H9+H14+H17+H20</f>
        <v>1146206.13140201</v>
      </c>
      <c r="I22" s="36" t="n">
        <f aca="false">I9+I14+I17+I20</f>
        <v>1205600.68368362</v>
      </c>
      <c r="J22" s="36" t="n">
        <f aca="false">J9+J14+J17+J20</f>
        <v>1268074.64700987</v>
      </c>
      <c r="K22" s="36" t="n">
        <f aca="false">K9+K14+K17+K20</f>
        <v>1333787.76402354</v>
      </c>
      <c r="L22" s="36" t="n">
        <f aca="false">L9+L14+L17+L20</f>
        <v>1402908.0682558</v>
      </c>
      <c r="M22" s="36" t="n">
        <f aca="false">M9+M14+M17+M20</f>
        <v>1475612.3146558</v>
      </c>
      <c r="N22" s="36" t="n">
        <f aca="false">N9+N14+N17+N20</f>
        <v>1552086.432488</v>
      </c>
      <c r="O22" s="36" t="n">
        <f aca="false">O9+O14+O17+O20</f>
        <v>1632526.0017598</v>
      </c>
      <c r="P22" s="36" t="n">
        <f aca="false">P9+P14+P17+P20</f>
        <v>1717136.75440263</v>
      </c>
      <c r="Q22" s="36" t="n">
        <f aca="false">Q9+Q14+Q17+Q20</f>
        <v>1806135.10149329</v>
      </c>
      <c r="R22" s="36" t="n">
        <f aca="false">R9+R14+R17+R20</f>
        <v>1899748.68786912</v>
      </c>
      <c r="S22" s="36" t="n">
        <f aca="false">S9+S14+S17+S20</f>
        <v>1998216.97556096</v>
      </c>
      <c r="T22" s="36" t="n">
        <f aca="false">T9+T14+T17+T20</f>
        <v>2101791.85754223</v>
      </c>
      <c r="U22" s="36" t="n">
        <f aca="false">U9+U14+U17+U20</f>
        <v>2210738.30336987</v>
      </c>
      <c r="V22" s="36" t="n">
        <f aca="false">V9+V14+V17+V20</f>
        <v>2325335.03837542</v>
      </c>
      <c r="W22" s="36" t="n">
        <f aca="false">W9+W14+W17+W20</f>
        <v>2445875.25815017</v>
      </c>
      <c r="X22" s="36" t="n">
        <f aca="false">X9+X14+X17+X20</f>
        <v>2572667.38015957</v>
      </c>
      <c r="Y22" s="36" t="n">
        <f aca="false">Y9+Y14+Y17+Y20</f>
        <v>2706035.83441719</v>
      </c>
      <c r="Z22" s="36" t="n">
        <f aca="false">Z9+Z14+Z17+Z20</f>
        <v>2846321.89524895</v>
      </c>
    </row>
    <row r="23" customFormat="false" ht="15" hidden="false" customHeight="fals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 hidden="false" customHeight="false" outlineLevel="0" collapsed="false">
      <c r="A24" s="6"/>
      <c r="B24" s="31" t="s">
        <v>155</v>
      </c>
      <c r="C24" s="37" t="n">
        <f aca="false">CR_Gross_Profit-C22</f>
        <v>-213337.5</v>
      </c>
      <c r="D24" s="37" t="n">
        <f aca="false">CR_Gross_Profit-D22</f>
        <v>-222693.975</v>
      </c>
      <c r="E24" s="37" t="n">
        <f aca="false">CR_Gross_Profit-E22</f>
        <v>-232449.31395</v>
      </c>
      <c r="F24" s="37" t="n">
        <f aca="false">CR_Gross_Profit-F22</f>
        <v>-242619.831038025</v>
      </c>
      <c r="G24" s="37" t="n">
        <f aca="false">CR_Gross_Profit-G22</f>
        <v>-253222.465184878</v>
      </c>
      <c r="H24" s="37" t="n">
        <f aca="false">CR_Gross_Profit-H22</f>
        <v>-264274.801230632</v>
      </c>
      <c r="I24" s="37" t="n">
        <f aca="false">CR_Gross_Profit-I22</f>
        <v>-275795.091651565</v>
      </c>
      <c r="J24" s="37" t="n">
        <f aca="false">CR_Gross_Profit-J22</f>
        <v>-287802.278806207</v>
      </c>
      <c r="K24" s="37" t="n">
        <f aca="false">CR_Gross_Profit-K22</f>
        <v>-300316.017707687</v>
      </c>
      <c r="L24" s="37" t="n">
        <f aca="false">CR_Gross_Profit-L22</f>
        <v>-313356.699317822</v>
      </c>
      <c r="M24" s="37" t="n">
        <f aca="false">CR_Gross_Profit-M22</f>
        <v>-326945.474356604</v>
      </c>
      <c r="N24" s="37" t="n">
        <f aca="false">CR_Gross_Profit-N22</f>
        <v>-341104.277618661</v>
      </c>
      <c r="O24" s="37" t="n">
        <f aca="false">CR_Gross_Profit-O22</f>
        <v>-355855.852786086</v>
      </c>
      <c r="P24" s="37" t="n">
        <f aca="false">CR_Gross_Profit-P22</f>
        <v>-371223.777724583</v>
      </c>
      <c r="Q24" s="37" t="n">
        <f aca="false">CR_Gross_Profit-Q22</f>
        <v>-387232.490247251</v>
      </c>
      <c r="R24" s="37" t="n">
        <f aca="false">CR_Gross_Profit-R22</f>
        <v>-403907.314327419</v>
      </c>
      <c r="S24" s="37" t="n">
        <f aca="false">CR_Gross_Profit-S22</f>
        <v>-421274.486738851</v>
      </c>
      <c r="T24" s="37" t="n">
        <f aca="false">CR_Gross_Profit-T22</f>
        <v>-439361.184098183</v>
      </c>
      <c r="U24" s="37" t="n">
        <f aca="false">CR_Gross_Profit-U22</f>
        <v>-458195.550280784</v>
      </c>
      <c r="V24" s="37" t="n">
        <f aca="false">CR_Gross_Profit-V22</f>
        <v>-477806.724177217</v>
      </c>
      <c r="W24" s="37" t="n">
        <f aca="false">CR_Gross_Profit-W22</f>
        <v>-498224.867753094</v>
      </c>
      <c r="X24" s="37" t="n">
        <f aca="false">CR_Gross_Profit-X22</f>
        <v>-519481.194370455</v>
      </c>
      <c r="Y24" s="37" t="n">
        <f aca="false">CR_Gross_Profit-Y22</f>
        <v>-541607.997323649</v>
      </c>
      <c r="Z24" s="37" t="n">
        <f aca="false">CR_Gross_Profit-Z22</f>
        <v>-564638.678537224</v>
      </c>
    </row>
    <row r="25" customFormat="false" ht="15" hidden="false" customHeight="false" outlineLevel="0" collapsed="false">
      <c r="A25" s="6"/>
      <c r="B25" s="33" t="s">
        <v>156</v>
      </c>
      <c r="C25" s="38" t="n">
        <f aca="false">IFERROR(C24/RB_Total_Revenue,0)</f>
        <v>-0.115011388600617</v>
      </c>
      <c r="D25" s="38" t="n">
        <f aca="false">IFERROR(D24/RB_Total_Revenue,0)</f>
        <v>-0.114141675075681</v>
      </c>
      <c r="E25" s="38" t="n">
        <f aca="false">IFERROR(E24/RB_Total_Revenue,0)</f>
        <v>-0.113272788909883</v>
      </c>
      <c r="F25" s="38" t="n">
        <f aca="false">IFERROR(F24/RB_Total_Revenue,0)</f>
        <v>-0.112404731627812</v>
      </c>
      <c r="G25" s="38" t="n">
        <f aca="false">IFERROR(G24/RB_Total_Revenue,0)</f>
        <v>-0.111537504745985</v>
      </c>
      <c r="H25" s="38" t="n">
        <f aca="false">IFERROR(H24/RB_Total_Revenue,0)</f>
        <v>-0.110671109772848</v>
      </c>
      <c r="I25" s="38" t="n">
        <f aca="false">IFERROR(I24/RB_Total_Revenue,0)</f>
        <v>-0.109805548208773</v>
      </c>
      <c r="J25" s="38" t="n">
        <f aca="false">IFERROR(J24/RB_Total_Revenue,0)</f>
        <v>-0.108940821546055</v>
      </c>
      <c r="K25" s="38" t="n">
        <f aca="false">IFERROR(K24/RB_Total_Revenue,0)</f>
        <v>-0.108076931268913</v>
      </c>
      <c r="L25" s="38" t="n">
        <f aca="false">IFERROR(L24/RB_Total_Revenue,0)</f>
        <v>-0.107213878853486</v>
      </c>
      <c r="M25" s="38" t="n">
        <f aca="false">IFERROR(M24/RB_Total_Revenue,0)</f>
        <v>-0.106351665767832</v>
      </c>
      <c r="N25" s="38" t="n">
        <f aca="false">IFERROR(N24/RB_Total_Revenue,0)</f>
        <v>-0.105490293471928</v>
      </c>
      <c r="O25" s="38" t="n">
        <f aca="false">IFERROR(O24/RB_Total_Revenue,0)</f>
        <v>-0.104629763417669</v>
      </c>
      <c r="P25" s="38" t="n">
        <f aca="false">IFERROR(P24/RB_Total_Revenue,0)</f>
        <v>-0.103770077048866</v>
      </c>
      <c r="Q25" s="38" t="n">
        <f aca="false">IFERROR(Q24/RB_Total_Revenue,0)</f>
        <v>-0.102911235801244</v>
      </c>
      <c r="R25" s="38" t="n">
        <f aca="false">IFERROR(R24/RB_Total_Revenue,0)</f>
        <v>-0.102053241102445</v>
      </c>
      <c r="S25" s="38" t="n">
        <f aca="false">IFERROR(S24/RB_Total_Revenue,0)</f>
        <v>-0.101196094372024</v>
      </c>
      <c r="T25" s="38" t="n">
        <f aca="false">IFERROR(T24/RB_Total_Revenue,0)</f>
        <v>-0.100339797021452</v>
      </c>
      <c r="U25" s="38" t="n">
        <f aca="false">IFERROR(U24/RB_Total_Revenue,0)</f>
        <v>-0.0994843504541118</v>
      </c>
      <c r="V25" s="38" t="n">
        <f aca="false">IFERROR(V24/RB_Total_Revenue,0)</f>
        <v>-0.0986297560653008</v>
      </c>
      <c r="W25" s="38" t="n">
        <f aca="false">IFERROR(W24/RB_Total_Revenue,0)</f>
        <v>-0.0977760152422305</v>
      </c>
      <c r="X25" s="38" t="n">
        <f aca="false">IFERROR(X24/RB_Total_Revenue,0)</f>
        <v>-0.0969231293640268</v>
      </c>
      <c r="Y25" s="38" t="n">
        <f aca="false">IFERROR(Y24/RB_Total_Revenue,0)</f>
        <v>-0.0960710998017299</v>
      </c>
      <c r="Z25" s="38" t="n">
        <f aca="false">IFERROR(Z24/RB_Total_Revenue,0)</f>
        <v>-0.0952199279182942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157</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158</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9" t="s">
        <v>138</v>
      </c>
      <c r="C9" s="35" t="n">
        <f aca="false">RB_Total_Revenue</f>
        <v>1854925</v>
      </c>
      <c r="D9" s="35" t="n">
        <f aca="false">RB_Total_Revenue</f>
        <v>1951031.25</v>
      </c>
      <c r="E9" s="35" t="n">
        <f aca="false">RB_Total_Revenue</f>
        <v>2052119.6325</v>
      </c>
      <c r="F9" s="35" t="n">
        <f aca="false">RB_Total_Revenue</f>
        <v>2158448.5592775</v>
      </c>
      <c r="G9" s="35" t="n">
        <f aca="false">RB_Total_Revenue</f>
        <v>2270289.85238253</v>
      </c>
      <c r="H9" s="35" t="n">
        <f aca="false">RB_Total_Revenue</f>
        <v>2387929.44042086</v>
      </c>
      <c r="I9" s="35" t="n">
        <f aca="false">RB_Total_Revenue</f>
        <v>2511668.09100754</v>
      </c>
      <c r="J9" s="35" t="n">
        <f aca="false">RB_Total_Revenue</f>
        <v>2641822.18127057</v>
      </c>
      <c r="K9" s="35" t="n">
        <f aca="false">RB_Total_Revenue</f>
        <v>2778724.50838238</v>
      </c>
      <c r="L9" s="35" t="n">
        <f aca="false">RB_Total_Revenue</f>
        <v>2922725.14219958</v>
      </c>
      <c r="M9" s="35" t="n">
        <f aca="false">RB_Total_Revenue</f>
        <v>3074192.32219958</v>
      </c>
      <c r="N9" s="35" t="n">
        <f aca="false">RB_Total_Revenue</f>
        <v>3233513.40101667</v>
      </c>
      <c r="O9" s="35" t="n">
        <f aca="false">RB_Total_Revenue</f>
        <v>3401095.83699958</v>
      </c>
      <c r="P9" s="35" t="n">
        <f aca="false">RB_Total_Revenue</f>
        <v>3577368.2383388</v>
      </c>
      <c r="Q9" s="35" t="n">
        <f aca="false">RB_Total_Revenue</f>
        <v>3762781.46144436</v>
      </c>
      <c r="R9" s="35" t="n">
        <f aca="false">RB_Total_Revenue</f>
        <v>3957809.766394</v>
      </c>
      <c r="S9" s="35" t="n">
        <f aca="false">RB_Total_Revenue</f>
        <v>4162952.03241867</v>
      </c>
      <c r="T9" s="35" t="n">
        <f aca="false">RB_Total_Revenue</f>
        <v>4378733.0365463</v>
      </c>
      <c r="U9" s="35" t="n">
        <f aca="false">RB_Total_Revenue</f>
        <v>4605704.79868723</v>
      </c>
      <c r="V9" s="35" t="n">
        <f aca="false">RB_Total_Revenue</f>
        <v>4844447.99661545</v>
      </c>
      <c r="W9" s="35" t="n">
        <f aca="false">RB_Total_Revenue</f>
        <v>5095573.45447951</v>
      </c>
      <c r="X9" s="35" t="n">
        <f aca="false">RB_Total_Revenue</f>
        <v>5359723.70866578</v>
      </c>
      <c r="Y9" s="35" t="n">
        <f aca="false">RB_Total_Revenue</f>
        <v>5637574.65503582</v>
      </c>
      <c r="Z9" s="35" t="n">
        <f aca="false">RB_Total_Revenue</f>
        <v>5929837.28176865</v>
      </c>
    </row>
    <row r="10" customFormat="false" ht="15" hidden="false" customHeight="false" outlineLevel="0" collapsed="false">
      <c r="A10" s="6"/>
      <c r="B10" s="33" t="s">
        <v>72</v>
      </c>
      <c r="C10" s="35" t="n">
        <f aca="false">CR_Total_COGS</f>
        <v>1177898.5</v>
      </c>
      <c r="D10" s="35" t="n">
        <f aca="false">CR_Total_COGS</f>
        <v>1237230.225</v>
      </c>
      <c r="E10" s="35" t="n">
        <f aca="false">CR_Total_COGS</f>
        <v>1299551.52285</v>
      </c>
      <c r="F10" s="35" t="n">
        <f aca="false">CR_Total_COGS</f>
        <v>1365013.08186233</v>
      </c>
      <c r="G10" s="35" t="n">
        <f aca="false">CR_Total_COGS</f>
        <v>1433773.18842379</v>
      </c>
      <c r="H10" s="35" t="n">
        <f aca="false">CR_Total_COGS</f>
        <v>1505998.11024948</v>
      </c>
      <c r="I10" s="35" t="n">
        <f aca="false">CR_Total_COGS</f>
        <v>1581862.49897548</v>
      </c>
      <c r="J10" s="35" t="n">
        <f aca="false">CR_Total_COGS</f>
        <v>1661549.8130669</v>
      </c>
      <c r="K10" s="35" t="n">
        <f aca="false">CR_Total_COGS</f>
        <v>1745252.76206653</v>
      </c>
      <c r="L10" s="35" t="n">
        <f aca="false">CR_Total_COGS</f>
        <v>1833173.7732616</v>
      </c>
      <c r="M10" s="35" t="n">
        <f aca="false">CR_Total_COGS</f>
        <v>1925525.48190038</v>
      </c>
      <c r="N10" s="35" t="n">
        <f aca="false">CR_Total_COGS</f>
        <v>2022531.24614733</v>
      </c>
      <c r="O10" s="35" t="n">
        <f aca="false">CR_Total_COGS</f>
        <v>2124425.68802587</v>
      </c>
      <c r="P10" s="35" t="n">
        <f aca="false">CR_Total_COGS</f>
        <v>2231455.26166076</v>
      </c>
      <c r="Q10" s="35" t="n">
        <f aca="false">CR_Total_COGS</f>
        <v>2343878.85019832</v>
      </c>
      <c r="R10" s="35" t="n">
        <f aca="false">CR_Total_COGS</f>
        <v>2461968.3928523</v>
      </c>
      <c r="S10" s="35" t="n">
        <f aca="false">CR_Total_COGS</f>
        <v>2586009.54359656</v>
      </c>
      <c r="T10" s="35" t="n">
        <f aca="false">CR_Total_COGS</f>
        <v>2716302.36310226</v>
      </c>
      <c r="U10" s="35" t="n">
        <f aca="false">CR_Total_COGS</f>
        <v>2853162.04559814</v>
      </c>
      <c r="V10" s="35" t="n">
        <f aca="false">CR_Total_COGS</f>
        <v>2996919.68241725</v>
      </c>
      <c r="W10" s="35" t="n">
        <f aca="false">CR_Total_COGS</f>
        <v>3147923.06408244</v>
      </c>
      <c r="X10" s="35" t="n">
        <f aca="false">CR_Total_COGS</f>
        <v>3306537.52287666</v>
      </c>
      <c r="Y10" s="35" t="n">
        <f aca="false">CR_Total_COGS</f>
        <v>3473146.81794227</v>
      </c>
      <c r="Z10" s="35" t="n">
        <f aca="false">CR_Total_COGS</f>
        <v>3648154.06505692</v>
      </c>
    </row>
    <row r="11" customFormat="false" ht="15" hidden="false" customHeight="false" outlineLevel="0" collapsed="false">
      <c r="A11" s="6"/>
      <c r="B11" s="31" t="s">
        <v>143</v>
      </c>
      <c r="C11" s="37" t="n">
        <f aca="false">C9-C10</f>
        <v>677026.5</v>
      </c>
      <c r="D11" s="37" t="n">
        <f aca="false">D9-D10</f>
        <v>713801.025</v>
      </c>
      <c r="E11" s="37" t="n">
        <f aca="false">E9-E10</f>
        <v>752568.10965</v>
      </c>
      <c r="F11" s="37" t="n">
        <f aca="false">F9-F10</f>
        <v>793435.477415175</v>
      </c>
      <c r="G11" s="37" t="n">
        <f aca="false">G9-G10</f>
        <v>836516.663958735</v>
      </c>
      <c r="H11" s="37" t="n">
        <f aca="false">H9-H10</f>
        <v>881931.330171379</v>
      </c>
      <c r="I11" s="37" t="n">
        <f aca="false">I9-I10</f>
        <v>929805.592032053</v>
      </c>
      <c r="J11" s="37" t="n">
        <f aca="false">J9-J10</f>
        <v>980272.368203666</v>
      </c>
      <c r="K11" s="37" t="n">
        <f aca="false">K9-K10</f>
        <v>1033471.74631586</v>
      </c>
      <c r="L11" s="37" t="n">
        <f aca="false">L9-L10</f>
        <v>1089551.36893798</v>
      </c>
      <c r="M11" s="37" t="n">
        <f aca="false">M9-M10</f>
        <v>1148666.84029919</v>
      </c>
      <c r="N11" s="37" t="n">
        <f aca="false">N9-N10</f>
        <v>1210982.15486934</v>
      </c>
      <c r="O11" s="37" t="n">
        <f aca="false">O9-O10</f>
        <v>1276670.14897371</v>
      </c>
      <c r="P11" s="37" t="n">
        <f aca="false">P9-P10</f>
        <v>1345912.97667804</v>
      </c>
      <c r="Q11" s="37" t="n">
        <f aca="false">Q9-Q10</f>
        <v>1418902.61124604</v>
      </c>
      <c r="R11" s="37" t="n">
        <f aca="false">R9-R10</f>
        <v>1495841.3735417</v>
      </c>
      <c r="S11" s="37" t="n">
        <f aca="false">S9-S10</f>
        <v>1576942.48882211</v>
      </c>
      <c r="T11" s="37" t="n">
        <f aca="false">T9-T10</f>
        <v>1662430.67344404</v>
      </c>
      <c r="U11" s="37" t="n">
        <f aca="false">U9-U10</f>
        <v>1752542.75308908</v>
      </c>
      <c r="V11" s="37" t="n">
        <f aca="false">V9-V10</f>
        <v>1847528.3141982</v>
      </c>
      <c r="W11" s="37" t="n">
        <f aca="false">W9-W10</f>
        <v>1947650.39039707</v>
      </c>
      <c r="X11" s="37" t="n">
        <f aca="false">X9-X10</f>
        <v>2053186.18578912</v>
      </c>
      <c r="Y11" s="37" t="n">
        <f aca="false">Y9-Y10</f>
        <v>2164427.83709354</v>
      </c>
      <c r="Z11" s="37" t="n">
        <f aca="false">Z9-Z10</f>
        <v>2281683.21671173</v>
      </c>
    </row>
    <row r="12" customFormat="false" ht="15" hidden="false" customHeight="false" outlineLevel="0" collapsed="false">
      <c r="A12" s="6"/>
      <c r="B12" s="33" t="s">
        <v>144</v>
      </c>
      <c r="C12" s="38" t="n">
        <f aca="false">IFERROR(C11/C9,0)</f>
        <v>0.364988611399383</v>
      </c>
      <c r="D12" s="38" t="n">
        <f aca="false">IFERROR(D11/D9,0)</f>
        <v>0.365858324924319</v>
      </c>
      <c r="E12" s="38" t="n">
        <f aca="false">IFERROR(E11/E9,0)</f>
        <v>0.366727211090117</v>
      </c>
      <c r="F12" s="38" t="n">
        <f aca="false">IFERROR(F11/F9,0)</f>
        <v>0.367595268372188</v>
      </c>
      <c r="G12" s="38" t="n">
        <f aca="false">IFERROR(G11/G9,0)</f>
        <v>0.368462495254015</v>
      </c>
      <c r="H12" s="38" t="n">
        <f aca="false">IFERROR(H11/H9,0)</f>
        <v>0.369328890227152</v>
      </c>
      <c r="I12" s="38" t="n">
        <f aca="false">IFERROR(I11/I9,0)</f>
        <v>0.370194451791227</v>
      </c>
      <c r="J12" s="38" t="n">
        <f aca="false">IFERROR(J11/J9,0)</f>
        <v>0.371059178453945</v>
      </c>
      <c r="K12" s="38" t="n">
        <f aca="false">IFERROR(K11/K9,0)</f>
        <v>0.371923068731087</v>
      </c>
      <c r="L12" s="38" t="n">
        <f aca="false">IFERROR(L11/L9,0)</f>
        <v>0.372786121146514</v>
      </c>
      <c r="M12" s="38" t="n">
        <f aca="false">IFERROR(M11/M9,0)</f>
        <v>0.373648334232168</v>
      </c>
      <c r="N12" s="38" t="n">
        <f aca="false">IFERROR(N11/N9,0)</f>
        <v>0.374509706528072</v>
      </c>
      <c r="O12" s="38" t="n">
        <f aca="false">IFERROR(O11/O9,0)</f>
        <v>0.375370236582331</v>
      </c>
      <c r="P12" s="38" t="n">
        <f aca="false">IFERROR(P11/P9,0)</f>
        <v>0.376229922951134</v>
      </c>
      <c r="Q12" s="38" t="n">
        <f aca="false">IFERROR(Q11/Q9,0)</f>
        <v>0.377088764198756</v>
      </c>
      <c r="R12" s="38" t="n">
        <f aca="false">IFERROR(R11/R9,0)</f>
        <v>0.377946758897555</v>
      </c>
      <c r="S12" s="38" t="n">
        <f aca="false">IFERROR(S11/S9,0)</f>
        <v>0.378803905627976</v>
      </c>
      <c r="T12" s="38" t="n">
        <f aca="false">IFERROR(T11/T9,0)</f>
        <v>0.379660202978548</v>
      </c>
      <c r="U12" s="38" t="n">
        <f aca="false">IFERROR(U11/U9,0)</f>
        <v>0.380515649545888</v>
      </c>
      <c r="V12" s="38" t="n">
        <f aca="false">IFERROR(V11/V9,0)</f>
        <v>0.381370243934699</v>
      </c>
      <c r="W12" s="38" t="n">
        <f aca="false">IFERROR(W11/W9,0)</f>
        <v>0.38222398475777</v>
      </c>
      <c r="X12" s="38" t="n">
        <f aca="false">IFERROR(X11/X9,0)</f>
        <v>0.383076870635973</v>
      </c>
      <c r="Y12" s="38" t="n">
        <f aca="false">IFERROR(Y11/Y9,0)</f>
        <v>0.38392890019827</v>
      </c>
      <c r="Z12" s="38" t="n">
        <f aca="false">IFERROR(Z11/Z9,0)</f>
        <v>0.384780072081706</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21" t="s">
        <v>82</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6"/>
      <c r="B15" s="33" t="s">
        <v>145</v>
      </c>
      <c r="C15" s="35" t="n">
        <f aca="false">OX_SM</f>
        <v>333886.5</v>
      </c>
      <c r="D15" s="35" t="n">
        <f aca="false">OX_SM</f>
        <v>351185.625</v>
      </c>
      <c r="E15" s="35" t="n">
        <f aca="false">OX_SM</f>
        <v>369381.53385</v>
      </c>
      <c r="F15" s="35" t="n">
        <f aca="false">OX_SM</f>
        <v>388520.74066995</v>
      </c>
      <c r="G15" s="35" t="n">
        <f aca="false">OX_SM</f>
        <v>408652.173428855</v>
      </c>
      <c r="H15" s="35" t="n">
        <f aca="false">OX_SM</f>
        <v>429827.299275754</v>
      </c>
      <c r="I15" s="35" t="n">
        <f aca="false">OX_SM</f>
        <v>452100.256381357</v>
      </c>
      <c r="J15" s="35" t="n">
        <f aca="false">OX_SM</f>
        <v>475527.992628703</v>
      </c>
      <c r="K15" s="35" t="n">
        <f aca="false">OX_SM</f>
        <v>500170.411508829</v>
      </c>
      <c r="L15" s="35" t="n">
        <f aca="false">OX_SM</f>
        <v>526090.525595924</v>
      </c>
      <c r="M15" s="35" t="n">
        <f aca="false">OX_SM</f>
        <v>553354.617995924</v>
      </c>
      <c r="N15" s="35" t="n">
        <f aca="false">OX_SM</f>
        <v>582032.412183</v>
      </c>
      <c r="O15" s="35" t="n">
        <f aca="false">OX_SM</f>
        <v>612197.250659924</v>
      </c>
      <c r="P15" s="35" t="n">
        <f aca="false">OX_SM</f>
        <v>643926.282900985</v>
      </c>
      <c r="Q15" s="35" t="n">
        <f aca="false">OX_SM</f>
        <v>677300.663059985</v>
      </c>
      <c r="R15" s="35" t="n">
        <f aca="false">OX_SM</f>
        <v>712405.75795092</v>
      </c>
      <c r="S15" s="35" t="n">
        <f aca="false">OX_SM</f>
        <v>749331.365835361</v>
      </c>
      <c r="T15" s="35" t="n">
        <f aca="false">OX_SM</f>
        <v>788171.946578334</v>
      </c>
      <c r="U15" s="35" t="n">
        <f aca="false">OX_SM</f>
        <v>829026.863763701</v>
      </c>
      <c r="V15" s="35" t="n">
        <f aca="false">OX_SM</f>
        <v>872000.639390781</v>
      </c>
      <c r="W15" s="35" t="n">
        <f aca="false">OX_SM</f>
        <v>917203.221806312</v>
      </c>
      <c r="X15" s="35" t="n">
        <f aca="false">OX_SM</f>
        <v>964750.267559841</v>
      </c>
      <c r="Y15" s="35" t="n">
        <f aca="false">OX_SM</f>
        <v>1014763.43790645</v>
      </c>
      <c r="Z15" s="35" t="n">
        <f aca="false">OX_SM</f>
        <v>1067370.71071836</v>
      </c>
    </row>
    <row r="16" customFormat="false" ht="15" hidden="false" customHeight="false" outlineLevel="0" collapsed="false">
      <c r="A16" s="6"/>
      <c r="B16" s="33" t="s">
        <v>148</v>
      </c>
      <c r="C16" s="35" t="n">
        <f aca="false">OX_RD</f>
        <v>222591</v>
      </c>
      <c r="D16" s="35" t="n">
        <f aca="false">OX_RD</f>
        <v>234123.75</v>
      </c>
      <c r="E16" s="35" t="n">
        <f aca="false">OX_RD</f>
        <v>246254.3559</v>
      </c>
      <c r="F16" s="35" t="n">
        <f aca="false">OX_RD</f>
        <v>259013.8271133</v>
      </c>
      <c r="G16" s="35" t="n">
        <f aca="false">OX_RD</f>
        <v>272434.782285903</v>
      </c>
      <c r="H16" s="35" t="n">
        <f aca="false">OX_RD</f>
        <v>286551.532850503</v>
      </c>
      <c r="I16" s="35" t="n">
        <f aca="false">OX_RD</f>
        <v>301400.170920904</v>
      </c>
      <c r="J16" s="35" t="n">
        <f aca="false">OX_RD</f>
        <v>317018.661752468</v>
      </c>
      <c r="K16" s="35" t="n">
        <f aca="false">OX_RD</f>
        <v>333446.941005886</v>
      </c>
      <c r="L16" s="35" t="n">
        <f aca="false">OX_RD</f>
        <v>350727.017063949</v>
      </c>
      <c r="M16" s="35" t="n">
        <f aca="false">OX_RD</f>
        <v>368903.078663949</v>
      </c>
      <c r="N16" s="35" t="n">
        <f aca="false">OX_RD</f>
        <v>388021.608122</v>
      </c>
      <c r="O16" s="35" t="n">
        <f aca="false">OX_RD</f>
        <v>408131.500439949</v>
      </c>
      <c r="P16" s="35" t="n">
        <f aca="false">OX_RD</f>
        <v>429284.188600656</v>
      </c>
      <c r="Q16" s="35" t="n">
        <f aca="false">OX_RD</f>
        <v>451533.775373324</v>
      </c>
      <c r="R16" s="35" t="n">
        <f aca="false">OX_RD</f>
        <v>474937.17196728</v>
      </c>
      <c r="S16" s="35" t="n">
        <f aca="false">OX_RD</f>
        <v>499554.243890241</v>
      </c>
      <c r="T16" s="35" t="n">
        <f aca="false">OX_RD</f>
        <v>525447.964385556</v>
      </c>
      <c r="U16" s="35" t="n">
        <f aca="false">OX_RD</f>
        <v>552684.575842467</v>
      </c>
      <c r="V16" s="35" t="n">
        <f aca="false">OX_RD</f>
        <v>581333.759593854</v>
      </c>
      <c r="W16" s="35" t="n">
        <f aca="false">OX_RD</f>
        <v>611468.814537542</v>
      </c>
      <c r="X16" s="35" t="n">
        <f aca="false">OX_RD</f>
        <v>643166.845039894</v>
      </c>
      <c r="Y16" s="35" t="n">
        <f aca="false">OX_RD</f>
        <v>676508.958604298</v>
      </c>
      <c r="Z16" s="35" t="n">
        <f aca="false">OX_RD</f>
        <v>711580.473812238</v>
      </c>
    </row>
    <row r="17" customFormat="false" ht="15" hidden="false" customHeight="false" outlineLevel="0" collapsed="false">
      <c r="A17" s="6"/>
      <c r="B17" s="33" t="s">
        <v>150</v>
      </c>
      <c r="C17" s="35" t="n">
        <f aca="false">OX_GA</f>
        <v>185492.5</v>
      </c>
      <c r="D17" s="35" t="n">
        <f aca="false">OX_GA</f>
        <v>195103.125</v>
      </c>
      <c r="E17" s="35" t="n">
        <f aca="false">OX_GA</f>
        <v>205211.96325</v>
      </c>
      <c r="F17" s="35" t="n">
        <f aca="false">OX_GA</f>
        <v>215844.85592775</v>
      </c>
      <c r="G17" s="35" t="n">
        <f aca="false">OX_GA</f>
        <v>227028.985238253</v>
      </c>
      <c r="H17" s="35" t="n">
        <f aca="false">OX_GA</f>
        <v>238792.944042086</v>
      </c>
      <c r="I17" s="35" t="n">
        <f aca="false">OX_GA</f>
        <v>251166.809100754</v>
      </c>
      <c r="J17" s="35" t="n">
        <f aca="false">OX_GA</f>
        <v>264182.218127057</v>
      </c>
      <c r="K17" s="35" t="n">
        <f aca="false">OX_GA</f>
        <v>277872.450838238</v>
      </c>
      <c r="L17" s="35" t="n">
        <f aca="false">OX_GA</f>
        <v>292272.514219958</v>
      </c>
      <c r="M17" s="35" t="n">
        <f aca="false">OX_GA</f>
        <v>307419.232219958</v>
      </c>
      <c r="N17" s="35" t="n">
        <f aca="false">OX_GA</f>
        <v>323351.340101667</v>
      </c>
      <c r="O17" s="35" t="n">
        <f aca="false">OX_GA</f>
        <v>340109.583699958</v>
      </c>
      <c r="P17" s="35" t="n">
        <f aca="false">OX_GA</f>
        <v>357736.82383388</v>
      </c>
      <c r="Q17" s="35" t="n">
        <f aca="false">OX_GA</f>
        <v>376278.146144436</v>
      </c>
      <c r="R17" s="35" t="n">
        <f aca="false">OX_GA</f>
        <v>395780.9766394</v>
      </c>
      <c r="S17" s="35" t="n">
        <f aca="false">OX_GA</f>
        <v>416295.203241867</v>
      </c>
      <c r="T17" s="35" t="n">
        <f aca="false">OX_GA</f>
        <v>437873.30365463</v>
      </c>
      <c r="U17" s="35" t="n">
        <f aca="false">OX_GA</f>
        <v>460570.479868723</v>
      </c>
      <c r="V17" s="35" t="n">
        <f aca="false">OX_GA</f>
        <v>484444.799661545</v>
      </c>
      <c r="W17" s="35" t="n">
        <f aca="false">OX_GA</f>
        <v>509557.345447951</v>
      </c>
      <c r="X17" s="35" t="n">
        <f aca="false">OX_GA</f>
        <v>535972.370866578</v>
      </c>
      <c r="Y17" s="35" t="n">
        <f aca="false">OX_GA</f>
        <v>563757.465503582</v>
      </c>
      <c r="Z17" s="35" t="n">
        <f aca="false">OX_GA</f>
        <v>592983.728176865</v>
      </c>
    </row>
    <row r="18" customFormat="false" ht="15" hidden="false" customHeight="false" outlineLevel="0" collapsed="false">
      <c r="A18" s="6"/>
      <c r="B18" s="33" t="s">
        <v>159</v>
      </c>
      <c r="C18" s="35" t="n">
        <f aca="false">OX_SBC</f>
        <v>148394</v>
      </c>
      <c r="D18" s="35" t="n">
        <f aca="false">OX_SBC</f>
        <v>156082.5</v>
      </c>
      <c r="E18" s="35" t="n">
        <f aca="false">OX_SBC</f>
        <v>164169.5706</v>
      </c>
      <c r="F18" s="35" t="n">
        <f aca="false">OX_SBC</f>
        <v>172675.8847422</v>
      </c>
      <c r="G18" s="35" t="n">
        <f aca="false">OX_SBC</f>
        <v>181623.188190602</v>
      </c>
      <c r="H18" s="35" t="n">
        <f aca="false">OX_SBC</f>
        <v>191034.355233668</v>
      </c>
      <c r="I18" s="35" t="n">
        <f aca="false">OX_SBC</f>
        <v>200933.447280603</v>
      </c>
      <c r="J18" s="35" t="n">
        <f aca="false">OX_SBC</f>
        <v>211345.774501646</v>
      </c>
      <c r="K18" s="35" t="n">
        <f aca="false">OX_SBC</f>
        <v>222297.960670591</v>
      </c>
      <c r="L18" s="35" t="n">
        <f aca="false">OX_SBC</f>
        <v>233818.011375966</v>
      </c>
      <c r="M18" s="35" t="n">
        <f aca="false">OX_SBC</f>
        <v>245935.385775966</v>
      </c>
      <c r="N18" s="35" t="n">
        <f aca="false">OX_SBC</f>
        <v>258681.072081334</v>
      </c>
      <c r="O18" s="35" t="n">
        <f aca="false">OX_SBC</f>
        <v>272087.666959966</v>
      </c>
      <c r="P18" s="35" t="n">
        <f aca="false">OX_SBC</f>
        <v>286189.459067104</v>
      </c>
      <c r="Q18" s="35" t="n">
        <f aca="false">OX_SBC</f>
        <v>301022.516915549</v>
      </c>
      <c r="R18" s="35" t="n">
        <f aca="false">OX_SBC</f>
        <v>316624.78131152</v>
      </c>
      <c r="S18" s="35" t="n">
        <f aca="false">OX_SBC</f>
        <v>333036.162593494</v>
      </c>
      <c r="T18" s="35" t="n">
        <f aca="false">OX_SBC</f>
        <v>350298.642923704</v>
      </c>
      <c r="U18" s="35" t="n">
        <f aca="false">OX_SBC</f>
        <v>368456.383894978</v>
      </c>
      <c r="V18" s="35" t="n">
        <f aca="false">OX_SBC</f>
        <v>387555.839729236</v>
      </c>
      <c r="W18" s="35" t="n">
        <f aca="false">OX_SBC</f>
        <v>407645.876358361</v>
      </c>
      <c r="X18" s="35" t="n">
        <f aca="false">OX_SBC</f>
        <v>428777.896693262</v>
      </c>
      <c r="Y18" s="35" t="n">
        <f aca="false">OX_SBC</f>
        <v>451005.972402865</v>
      </c>
      <c r="Z18" s="35" t="n">
        <f aca="false">OX_SBC</f>
        <v>474386.982541492</v>
      </c>
    </row>
    <row r="19" customFormat="false" ht="15" hidden="false" customHeight="false" outlineLevel="0" collapsed="false">
      <c r="A19" s="6"/>
      <c r="B19" s="31" t="s">
        <v>160</v>
      </c>
      <c r="C19" s="37" t="n">
        <f aca="false">C15+C16+C17+C18</f>
        <v>890364</v>
      </c>
      <c r="D19" s="37" t="n">
        <f aca="false">D15+D16+D17+D18</f>
        <v>936495</v>
      </c>
      <c r="E19" s="37" t="n">
        <f aca="false">E15+E16+E17+E18</f>
        <v>985017.4236</v>
      </c>
      <c r="F19" s="37" t="n">
        <f aca="false">F15+F16+F17+F18</f>
        <v>1036055.3084532</v>
      </c>
      <c r="G19" s="37" t="n">
        <f aca="false">G15+G16+G17+G18</f>
        <v>1089739.12914361</v>
      </c>
      <c r="H19" s="37" t="n">
        <f aca="false">H15+H16+H17+H18</f>
        <v>1146206.13140201</v>
      </c>
      <c r="I19" s="37" t="n">
        <f aca="false">I15+I16+I17+I18</f>
        <v>1205600.68368362</v>
      </c>
      <c r="J19" s="37" t="n">
        <f aca="false">J15+J16+J17+J18</f>
        <v>1268074.64700987</v>
      </c>
      <c r="K19" s="37" t="n">
        <f aca="false">K15+K16+K17+K18</f>
        <v>1333787.76402354</v>
      </c>
      <c r="L19" s="37" t="n">
        <f aca="false">L15+L16+L17+L18</f>
        <v>1402908.0682558</v>
      </c>
      <c r="M19" s="37" t="n">
        <f aca="false">M15+M16+M17+M18</f>
        <v>1475612.3146558</v>
      </c>
      <c r="N19" s="37" t="n">
        <f aca="false">N15+N16+N17+N18</f>
        <v>1552086.432488</v>
      </c>
      <c r="O19" s="37" t="n">
        <f aca="false">O15+O16+O17+O18</f>
        <v>1632526.0017598</v>
      </c>
      <c r="P19" s="37" t="n">
        <f aca="false">P15+P16+P17+P18</f>
        <v>1717136.75440263</v>
      </c>
      <c r="Q19" s="37" t="n">
        <f aca="false">Q15+Q16+Q17+Q18</f>
        <v>1806135.10149329</v>
      </c>
      <c r="R19" s="37" t="n">
        <f aca="false">R15+R16+R17+R18</f>
        <v>1899748.68786912</v>
      </c>
      <c r="S19" s="37" t="n">
        <f aca="false">S15+S16+S17+S18</f>
        <v>1998216.97556096</v>
      </c>
      <c r="T19" s="37" t="n">
        <f aca="false">T15+T16+T17+T18</f>
        <v>2101791.85754223</v>
      </c>
      <c r="U19" s="37" t="n">
        <f aca="false">U15+U16+U17+U18</f>
        <v>2210738.30336987</v>
      </c>
      <c r="V19" s="37" t="n">
        <f aca="false">V15+V16+V17+V18</f>
        <v>2325335.03837542</v>
      </c>
      <c r="W19" s="37" t="n">
        <f aca="false">W15+W16+W17+W18</f>
        <v>2445875.25815017</v>
      </c>
      <c r="X19" s="37" t="n">
        <f aca="false">X15+X16+X17+X18</f>
        <v>2572667.38015957</v>
      </c>
      <c r="Y19" s="37" t="n">
        <f aca="false">Y15+Y16+Y17+Y18</f>
        <v>2706035.83441719</v>
      </c>
      <c r="Z19" s="37" t="n">
        <f aca="false">Z15+Z16+Z17+Z18</f>
        <v>2846321.89524895</v>
      </c>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row>
    <row r="21" customFormat="false" ht="15" hidden="false" customHeight="false" outlineLevel="0" collapsed="false">
      <c r="A21" s="6"/>
      <c r="B21" s="31" t="s">
        <v>155</v>
      </c>
      <c r="C21" s="37" t="n">
        <f aca="false">C11-C19</f>
        <v>-213337.5</v>
      </c>
      <c r="D21" s="37" t="n">
        <f aca="false">D11-D19</f>
        <v>-222693.975</v>
      </c>
      <c r="E21" s="37" t="n">
        <f aca="false">E11-E19</f>
        <v>-232449.31395</v>
      </c>
      <c r="F21" s="37" t="n">
        <f aca="false">F11-F19</f>
        <v>-242619.831038025</v>
      </c>
      <c r="G21" s="37" t="n">
        <f aca="false">G11-G19</f>
        <v>-253222.465184878</v>
      </c>
      <c r="H21" s="37" t="n">
        <f aca="false">H11-H19</f>
        <v>-264274.801230632</v>
      </c>
      <c r="I21" s="37" t="n">
        <f aca="false">I11-I19</f>
        <v>-275795.091651565</v>
      </c>
      <c r="J21" s="37" t="n">
        <f aca="false">J11-J19</f>
        <v>-287802.278806207</v>
      </c>
      <c r="K21" s="37" t="n">
        <f aca="false">K11-K19</f>
        <v>-300316.017707687</v>
      </c>
      <c r="L21" s="37" t="n">
        <f aca="false">L11-L19</f>
        <v>-313356.699317822</v>
      </c>
      <c r="M21" s="37" t="n">
        <f aca="false">M11-M19</f>
        <v>-326945.474356604</v>
      </c>
      <c r="N21" s="37" t="n">
        <f aca="false">N11-N19</f>
        <v>-341104.277618661</v>
      </c>
      <c r="O21" s="37" t="n">
        <f aca="false">O11-O19</f>
        <v>-355855.852786086</v>
      </c>
      <c r="P21" s="37" t="n">
        <f aca="false">P11-P19</f>
        <v>-371223.777724583</v>
      </c>
      <c r="Q21" s="37" t="n">
        <f aca="false">Q11-Q19</f>
        <v>-387232.490247251</v>
      </c>
      <c r="R21" s="37" t="n">
        <f aca="false">R11-R19</f>
        <v>-403907.314327419</v>
      </c>
      <c r="S21" s="37" t="n">
        <f aca="false">S11-S19</f>
        <v>-421274.486738851</v>
      </c>
      <c r="T21" s="37" t="n">
        <f aca="false">T11-T19</f>
        <v>-439361.184098183</v>
      </c>
      <c r="U21" s="37" t="n">
        <f aca="false">U11-U19</f>
        <v>-458195.550280784</v>
      </c>
      <c r="V21" s="37" t="n">
        <f aca="false">V11-V19</f>
        <v>-477806.724177217</v>
      </c>
      <c r="W21" s="37" t="n">
        <f aca="false">W11-W19</f>
        <v>-498224.867753094</v>
      </c>
      <c r="X21" s="37" t="n">
        <f aca="false">X11-X19</f>
        <v>-519481.194370455</v>
      </c>
      <c r="Y21" s="37" t="n">
        <f aca="false">Y11-Y19</f>
        <v>-541607.997323649</v>
      </c>
      <c r="Z21" s="37" t="n">
        <f aca="false">Z11-Z19</f>
        <v>-564638.678537224</v>
      </c>
    </row>
    <row r="22" customFormat="false" ht="15" hidden="false" customHeight="false" outlineLevel="0" collapsed="false">
      <c r="A22" s="6"/>
      <c r="B22" s="33" t="s">
        <v>156</v>
      </c>
      <c r="C22" s="38" t="n">
        <f aca="false">IFERROR(C21/C9,0)</f>
        <v>-0.115011388600617</v>
      </c>
      <c r="D22" s="38" t="n">
        <f aca="false">IFERROR(D21/D9,0)</f>
        <v>-0.114141675075681</v>
      </c>
      <c r="E22" s="38" t="n">
        <f aca="false">IFERROR(E21/E9,0)</f>
        <v>-0.113272788909883</v>
      </c>
      <c r="F22" s="38" t="n">
        <f aca="false">IFERROR(F21/F9,0)</f>
        <v>-0.112404731627812</v>
      </c>
      <c r="G22" s="38" t="n">
        <f aca="false">IFERROR(G21/G9,0)</f>
        <v>-0.111537504745985</v>
      </c>
      <c r="H22" s="38" t="n">
        <f aca="false">IFERROR(H21/H9,0)</f>
        <v>-0.110671109772848</v>
      </c>
      <c r="I22" s="38" t="n">
        <f aca="false">IFERROR(I21/I9,0)</f>
        <v>-0.109805548208773</v>
      </c>
      <c r="J22" s="38" t="n">
        <f aca="false">IFERROR(J21/J9,0)</f>
        <v>-0.108940821546055</v>
      </c>
      <c r="K22" s="38" t="n">
        <f aca="false">IFERROR(K21/K9,0)</f>
        <v>-0.108076931268913</v>
      </c>
      <c r="L22" s="38" t="n">
        <f aca="false">IFERROR(L21/L9,0)</f>
        <v>-0.107213878853486</v>
      </c>
      <c r="M22" s="38" t="n">
        <f aca="false">IFERROR(M21/M9,0)</f>
        <v>-0.106351665767832</v>
      </c>
      <c r="N22" s="38" t="n">
        <f aca="false">IFERROR(N21/N9,0)</f>
        <v>-0.105490293471928</v>
      </c>
      <c r="O22" s="38" t="n">
        <f aca="false">IFERROR(O21/O9,0)</f>
        <v>-0.104629763417669</v>
      </c>
      <c r="P22" s="38" t="n">
        <f aca="false">IFERROR(P21/P9,0)</f>
        <v>-0.103770077048866</v>
      </c>
      <c r="Q22" s="38" t="n">
        <f aca="false">IFERROR(Q21/Q9,0)</f>
        <v>-0.102911235801244</v>
      </c>
      <c r="R22" s="38" t="n">
        <f aca="false">IFERROR(R21/R9,0)</f>
        <v>-0.102053241102445</v>
      </c>
      <c r="S22" s="38" t="n">
        <f aca="false">IFERROR(S21/S9,0)</f>
        <v>-0.101196094372024</v>
      </c>
      <c r="T22" s="38" t="n">
        <f aca="false">IFERROR(T21/T9,0)</f>
        <v>-0.100339797021452</v>
      </c>
      <c r="U22" s="38" t="n">
        <f aca="false">IFERROR(U21/U9,0)</f>
        <v>-0.0994843504541118</v>
      </c>
      <c r="V22" s="38" t="n">
        <f aca="false">IFERROR(V21/V9,0)</f>
        <v>-0.0986297560653008</v>
      </c>
      <c r="W22" s="38" t="n">
        <f aca="false">IFERROR(W21/W9,0)</f>
        <v>-0.0977760152422305</v>
      </c>
      <c r="X22" s="38" t="n">
        <f aca="false">IFERROR(X21/X9,0)</f>
        <v>-0.0969231293640268</v>
      </c>
      <c r="Y22" s="38" t="n">
        <f aca="false">IFERROR(Y21/Y9,0)</f>
        <v>-0.0960710998017299</v>
      </c>
      <c r="Z22" s="38" t="n">
        <f aca="false">IFERROR(Z21/Z9,0)</f>
        <v>-0.0952199279182942</v>
      </c>
    </row>
    <row r="23" customFormat="false" ht="15" hidden="false" customHeight="false" outlineLevel="0" collapsed="false">
      <c r="A23" s="6"/>
      <c r="B23" s="33" t="s">
        <v>161</v>
      </c>
      <c r="C23" s="35" t="n">
        <f aca="false">IFERROR(SUM($C$17:C17)*-Depr_Rate/12,0)</f>
        <v>-5101.04375</v>
      </c>
      <c r="D23" s="35" t="n">
        <f aca="false">IFERROR(SUM($C$17:D17)*-Depr_Rate/12,0)</f>
        <v>-10466.3796875</v>
      </c>
      <c r="E23" s="35" t="n">
        <f aca="false">IFERROR(SUM($C$17:E17)*-Depr_Rate/12,0)</f>
        <v>-16109.708676875</v>
      </c>
      <c r="F23" s="35" t="n">
        <f aca="false">IFERROR(SUM($C$17:F17)*-Depr_Rate/12,0)</f>
        <v>-22045.4422148881</v>
      </c>
      <c r="G23" s="35" t="n">
        <f aca="false">IFERROR(SUM($C$17:G17)*-Depr_Rate/12,0)</f>
        <v>-28288.7393089401</v>
      </c>
      <c r="H23" s="35" t="n">
        <f aca="false">IFERROR(SUM($C$17:H17)*-Depr_Rate/12,0)</f>
        <v>-34855.5452700974</v>
      </c>
      <c r="I23" s="35" t="n">
        <f aca="false">IFERROR(SUM($C$17:I17)*-Depr_Rate/12,0)</f>
        <v>-41762.6325203682</v>
      </c>
      <c r="J23" s="35" t="n">
        <f aca="false">IFERROR(SUM($C$17:J17)*-Depr_Rate/12,0)</f>
        <v>-49027.6435188622</v>
      </c>
      <c r="K23" s="35" t="n">
        <f aca="false">IFERROR(SUM($C$17:K17)*-Depr_Rate/12,0)</f>
        <v>-56669.1359169138</v>
      </c>
      <c r="L23" s="35" t="n">
        <f aca="false">IFERROR(SUM($C$17:L17)*-Depr_Rate/12,0)</f>
        <v>-64706.6300579626</v>
      </c>
      <c r="M23" s="35" t="n">
        <f aca="false">IFERROR(SUM($C$17:M17)*-Depr_Rate/12,0)</f>
        <v>-73160.6589440115</v>
      </c>
      <c r="N23" s="35" t="n">
        <f aca="false">IFERROR(SUM($C$17:N17)*-Depr_Rate/12,0)</f>
        <v>-82052.8207968073</v>
      </c>
      <c r="O23" s="35" t="n">
        <f aca="false">IFERROR(SUM($C$17:O17)*-Depr_Rate/12,0)</f>
        <v>-91405.8343485561</v>
      </c>
      <c r="P23" s="35" t="n">
        <f aca="false">IFERROR(SUM($C$17:P17)*-Depr_Rate/12,0)</f>
        <v>-101243.597003988</v>
      </c>
      <c r="Q23" s="35" t="n">
        <f aca="false">IFERROR(SUM($C$17:Q17)*-Depr_Rate/12,0)</f>
        <v>-111591.24602296</v>
      </c>
      <c r="R23" s="35" t="n">
        <f aca="false">IFERROR(SUM($C$17:R17)*-Depr_Rate/12,0)</f>
        <v>-122475.222880543</v>
      </c>
      <c r="S23" s="35" t="n">
        <f aca="false">IFERROR(SUM($C$17:S17)*-Depr_Rate/12,0)</f>
        <v>-133923.340969695</v>
      </c>
      <c r="T23" s="35" t="n">
        <f aca="false">IFERROR(SUM($C$17:T17)*-Depr_Rate/12,0)</f>
        <v>-145964.856820197</v>
      </c>
      <c r="U23" s="35" t="n">
        <f aca="false">IFERROR(SUM($C$17:U17)*-Depr_Rate/12,0)</f>
        <v>-158630.545016587</v>
      </c>
      <c r="V23" s="35" t="n">
        <f aca="false">IFERROR(SUM($C$17:V17)*-Depr_Rate/12,0)</f>
        <v>-171952.777007279</v>
      </c>
      <c r="W23" s="35" t="n">
        <f aca="false">IFERROR(SUM($C$17:W17)*-Depr_Rate/12,0)</f>
        <v>-185965.604007098</v>
      </c>
      <c r="X23" s="35" t="n">
        <f aca="false">IFERROR(SUM($C$17:X17)*-Depr_Rate/12,0)</f>
        <v>-200704.844205929</v>
      </c>
      <c r="Y23" s="35" t="n">
        <f aca="false">IFERROR(SUM($C$17:Y17)*-Depr_Rate/12,0)</f>
        <v>-216208.174507277</v>
      </c>
      <c r="Z23" s="35" t="n">
        <f aca="false">IFERROR(SUM($C$17:Z17)*-Depr_Rate/12,0)</f>
        <v>-232515.227032141</v>
      </c>
    </row>
    <row r="24" customFormat="false" ht="15" hidden="false" customHeight="false" outlineLevel="0" collapsed="false">
      <c r="A24" s="6"/>
      <c r="B24" s="31" t="s">
        <v>162</v>
      </c>
      <c r="C24" s="37" t="n">
        <f aca="false">C21-C23</f>
        <v>-208236.45625</v>
      </c>
      <c r="D24" s="37" t="n">
        <f aca="false">D21-D23</f>
        <v>-212227.5953125</v>
      </c>
      <c r="E24" s="37" t="n">
        <f aca="false">E21-E23</f>
        <v>-216339.605273125</v>
      </c>
      <c r="F24" s="37" t="n">
        <f aca="false">F21-F23</f>
        <v>-220574.388823137</v>
      </c>
      <c r="G24" s="37" t="n">
        <f aca="false">G21-G23</f>
        <v>-224933.725875938</v>
      </c>
      <c r="H24" s="37" t="n">
        <f aca="false">H21-H23</f>
        <v>-229419.255960535</v>
      </c>
      <c r="I24" s="37" t="n">
        <f aca="false">I21-I23</f>
        <v>-234032.459131197</v>
      </c>
      <c r="J24" s="37" t="n">
        <f aca="false">J21-J23</f>
        <v>-238774.635287345</v>
      </c>
      <c r="K24" s="37" t="n">
        <f aca="false">K21-K23</f>
        <v>-243646.881790773</v>
      </c>
      <c r="L24" s="37" t="n">
        <f aca="false">L21-L23</f>
        <v>-248650.069259859</v>
      </c>
      <c r="M24" s="37" t="n">
        <f aca="false">M21-M23</f>
        <v>-253784.815412593</v>
      </c>
      <c r="N24" s="37" t="n">
        <f aca="false">N21-N23</f>
        <v>-259051.456821854</v>
      </c>
      <c r="O24" s="37" t="n">
        <f aca="false">O21-O23</f>
        <v>-264450.018437529</v>
      </c>
      <c r="P24" s="37" t="n">
        <f aca="false">P21-P23</f>
        <v>-269980.180720595</v>
      </c>
      <c r="Q24" s="37" t="n">
        <f aca="false">Q21-Q23</f>
        <v>-275641.244224291</v>
      </c>
      <c r="R24" s="37" t="n">
        <f aca="false">R21-R23</f>
        <v>-281432.091446875</v>
      </c>
      <c r="S24" s="37" t="n">
        <f aca="false">S21-S23</f>
        <v>-287351.145769156</v>
      </c>
      <c r="T24" s="37" t="n">
        <f aca="false">T21-T23</f>
        <v>-293396.327277986</v>
      </c>
      <c r="U24" s="37" t="n">
        <f aca="false">U21-U23</f>
        <v>-299565.005264197</v>
      </c>
      <c r="V24" s="37" t="n">
        <f aca="false">V21-V23</f>
        <v>-305853.947169938</v>
      </c>
      <c r="W24" s="37" t="n">
        <f aca="false">W21-W23</f>
        <v>-312259.263745996</v>
      </c>
      <c r="X24" s="37" t="n">
        <f aca="false">X21-X23</f>
        <v>-318776.350164526</v>
      </c>
      <c r="Y24" s="37" t="n">
        <f aca="false">Y21-Y23</f>
        <v>-325399.822816371</v>
      </c>
      <c r="Z24" s="37" t="n">
        <f aca="false">Z21-Z23</f>
        <v>-332123.451505083</v>
      </c>
    </row>
    <row r="25" customFormat="false" ht="15" hidden="false" customHeight="false" outlineLevel="0" collapsed="false">
      <c r="A25" s="6"/>
      <c r="B25" s="33" t="s">
        <v>163</v>
      </c>
      <c r="C25" s="35" t="n">
        <f aca="false">C24</f>
        <v>-208236.45625</v>
      </c>
      <c r="D25" s="35" t="n">
        <f aca="false">C25+D24</f>
        <v>-420464.0515625</v>
      </c>
      <c r="E25" s="35" t="n">
        <f aca="false">D25+E24</f>
        <v>-636803.656835625</v>
      </c>
      <c r="F25" s="35" t="n">
        <f aca="false">E25+F24</f>
        <v>-857378.045658762</v>
      </c>
      <c r="G25" s="35" t="n">
        <f aca="false">F25+G24</f>
        <v>-1082311.7715347</v>
      </c>
      <c r="H25" s="35" t="n">
        <f aca="false">G25+H24</f>
        <v>-1311731.02749523</v>
      </c>
      <c r="I25" s="35" t="n">
        <f aca="false">H25+I24</f>
        <v>-1545763.48662643</v>
      </c>
      <c r="J25" s="35" t="n">
        <f aca="false">I25+J24</f>
        <v>-1784538.12191378</v>
      </c>
      <c r="K25" s="35" t="n">
        <f aca="false">J25+K24</f>
        <v>-2028185.00370455</v>
      </c>
      <c r="L25" s="35" t="n">
        <f aca="false">K25+L24</f>
        <v>-2276835.07296441</v>
      </c>
      <c r="M25" s="35" t="n">
        <f aca="false">L25+M24</f>
        <v>-2530619.888377</v>
      </c>
      <c r="N25" s="35" t="n">
        <f aca="false">M25+N24</f>
        <v>-2789671.34519886</v>
      </c>
      <c r="O25" s="35" t="n">
        <f aca="false">N25+O24</f>
        <v>-3054121.36363638</v>
      </c>
      <c r="P25" s="35" t="n">
        <f aca="false">O25+P24</f>
        <v>-3324101.54435698</v>
      </c>
      <c r="Q25" s="35" t="n">
        <f aca="false">P25+Q24</f>
        <v>-3599742.78858127</v>
      </c>
      <c r="R25" s="35" t="n">
        <f aca="false">Q25+R24</f>
        <v>-3881174.88002815</v>
      </c>
      <c r="S25" s="35" t="n">
        <f aca="false">R25+S24</f>
        <v>-4168526.0257973</v>
      </c>
      <c r="T25" s="35" t="n">
        <f aca="false">S25+T24</f>
        <v>-4461922.35307529</v>
      </c>
      <c r="U25" s="35" t="n">
        <f aca="false">T25+U24</f>
        <v>-4761487.35833949</v>
      </c>
      <c r="V25" s="35" t="n">
        <f aca="false">U25+V24</f>
        <v>-5067341.30550942</v>
      </c>
      <c r="W25" s="35" t="n">
        <f aca="false">V25+W24</f>
        <v>-5379600.56925542</v>
      </c>
      <c r="X25" s="35" t="n">
        <f aca="false">W25+X24</f>
        <v>-5698376.91941995</v>
      </c>
      <c r="Y25" s="35" t="n">
        <f aca="false">X25+Y24</f>
        <v>-6023776.74223632</v>
      </c>
      <c r="Z25" s="35" t="n">
        <f aca="false">Y25+Z24</f>
        <v>-6355900.1937414</v>
      </c>
    </row>
    <row r="26" customFormat="false" ht="15" hidden="false" customHeight="false" outlineLevel="0" collapsed="false">
      <c r="A26" s="6"/>
      <c r="B26" s="33" t="s">
        <v>164</v>
      </c>
      <c r="C26" s="35" t="n">
        <f aca="false">IF(C25&gt;0,IF(C24&gt;0,C24*Tax_Rate,0),0)</f>
        <v>0</v>
      </c>
      <c r="D26" s="35" t="n">
        <f aca="false">IF(D25&gt;0,IF(D24&gt;0,D24*Tax_Rate,0),0)</f>
        <v>0</v>
      </c>
      <c r="E26" s="35" t="n">
        <f aca="false">IF(E25&gt;0,IF(E24&gt;0,E24*Tax_Rate,0),0)</f>
        <v>0</v>
      </c>
      <c r="F26" s="35" t="n">
        <f aca="false">IF(F25&gt;0,IF(F24&gt;0,F24*Tax_Rate,0),0)</f>
        <v>0</v>
      </c>
      <c r="G26" s="35" t="n">
        <f aca="false">IF(G25&gt;0,IF(G24&gt;0,G24*Tax_Rate,0),0)</f>
        <v>0</v>
      </c>
      <c r="H26" s="35" t="n">
        <f aca="false">IF(H25&gt;0,IF(H24&gt;0,H24*Tax_Rate,0),0)</f>
        <v>0</v>
      </c>
      <c r="I26" s="35" t="n">
        <f aca="false">IF(I25&gt;0,IF(I24&gt;0,I24*Tax_Rate,0),0)</f>
        <v>0</v>
      </c>
      <c r="J26" s="35" t="n">
        <f aca="false">IF(J25&gt;0,IF(J24&gt;0,J24*Tax_Rate,0),0)</f>
        <v>0</v>
      </c>
      <c r="K26" s="35" t="n">
        <f aca="false">IF(K25&gt;0,IF(K24&gt;0,K24*Tax_Rate,0),0)</f>
        <v>0</v>
      </c>
      <c r="L26" s="35" t="n">
        <f aca="false">IF(L25&gt;0,IF(L24&gt;0,L24*Tax_Rate,0),0)</f>
        <v>0</v>
      </c>
      <c r="M26" s="35" t="n">
        <f aca="false">IF(M25&gt;0,IF(M24&gt;0,M24*Tax_Rate,0),0)</f>
        <v>0</v>
      </c>
      <c r="N26" s="35" t="n">
        <f aca="false">IF(N25&gt;0,IF(N24&gt;0,N24*Tax_Rate,0),0)</f>
        <v>0</v>
      </c>
      <c r="O26" s="35" t="n">
        <f aca="false">IF(O25&gt;0,IF(O24&gt;0,O24*Tax_Rate,0),0)</f>
        <v>0</v>
      </c>
      <c r="P26" s="35" t="n">
        <f aca="false">IF(P25&gt;0,IF(P24&gt;0,P24*Tax_Rate,0),0)</f>
        <v>0</v>
      </c>
      <c r="Q26" s="35" t="n">
        <f aca="false">IF(Q25&gt;0,IF(Q24&gt;0,Q24*Tax_Rate,0),0)</f>
        <v>0</v>
      </c>
      <c r="R26" s="35" t="n">
        <f aca="false">IF(R25&gt;0,IF(R24&gt;0,R24*Tax_Rate,0),0)</f>
        <v>0</v>
      </c>
      <c r="S26" s="35" t="n">
        <f aca="false">IF(S25&gt;0,IF(S24&gt;0,S24*Tax_Rate,0),0)</f>
        <v>0</v>
      </c>
      <c r="T26" s="35" t="n">
        <f aca="false">IF(T25&gt;0,IF(T24&gt;0,T24*Tax_Rate,0),0)</f>
        <v>0</v>
      </c>
      <c r="U26" s="35" t="n">
        <f aca="false">IF(U25&gt;0,IF(U24&gt;0,U24*Tax_Rate,0),0)</f>
        <v>0</v>
      </c>
      <c r="V26" s="35" t="n">
        <f aca="false">IF(V25&gt;0,IF(V24&gt;0,V24*Tax_Rate,0),0)</f>
        <v>0</v>
      </c>
      <c r="W26" s="35" t="n">
        <f aca="false">IF(W25&gt;0,IF(W24&gt;0,W24*Tax_Rate,0),0)</f>
        <v>0</v>
      </c>
      <c r="X26" s="35" t="n">
        <f aca="false">IF(X25&gt;0,IF(X24&gt;0,X24*Tax_Rate,0),0)</f>
        <v>0</v>
      </c>
      <c r="Y26" s="35" t="n">
        <f aca="false">IF(Y25&gt;0,IF(Y24&gt;0,Y24*Tax_Rate,0),0)</f>
        <v>0</v>
      </c>
      <c r="Z26" s="35" t="n">
        <f aca="false">IF(Z25&gt;0,IF(Z24&gt;0,Z24*Tax_Rate,0),0)</f>
        <v>0</v>
      </c>
    </row>
    <row r="27" customFormat="false" ht="15" hidden="false" customHeight="false" outlineLevel="0" collapsed="false">
      <c r="A27" s="6"/>
      <c r="B27" s="31" t="s">
        <v>165</v>
      </c>
      <c r="C27" s="36" t="n">
        <f aca="false">C24-C26</f>
        <v>-208236.45625</v>
      </c>
      <c r="D27" s="36" t="n">
        <f aca="false">D24-D26</f>
        <v>-212227.5953125</v>
      </c>
      <c r="E27" s="36" t="n">
        <f aca="false">E24-E26</f>
        <v>-216339.605273125</v>
      </c>
      <c r="F27" s="36" t="n">
        <f aca="false">F24-F26</f>
        <v>-220574.388823137</v>
      </c>
      <c r="G27" s="36" t="n">
        <f aca="false">G24-G26</f>
        <v>-224933.725875938</v>
      </c>
      <c r="H27" s="36" t="n">
        <f aca="false">H24-H26</f>
        <v>-229419.255960535</v>
      </c>
      <c r="I27" s="36" t="n">
        <f aca="false">I24-I26</f>
        <v>-234032.459131197</v>
      </c>
      <c r="J27" s="36" t="n">
        <f aca="false">J24-J26</f>
        <v>-238774.635287345</v>
      </c>
      <c r="K27" s="36" t="n">
        <f aca="false">K24-K26</f>
        <v>-243646.881790773</v>
      </c>
      <c r="L27" s="36" t="n">
        <f aca="false">L24-L26</f>
        <v>-248650.069259859</v>
      </c>
      <c r="M27" s="36" t="n">
        <f aca="false">M24-M26</f>
        <v>-253784.815412593</v>
      </c>
      <c r="N27" s="36" t="n">
        <f aca="false">N24-N26</f>
        <v>-259051.456821854</v>
      </c>
      <c r="O27" s="36" t="n">
        <f aca="false">O24-O26</f>
        <v>-264450.018437529</v>
      </c>
      <c r="P27" s="36" t="n">
        <f aca="false">P24-P26</f>
        <v>-269980.180720595</v>
      </c>
      <c r="Q27" s="36" t="n">
        <f aca="false">Q24-Q26</f>
        <v>-275641.244224291</v>
      </c>
      <c r="R27" s="36" t="n">
        <f aca="false">R24-R26</f>
        <v>-281432.091446875</v>
      </c>
      <c r="S27" s="36" t="n">
        <f aca="false">S24-S26</f>
        <v>-287351.145769156</v>
      </c>
      <c r="T27" s="36" t="n">
        <f aca="false">T24-T26</f>
        <v>-293396.327277986</v>
      </c>
      <c r="U27" s="36" t="n">
        <f aca="false">U24-U26</f>
        <v>-299565.005264197</v>
      </c>
      <c r="V27" s="36" t="n">
        <f aca="false">V24-V26</f>
        <v>-305853.947169938</v>
      </c>
      <c r="W27" s="36" t="n">
        <f aca="false">W24-W26</f>
        <v>-312259.263745996</v>
      </c>
      <c r="X27" s="36" t="n">
        <f aca="false">X24-X26</f>
        <v>-318776.350164526</v>
      </c>
      <c r="Y27" s="36" t="n">
        <f aca="false">Y24-Y26</f>
        <v>-325399.822816371</v>
      </c>
      <c r="Z27" s="36" t="n">
        <f aca="false">Z24-Z26</f>
        <v>-332123.451505083</v>
      </c>
    </row>
    <row r="28" customFormat="false" ht="15" hidden="false" customHeight="false" outlineLevel="0" collapsed="false">
      <c r="A28" s="6"/>
      <c r="B28" s="33" t="s">
        <v>166</v>
      </c>
      <c r="C28" s="38" t="n">
        <f aca="false">IFERROR(C27/C9,0)</f>
        <v>-0.112261388600617</v>
      </c>
      <c r="D28" s="38" t="n">
        <f aca="false">IFERROR(D27/D9,0)</f>
        <v>-0.10877713789182</v>
      </c>
      <c r="E28" s="38" t="n">
        <f aca="false">IFERROR(E27/E9,0)</f>
        <v>-0.105422511361859</v>
      </c>
      <c r="F28" s="38" t="n">
        <f aca="false">IFERROR(F27/F9,0)</f>
        <v>-0.102191172393272</v>
      </c>
      <c r="G28" s="38" t="n">
        <f aca="false">IFERROR(G27/G9,0)</f>
        <v>-0.0990770960984932</v>
      </c>
      <c r="H28" s="38" t="n">
        <f aca="false">IFERROR(H27/H9,0)</f>
        <v>-0.0960745539952391</v>
      </c>
      <c r="I28" s="38" t="n">
        <f aca="false">IFERROR(I27/I9,0)</f>
        <v>-0.0931780994348327</v>
      </c>
      <c r="J28" s="38" t="n">
        <f aca="false">IFERROR(J27/J9,0)</f>
        <v>-0.0903825537464856</v>
      </c>
      <c r="K28" s="38" t="n">
        <f aca="false">IFERROR(K27/K9,0)</f>
        <v>-0.0876829930623855</v>
      </c>
      <c r="L28" s="38" t="n">
        <f aca="false">IFERROR(L27/L9,0)</f>
        <v>-0.0850747357901505</v>
      </c>
      <c r="M28" s="38" t="n">
        <f aca="false">IFERROR(M27/M9,0)</f>
        <v>-0.082553330700862</v>
      </c>
      <c r="N28" s="38" t="n">
        <f aca="false">IFERROR(N27/N9,0)</f>
        <v>-0.0801145456024409</v>
      </c>
      <c r="O28" s="38" t="n">
        <f aca="false">IFERROR(O27/O9,0)</f>
        <v>-0.0777543565696242</v>
      </c>
      <c r="P28" s="38" t="n">
        <f aca="false">IFERROR(P27/P9,0)</f>
        <v>-0.0754689377031994</v>
      </c>
      <c r="Q28" s="38" t="n">
        <f aca="false">IFERROR(Q27/Q9,0)</f>
        <v>-0.073254651392506</v>
      </c>
      <c r="R28" s="38" t="n">
        <f aca="false">IFERROR(R27/R9,0)</f>
        <v>-0.0711080390564832</v>
      </c>
      <c r="S28" s="38" t="n">
        <f aca="false">IFERROR(S27/S9,0)</f>
        <v>-0.0690258123397606</v>
      </c>
      <c r="T28" s="38" t="n">
        <f aca="false">IFERROR(T27/T9,0)</f>
        <v>-0.067004844741437</v>
      </c>
      <c r="U28" s="38" t="n">
        <f aca="false">IFERROR(U27/U9,0)</f>
        <v>-0.0650421636552962</v>
      </c>
      <c r="V28" s="38" t="n">
        <f aca="false">IFERROR(V27/V9,0)</f>
        <v>-0.0631349428012482</v>
      </c>
      <c r="W28" s="38" t="n">
        <f aca="false">IFERROR(W27/W9,0)</f>
        <v>-0.0612804950287763</v>
      </c>
      <c r="X28" s="38" t="n">
        <f aca="false">IFERROR(X27/X9,0)</f>
        <v>-0.0594762654741172</v>
      </c>
      <c r="Y28" s="38" t="n">
        <f aca="false">IFERROR(Y27/Y9,0)</f>
        <v>-0.0577198250537941</v>
      </c>
      <c r="Z28" s="38" t="n">
        <f aca="false">IFERROR(Z27/Z9,0)</f>
        <v>-0.0560088642779795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91</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167</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9" t="s">
        <v>167</v>
      </c>
      <c r="C9" s="35" t="n">
        <f aca="false">RB_Total_Revenue*DSO_Days/30</f>
        <v>123661.666666667</v>
      </c>
      <c r="D9" s="35" t="n">
        <f aca="false">RB_Total_Revenue*DSO_Days/30</f>
        <v>130068.75</v>
      </c>
      <c r="E9" s="35" t="n">
        <f aca="false">RB_Total_Revenue*DSO_Days/30</f>
        <v>136807.9755</v>
      </c>
      <c r="F9" s="35" t="n">
        <f aca="false">RB_Total_Revenue*DSO_Days/30</f>
        <v>143896.5706185</v>
      </c>
      <c r="G9" s="35" t="n">
        <f aca="false">RB_Total_Revenue*DSO_Days/30</f>
        <v>151352.656825502</v>
      </c>
      <c r="H9" s="35" t="n">
        <f aca="false">RB_Total_Revenue*DSO_Days/30</f>
        <v>159195.296028057</v>
      </c>
      <c r="I9" s="35" t="n">
        <f aca="false">RB_Total_Revenue*DSO_Days/30</f>
        <v>167444.539400503</v>
      </c>
      <c r="J9" s="35" t="n">
        <f aca="false">RB_Total_Revenue*DSO_Days/30</f>
        <v>176121.478751371</v>
      </c>
      <c r="K9" s="35" t="n">
        <f aca="false">RB_Total_Revenue*DSO_Days/30</f>
        <v>185248.300558826</v>
      </c>
      <c r="L9" s="35" t="n">
        <f aca="false">RB_Total_Revenue*DSO_Days/30</f>
        <v>194848.342813305</v>
      </c>
      <c r="M9" s="35" t="n">
        <f aca="false">RB_Total_Revenue*DSO_Days/30</f>
        <v>204946.154813305</v>
      </c>
      <c r="N9" s="35" t="n">
        <f aca="false">RB_Total_Revenue*DSO_Days/30</f>
        <v>215567.560067778</v>
      </c>
      <c r="O9" s="35" t="n">
        <f aca="false">RB_Total_Revenue*DSO_Days/30</f>
        <v>226739.722466638</v>
      </c>
      <c r="P9" s="35" t="n">
        <f aca="false">RB_Total_Revenue*DSO_Days/30</f>
        <v>238491.215889254</v>
      </c>
      <c r="Q9" s="35" t="n">
        <f aca="false">RB_Total_Revenue*DSO_Days/30</f>
        <v>250852.097429624</v>
      </c>
      <c r="R9" s="35" t="n">
        <f aca="false">RB_Total_Revenue*DSO_Days/30</f>
        <v>263853.984426267</v>
      </c>
      <c r="S9" s="35" t="n">
        <f aca="false">RB_Total_Revenue*DSO_Days/30</f>
        <v>277530.135494578</v>
      </c>
      <c r="T9" s="35" t="n">
        <f aca="false">RB_Total_Revenue*DSO_Days/30</f>
        <v>291915.535769753</v>
      </c>
      <c r="U9" s="35" t="n">
        <f aca="false">RB_Total_Revenue*DSO_Days/30</f>
        <v>307046.986579148</v>
      </c>
      <c r="V9" s="35" t="n">
        <f aca="false">RB_Total_Revenue*DSO_Days/30</f>
        <v>322963.199774363</v>
      </c>
      <c r="W9" s="35" t="n">
        <f aca="false">RB_Total_Revenue*DSO_Days/30</f>
        <v>339704.896965301</v>
      </c>
      <c r="X9" s="35" t="n">
        <f aca="false">RB_Total_Revenue*DSO_Days/30</f>
        <v>357314.913911052</v>
      </c>
      <c r="Y9" s="35" t="n">
        <f aca="false">RB_Total_Revenue*DSO_Days/30</f>
        <v>375838.310335721</v>
      </c>
      <c r="Z9" s="35" t="n">
        <f aca="false">RB_Total_Revenue*DSO_Days/30</f>
        <v>395322.485451243</v>
      </c>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6"/>
      <c r="B11" s="21" t="s">
        <v>168</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customFormat="false" ht="15" hidden="false" customHeight="false" outlineLevel="0" collapsed="false">
      <c r="A12" s="6"/>
      <c r="B12" s="9" t="s">
        <v>168</v>
      </c>
      <c r="C12" s="35" t="n">
        <f aca="false">(CR_Total_COGS)*DPO_Days/30</f>
        <v>392632.833333333</v>
      </c>
      <c r="D12" s="35" t="n">
        <f aca="false">(CR_Total_COGS)*DPO_Days/30</f>
        <v>412410.075</v>
      </c>
      <c r="E12" s="35" t="n">
        <f aca="false">(CR_Total_COGS)*DPO_Days/30</f>
        <v>433183.84095</v>
      </c>
      <c r="F12" s="35" t="n">
        <f aca="false">(CR_Total_COGS)*DPO_Days/30</f>
        <v>455004.360620775</v>
      </c>
      <c r="G12" s="35" t="n">
        <f aca="false">(CR_Total_COGS)*DPO_Days/30</f>
        <v>477924.396141264</v>
      </c>
      <c r="H12" s="35" t="n">
        <f aca="false">(CR_Total_COGS)*DPO_Days/30</f>
        <v>501999.370083159</v>
      </c>
      <c r="I12" s="35" t="n">
        <f aca="false">(CR_Total_COGS)*DPO_Days/30</f>
        <v>527287.499658495</v>
      </c>
      <c r="J12" s="35" t="n">
        <f aca="false">(CR_Total_COGS)*DPO_Days/30</f>
        <v>553849.937688968</v>
      </c>
      <c r="K12" s="35" t="n">
        <f aca="false">(CR_Total_COGS)*DPO_Days/30</f>
        <v>581750.920688842</v>
      </c>
      <c r="L12" s="35" t="n">
        <f aca="false">(CR_Total_COGS)*DPO_Days/30</f>
        <v>611057.924420534</v>
      </c>
      <c r="M12" s="35" t="n">
        <f aca="false">(CR_Total_COGS)*DPO_Days/30</f>
        <v>641841.827300128</v>
      </c>
      <c r="N12" s="35" t="n">
        <f aca="false">(CR_Total_COGS)*DPO_Days/30</f>
        <v>674177.08204911</v>
      </c>
      <c r="O12" s="35" t="n">
        <f aca="false">(CR_Total_COGS)*DPO_Days/30</f>
        <v>708141.896008622</v>
      </c>
      <c r="P12" s="35" t="n">
        <f aca="false">(CR_Total_COGS)*DPO_Days/30</f>
        <v>743818.420553587</v>
      </c>
      <c r="Q12" s="35" t="n">
        <f aca="false">(CR_Total_COGS)*DPO_Days/30</f>
        <v>781292.950066107</v>
      </c>
      <c r="R12" s="35" t="n">
        <f aca="false">(CR_Total_COGS)*DPO_Days/30</f>
        <v>820656.130950767</v>
      </c>
      <c r="S12" s="35" t="n">
        <f aca="false">(CR_Total_COGS)*DPO_Days/30</f>
        <v>862003.181198854</v>
      </c>
      <c r="T12" s="35" t="n">
        <f aca="false">(CR_Total_COGS)*DPO_Days/30</f>
        <v>905434.121034087</v>
      </c>
      <c r="U12" s="35" t="n">
        <f aca="false">(CR_Total_COGS)*DPO_Days/30</f>
        <v>951054.015199381</v>
      </c>
      <c r="V12" s="35" t="n">
        <f aca="false">(CR_Total_COGS)*DPO_Days/30</f>
        <v>998973.227472417</v>
      </c>
      <c r="W12" s="35" t="n">
        <f aca="false">(CR_Total_COGS)*DPO_Days/30</f>
        <v>1049307.68802748</v>
      </c>
      <c r="X12" s="35" t="n">
        <f aca="false">(CR_Total_COGS)*DPO_Days/30</f>
        <v>1102179.17429222</v>
      </c>
      <c r="Y12" s="35" t="n">
        <f aca="false">(CR_Total_COGS)*DPO_Days/30</f>
        <v>1157715.60598076</v>
      </c>
      <c r="Z12" s="35" t="n">
        <f aca="false">(CR_Total_COGS)*DPO_Days/30</f>
        <v>1216051.35501897</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21" t="s">
        <v>169</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6"/>
      <c r="B15" s="31" t="s">
        <v>169</v>
      </c>
      <c r="C15" s="37" t="n">
        <f aca="false">C9-C12</f>
        <v>-268971.166666667</v>
      </c>
      <c r="D15" s="37" t="n">
        <f aca="false">D9-D12</f>
        <v>-282341.325</v>
      </c>
      <c r="E15" s="37" t="n">
        <f aca="false">E9-E12</f>
        <v>-296375.86545</v>
      </c>
      <c r="F15" s="37" t="n">
        <f aca="false">F9-F12</f>
        <v>-311107.790002275</v>
      </c>
      <c r="G15" s="37" t="n">
        <f aca="false">G9-G12</f>
        <v>-326571.739315762</v>
      </c>
      <c r="H15" s="37" t="n">
        <f aca="false">H9-H12</f>
        <v>-342804.074055102</v>
      </c>
      <c r="I15" s="37" t="n">
        <f aca="false">I9-I12</f>
        <v>-359842.960257992</v>
      </c>
      <c r="J15" s="37" t="n">
        <f aca="false">J9-J12</f>
        <v>-377728.458937597</v>
      </c>
      <c r="K15" s="37" t="n">
        <f aca="false">K9-K12</f>
        <v>-396502.620130016</v>
      </c>
      <c r="L15" s="37" t="n">
        <f aca="false">L9-L12</f>
        <v>-416209.581607229</v>
      </c>
      <c r="M15" s="37" t="n">
        <f aca="false">M9-M12</f>
        <v>-436895.672486823</v>
      </c>
      <c r="N15" s="37" t="n">
        <f aca="false">N9-N12</f>
        <v>-458609.521981332</v>
      </c>
      <c r="O15" s="37" t="n">
        <f aca="false">O9-O12</f>
        <v>-481402.173541983</v>
      </c>
      <c r="P15" s="37" t="n">
        <f aca="false">P9-P12</f>
        <v>-505327.204664333</v>
      </c>
      <c r="Q15" s="37" t="n">
        <f aca="false">Q9-Q12</f>
        <v>-530440.852636482</v>
      </c>
      <c r="R15" s="37" t="n">
        <f aca="false">R9-R12</f>
        <v>-556802.1465245</v>
      </c>
      <c r="S15" s="37" t="n">
        <f aca="false">S9-S12</f>
        <v>-584473.045704276</v>
      </c>
      <c r="T15" s="37" t="n">
        <f aca="false">T9-T12</f>
        <v>-613518.585264333</v>
      </c>
      <c r="U15" s="37" t="n">
        <f aca="false">U9-U12</f>
        <v>-644007.028620232</v>
      </c>
      <c r="V15" s="37" t="n">
        <f aca="false">V9-V12</f>
        <v>-676010.027698054</v>
      </c>
      <c r="W15" s="37" t="n">
        <f aca="false">W9-W12</f>
        <v>-709602.79106218</v>
      </c>
      <c r="X15" s="37" t="n">
        <f aca="false">X9-X12</f>
        <v>-744864.260381169</v>
      </c>
      <c r="Y15" s="37" t="n">
        <f aca="false">Y9-Y12</f>
        <v>-781877.295645036</v>
      </c>
      <c r="Z15" s="37" t="n">
        <f aca="false">Z9-Z12</f>
        <v>-820728.869567731</v>
      </c>
    </row>
    <row r="16" customFormat="false" ht="15" hidden="false" customHeight="false" outlineLevel="0" collapsed="false">
      <c r="A16" s="6"/>
      <c r="B16" s="6"/>
      <c r="C16" s="6"/>
      <c r="D16" s="6"/>
      <c r="E16" s="6"/>
      <c r="F16" s="6"/>
      <c r="G16" s="6"/>
      <c r="H16" s="6"/>
      <c r="I16" s="6"/>
      <c r="J16" s="6"/>
      <c r="K16" s="6"/>
      <c r="L16" s="6"/>
      <c r="M16" s="6"/>
      <c r="N16" s="6"/>
      <c r="O16" s="6"/>
      <c r="P16" s="6"/>
      <c r="Q16" s="6"/>
      <c r="R16" s="6"/>
      <c r="S16" s="6"/>
      <c r="T16" s="6"/>
      <c r="U16" s="6"/>
      <c r="V16" s="6"/>
      <c r="W16" s="6"/>
      <c r="X16" s="6"/>
      <c r="Y16" s="6"/>
      <c r="Z16" s="6"/>
    </row>
    <row r="17" customFormat="false" ht="15" hidden="false" customHeight="false" outlineLevel="0" collapsed="false">
      <c r="A17" s="6"/>
      <c r="B17" s="33" t="s">
        <v>170</v>
      </c>
      <c r="C17" s="35" t="n">
        <f aca="false">0-C9</f>
        <v>-123661.666666667</v>
      </c>
      <c r="D17" s="35" t="n">
        <f aca="false">C9-D9</f>
        <v>-6407.08333333333</v>
      </c>
      <c r="E17" s="35" t="n">
        <f aca="false">D9-E9</f>
        <v>-6739.2255</v>
      </c>
      <c r="F17" s="35" t="n">
        <f aca="false">E9-F9</f>
        <v>-7088.5951185</v>
      </c>
      <c r="G17" s="35" t="n">
        <f aca="false">F9-G9</f>
        <v>-7456.08620700173</v>
      </c>
      <c r="H17" s="35" t="n">
        <f aca="false">G9-H9</f>
        <v>-7842.63920255532</v>
      </c>
      <c r="I17" s="35" t="n">
        <f aca="false">H9-I9</f>
        <v>-8249.24337244543</v>
      </c>
      <c r="J17" s="35" t="n">
        <f aca="false">I9-J9</f>
        <v>-8676.93935086881</v>
      </c>
      <c r="K17" s="35" t="n">
        <f aca="false">J9-K9</f>
        <v>-9126.8218074542</v>
      </c>
      <c r="L17" s="35" t="n">
        <f aca="false">K9-L9</f>
        <v>-9600.04225447963</v>
      </c>
      <c r="M17" s="35" t="n">
        <f aca="false">L9-M9</f>
        <v>-10097.8120000001</v>
      </c>
      <c r="N17" s="35" t="n">
        <f aca="false">M9-N9</f>
        <v>-10621.4052544727</v>
      </c>
      <c r="O17" s="35" t="n">
        <f aca="false">N9-O9</f>
        <v>-11172.1623988604</v>
      </c>
      <c r="P17" s="35" t="n">
        <f aca="false">O9-P9</f>
        <v>-11751.4934226152</v>
      </c>
      <c r="Q17" s="35" t="n">
        <f aca="false">P9-Q9</f>
        <v>-12360.8815403707</v>
      </c>
      <c r="R17" s="35" t="n">
        <f aca="false">Q9-R9</f>
        <v>-13001.8869966426</v>
      </c>
      <c r="S17" s="35" t="n">
        <f aca="false">R9-S9</f>
        <v>-13676.1510683114</v>
      </c>
      <c r="T17" s="35" t="n">
        <f aca="false">S9-T9</f>
        <v>-14385.4002751752</v>
      </c>
      <c r="U17" s="35" t="n">
        <f aca="false">T9-U9</f>
        <v>-15131.4508093949</v>
      </c>
      <c r="V17" s="35" t="n">
        <f aca="false">U9-V9</f>
        <v>-15916.213195215</v>
      </c>
      <c r="W17" s="35" t="n">
        <f aca="false">V9-W9</f>
        <v>-16741.6971909375</v>
      </c>
      <c r="X17" s="35" t="n">
        <f aca="false">W9-X9</f>
        <v>-17610.0169457512</v>
      </c>
      <c r="Y17" s="35" t="n">
        <f aca="false">X9-Y9</f>
        <v>-18523.396424669</v>
      </c>
      <c r="Z17" s="35" t="n">
        <f aca="false">Y9-Z9</f>
        <v>-19484.1751155222</v>
      </c>
    </row>
    <row r="18" customFormat="false" ht="15" hidden="false" customHeight="false" outlineLevel="0" collapsed="false">
      <c r="A18" s="6"/>
      <c r="B18" s="33" t="s">
        <v>171</v>
      </c>
      <c r="C18" s="35" t="n">
        <f aca="false">C12-0</f>
        <v>392632.833333333</v>
      </c>
      <c r="D18" s="35" t="n">
        <f aca="false">D12-C12</f>
        <v>19777.2416666667</v>
      </c>
      <c r="E18" s="35" t="n">
        <f aca="false">E12-D12</f>
        <v>20773.76595</v>
      </c>
      <c r="F18" s="35" t="n">
        <f aca="false">F12-E12</f>
        <v>21820.519670775</v>
      </c>
      <c r="G18" s="35" t="n">
        <f aca="false">G12-F12</f>
        <v>22920.0355204886</v>
      </c>
      <c r="H18" s="35" t="n">
        <f aca="false">H12-G12</f>
        <v>24074.9739418953</v>
      </c>
      <c r="I18" s="35" t="n">
        <f aca="false">I12-H12</f>
        <v>25288.1295753358</v>
      </c>
      <c r="J18" s="35" t="n">
        <f aca="false">J12-I12</f>
        <v>26562.4380304731</v>
      </c>
      <c r="K18" s="35" t="n">
        <f aca="false">K12-J12</f>
        <v>27900.982999874</v>
      </c>
      <c r="L18" s="35" t="n">
        <f aca="false">L12-K12</f>
        <v>29307.0037316921</v>
      </c>
      <c r="M18" s="35" t="n">
        <f aca="false">M12-L12</f>
        <v>30783.9028795942</v>
      </c>
      <c r="N18" s="35" t="n">
        <f aca="false">N12-M12</f>
        <v>32335.2547489813</v>
      </c>
      <c r="O18" s="35" t="n">
        <f aca="false">O12-N12</f>
        <v>33964.8139595122</v>
      </c>
      <c r="P18" s="35" t="n">
        <f aca="false">P12-O12</f>
        <v>35676.5245449652</v>
      </c>
      <c r="Q18" s="35" t="n">
        <f aca="false">Q12-P12</f>
        <v>37474.5295125196</v>
      </c>
      <c r="R18" s="35" t="n">
        <f aca="false">R12-Q12</f>
        <v>39363.18088466</v>
      </c>
      <c r="S18" s="35" t="n">
        <f aca="false">S12-R12</f>
        <v>41347.0502480873</v>
      </c>
      <c r="T18" s="35" t="n">
        <f aca="false">T12-S12</f>
        <v>43430.939835233</v>
      </c>
      <c r="U18" s="35" t="n">
        <f aca="false">U12-T12</f>
        <v>45619.8941652938</v>
      </c>
      <c r="V18" s="35" t="n">
        <f aca="false">V12-U12</f>
        <v>47919.2122730366</v>
      </c>
      <c r="W18" s="35" t="n">
        <f aca="false">W12-V12</f>
        <v>50334.4605550632</v>
      </c>
      <c r="X18" s="35" t="n">
        <f aca="false">X12-W12</f>
        <v>52871.4862647401</v>
      </c>
      <c r="Y18" s="35" t="n">
        <f aca="false">Y12-X12</f>
        <v>55536.4316885369</v>
      </c>
      <c r="Z18" s="35" t="n">
        <f aca="false">Z12-Y12</f>
        <v>58335.7490382164</v>
      </c>
    </row>
    <row r="19" customFormat="false" ht="15" hidden="false" customHeight="false" outlineLevel="0" collapsed="false">
      <c r="A19" s="6"/>
      <c r="B19" s="31" t="s">
        <v>172</v>
      </c>
      <c r="C19" s="37" t="n">
        <f aca="false">C17+C18</f>
        <v>268971.166666667</v>
      </c>
      <c r="D19" s="37" t="n">
        <f aca="false">D17+D18</f>
        <v>13370.1583333334</v>
      </c>
      <c r="E19" s="37" t="n">
        <f aca="false">E17+E18</f>
        <v>14034.54045</v>
      </c>
      <c r="F19" s="37" t="n">
        <f aca="false">F17+F18</f>
        <v>14731.924552275</v>
      </c>
      <c r="G19" s="37" t="n">
        <f aca="false">G17+G18</f>
        <v>15463.9493134868</v>
      </c>
      <c r="H19" s="37" t="n">
        <f aca="false">H17+H18</f>
        <v>16232.33473934</v>
      </c>
      <c r="I19" s="37" t="n">
        <f aca="false">I17+I18</f>
        <v>17038.8862028903</v>
      </c>
      <c r="J19" s="37" t="n">
        <f aca="false">J17+J18</f>
        <v>17885.4986796043</v>
      </c>
      <c r="K19" s="37" t="n">
        <f aca="false">K17+K18</f>
        <v>18774.1611924199</v>
      </c>
      <c r="L19" s="37" t="n">
        <f aca="false">L17+L18</f>
        <v>19706.9614772125</v>
      </c>
      <c r="M19" s="37" t="n">
        <f aca="false">M17+M18</f>
        <v>20686.0908795942</v>
      </c>
      <c r="N19" s="37" t="n">
        <f aca="false">N17+N18</f>
        <v>21713.8494945086</v>
      </c>
      <c r="O19" s="37" t="n">
        <f aca="false">O17+O18</f>
        <v>22792.6515606517</v>
      </c>
      <c r="P19" s="37" t="n">
        <f aca="false">P17+P18</f>
        <v>23925.03112235</v>
      </c>
      <c r="Q19" s="37" t="n">
        <f aca="false">Q17+Q18</f>
        <v>25113.6479721489</v>
      </c>
      <c r="R19" s="37" t="n">
        <f aca="false">R17+R18</f>
        <v>26361.2938880174</v>
      </c>
      <c r="S19" s="37" t="n">
        <f aca="false">S17+S18</f>
        <v>27670.8991797759</v>
      </c>
      <c r="T19" s="37" t="n">
        <f aca="false">T17+T18</f>
        <v>29045.5395600578</v>
      </c>
      <c r="U19" s="37" t="n">
        <f aca="false">U17+U18</f>
        <v>30488.4433558988</v>
      </c>
      <c r="V19" s="37" t="n">
        <f aca="false">V17+V18</f>
        <v>32002.9990778216</v>
      </c>
      <c r="W19" s="37" t="n">
        <f aca="false">W17+W18</f>
        <v>33592.7633641257</v>
      </c>
      <c r="X19" s="37" t="n">
        <f aca="false">X17+X18</f>
        <v>35261.469318989</v>
      </c>
      <c r="Y19" s="37" t="n">
        <f aca="false">Y17+Y18</f>
        <v>37013.0352638679</v>
      </c>
      <c r="Z19" s="37" t="n">
        <f aca="false">Z17+Z18</f>
        <v>38851.5739226943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173</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116</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28" t="s">
        <v>117</v>
      </c>
      <c r="C5" s="29" t="n">
        <f aca="false">DATE(Start_Year,Start_Month+0,1)</f>
        <v>46023</v>
      </c>
      <c r="D5" s="29" t="n">
        <f aca="false">DATE(Start_Year,Start_Month+1,1)</f>
        <v>46054</v>
      </c>
      <c r="E5" s="29" t="n">
        <f aca="false">DATE(Start_Year,Start_Month+2,1)</f>
        <v>46082</v>
      </c>
      <c r="F5" s="29" t="n">
        <f aca="false">DATE(Start_Year,Start_Month+3,1)</f>
        <v>46113</v>
      </c>
      <c r="G5" s="29" t="n">
        <f aca="false">DATE(Start_Year,Start_Month+4,1)</f>
        <v>46143</v>
      </c>
      <c r="H5" s="29" t="n">
        <f aca="false">DATE(Start_Year,Start_Month+5,1)</f>
        <v>46174</v>
      </c>
      <c r="I5" s="29" t="n">
        <f aca="false">DATE(Start_Year,Start_Month+6,1)</f>
        <v>46204</v>
      </c>
      <c r="J5" s="29" t="n">
        <f aca="false">DATE(Start_Year,Start_Month+7,1)</f>
        <v>46235</v>
      </c>
      <c r="K5" s="29" t="n">
        <f aca="false">DATE(Start_Year,Start_Month+8,1)</f>
        <v>46266</v>
      </c>
      <c r="L5" s="29" t="n">
        <f aca="false">DATE(Start_Year,Start_Month+9,1)</f>
        <v>46296</v>
      </c>
      <c r="M5" s="29" t="n">
        <f aca="false">DATE(Start_Year,Start_Month+10,1)</f>
        <v>46327</v>
      </c>
      <c r="N5" s="29" t="n">
        <f aca="false">DATE(Start_Year,Start_Month+11,1)</f>
        <v>46357</v>
      </c>
      <c r="O5" s="29" t="n">
        <f aca="false">DATE(Start_Year,Start_Month+12,1)</f>
        <v>46388</v>
      </c>
      <c r="P5" s="29" t="n">
        <f aca="false">DATE(Start_Year,Start_Month+13,1)</f>
        <v>46419</v>
      </c>
      <c r="Q5" s="29" t="n">
        <f aca="false">DATE(Start_Year,Start_Month+14,1)</f>
        <v>46447</v>
      </c>
      <c r="R5" s="29" t="n">
        <f aca="false">DATE(Start_Year,Start_Month+15,1)</f>
        <v>46478</v>
      </c>
      <c r="S5" s="29" t="n">
        <f aca="false">DATE(Start_Year,Start_Month+16,1)</f>
        <v>46508</v>
      </c>
      <c r="T5" s="29" t="n">
        <f aca="false">DATE(Start_Year,Start_Month+17,1)</f>
        <v>46539</v>
      </c>
      <c r="U5" s="29" t="n">
        <f aca="false">DATE(Start_Year,Start_Month+18,1)</f>
        <v>46569</v>
      </c>
      <c r="V5" s="29" t="n">
        <f aca="false">DATE(Start_Year,Start_Month+19,1)</f>
        <v>46600</v>
      </c>
      <c r="W5" s="29" t="n">
        <f aca="false">DATE(Start_Year,Start_Month+20,1)</f>
        <v>46631</v>
      </c>
      <c r="X5" s="29" t="n">
        <f aca="false">DATE(Start_Year,Start_Month+21,1)</f>
        <v>46661</v>
      </c>
      <c r="Y5" s="29" t="n">
        <f aca="false">DATE(Start_Year,Start_Month+22,1)</f>
        <v>46692</v>
      </c>
      <c r="Z5" s="29" t="n">
        <f aca="false">DATE(Start_Year,Start_Month+23,1)</f>
        <v>46722</v>
      </c>
    </row>
    <row r="6" customFormat="false" ht="15" hidden="false" customHeight="false" outlineLevel="0" collapsed="false">
      <c r="A6" s="6"/>
      <c r="B6" s="28" t="s">
        <v>118</v>
      </c>
      <c r="C6" s="30" t="n">
        <f aca="false">1</f>
        <v>1</v>
      </c>
      <c r="D6" s="30" t="n">
        <f aca="false">2</f>
        <v>2</v>
      </c>
      <c r="E6" s="30" t="n">
        <f aca="false">3</f>
        <v>3</v>
      </c>
      <c r="F6" s="30" t="n">
        <f aca="false">4</f>
        <v>4</v>
      </c>
      <c r="G6" s="30" t="n">
        <f aca="false">5</f>
        <v>5</v>
      </c>
      <c r="H6" s="30" t="n">
        <f aca="false">6</f>
        <v>6</v>
      </c>
      <c r="I6" s="30" t="n">
        <f aca="false">7</f>
        <v>7</v>
      </c>
      <c r="J6" s="30" t="n">
        <f aca="false">8</f>
        <v>8</v>
      </c>
      <c r="K6" s="30" t="n">
        <f aca="false">9</f>
        <v>9</v>
      </c>
      <c r="L6" s="30" t="n">
        <f aca="false">10</f>
        <v>10</v>
      </c>
      <c r="M6" s="30" t="n">
        <f aca="false">11</f>
        <v>11</v>
      </c>
      <c r="N6" s="30" t="n">
        <f aca="false">12</f>
        <v>12</v>
      </c>
      <c r="O6" s="30" t="n">
        <f aca="false">13</f>
        <v>13</v>
      </c>
      <c r="P6" s="30" t="n">
        <f aca="false">14</f>
        <v>14</v>
      </c>
      <c r="Q6" s="30" t="n">
        <f aca="false">15</f>
        <v>15</v>
      </c>
      <c r="R6" s="30" t="n">
        <f aca="false">16</f>
        <v>16</v>
      </c>
      <c r="S6" s="30" t="n">
        <f aca="false">17</f>
        <v>17</v>
      </c>
      <c r="T6" s="30" t="n">
        <f aca="false">18</f>
        <v>18</v>
      </c>
      <c r="U6" s="30" t="n">
        <f aca="false">19</f>
        <v>19</v>
      </c>
      <c r="V6" s="30" t="n">
        <f aca="false">20</f>
        <v>20</v>
      </c>
      <c r="W6" s="30" t="n">
        <f aca="false">21</f>
        <v>21</v>
      </c>
      <c r="X6" s="30" t="n">
        <f aca="false">22</f>
        <v>22</v>
      </c>
      <c r="Y6" s="30" t="n">
        <f aca="false">23</f>
        <v>23</v>
      </c>
      <c r="Z6" s="30" t="n">
        <f aca="false">24</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1" t="s">
        <v>174</v>
      </c>
      <c r="C8" s="22"/>
      <c r="D8" s="22"/>
      <c r="E8" s="22"/>
      <c r="F8" s="22"/>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6"/>
      <c r="B9" s="33" t="s">
        <v>175</v>
      </c>
      <c r="C9" s="35" t="n">
        <f aca="false">IS_Net_Income</f>
        <v>-208236.45625</v>
      </c>
      <c r="D9" s="35" t="n">
        <f aca="false">IS_Net_Income</f>
        <v>-212227.5953125</v>
      </c>
      <c r="E9" s="35" t="n">
        <f aca="false">IS_Net_Income</f>
        <v>-216339.605273125</v>
      </c>
      <c r="F9" s="35" t="n">
        <f aca="false">IS_Net_Income</f>
        <v>-220574.388823137</v>
      </c>
      <c r="G9" s="35" t="n">
        <f aca="false">IS_Net_Income</f>
        <v>-224933.725875938</v>
      </c>
      <c r="H9" s="35" t="n">
        <f aca="false">IS_Net_Income</f>
        <v>-229419.255960535</v>
      </c>
      <c r="I9" s="35" t="n">
        <f aca="false">IS_Net_Income</f>
        <v>-234032.459131197</v>
      </c>
      <c r="J9" s="35" t="n">
        <f aca="false">IS_Net_Income</f>
        <v>-238774.635287345</v>
      </c>
      <c r="K9" s="35" t="n">
        <f aca="false">IS_Net_Income</f>
        <v>-243646.881790773</v>
      </c>
      <c r="L9" s="35" t="n">
        <f aca="false">IS_Net_Income</f>
        <v>-248650.069259859</v>
      </c>
      <c r="M9" s="35" t="n">
        <f aca="false">IS_Net_Income</f>
        <v>-253784.815412593</v>
      </c>
      <c r="N9" s="35" t="n">
        <f aca="false">IS_Net_Income</f>
        <v>-259051.456821854</v>
      </c>
      <c r="O9" s="35" t="n">
        <f aca="false">IS_Net_Income</f>
        <v>-264450.018437529</v>
      </c>
      <c r="P9" s="35" t="n">
        <f aca="false">IS_Net_Income</f>
        <v>-269980.180720595</v>
      </c>
      <c r="Q9" s="35" t="n">
        <f aca="false">IS_Net_Income</f>
        <v>-275641.244224291</v>
      </c>
      <c r="R9" s="35" t="n">
        <f aca="false">IS_Net_Income</f>
        <v>-281432.091446875</v>
      </c>
      <c r="S9" s="35" t="n">
        <f aca="false">IS_Net_Income</f>
        <v>-287351.145769156</v>
      </c>
      <c r="T9" s="35" t="n">
        <f aca="false">IS_Net_Income</f>
        <v>-293396.327277986</v>
      </c>
      <c r="U9" s="35" t="n">
        <f aca="false">IS_Net_Income</f>
        <v>-299565.005264197</v>
      </c>
      <c r="V9" s="35" t="n">
        <f aca="false">IS_Net_Income</f>
        <v>-305853.947169938</v>
      </c>
      <c r="W9" s="35" t="n">
        <f aca="false">IS_Net_Income</f>
        <v>-312259.263745996</v>
      </c>
      <c r="X9" s="35" t="n">
        <f aca="false">IS_Net_Income</f>
        <v>-318776.350164526</v>
      </c>
      <c r="Y9" s="35" t="n">
        <f aca="false">IS_Net_Income</f>
        <v>-325399.822816371</v>
      </c>
      <c r="Z9" s="35" t="n">
        <f aca="false">IS_Net_Income</f>
        <v>-332123.451505083</v>
      </c>
    </row>
    <row r="10" customFormat="false" ht="15" hidden="false" customHeight="false" outlineLevel="0" collapsed="false">
      <c r="A10" s="6"/>
      <c r="B10" s="33" t="s">
        <v>161</v>
      </c>
      <c r="C10" s="35" t="n">
        <f aca="false">IS_DA</f>
        <v>-5101.04375</v>
      </c>
      <c r="D10" s="35" t="n">
        <f aca="false">IS_DA</f>
        <v>-10466.3796875</v>
      </c>
      <c r="E10" s="35" t="n">
        <f aca="false">IS_DA</f>
        <v>-16109.708676875</v>
      </c>
      <c r="F10" s="35" t="n">
        <f aca="false">IS_DA</f>
        <v>-22045.4422148881</v>
      </c>
      <c r="G10" s="35" t="n">
        <f aca="false">IS_DA</f>
        <v>-28288.7393089401</v>
      </c>
      <c r="H10" s="35" t="n">
        <f aca="false">IS_DA</f>
        <v>-34855.5452700974</v>
      </c>
      <c r="I10" s="35" t="n">
        <f aca="false">IS_DA</f>
        <v>-41762.6325203682</v>
      </c>
      <c r="J10" s="35" t="n">
        <f aca="false">IS_DA</f>
        <v>-49027.6435188622</v>
      </c>
      <c r="K10" s="35" t="n">
        <f aca="false">IS_DA</f>
        <v>-56669.1359169138</v>
      </c>
      <c r="L10" s="35" t="n">
        <f aca="false">IS_DA</f>
        <v>-64706.6300579626</v>
      </c>
      <c r="M10" s="35" t="n">
        <f aca="false">IS_DA</f>
        <v>-73160.6589440115</v>
      </c>
      <c r="N10" s="35" t="n">
        <f aca="false">IS_DA</f>
        <v>-82052.8207968073</v>
      </c>
      <c r="O10" s="35" t="n">
        <f aca="false">IS_DA</f>
        <v>-91405.8343485561</v>
      </c>
      <c r="P10" s="35" t="n">
        <f aca="false">IS_DA</f>
        <v>-101243.597003988</v>
      </c>
      <c r="Q10" s="35" t="n">
        <f aca="false">IS_DA</f>
        <v>-111591.24602296</v>
      </c>
      <c r="R10" s="35" t="n">
        <f aca="false">IS_DA</f>
        <v>-122475.222880543</v>
      </c>
      <c r="S10" s="35" t="n">
        <f aca="false">IS_DA</f>
        <v>-133923.340969695</v>
      </c>
      <c r="T10" s="35" t="n">
        <f aca="false">IS_DA</f>
        <v>-145964.856820197</v>
      </c>
      <c r="U10" s="35" t="n">
        <f aca="false">IS_DA</f>
        <v>-158630.545016587</v>
      </c>
      <c r="V10" s="35" t="n">
        <f aca="false">IS_DA</f>
        <v>-171952.777007279</v>
      </c>
      <c r="W10" s="35" t="n">
        <f aca="false">IS_DA</f>
        <v>-185965.604007098</v>
      </c>
      <c r="X10" s="35" t="n">
        <f aca="false">IS_DA</f>
        <v>-200704.844205929</v>
      </c>
      <c r="Y10" s="35" t="n">
        <f aca="false">IS_DA</f>
        <v>-216208.174507277</v>
      </c>
      <c r="Z10" s="35" t="n">
        <f aca="false">IS_DA</f>
        <v>-232515.227032141</v>
      </c>
    </row>
    <row r="11" customFormat="false" ht="15" hidden="false" customHeight="false" outlineLevel="0" collapsed="false">
      <c r="A11" s="6"/>
      <c r="B11" s="33" t="s">
        <v>159</v>
      </c>
      <c r="C11" s="35" t="n">
        <f aca="false">IS_SBC</f>
        <v>148394</v>
      </c>
      <c r="D11" s="35" t="n">
        <f aca="false">IS_SBC</f>
        <v>156082.5</v>
      </c>
      <c r="E11" s="35" t="n">
        <f aca="false">IS_SBC</f>
        <v>164169.5706</v>
      </c>
      <c r="F11" s="35" t="n">
        <f aca="false">IS_SBC</f>
        <v>172675.8847422</v>
      </c>
      <c r="G11" s="35" t="n">
        <f aca="false">IS_SBC</f>
        <v>181623.188190602</v>
      </c>
      <c r="H11" s="35" t="n">
        <f aca="false">IS_SBC</f>
        <v>191034.355233668</v>
      </c>
      <c r="I11" s="35" t="n">
        <f aca="false">IS_SBC</f>
        <v>200933.447280603</v>
      </c>
      <c r="J11" s="35" t="n">
        <f aca="false">IS_SBC</f>
        <v>211345.774501646</v>
      </c>
      <c r="K11" s="35" t="n">
        <f aca="false">IS_SBC</f>
        <v>222297.960670591</v>
      </c>
      <c r="L11" s="35" t="n">
        <f aca="false">IS_SBC</f>
        <v>233818.011375966</v>
      </c>
      <c r="M11" s="35" t="n">
        <f aca="false">IS_SBC</f>
        <v>245935.385775966</v>
      </c>
      <c r="N11" s="35" t="n">
        <f aca="false">IS_SBC</f>
        <v>258681.072081334</v>
      </c>
      <c r="O11" s="35" t="n">
        <f aca="false">IS_SBC</f>
        <v>272087.666959966</v>
      </c>
      <c r="P11" s="35" t="n">
        <f aca="false">IS_SBC</f>
        <v>286189.459067104</v>
      </c>
      <c r="Q11" s="35" t="n">
        <f aca="false">IS_SBC</f>
        <v>301022.516915549</v>
      </c>
      <c r="R11" s="35" t="n">
        <f aca="false">IS_SBC</f>
        <v>316624.78131152</v>
      </c>
      <c r="S11" s="35" t="n">
        <f aca="false">IS_SBC</f>
        <v>333036.162593494</v>
      </c>
      <c r="T11" s="35" t="n">
        <f aca="false">IS_SBC</f>
        <v>350298.642923704</v>
      </c>
      <c r="U11" s="35" t="n">
        <f aca="false">IS_SBC</f>
        <v>368456.383894978</v>
      </c>
      <c r="V11" s="35" t="n">
        <f aca="false">IS_SBC</f>
        <v>387555.839729236</v>
      </c>
      <c r="W11" s="35" t="n">
        <f aca="false">IS_SBC</f>
        <v>407645.876358361</v>
      </c>
      <c r="X11" s="35" t="n">
        <f aca="false">IS_SBC</f>
        <v>428777.896693262</v>
      </c>
      <c r="Y11" s="35" t="n">
        <f aca="false">IS_SBC</f>
        <v>451005.972402865</v>
      </c>
      <c r="Z11" s="35" t="n">
        <f aca="false">IS_SBC</f>
        <v>474386.982541492</v>
      </c>
    </row>
    <row r="12" customFormat="false" ht="15" hidden="false" customHeight="false" outlineLevel="0" collapsed="false">
      <c r="A12" s="6"/>
      <c r="B12" s="33" t="s">
        <v>170</v>
      </c>
      <c r="C12" s="35" t="n">
        <f aca="false">WC_Chg_AR</f>
        <v>-123661.666666667</v>
      </c>
      <c r="D12" s="35" t="n">
        <f aca="false">WC_Chg_AR</f>
        <v>-6407.08333333333</v>
      </c>
      <c r="E12" s="35" t="n">
        <f aca="false">WC_Chg_AR</f>
        <v>-6739.2255</v>
      </c>
      <c r="F12" s="35" t="n">
        <f aca="false">WC_Chg_AR</f>
        <v>-7088.5951185</v>
      </c>
      <c r="G12" s="35" t="n">
        <f aca="false">WC_Chg_AR</f>
        <v>-7456.08620700173</v>
      </c>
      <c r="H12" s="35" t="n">
        <f aca="false">WC_Chg_AR</f>
        <v>-7842.63920255532</v>
      </c>
      <c r="I12" s="35" t="n">
        <f aca="false">WC_Chg_AR</f>
        <v>-8249.24337244543</v>
      </c>
      <c r="J12" s="35" t="n">
        <f aca="false">WC_Chg_AR</f>
        <v>-8676.93935086881</v>
      </c>
      <c r="K12" s="35" t="n">
        <f aca="false">WC_Chg_AR</f>
        <v>-9126.8218074542</v>
      </c>
      <c r="L12" s="35" t="n">
        <f aca="false">WC_Chg_AR</f>
        <v>-9600.04225447963</v>
      </c>
      <c r="M12" s="35" t="n">
        <f aca="false">WC_Chg_AR</f>
        <v>-10097.8120000001</v>
      </c>
      <c r="N12" s="35" t="n">
        <f aca="false">WC_Chg_AR</f>
        <v>-10621.4052544727</v>
      </c>
      <c r="O12" s="35" t="n">
        <f aca="false">WC_Chg_AR</f>
        <v>-11172.1623988604</v>
      </c>
      <c r="P12" s="35" t="n">
        <f aca="false">WC_Chg_AR</f>
        <v>-11751.4934226152</v>
      </c>
      <c r="Q12" s="35" t="n">
        <f aca="false">WC_Chg_AR</f>
        <v>-12360.8815403707</v>
      </c>
      <c r="R12" s="35" t="n">
        <f aca="false">WC_Chg_AR</f>
        <v>-13001.8869966426</v>
      </c>
      <c r="S12" s="35" t="n">
        <f aca="false">WC_Chg_AR</f>
        <v>-13676.1510683114</v>
      </c>
      <c r="T12" s="35" t="n">
        <f aca="false">WC_Chg_AR</f>
        <v>-14385.4002751752</v>
      </c>
      <c r="U12" s="35" t="n">
        <f aca="false">WC_Chg_AR</f>
        <v>-15131.4508093949</v>
      </c>
      <c r="V12" s="35" t="n">
        <f aca="false">WC_Chg_AR</f>
        <v>-15916.213195215</v>
      </c>
      <c r="W12" s="35" t="n">
        <f aca="false">WC_Chg_AR</f>
        <v>-16741.6971909375</v>
      </c>
      <c r="X12" s="35" t="n">
        <f aca="false">WC_Chg_AR</f>
        <v>-17610.0169457512</v>
      </c>
      <c r="Y12" s="35" t="n">
        <f aca="false">WC_Chg_AR</f>
        <v>-18523.396424669</v>
      </c>
      <c r="Z12" s="35" t="n">
        <f aca="false">WC_Chg_AR</f>
        <v>-19484.1751155222</v>
      </c>
    </row>
    <row r="13" customFormat="false" ht="15" hidden="false" customHeight="false" outlineLevel="0" collapsed="false">
      <c r="A13" s="6"/>
      <c r="B13" s="33" t="s">
        <v>171</v>
      </c>
      <c r="C13" s="35" t="n">
        <f aca="false">WC_Chg_AP</f>
        <v>392632.833333333</v>
      </c>
      <c r="D13" s="35" t="n">
        <f aca="false">WC_Chg_AP</f>
        <v>19777.2416666667</v>
      </c>
      <c r="E13" s="35" t="n">
        <f aca="false">WC_Chg_AP</f>
        <v>20773.76595</v>
      </c>
      <c r="F13" s="35" t="n">
        <f aca="false">WC_Chg_AP</f>
        <v>21820.519670775</v>
      </c>
      <c r="G13" s="35" t="n">
        <f aca="false">WC_Chg_AP</f>
        <v>22920.0355204886</v>
      </c>
      <c r="H13" s="35" t="n">
        <f aca="false">WC_Chg_AP</f>
        <v>24074.9739418953</v>
      </c>
      <c r="I13" s="35" t="n">
        <f aca="false">WC_Chg_AP</f>
        <v>25288.1295753358</v>
      </c>
      <c r="J13" s="35" t="n">
        <f aca="false">WC_Chg_AP</f>
        <v>26562.4380304731</v>
      </c>
      <c r="K13" s="35" t="n">
        <f aca="false">WC_Chg_AP</f>
        <v>27900.982999874</v>
      </c>
      <c r="L13" s="35" t="n">
        <f aca="false">WC_Chg_AP</f>
        <v>29307.0037316921</v>
      </c>
      <c r="M13" s="35" t="n">
        <f aca="false">WC_Chg_AP</f>
        <v>30783.9028795942</v>
      </c>
      <c r="N13" s="35" t="n">
        <f aca="false">WC_Chg_AP</f>
        <v>32335.2547489813</v>
      </c>
      <c r="O13" s="35" t="n">
        <f aca="false">WC_Chg_AP</f>
        <v>33964.8139595122</v>
      </c>
      <c r="P13" s="35" t="n">
        <f aca="false">WC_Chg_AP</f>
        <v>35676.5245449652</v>
      </c>
      <c r="Q13" s="35" t="n">
        <f aca="false">WC_Chg_AP</f>
        <v>37474.5295125196</v>
      </c>
      <c r="R13" s="35" t="n">
        <f aca="false">WC_Chg_AP</f>
        <v>39363.18088466</v>
      </c>
      <c r="S13" s="35" t="n">
        <f aca="false">WC_Chg_AP</f>
        <v>41347.0502480873</v>
      </c>
      <c r="T13" s="35" t="n">
        <f aca="false">WC_Chg_AP</f>
        <v>43430.939835233</v>
      </c>
      <c r="U13" s="35" t="n">
        <f aca="false">WC_Chg_AP</f>
        <v>45619.8941652938</v>
      </c>
      <c r="V13" s="35" t="n">
        <f aca="false">WC_Chg_AP</f>
        <v>47919.2122730366</v>
      </c>
      <c r="W13" s="35" t="n">
        <f aca="false">WC_Chg_AP</f>
        <v>50334.4605550632</v>
      </c>
      <c r="X13" s="35" t="n">
        <f aca="false">WC_Chg_AP</f>
        <v>52871.4862647401</v>
      </c>
      <c r="Y13" s="35" t="n">
        <f aca="false">WC_Chg_AP</f>
        <v>55536.4316885369</v>
      </c>
      <c r="Z13" s="35" t="n">
        <f aca="false">WC_Chg_AP</f>
        <v>58335.7490382164</v>
      </c>
    </row>
    <row r="14" customFormat="false" ht="15" hidden="false" customHeight="false" outlineLevel="0" collapsed="false">
      <c r="A14" s="6"/>
      <c r="B14" s="31" t="s">
        <v>174</v>
      </c>
      <c r="C14" s="37" t="n">
        <f aca="false">C9+C10+C11+C12+C13</f>
        <v>204027.666666667</v>
      </c>
      <c r="D14" s="37" t="n">
        <f aca="false">D9+D10+D11+D12+D13</f>
        <v>-53241.3166666667</v>
      </c>
      <c r="E14" s="37" t="n">
        <f aca="false">E9+E10+E11+E12+E13</f>
        <v>-54245.2028999999</v>
      </c>
      <c r="F14" s="37" t="n">
        <f aca="false">F9+F10+F11+F12+F13</f>
        <v>-55212.0217435503</v>
      </c>
      <c r="G14" s="37" t="n">
        <f aca="false">G9+G10+G11+G12+G13</f>
        <v>-56135.3276807887</v>
      </c>
      <c r="H14" s="37" t="n">
        <f aca="false">H9+H10+H11+H12+H13</f>
        <v>-57008.1112576236</v>
      </c>
      <c r="I14" s="37" t="n">
        <f aca="false">I9+I10+I11+I12+I13</f>
        <v>-57822.7581680716</v>
      </c>
      <c r="J14" s="37" t="n">
        <f aca="false">J9+J10+J11+J12+J13</f>
        <v>-58571.0056249574</v>
      </c>
      <c r="K14" s="37" t="n">
        <f aca="false">K9+K10+K11+K12+K13</f>
        <v>-59243.8958446764</v>
      </c>
      <c r="L14" s="37" t="n">
        <f aca="false">L9+L10+L11+L12+L13</f>
        <v>-59831.7264646431</v>
      </c>
      <c r="M14" s="37" t="n">
        <f aca="false">M9+M10+M11+M12+M13</f>
        <v>-60323.9977010436</v>
      </c>
      <c r="N14" s="37" t="n">
        <f aca="false">N9+N10+N11+N12+N13</f>
        <v>-60709.3560428187</v>
      </c>
      <c r="O14" s="37" t="n">
        <f aca="false">O9+O10+O11+O12+O13</f>
        <v>-60975.5342654678</v>
      </c>
      <c r="P14" s="37" t="n">
        <f aca="false">P9+P10+P11+P12+P13</f>
        <v>-61109.2875351289</v>
      </c>
      <c r="Q14" s="37" t="n">
        <f aca="false">Q9+Q10+Q11+Q12+Q13</f>
        <v>-61096.3253595528</v>
      </c>
      <c r="R14" s="37" t="n">
        <f aca="false">R9+R10+R11+R12+R13</f>
        <v>-60921.239127881</v>
      </c>
      <c r="S14" s="37" t="n">
        <f aca="false">S9+S10+S11+S12+S13</f>
        <v>-60567.4249655813</v>
      </c>
      <c r="T14" s="37" t="n">
        <f aca="false">T9+T10+T11+T12+T13</f>
        <v>-60017.0016144212</v>
      </c>
      <c r="U14" s="37" t="n">
        <f aca="false">U9+U10+U11+U12+U13</f>
        <v>-59250.7230299073</v>
      </c>
      <c r="V14" s="37" t="n">
        <f aca="false">V9+V10+V11+V12+V13</f>
        <v>-58247.8853701594</v>
      </c>
      <c r="W14" s="37" t="n">
        <f aca="false">W9+W10+W11+W12+W13</f>
        <v>-56986.2280306073</v>
      </c>
      <c r="X14" s="37" t="n">
        <f aca="false">X9+X10+X11+X12+X13</f>
        <v>-55441.8283582037</v>
      </c>
      <c r="Y14" s="37" t="n">
        <f aca="false">Y9+Y10+Y11+Y12+Y13</f>
        <v>-53588.9896569154</v>
      </c>
      <c r="Z14" s="37" t="n">
        <f aca="false">Z9+Z10+Z11+Z12+Z13</f>
        <v>-51400.1220730383</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21" t="s">
        <v>176</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6"/>
      <c r="B17" s="33" t="s">
        <v>177</v>
      </c>
      <c r="C17" s="35" t="n">
        <f aca="false">-RB_Total_Revenue*CapEx_Pct</f>
        <v>-37098.5</v>
      </c>
      <c r="D17" s="35" t="n">
        <f aca="false">-RB_Total_Revenue*CapEx_Pct</f>
        <v>-39020.625</v>
      </c>
      <c r="E17" s="35" t="n">
        <f aca="false">-RB_Total_Revenue*CapEx_Pct</f>
        <v>-41042.39265</v>
      </c>
      <c r="F17" s="35" t="n">
        <f aca="false">-RB_Total_Revenue*CapEx_Pct</f>
        <v>-43168.97118555</v>
      </c>
      <c r="G17" s="35" t="n">
        <f aca="false">-RB_Total_Revenue*CapEx_Pct</f>
        <v>-45405.7970476505</v>
      </c>
      <c r="H17" s="35" t="n">
        <f aca="false">-RB_Total_Revenue*CapEx_Pct</f>
        <v>-47758.5888084171</v>
      </c>
      <c r="I17" s="35" t="n">
        <f aca="false">-RB_Total_Revenue*CapEx_Pct</f>
        <v>-50233.3618201508</v>
      </c>
      <c r="J17" s="35" t="n">
        <f aca="false">-RB_Total_Revenue*CapEx_Pct</f>
        <v>-52836.4436254114</v>
      </c>
      <c r="K17" s="35" t="n">
        <f aca="false">-RB_Total_Revenue*CapEx_Pct</f>
        <v>-55574.4901676477</v>
      </c>
      <c r="L17" s="35" t="n">
        <f aca="false">-RB_Total_Revenue*CapEx_Pct</f>
        <v>-58454.5028439915</v>
      </c>
      <c r="M17" s="35" t="n">
        <f aca="false">-RB_Total_Revenue*CapEx_Pct</f>
        <v>-61483.8464439916</v>
      </c>
      <c r="N17" s="35" t="n">
        <f aca="false">-RB_Total_Revenue*CapEx_Pct</f>
        <v>-64670.2680203334</v>
      </c>
      <c r="O17" s="35" t="n">
        <f aca="false">-RB_Total_Revenue*CapEx_Pct</f>
        <v>-68021.9167399915</v>
      </c>
      <c r="P17" s="35" t="n">
        <f aca="false">-RB_Total_Revenue*CapEx_Pct</f>
        <v>-71547.3647667761</v>
      </c>
      <c r="Q17" s="35" t="n">
        <f aca="false">-RB_Total_Revenue*CapEx_Pct</f>
        <v>-75255.6292288873</v>
      </c>
      <c r="R17" s="35" t="n">
        <f aca="false">-RB_Total_Revenue*CapEx_Pct</f>
        <v>-79156.1953278801</v>
      </c>
      <c r="S17" s="35" t="n">
        <f aca="false">-RB_Total_Revenue*CapEx_Pct</f>
        <v>-83259.0406483735</v>
      </c>
      <c r="T17" s="35" t="n">
        <f aca="false">-RB_Total_Revenue*CapEx_Pct</f>
        <v>-87574.660730926</v>
      </c>
      <c r="U17" s="35" t="n">
        <f aca="false">-RB_Total_Revenue*CapEx_Pct</f>
        <v>-92114.0959737445</v>
      </c>
      <c r="V17" s="35" t="n">
        <f aca="false">-RB_Total_Revenue*CapEx_Pct</f>
        <v>-96888.959932309</v>
      </c>
      <c r="W17" s="35" t="n">
        <f aca="false">-RB_Total_Revenue*CapEx_Pct</f>
        <v>-101911.46908959</v>
      </c>
      <c r="X17" s="35" t="n">
        <f aca="false">-RB_Total_Revenue*CapEx_Pct</f>
        <v>-107194.474173316</v>
      </c>
      <c r="Y17" s="35" t="n">
        <f aca="false">-RB_Total_Revenue*CapEx_Pct</f>
        <v>-112751.493100716</v>
      </c>
      <c r="Z17" s="35" t="n">
        <f aca="false">-RB_Total_Revenue*CapEx_Pct</f>
        <v>-118596.745635373</v>
      </c>
    </row>
    <row r="18" customFormat="false" ht="15" hidden="false" customHeight="false" outlineLevel="0" collapsed="false">
      <c r="A18" s="6"/>
      <c r="B18" s="31" t="s">
        <v>176</v>
      </c>
      <c r="C18" s="37" t="n">
        <f aca="false">C17</f>
        <v>-37098.5</v>
      </c>
      <c r="D18" s="37" t="n">
        <f aca="false">D17</f>
        <v>-39020.625</v>
      </c>
      <c r="E18" s="37" t="n">
        <f aca="false">E17</f>
        <v>-41042.39265</v>
      </c>
      <c r="F18" s="37" t="n">
        <f aca="false">F17</f>
        <v>-43168.97118555</v>
      </c>
      <c r="G18" s="37" t="n">
        <f aca="false">G17</f>
        <v>-45405.7970476505</v>
      </c>
      <c r="H18" s="37" t="n">
        <f aca="false">H17</f>
        <v>-47758.5888084171</v>
      </c>
      <c r="I18" s="37" t="n">
        <f aca="false">I17</f>
        <v>-50233.3618201508</v>
      </c>
      <c r="J18" s="37" t="n">
        <f aca="false">J17</f>
        <v>-52836.4436254114</v>
      </c>
      <c r="K18" s="37" t="n">
        <f aca="false">K17</f>
        <v>-55574.4901676477</v>
      </c>
      <c r="L18" s="37" t="n">
        <f aca="false">L17</f>
        <v>-58454.5028439915</v>
      </c>
      <c r="M18" s="37" t="n">
        <f aca="false">M17</f>
        <v>-61483.8464439916</v>
      </c>
      <c r="N18" s="37" t="n">
        <f aca="false">N17</f>
        <v>-64670.2680203334</v>
      </c>
      <c r="O18" s="37" t="n">
        <f aca="false">O17</f>
        <v>-68021.9167399915</v>
      </c>
      <c r="P18" s="37" t="n">
        <f aca="false">P17</f>
        <v>-71547.3647667761</v>
      </c>
      <c r="Q18" s="37" t="n">
        <f aca="false">Q17</f>
        <v>-75255.6292288873</v>
      </c>
      <c r="R18" s="37" t="n">
        <f aca="false">R17</f>
        <v>-79156.1953278801</v>
      </c>
      <c r="S18" s="37" t="n">
        <f aca="false">S17</f>
        <v>-83259.0406483735</v>
      </c>
      <c r="T18" s="37" t="n">
        <f aca="false">T17</f>
        <v>-87574.660730926</v>
      </c>
      <c r="U18" s="37" t="n">
        <f aca="false">U17</f>
        <v>-92114.0959737445</v>
      </c>
      <c r="V18" s="37" t="n">
        <f aca="false">V17</f>
        <v>-96888.959932309</v>
      </c>
      <c r="W18" s="37" t="n">
        <f aca="false">W17</f>
        <v>-101911.46908959</v>
      </c>
      <c r="X18" s="37" t="n">
        <f aca="false">X17</f>
        <v>-107194.474173316</v>
      </c>
      <c r="Y18" s="37" t="n">
        <f aca="false">Y17</f>
        <v>-112751.493100716</v>
      </c>
      <c r="Z18" s="37" t="n">
        <f aca="false">Z17</f>
        <v>-118596.745635373</v>
      </c>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row>
    <row r="20" customFormat="false" ht="15" hidden="false" customHeight="false" outlineLevel="0" collapsed="false">
      <c r="A20" s="6"/>
      <c r="B20" s="21" t="s">
        <v>178</v>
      </c>
      <c r="C20" s="22"/>
      <c r="D20" s="22"/>
      <c r="E20" s="22"/>
      <c r="F20" s="22"/>
      <c r="G20" s="22"/>
      <c r="H20" s="22"/>
      <c r="I20" s="22"/>
      <c r="J20" s="22"/>
      <c r="K20" s="22"/>
      <c r="L20" s="22"/>
      <c r="M20" s="22"/>
      <c r="N20" s="22"/>
      <c r="O20" s="22"/>
      <c r="P20" s="22"/>
      <c r="Q20" s="22"/>
      <c r="R20" s="22"/>
      <c r="S20" s="22"/>
      <c r="T20" s="22"/>
      <c r="U20" s="22"/>
      <c r="V20" s="22"/>
      <c r="W20" s="22"/>
      <c r="X20" s="22"/>
      <c r="Y20" s="22"/>
      <c r="Z20" s="22"/>
    </row>
    <row r="21" customFormat="false" ht="15" hidden="false" customHeight="false" outlineLevel="0" collapsed="false">
      <c r="A21" s="6"/>
      <c r="B21" s="33" t="s">
        <v>107</v>
      </c>
      <c r="C21" s="35" t="n">
        <f aca="false">IF(C5=DATE(Start_Year,Start_Month,1),Equity_Injection,0)</f>
        <v>5000000</v>
      </c>
      <c r="D21" s="35" t="n">
        <f aca="false">IF(D5=DATE(Start_Year,Start_Month,1),Equity_Injection,0)</f>
        <v>0</v>
      </c>
      <c r="E21" s="35" t="n">
        <f aca="false">IF(E5=DATE(Start_Year,Start_Month,1),Equity_Injection,0)</f>
        <v>0</v>
      </c>
      <c r="F21" s="35" t="n">
        <f aca="false">IF(F5=DATE(Start_Year,Start_Month,1),Equity_Injection,0)</f>
        <v>0</v>
      </c>
      <c r="G21" s="35" t="n">
        <f aca="false">IF(G5=DATE(Start_Year,Start_Month,1),Equity_Injection,0)</f>
        <v>0</v>
      </c>
      <c r="H21" s="35" t="n">
        <f aca="false">IF(H5=DATE(Start_Year,Start_Month,1),Equity_Injection,0)</f>
        <v>0</v>
      </c>
      <c r="I21" s="35" t="n">
        <f aca="false">IF(I5=DATE(Start_Year,Start_Month,1),Equity_Injection,0)</f>
        <v>0</v>
      </c>
      <c r="J21" s="35" t="n">
        <f aca="false">IF(J5=DATE(Start_Year,Start_Month,1),Equity_Injection,0)</f>
        <v>0</v>
      </c>
      <c r="K21" s="35" t="n">
        <f aca="false">IF(K5=DATE(Start_Year,Start_Month,1),Equity_Injection,0)</f>
        <v>0</v>
      </c>
      <c r="L21" s="35" t="n">
        <f aca="false">IF(L5=DATE(Start_Year,Start_Month,1),Equity_Injection,0)</f>
        <v>0</v>
      </c>
      <c r="M21" s="35" t="n">
        <f aca="false">IF(M5=DATE(Start_Year,Start_Month,1),Equity_Injection,0)</f>
        <v>0</v>
      </c>
      <c r="N21" s="35" t="n">
        <f aca="false">IF(N5=DATE(Start_Year,Start_Month,1),Equity_Injection,0)</f>
        <v>0</v>
      </c>
      <c r="O21" s="35" t="n">
        <f aca="false">IF(O5=DATE(Start_Year,Start_Month,1),Equity_Injection,0)</f>
        <v>0</v>
      </c>
      <c r="P21" s="35" t="n">
        <f aca="false">IF(P5=DATE(Start_Year,Start_Month,1),Equity_Injection,0)</f>
        <v>0</v>
      </c>
      <c r="Q21" s="35" t="n">
        <f aca="false">IF(Q5=DATE(Start_Year,Start_Month,1),Equity_Injection,0)</f>
        <v>0</v>
      </c>
      <c r="R21" s="35" t="n">
        <f aca="false">IF(R5=DATE(Start_Year,Start_Month,1),Equity_Injection,0)</f>
        <v>0</v>
      </c>
      <c r="S21" s="35" t="n">
        <f aca="false">IF(S5=DATE(Start_Year,Start_Month,1),Equity_Injection,0)</f>
        <v>0</v>
      </c>
      <c r="T21" s="35" t="n">
        <f aca="false">IF(T5=DATE(Start_Year,Start_Month,1),Equity_Injection,0)</f>
        <v>0</v>
      </c>
      <c r="U21" s="35" t="n">
        <f aca="false">IF(U5=DATE(Start_Year,Start_Month,1),Equity_Injection,0)</f>
        <v>0</v>
      </c>
      <c r="V21" s="35" t="n">
        <f aca="false">IF(V5=DATE(Start_Year,Start_Month,1),Equity_Injection,0)</f>
        <v>0</v>
      </c>
      <c r="W21" s="35" t="n">
        <f aca="false">IF(W5=DATE(Start_Year,Start_Month,1),Equity_Injection,0)</f>
        <v>0</v>
      </c>
      <c r="X21" s="35" t="n">
        <f aca="false">IF(X5=DATE(Start_Year,Start_Month,1),Equity_Injection,0)</f>
        <v>0</v>
      </c>
      <c r="Y21" s="35" t="n">
        <f aca="false">IF(Y5=DATE(Start_Year,Start_Month,1),Equity_Injection,0)</f>
        <v>0</v>
      </c>
      <c r="Z21" s="35" t="n">
        <f aca="false">IF(Z5=DATE(Start_Year,Start_Month,1),Equity_Injection,0)</f>
        <v>0</v>
      </c>
    </row>
    <row r="22" customFormat="false" ht="15" hidden="false" customHeight="false" outlineLevel="0" collapsed="false">
      <c r="A22" s="6"/>
      <c r="B22" s="31" t="s">
        <v>178</v>
      </c>
      <c r="C22" s="37" t="n">
        <f aca="false">C21</f>
        <v>5000000</v>
      </c>
      <c r="D22" s="37" t="n">
        <f aca="false">D21</f>
        <v>0</v>
      </c>
      <c r="E22" s="37" t="n">
        <f aca="false">E21</f>
        <v>0</v>
      </c>
      <c r="F22" s="37" t="n">
        <f aca="false">F21</f>
        <v>0</v>
      </c>
      <c r="G22" s="37" t="n">
        <f aca="false">G21</f>
        <v>0</v>
      </c>
      <c r="H22" s="37" t="n">
        <f aca="false">H21</f>
        <v>0</v>
      </c>
      <c r="I22" s="37" t="n">
        <f aca="false">I21</f>
        <v>0</v>
      </c>
      <c r="J22" s="37" t="n">
        <f aca="false">J21</f>
        <v>0</v>
      </c>
      <c r="K22" s="37" t="n">
        <f aca="false">K21</f>
        <v>0</v>
      </c>
      <c r="L22" s="37" t="n">
        <f aca="false">L21</f>
        <v>0</v>
      </c>
      <c r="M22" s="37" t="n">
        <f aca="false">M21</f>
        <v>0</v>
      </c>
      <c r="N22" s="37" t="n">
        <f aca="false">N21</f>
        <v>0</v>
      </c>
      <c r="O22" s="37" t="n">
        <f aca="false">O21</f>
        <v>0</v>
      </c>
      <c r="P22" s="37" t="n">
        <f aca="false">P21</f>
        <v>0</v>
      </c>
      <c r="Q22" s="37" t="n">
        <f aca="false">Q21</f>
        <v>0</v>
      </c>
      <c r="R22" s="37" t="n">
        <f aca="false">R21</f>
        <v>0</v>
      </c>
      <c r="S22" s="37" t="n">
        <f aca="false">S21</f>
        <v>0</v>
      </c>
      <c r="T22" s="37" t="n">
        <f aca="false">T21</f>
        <v>0</v>
      </c>
      <c r="U22" s="37" t="n">
        <f aca="false">U21</f>
        <v>0</v>
      </c>
      <c r="V22" s="37" t="n">
        <f aca="false">V21</f>
        <v>0</v>
      </c>
      <c r="W22" s="37" t="n">
        <f aca="false">W21</f>
        <v>0</v>
      </c>
      <c r="X22" s="37" t="n">
        <f aca="false">X21</f>
        <v>0</v>
      </c>
      <c r="Y22" s="37" t="n">
        <f aca="false">Y21</f>
        <v>0</v>
      </c>
      <c r="Z22" s="37" t="n">
        <f aca="false">Z21</f>
        <v>0</v>
      </c>
    </row>
    <row r="23" customFormat="false" ht="15" hidden="false" customHeight="fals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 hidden="false" customHeight="false" outlineLevel="0" collapsed="false">
      <c r="A24" s="6"/>
      <c r="B24" s="31" t="s">
        <v>179</v>
      </c>
      <c r="C24" s="36" t="n">
        <f aca="false">C14+C18+C22</f>
        <v>5166929.16666667</v>
      </c>
      <c r="D24" s="36" t="n">
        <f aca="false">D14+D18+D22</f>
        <v>-92261.9416666667</v>
      </c>
      <c r="E24" s="36" t="n">
        <f aca="false">E14+E18+E22</f>
        <v>-95287.5955499999</v>
      </c>
      <c r="F24" s="36" t="n">
        <f aca="false">F14+F18+F22</f>
        <v>-98380.9929291003</v>
      </c>
      <c r="G24" s="36" t="n">
        <f aca="false">G14+G18+G22</f>
        <v>-101541.124728439</v>
      </c>
      <c r="H24" s="36" t="n">
        <f aca="false">H14+H18+H22</f>
        <v>-104766.700066041</v>
      </c>
      <c r="I24" s="36" t="n">
        <f aca="false">I14+I18+I22</f>
        <v>-108056.119988222</v>
      </c>
      <c r="J24" s="36" t="n">
        <f aca="false">J14+J18+J22</f>
        <v>-111407.449250369</v>
      </c>
      <c r="K24" s="36" t="n">
        <f aca="false">K14+K18+K22</f>
        <v>-114818.386012324</v>
      </c>
      <c r="L24" s="36" t="n">
        <f aca="false">L14+L18+L22</f>
        <v>-118286.229308635</v>
      </c>
      <c r="M24" s="36" t="n">
        <f aca="false">M14+M18+M22</f>
        <v>-121807.844145035</v>
      </c>
      <c r="N24" s="36" t="n">
        <f aca="false">N14+N18+N22</f>
        <v>-125379.624063152</v>
      </c>
      <c r="O24" s="36" t="n">
        <f aca="false">O14+O18+O22</f>
        <v>-128997.451005459</v>
      </c>
      <c r="P24" s="36" t="n">
        <f aca="false">P14+P18+P22</f>
        <v>-132656.652301905</v>
      </c>
      <c r="Q24" s="36" t="n">
        <f aca="false">Q14+Q18+Q22</f>
        <v>-136351.95458844</v>
      </c>
      <c r="R24" s="36" t="n">
        <f aca="false">R14+R18+R22</f>
        <v>-140077.434455761</v>
      </c>
      <c r="S24" s="36" t="n">
        <f aca="false">S14+S18+S22</f>
        <v>-143826.465613955</v>
      </c>
      <c r="T24" s="36" t="n">
        <f aca="false">T14+T18+T22</f>
        <v>-147591.662345347</v>
      </c>
      <c r="U24" s="36" t="n">
        <f aca="false">U14+U18+U22</f>
        <v>-151364.819003652</v>
      </c>
      <c r="V24" s="36" t="n">
        <f aca="false">V14+V18+V22</f>
        <v>-155136.845302468</v>
      </c>
      <c r="W24" s="36" t="n">
        <f aca="false">W14+W18+W22</f>
        <v>-158897.697120198</v>
      </c>
      <c r="X24" s="36" t="n">
        <f aca="false">X14+X18+X22</f>
        <v>-162636.302531519</v>
      </c>
      <c r="Y24" s="36" t="n">
        <f aca="false">Y14+Y18+Y22</f>
        <v>-166340.482757632</v>
      </c>
      <c r="Z24" s="36" t="n">
        <f aca="false">Z14+Z18+Z22</f>
        <v>-169996.867708411</v>
      </c>
    </row>
    <row r="25" customFormat="false" ht="15" hidden="false" customHeight="false" outlineLevel="0" collapsed="false">
      <c r="A25" s="6"/>
      <c r="B25" s="33" t="s">
        <v>180</v>
      </c>
      <c r="C25" s="35" t="n">
        <f aca="false">Starting_Cash</f>
        <v>20000000</v>
      </c>
      <c r="D25" s="35" t="n">
        <f aca="false">C26</f>
        <v>25166929.1666667</v>
      </c>
      <c r="E25" s="35" t="n">
        <f aca="false">D26</f>
        <v>25074667.225</v>
      </c>
      <c r="F25" s="35" t="n">
        <f aca="false">E26</f>
        <v>24979379.62945</v>
      </c>
      <c r="G25" s="35" t="n">
        <f aca="false">F26</f>
        <v>24880998.6365209</v>
      </c>
      <c r="H25" s="35" t="n">
        <f aca="false">G26</f>
        <v>24779457.5117925</v>
      </c>
      <c r="I25" s="35" t="n">
        <f aca="false">H26</f>
        <v>24674690.8117264</v>
      </c>
      <c r="J25" s="35" t="n">
        <f aca="false">I26</f>
        <v>24566634.6917382</v>
      </c>
      <c r="K25" s="35" t="n">
        <f aca="false">J26</f>
        <v>24455227.2424878</v>
      </c>
      <c r="L25" s="35" t="n">
        <f aca="false">K26</f>
        <v>24340408.8564755</v>
      </c>
      <c r="M25" s="35" t="n">
        <f aca="false">L26</f>
        <v>24222122.6271669</v>
      </c>
      <c r="N25" s="35" t="n">
        <f aca="false">M26</f>
        <v>24100314.7830218</v>
      </c>
      <c r="O25" s="35" t="n">
        <f aca="false">N26</f>
        <v>23974935.1589587</v>
      </c>
      <c r="P25" s="35" t="n">
        <f aca="false">O26</f>
        <v>23845937.7079532</v>
      </c>
      <c r="Q25" s="35" t="n">
        <f aca="false">P26</f>
        <v>23713281.0556513</v>
      </c>
      <c r="R25" s="35" t="n">
        <f aca="false">Q26</f>
        <v>23576929.1010629</v>
      </c>
      <c r="S25" s="35" t="n">
        <f aca="false">R26</f>
        <v>23436851.6666071</v>
      </c>
      <c r="T25" s="35" t="n">
        <f aca="false">S26</f>
        <v>23293025.2009932</v>
      </c>
      <c r="U25" s="35" t="n">
        <f aca="false">T26</f>
        <v>23145433.5386478</v>
      </c>
      <c r="V25" s="35" t="n">
        <f aca="false">U26</f>
        <v>22994068.7196442</v>
      </c>
      <c r="W25" s="35" t="n">
        <f aca="false">V26</f>
        <v>22838931.8743417</v>
      </c>
      <c r="X25" s="35" t="n">
        <f aca="false">W26</f>
        <v>22680034.1772215</v>
      </c>
      <c r="Y25" s="35" t="n">
        <f aca="false">X26</f>
        <v>22517397.87469</v>
      </c>
      <c r="Z25" s="35" t="n">
        <f aca="false">Y26</f>
        <v>22351057.3919324</v>
      </c>
    </row>
    <row r="26" customFormat="false" ht="15" hidden="false" customHeight="false" outlineLevel="0" collapsed="false">
      <c r="A26" s="6"/>
      <c r="B26" s="31" t="s">
        <v>181</v>
      </c>
      <c r="C26" s="37" t="n">
        <f aca="false">C25+C24</f>
        <v>25166929.1666667</v>
      </c>
      <c r="D26" s="37" t="n">
        <f aca="false">D25+D24</f>
        <v>25074667.225</v>
      </c>
      <c r="E26" s="37" t="n">
        <f aca="false">E25+E24</f>
        <v>24979379.62945</v>
      </c>
      <c r="F26" s="37" t="n">
        <f aca="false">F25+F24</f>
        <v>24880998.6365209</v>
      </c>
      <c r="G26" s="37" t="n">
        <f aca="false">G25+G24</f>
        <v>24779457.5117925</v>
      </c>
      <c r="H26" s="37" t="n">
        <f aca="false">H25+H24</f>
        <v>24674690.8117264</v>
      </c>
      <c r="I26" s="37" t="n">
        <f aca="false">I25+I24</f>
        <v>24566634.6917382</v>
      </c>
      <c r="J26" s="37" t="n">
        <f aca="false">J25+J24</f>
        <v>24455227.2424878</v>
      </c>
      <c r="K26" s="37" t="n">
        <f aca="false">K25+K24</f>
        <v>24340408.8564755</v>
      </c>
      <c r="L26" s="37" t="n">
        <f aca="false">L25+L24</f>
        <v>24222122.6271669</v>
      </c>
      <c r="M26" s="37" t="n">
        <f aca="false">M25+M24</f>
        <v>24100314.7830218</v>
      </c>
      <c r="N26" s="37" t="n">
        <f aca="false">N25+N24</f>
        <v>23974935.1589587</v>
      </c>
      <c r="O26" s="37" t="n">
        <f aca="false">O25+O24</f>
        <v>23845937.7079532</v>
      </c>
      <c r="P26" s="37" t="n">
        <f aca="false">P25+P24</f>
        <v>23713281.0556513</v>
      </c>
      <c r="Q26" s="37" t="n">
        <f aca="false">Q25+Q24</f>
        <v>23576929.1010629</v>
      </c>
      <c r="R26" s="37" t="n">
        <f aca="false">R25+R24</f>
        <v>23436851.6666071</v>
      </c>
      <c r="S26" s="37" t="n">
        <f aca="false">S25+S24</f>
        <v>23293025.2009932</v>
      </c>
      <c r="T26" s="37" t="n">
        <f aca="false">T25+T24</f>
        <v>23145433.5386478</v>
      </c>
      <c r="U26" s="37" t="n">
        <f aca="false">U25+U24</f>
        <v>22994068.7196442</v>
      </c>
      <c r="V26" s="37" t="n">
        <f aca="false">V25+V24</f>
        <v>22838931.8743417</v>
      </c>
      <c r="W26" s="37" t="n">
        <f aca="false">W25+W24</f>
        <v>22680034.1772215</v>
      </c>
      <c r="X26" s="37" t="n">
        <f aca="false">X25+X24</f>
        <v>22517397.87469</v>
      </c>
      <c r="Y26" s="37" t="n">
        <f aca="false">Y25+Y24</f>
        <v>22351057.3919324</v>
      </c>
      <c r="Z26" s="37" t="n">
        <f aca="false">Z25+Z24</f>
        <v>22181060.5242239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2026-05-15T18:53:14Z</dcterms:created>
  <dc:creator>openpyxl</dc:creator>
  <dc:description/>
  <dc:language>en-GB</dc:language>
  <cp:lastModifiedBy/>
  <dcterms:modified xsi:type="dcterms:W3CDTF">2026-05-15T18:53:14Z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