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Revenue_Build" sheetId="3" state="visible" r:id="rId5"/>
    <sheet name="Capex_Depreciation" sheetId="4" state="visible" r:id="rId6"/>
    <sheet name="COGS_Opex" sheetId="5" state="visible" r:id="rId7"/>
    <sheet name="Working_Capital" sheetId="6" state="visible" r:id="rId8"/>
    <sheet name="Debt_Schedule" sheetId="7" state="visible" r:id="rId9"/>
    <sheet name="Income_Statement" sheetId="8" state="visible" r:id="rId10"/>
    <sheet name="Cash_Flow" sheetId="9" state="visible" r:id="rId11"/>
    <sheet name="Balance_Sheet" sheetId="10" state="visible" r:id="rId12"/>
    <sheet name="Checks" sheetId="11" state="visible" r:id="rId13"/>
    <sheet name="Disclaimer" sheetId="12" state="visible" r:id="rId14"/>
  </sheets>
  <definedNames>
    <definedName function="false" hidden="false" name="ASM_Accum_Depr_D0" vbProcedure="false">Assumptions!$C$42</definedName>
    <definedName function="false" hidden="false" name="ASM_Bldg_Gross" vbProcedure="false">Assumptions!$C$38</definedName>
    <definedName function="false" hidden="false" name="ASM_Bldg_Life" vbProcedure="false">Assumptions!$C$40</definedName>
    <definedName function="false" hidden="false" name="ASM_Branded_Esc" vbProcedure="false">Assumptions!$C$14</definedName>
    <definedName function="false" hidden="false" name="ASM_Branded_Price" vbProcedure="false">Assumptions!$C$13</definedName>
    <definedName function="false" hidden="false" name="ASM_Branded_Split" vbProcedure="false">Assumptions!$C$12</definedName>
    <definedName function="false" hidden="false" name="ASM_Cap_Per_Line" vbProcedure="false">Assumptions!$C$8</definedName>
    <definedName function="false" hidden="false" name="ASM_Cash_D0" vbProcedure="false">Assumptions!$C$49</definedName>
    <definedName function="false" hidden="false" name="ASM_CoP_Esc" vbProcedure="false">Assumptions!$C$16</definedName>
    <definedName function="false" hidden="false" name="ASM_CoP_Price" vbProcedure="false">Assumptions!$C$15</definedName>
    <definedName function="false" hidden="false" name="ASM_DIO" vbProcedure="false">Assumptions!$C$32</definedName>
    <definedName function="false" hidden="false" name="ASM_DL_Pct" vbProcedure="false">Assumptions!$C$21</definedName>
    <definedName function="false" hidden="false" name="ASM_DPO" vbProcedure="false">Assumptions!$C$33</definedName>
    <definedName function="false" hidden="false" name="ASM_DSO" vbProcedure="false">Assumptions!$C$31</definedName>
    <definedName function="false" hidden="false" name="ASM_Equip_Gross" vbProcedure="false">Assumptions!$C$39</definedName>
    <definedName function="false" hidden="false" name="ASM_Equip_Life" vbProcedure="false">Assumptions!$C$41</definedName>
    <definedName function="false" hidden="false" name="ASM_Freight_Pct" vbProcedure="false">Assumptions!$C$27</definedName>
    <definedName function="false" hidden="false" name="ASM_Growth_Capex" vbProcedure="false">Assumptions!$C$36</definedName>
    <definedName function="false" hidden="false" name="ASM_Insurance_Esc" vbProcedure="false">Assumptions!$C$26</definedName>
    <definedName function="false" hidden="false" name="ASM_Insurance_Y1" vbProcedure="false">Assumptions!$C$25</definedName>
    <definedName function="false" hidden="false" name="ASM_Interest_Rate" vbProcedure="false">Assumptions!$C$46</definedName>
    <definedName function="false" hidden="false" name="ASM_Lines" vbProcedure="false">Assumptions!$C$7</definedName>
    <definedName function="false" hidden="false" name="ASM_Loan_Opening" vbProcedure="false">Assumptions!$C$44</definedName>
    <definedName function="false" hidden="false" name="ASM_Loan_Tenor" vbProcedure="false">Assumptions!$C$45</definedName>
    <definedName function="false" hidden="false" name="ASM_Maint_Capex_Pct" vbProcedure="false">Assumptions!$C$35</definedName>
    <definedName function="false" hidden="false" name="ASM_MFGOH_Pct" vbProcedure="false">Assumptions!$C$22</definedName>
    <definedName function="false" hidden="false" name="ASM_Pkg_Pct" vbProcedure="false">Assumptions!$C$20</definedName>
    <definedName function="false" hidden="false" name="ASM_RM_Pct" vbProcedure="false">Assumptions!$C$19</definedName>
    <definedName function="false" hidden="false" name="ASM_SGA_Pct" vbProcedure="false">Assumptions!$C$24</definedName>
    <definedName function="false" hidden="false" name="ASM_Share_Capital" vbProcedure="false">Assumptions!$C$48</definedName>
    <definedName function="false" hidden="false" name="ASM_Tax_Rate" vbProcedure="false">Assumptions!$C$29</definedName>
    <definedName function="false" hidden="false" name="ASM_Trade_Spend" vbProcedure="false">Assumptions!$C$17</definedName>
    <definedName function="false" hidden="false" name="ASM_Util_Cap" vbProcedure="false">Assumptions!$C$11</definedName>
    <definedName function="false" hidden="false" name="ASM_Util_Step" vbProcedure="false">Assumptions!$C$10</definedName>
    <definedName function="false" hidden="false" name="ASM_Util_Y1" vbProcedure="false">Assumptions!$C$9</definedName>
    <definedName function="false" hidden="false" name="BS_AP" vbProcedure="false">Balance_Sheet!$D$14</definedName>
    <definedName function="false" hidden="false" name="BS_AR" vbProcedure="false">Balance_Sheet!$D$6</definedName>
    <definedName function="false" hidden="false" name="BS_Cash" vbProcedure="false">Balance_Sheet!$D$5</definedName>
    <definedName function="false" hidden="false" name="BS_CPLTD" vbProcedure="false">Balance_Sheet!$D$15</definedName>
    <definedName function="false" hidden="false" name="BS_Inv" vbProcedure="false">Balance_Sheet!$D$7</definedName>
    <definedName function="false" hidden="false" name="BS_LTD" vbProcedure="false">Balance_Sheet!$D$18</definedName>
    <definedName function="false" hidden="false" name="BS_Net_PPE" vbProcedure="false">Balance_Sheet!$D$10</definedName>
    <definedName function="false" hidden="false" name="BS_Open_RE" vbProcedure="false">Balance_Sheet!$C$23</definedName>
    <definedName function="false" hidden="false" name="BS_Total_Assets" vbProcedure="false">Balance_Sheet!$D$12</definedName>
    <definedName function="false" hidden="false" name="BS_Total_Assets_D0" vbProcedure="false">Balance_Sheet!$C$12</definedName>
    <definedName function="false" hidden="false" name="BS_Total_Equity" vbProcedure="false">Balance_Sheet!$D$25</definedName>
    <definedName function="false" hidden="false" name="BS_Total_LE" vbProcedure="false">Balance_Sheet!$D$27</definedName>
    <definedName function="false" hidden="false" name="BS_Total_LE_D0" vbProcedure="false">Balance_Sheet!$C$27</definedName>
    <definedName function="false" hidden="false" name="BS_Total_Liab" vbProcedure="false">Balance_Sheet!$D$20</definedName>
    <definedName function="false" hidden="false" name="CD_Accum_Depr_Close" vbProcedure="false">Capex_Depreciation!$C$17</definedName>
    <definedName function="false" hidden="false" name="CD_Annual_Depr" vbProcedure="false">Capex_Depreciation!$C$8</definedName>
    <definedName function="false" hidden="false" name="CD_Gross_PPE_Close" vbProcedure="false">Capex_Depreciation!$C$13</definedName>
    <definedName function="false" hidden="false" name="CD_Growth_Capex" vbProcedure="false">Capex_Depreciation!$C$12</definedName>
    <definedName function="false" hidden="false" name="CD_Maint_Capex" vbProcedure="false">Capex_Depreciation!$C$11</definedName>
    <definedName function="false" hidden="false" name="CD_Net_PPE" vbProcedure="false">Capex_Depreciation!$C$19</definedName>
    <definedName function="false" hidden="false" name="CF_Closing_Cash" vbProcedure="false">Cash_Flow!$C$22</definedName>
    <definedName function="false" hidden="false" name="CF_OCF" vbProcedure="false">Cash_Flow!$C$11</definedName>
    <definedName function="false" hidden="false" name="CO_Depr" vbProcedure="false">COGS_Opex!$C$22</definedName>
    <definedName function="false" hidden="false" name="CO_EBIT" vbProcedure="false">COGS_Opex!$C$23</definedName>
    <definedName function="false" hidden="false" name="CO_EBITDA" vbProcedure="false">COGS_Opex!$C$21</definedName>
    <definedName function="false" hidden="false" name="CO_GM_Pct" vbProcedure="false">COGS_Opex!$C$14</definedName>
    <definedName function="false" hidden="false" name="CO_Gross_Profit" vbProcedure="false">COGS_Opex!$C$13</definedName>
    <definedName function="false" hidden="false" name="CO_Net_Rev" vbProcedure="false">COGS_Opex!$C$5</definedName>
    <definedName function="false" hidden="false" name="CO_Total_COGS" vbProcedure="false">COGS_Opex!$C$11</definedName>
    <definedName function="false" hidden="false" name="DS_Annual_Repay" vbProcedure="false">Debt_Schedule!$C$5</definedName>
    <definedName function="false" hidden="false" name="DS_CPLTD" vbProcedure="false">Debt_Schedule!$C$13</definedName>
    <definedName function="false" hidden="false" name="DS_Interest" vbProcedure="false">Debt_Schedule!$C$11</definedName>
    <definedName function="false" hidden="false" name="DS_Loan_Close" vbProcedure="false">Debt_Schedule!$C$9</definedName>
    <definedName function="false" hidden="false" name="DS_Loan_Open" vbProcedure="false">Debt_Schedule!$C$7</definedName>
    <definedName function="false" hidden="false" name="DS_LTD" vbProcedure="false">Debt_Schedule!$C$14</definedName>
    <definedName function="false" hidden="false" name="DS_Repayment" vbProcedure="false">Debt_Schedule!$C$8</definedName>
    <definedName function="false" hidden="false" name="GM_Ceiling" vbProcedure="false">Assumptions!$C$52</definedName>
    <definedName function="false" hidden="false" name="GM_Floor" vbProcedure="false">Assumptions!$C$51</definedName>
    <definedName function="false" hidden="false" name="IS_EBIT" vbProcedure="false">Income_Statement!$C$22</definedName>
    <definedName function="false" hidden="false" name="IS_EBITDA" vbProcedure="false">Income_Statement!$C$20</definedName>
    <definedName function="false" hidden="false" name="IS_EBT" vbProcedure="false">Income_Statement!$C$25</definedName>
    <definedName function="false" hidden="false" name="IS_GM_Pct" vbProcedure="false">Income_Statement!$C$14</definedName>
    <definedName function="false" hidden="false" name="IS_Gross_Profit" vbProcedure="false">Income_Statement!$C$13</definedName>
    <definedName function="false" hidden="false" name="IS_Net_Profit" vbProcedure="false">Income_Statement!$C$28</definedName>
    <definedName function="false" hidden="false" name="IS_Net_Revenue" vbProcedure="false">Income_Statement!$C$5</definedName>
    <definedName function="false" hidden="false" name="IS_Tax" vbProcedure="false">Income_Statement!$C$26</definedName>
    <definedName function="false" hidden="false" name="RB_Net_Revenue" vbProcedure="false">Revenue_Build!$C$19</definedName>
    <definedName function="false" hidden="false" name="RB_Open_COGS" vbProcedure="false">Revenue_Build!$C$22</definedName>
    <definedName function="false" hidden="false" name="RB_Open_Net_Rev" vbProcedure="false">Revenue_Build!$C$21</definedName>
    <definedName function="false" hidden="false" name="WC_AP_Close" vbProcedure="false">Working_Capital!$C$18</definedName>
    <definedName function="false" hidden="false" name="WC_AP_Delta" vbProcedure="false">Working_Capital!$C$28</definedName>
    <definedName function="false" hidden="false" name="WC_AR_Close" vbProcedure="false">Working_Capital!$C$16</definedName>
    <definedName function="false" hidden="false" name="WC_AR_Delta" vbProcedure="false">Working_Capital!$C$24</definedName>
    <definedName function="false" hidden="false" name="WC_COGS" vbProcedure="false">Working_Capital!$C$14</definedName>
    <definedName function="false" hidden="false" name="WC_Inv_Close" vbProcedure="false">Working_Capital!$C$17</definedName>
    <definedName function="false" hidden="false" name="WC_Inv_Delta" vbProcedure="false">Working_Capital!$C$26</definedName>
    <definedName function="false" hidden="false" name="WC_Net_Delta" vbProcedure="false">Working_Capital!$C$29</definedName>
    <definedName function="false" hidden="false" name="WC_Net_WC_Close" vbProcedure="false">Working_Capital!$C$20</definedName>
    <definedName function="false" hidden="false" name="WC_Open_AP" vbProcedure="false">Working_Capital!$C$9</definedName>
    <definedName function="false" hidden="false" name="WC_Open_AR" vbProcedure="false">Working_Capital!$C$7</definedName>
    <definedName function="false" hidden="false" name="WC_Open_COGS" vbProcedure="false">Working_Capital!$C$6</definedName>
    <definedName function="false" hidden="false" name="WC_Open_Inv" vbProcedure="false">Working_Capital!$C$8</definedName>
    <definedName function="false" hidden="false" name="WC_Open_Net_Rev" vbProcedure="false">Working_Capital!$C$5</definedName>
    <definedName function="false" hidden="false" name="WC_Open_Net_WC" vbProcedure="false">Working_Capital!$C$10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<sst xmlns="http://schemas.openxmlformats.org/spreadsheetml/2006/main" count="365" uniqueCount="253">
  <si>
    <t xml:space="preserve">Food Manufacturing — Financial Model</t>
  </si>
  <si>
    <t xml:space="preserve">FINAMODEL.com</t>
  </si>
  <si>
    <t xml:space="preserve">Branded CPG + Co-Pack | 5-Year Annual Projection</t>
  </si>
  <si>
    <t xml:space="preserve">Key Outputs</t>
  </si>
  <si>
    <t xml:space="preserve">Y1</t>
  </si>
  <si>
    <t xml:space="preserve">Y2</t>
  </si>
  <si>
    <t xml:space="preserve">Y3</t>
  </si>
  <si>
    <t xml:space="preserve">Y4</t>
  </si>
  <si>
    <t xml:space="preserve">Y5</t>
  </si>
  <si>
    <t xml:space="preserve">Net Revenue ($)</t>
  </si>
  <si>
    <t xml:space="preserve">Gross Margin %</t>
  </si>
  <si>
    <t xml:space="preserve">EBITDA ($)</t>
  </si>
  <si>
    <t xml:space="preserve">Net Profit ($)</t>
  </si>
  <si>
    <t xml:space="preserve">Closing Cash ($)</t>
  </si>
  <si>
    <t xml:space="preserve">Loan Balance ($)</t>
  </si>
  <si>
    <t xml:space="preserve">Key Assumptions</t>
  </si>
  <si>
    <t xml:space="preserve">Utilisation Y1</t>
  </si>
  <si>
    <t xml:space="preserve">Branded Price Y1</t>
  </si>
  <si>
    <t xml:space="preserve">Interest Rate</t>
  </si>
  <si>
    <t xml:space="preserve">Tax Rate</t>
  </si>
  <si>
    <t xml:space="preserve">Loan Opening ($)</t>
  </si>
  <si>
    <t xml:space="preserve">About this model</t>
  </si>
  <si>
    <t xml:space="preserve">This operating model projects five-year financials for a branded food manufacturer with co-packing operations. Answer: can the facility sustain profitable growth while servicing debt and maintaining gross margins at 40â50% despite channel mix dilution from contract manufacturing? The model builds revenue bottom-up from physical capacity: three production lines at 72% utilisation split 65% branded CPG and 35% co-pack. Track ingredient costs, yield assumptions, trade spend at 10% of branded revenue, and capacity ramps.
The workbook consolidates production scheduling, ingredient and packaging cost management, overhead allocation by product line, and cash flow impact of working capital swings. COGS is 55% (raw materials 28%, packaging 8%, labour 12%, overhead 7%). Key outputs: five-year P&amp;L with 29.9% EBITDA margin by Year 1, balance sheet tracking $29M opening PP&amp;E net, and cash flow showing positive generation by Year 1 as rent escalations and utilisation gains offset wage inflation.
Used by mid-market branded manufacturers, private equity sponsors evaluating brownfield asset acquisitions, and lenders assessing leverage and DSCR across commodity cycles. The model handles the structural challenge of blended margins: co-pack at 30â35% gross margin de-risks underutilised capacity while branded CPG at 50%+ supports premiumisation. Benchmarks: General Mills (34â36% gross, 18â20% EBITDA), Kraft Heinz (32â35% gross, 20â22% EBITDA).</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</si>
  <si>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</si>
  <si>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</si>
  <si>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</si>
  <si>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</si>
  <si>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</si>
  <si>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Food Manufacturing Model — Input Parameters</t>
  </si>
  <si>
    <t xml:space="preserve">[Rows 5-6 reserved for future scenario toggle]</t>
  </si>
  <si>
    <t xml:space="preserve">Revenue Drivers</t>
  </si>
  <si>
    <t xml:space="preserve">Production Lines</t>
  </si>
  <si>
    <t xml:space="preserve">count</t>
  </si>
  <si>
    <t xml:space="preserve">Capacity per Line (units)</t>
  </si>
  <si>
    <t xml:space="preserve">units/yr</t>
  </si>
  <si>
    <t xml:space="preserve">%</t>
  </si>
  <si>
    <t xml:space="preserve">Util. Step-Up / Year</t>
  </si>
  <si>
    <t xml:space="preserve">pp</t>
  </si>
  <si>
    <t xml:space="preserve">Utilisation Cap</t>
  </si>
  <si>
    <t xml:space="preserve">Branded Volume Split</t>
  </si>
  <si>
    <t xml:space="preserve">$/unit</t>
  </si>
  <si>
    <t xml:space="preserve">Branded Price Escalation</t>
  </si>
  <si>
    <t xml:space="preserve">% p.a.</t>
  </si>
  <si>
    <t xml:space="preserve">Co-Pack Price Y1</t>
  </si>
  <si>
    <t xml:space="preserve">Co-Pack Price Escalation</t>
  </si>
  <si>
    <t xml:space="preserve">Trade Spend (Branded)</t>
  </si>
  <si>
    <t xml:space="preserve">% gross</t>
  </si>
  <si>
    <t xml:space="preserve">Cost Structure</t>
  </si>
  <si>
    <t xml:space="preserve">Raw Materials</t>
  </si>
  <si>
    <t xml:space="preserve">% net rev</t>
  </si>
  <si>
    <t xml:space="preserve">Packaging</t>
  </si>
  <si>
    <t xml:space="preserve">Direct Labour</t>
  </si>
  <si>
    <t xml:space="preserve">Manufacturing Overhead</t>
  </si>
  <si>
    <t xml:space="preserve">Operating Expenses</t>
  </si>
  <si>
    <t xml:space="preserve">SG&amp;A</t>
  </si>
  <si>
    <t xml:space="preserve">Insurance (Year 1)</t>
  </si>
  <si>
    <t xml:space="preserve">$</t>
  </si>
  <si>
    <t xml:space="preserve">Insurance Escalation</t>
  </si>
  <si>
    <t xml:space="preserve">Outbound Freight</t>
  </si>
  <si>
    <t xml:space="preserve">Tax</t>
  </si>
  <si>
    <t xml:space="preserve">Corporate Tax Rate</t>
  </si>
  <si>
    <t xml:space="preserve">Working Capital</t>
  </si>
  <si>
    <t xml:space="preserve">Days Sales Outstanding</t>
  </si>
  <si>
    <t xml:space="preserve">days</t>
  </si>
  <si>
    <t xml:space="preserve">Days Inventory Outstanding</t>
  </si>
  <si>
    <t xml:space="preserve">Days Payable Outstanding</t>
  </si>
  <si>
    <t xml:space="preserve">Capital Expenditure</t>
  </si>
  <si>
    <t xml:space="preserve">Maintenance Capex</t>
  </si>
  <si>
    <t xml:space="preserve">Growth Capex (Year 1)</t>
  </si>
  <si>
    <t xml:space="preserve">PP&amp;E — Opening Balances (Day 0)</t>
  </si>
  <si>
    <t xml:space="preserve">Buildings Gross</t>
  </si>
  <si>
    <t xml:space="preserve">Equipment Gross</t>
  </si>
  <si>
    <t xml:space="preserve">Buildings Useful Life</t>
  </si>
  <si>
    <t xml:space="preserve">years</t>
  </si>
  <si>
    <t xml:space="preserve">Equipment Useful Life</t>
  </si>
  <si>
    <t xml:space="preserve">Accum. Depreciation Day 0</t>
  </si>
  <si>
    <t xml:space="preserve">Debt</t>
  </si>
  <si>
    <t xml:space="preserve">Term Loan Opening Balance</t>
  </si>
  <si>
    <t xml:space="preserve">Loan Tenor</t>
  </si>
  <si>
    <t xml:space="preserve">Equity &amp; Opening Cash</t>
  </si>
  <si>
    <t xml:space="preserve">Share Capital (Day 0)</t>
  </si>
  <si>
    <t xml:space="preserve">Opening Cash (Day 0)</t>
  </si>
  <si>
    <t xml:space="preserve">Checks Thresholds</t>
  </si>
  <si>
    <t xml:space="preserve">Gross Margin Floor</t>
  </si>
  <si>
    <t xml:space="preserve">Gross Margin Ceiling</t>
  </si>
  <si>
    <t xml:space="preserve">Revenue Build</t>
  </si>
  <si>
    <t xml:space="preserve">Volume x Price | Branded + Co-Pack</t>
  </si>
  <si>
    <t xml:space="preserve">Total Capacity (units)</t>
  </si>
  <si>
    <t xml:space="preserve">Utilisation</t>
  </si>
  <si>
    <t xml:space="preserve">Total Production Volume</t>
  </si>
  <si>
    <t xml:space="preserve">  Branded Volume</t>
  </si>
  <si>
    <t xml:space="preserve">  Co-Pack Volume</t>
  </si>
  <si>
    <t xml:space="preserve">Branded Price ($/unit)</t>
  </si>
  <si>
    <t xml:space="preserve">Co-Pack Price ($/unit)</t>
  </si>
  <si>
    <t xml:space="preserve">Branded Gross Revenue</t>
  </si>
  <si>
    <t xml:space="preserve">Co-Pack Revenue</t>
  </si>
  <si>
    <t xml:space="preserve">  Trade Spend</t>
  </si>
  <si>
    <t xml:space="preserve">Branded Net Revenue</t>
  </si>
  <si>
    <t xml:space="preserve">NET REVENUE</t>
  </si>
  <si>
    <t xml:space="preserve">Opening Balances (Day 0 — WC reference only)</t>
  </si>
  <si>
    <t xml:space="preserve">Opening Net Revenue</t>
  </si>
  <si>
    <t xml:space="preserve">Opening COGS</t>
  </si>
  <si>
    <t xml:space="preserve">Capex &amp; Depreciation</t>
  </si>
  <si>
    <t xml:space="preserve">PP&amp;E Schedule | Annual</t>
  </si>
  <si>
    <t xml:space="preserve">Buildings Depreciation</t>
  </si>
  <si>
    <t xml:space="preserve">Equipment Depreciation</t>
  </si>
  <si>
    <t xml:space="preserve">  Growth Capex Depr.</t>
  </si>
  <si>
    <t xml:space="preserve">TOTAL DEPRECIATION</t>
  </si>
  <si>
    <t xml:space="preserve">PP&amp;E Roll-Forward</t>
  </si>
  <si>
    <t xml:space="preserve">Gross PP&amp;E Opening</t>
  </si>
  <si>
    <t xml:space="preserve">  Maintenance Capex</t>
  </si>
  <si>
    <t xml:space="preserve">  Growth Capex</t>
  </si>
  <si>
    <t xml:space="preserve">Gross PP&amp;E Closing</t>
  </si>
  <si>
    <t xml:space="preserve">Accumulated Depreciation</t>
  </si>
  <si>
    <t xml:space="preserve">Accum. Depr. Opening</t>
  </si>
  <si>
    <t xml:space="preserve">  Annual Depreciation</t>
  </si>
  <si>
    <t xml:space="preserve">Accum. Depr. Closing</t>
  </si>
  <si>
    <t xml:space="preserve">Net PP&amp;E</t>
  </si>
  <si>
    <t xml:space="preserve">NET PP&amp;E</t>
  </si>
  <si>
    <t xml:space="preserve">COGS &amp; Operating Expenses</t>
  </si>
  <si>
    <t xml:space="preserve">Cost Build | Annual</t>
  </si>
  <si>
    <t xml:space="preserve">Net Revenue</t>
  </si>
  <si>
    <t xml:space="preserve">COGS</t>
  </si>
  <si>
    <t xml:space="preserve">  Raw Materials</t>
  </si>
  <si>
    <t xml:space="preserve">  Packaging</t>
  </si>
  <si>
    <t xml:space="preserve">  Direct Labour</t>
  </si>
  <si>
    <t xml:space="preserve">  Mfg. Overhead</t>
  </si>
  <si>
    <t xml:space="preserve">TOTAL COGS</t>
  </si>
  <si>
    <t xml:space="preserve">GROSS PROFIT</t>
  </si>
  <si>
    <t xml:space="preserve">  Gross Margin %</t>
  </si>
  <si>
    <t xml:space="preserve">  SG&amp;A</t>
  </si>
  <si>
    <t xml:space="preserve">  Insurance</t>
  </si>
  <si>
    <t xml:space="preserve">  Outbound Freight</t>
  </si>
  <si>
    <t xml:space="preserve">TOTAL OPEX</t>
  </si>
  <si>
    <t xml:space="preserve">EBITDA</t>
  </si>
  <si>
    <t xml:space="preserve">  Depreciation</t>
  </si>
  <si>
    <t xml:space="preserve">EBIT</t>
  </si>
  <si>
    <t xml:space="preserve">DSO / DIO / DPO | Opening + Annual</t>
  </si>
  <si>
    <t xml:space="preserve">Opening Balances (Day 0)</t>
  </si>
  <si>
    <t xml:space="preserve">Opening Accounts Receivable</t>
  </si>
  <si>
    <t xml:space="preserve">Opening Inventory</t>
  </si>
  <si>
    <t xml:space="preserve">Opening Accounts Payable</t>
  </si>
  <si>
    <t xml:space="preserve">Opening Net Working Capital</t>
  </si>
  <si>
    <t xml:space="preserve">Year-End Balances</t>
  </si>
  <si>
    <t xml:space="preserve">COGS (positive)</t>
  </si>
  <si>
    <t xml:space="preserve">Accounts Receivable</t>
  </si>
  <si>
    <t xml:space="preserve">Inventory</t>
  </si>
  <si>
    <t xml:space="preserve">Accounts Payable</t>
  </si>
  <si>
    <t xml:space="preserve">Net Working Capital</t>
  </si>
  <si>
    <t xml:space="preserve">WC Movement (for Cash Flow)</t>
  </si>
  <si>
    <t xml:space="preserve">AR Opening</t>
  </si>
  <si>
    <t xml:space="preserve">  delta AR (negative = cash use)</t>
  </si>
  <si>
    <t xml:space="preserve">Inventory Opening</t>
  </si>
  <si>
    <t xml:space="preserve">  delta Inventory</t>
  </si>
  <si>
    <t xml:space="preserve">AP Opening</t>
  </si>
  <si>
    <t xml:space="preserve">  delta AP (positive = source)</t>
  </si>
  <si>
    <t xml:space="preserve">Net WC Change</t>
  </si>
  <si>
    <t xml:space="preserve">Debt Schedule</t>
  </si>
  <si>
    <t xml:space="preserve">Term Loan | Annual Amortisation</t>
  </si>
  <si>
    <t xml:space="preserve">Annual Repayment</t>
  </si>
  <si>
    <t xml:space="preserve">Loan Roll-Forward</t>
  </si>
  <si>
    <t xml:space="preserve">Loan Opening</t>
  </si>
  <si>
    <t xml:space="preserve">  Repayment</t>
  </si>
  <si>
    <t xml:space="preserve">LOAN CLOSING</t>
  </si>
  <si>
    <t xml:space="preserve">Interest</t>
  </si>
  <si>
    <t xml:space="preserve">Interest Expense</t>
  </si>
  <si>
    <t xml:space="preserve">Balance Sheet Split</t>
  </si>
  <si>
    <t xml:space="preserve">Current Portion (CPLTD)</t>
  </si>
  <si>
    <t xml:space="preserve">Long-Term Debt</t>
  </si>
  <si>
    <t xml:space="preserve">Income Statement</t>
  </si>
  <si>
    <t xml:space="preserve">P&amp;L Summary | Annual</t>
  </si>
  <si>
    <t xml:space="preserve">Cost of Goods Sold</t>
  </si>
  <si>
    <t xml:space="preserve">Financing</t>
  </si>
  <si>
    <t xml:space="preserve">  Interest Expense</t>
  </si>
  <si>
    <t xml:space="preserve">EBT</t>
  </si>
  <si>
    <t xml:space="preserve">  Tax Expense</t>
  </si>
  <si>
    <t xml:space="preserve">NET PROFIT</t>
  </si>
  <si>
    <t xml:space="preserve">Cash Flow Statement</t>
  </si>
  <si>
    <t xml:space="preserve">Indirect Method | Annual</t>
  </si>
  <si>
    <t xml:space="preserve">Operating Activities</t>
  </si>
  <si>
    <t xml:space="preserve">Net Profit</t>
  </si>
  <si>
    <t xml:space="preserve">  Add: Depreciation</t>
  </si>
  <si>
    <t xml:space="preserve">  Change in AR</t>
  </si>
  <si>
    <t xml:space="preserve">  Change in Inventory</t>
  </si>
  <si>
    <t xml:space="preserve">  Change in AP</t>
  </si>
  <si>
    <t xml:space="preserve">OPERATING CASH FLOW</t>
  </si>
  <si>
    <t xml:space="preserve">Investing Activities</t>
  </si>
  <si>
    <t xml:space="preserve">INVESTING CASH FLOW</t>
  </si>
  <si>
    <t xml:space="preserve">Financing Activities</t>
  </si>
  <si>
    <t xml:space="preserve">  Debt Repayment</t>
  </si>
  <si>
    <t xml:space="preserve">FINANCING CASH FLOW</t>
  </si>
  <si>
    <t xml:space="preserve">Cash Summary</t>
  </si>
  <si>
    <t xml:space="preserve">Net Change in Cash</t>
  </si>
  <si>
    <t xml:space="preserve">Opening Cash</t>
  </si>
  <si>
    <t xml:space="preserve">CLOSING CASH</t>
  </si>
  <si>
    <t xml:space="preserve">Balance Sheet</t>
  </si>
  <si>
    <t xml:space="preserve">As at Year-End | Day 0 + Y1-Y5</t>
  </si>
  <si>
    <t xml:space="preserve">Assets</t>
  </si>
  <si>
    <t xml:space="preserve">Day 0</t>
  </si>
  <si>
    <t xml:space="preserve">Cash</t>
  </si>
  <si>
    <t xml:space="preserve">TOTAL CURRENT ASSETS</t>
  </si>
  <si>
    <t xml:space="preserve">TOTAL ASSETS</t>
  </si>
  <si>
    <t xml:space="preserve">Liabilities</t>
  </si>
  <si>
    <t xml:space="preserve">Current Portion LTD</t>
  </si>
  <si>
    <t xml:space="preserve">TOTAL CURRENT LIAB.</t>
  </si>
  <si>
    <t xml:space="preserve">TOTAL LIABILITIES</t>
  </si>
  <si>
    <t xml:space="preserve">Equity</t>
  </si>
  <si>
    <t xml:space="preserve">Share Capital</t>
  </si>
  <si>
    <t xml:space="preserve">Opening Retained Earnings</t>
  </si>
  <si>
    <t xml:space="preserve">Cumulative Net Profit</t>
  </si>
  <si>
    <t xml:space="preserve">TOTAL EQUITY</t>
  </si>
  <si>
    <t xml:space="preserve">TOTAL LIAB. + EQUITY</t>
  </si>
  <si>
    <t xml:space="preserve">Balance Check</t>
  </si>
  <si>
    <t xml:space="preserve">Balance Check (= 0)</t>
  </si>
  <si>
    <t xml:space="preserve">Model Checks</t>
  </si>
  <si>
    <t xml:space="preserve">PASS / FAIL Validation</t>
  </si>
  <si>
    <t xml:space="preserve">Check</t>
  </si>
  <si>
    <t xml:space="preserve">Logic / Note</t>
  </si>
  <si>
    <t xml:space="preserve">Result</t>
  </si>
  <si>
    <t xml:space="preserve">BS Balance — Day 0</t>
  </si>
  <si>
    <t xml:space="preserve">TRUE = PASS</t>
  </si>
  <si>
    <t xml:space="preserve">BS Balance — Y1</t>
  </si>
  <si>
    <t xml:space="preserve">BS Balance — Y2</t>
  </si>
  <si>
    <t xml:space="preserve">BS Balance — Y3</t>
  </si>
  <si>
    <t xml:space="preserve">BS Balance — Y4</t>
  </si>
  <si>
    <t xml:space="preserve">BS Balance — Y5</t>
  </si>
  <si>
    <t xml:space="preserve">Cash Positive (all years)</t>
  </si>
  <si>
    <t xml:space="preserve">Debt Declining</t>
  </si>
  <si>
    <t xml:space="preserve">Gross Margin in Band</t>
  </si>
  <si>
    <t xml:space="preserve">Uses GM_Floor/GM_Ceiling named ranges — not hardcoded</t>
  </si>
  <si>
    <t xml:space="preserve">Opening WC Not Zero</t>
  </si>
  <si>
    <t xml:space="preserve">Depreciation Positive</t>
  </si>
  <si>
    <t xml:space="preserve">Interest Declining</t>
  </si>
  <si>
    <t xml:space="preserve">WC Components Positive</t>
  </si>
  <si>
    <t xml:space="preserve">Net Profit Positive by Y3</t>
  </si>
  <si>
    <t xml:space="preserve">Flag if FALSE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</si>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</sst>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0%"/>
    <numFmt numFmtId="167" formatCode="0%"/>
    <numFmt numFmtId="168" formatCode="\$#,##0.00"/>
    <numFmt numFmtId="169" formatCode="0"/>
  </numFmts>
  <fonts count="25">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b val="true"/>
      <sz val="11"/>
      <color theme="0"/>
      <name val="Arial"/>
      <family val="0"/>
      <charset val="1"/>
    </font>
    <font>
      <sz val="11"/>
      <color theme="1"/>
      <name val="Calibri"/>
      <family val="2"/>
      <charset val="1"/>
    </font>
    <font>
      <b val="true"/>
      <sz val="10"/>
      <color rgb="FF000000"/>
      <name val="Arial"/>
      <family val="0"/>
      <charset val="1"/>
    </font>
    <font>
      <sz val="10"/>
      <name val="Arial"/>
      <family val="0"/>
      <charset val="1"/>
    </font>
    <font>
      <sz val="10"/>
      <color rgb="FF00000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i val="true"/>
      <sz val="10"/>
      <color rgb="FF808080"/>
      <name val="Arial"/>
      <family val="0"/>
      <charset val="1"/>
    </font>
    <font>
      <sz val="10"/>
      <color theme="3"/>
      <name val="Arial"/>
      <family val="0"/>
      <charset val="1"/>
    </font>
    <font>
      <b val="true"/>
      <sz val="1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s>
  <fills count="8">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D6E4F0"/>
        <bgColor rgb="FFC6D9F1"/>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double"/>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5" fontId="12" fillId="0" borderId="0" xfId="0" applyFont="true" applyBorder="false" applyAlignment="true" applyProtection="false">
      <alignment horizontal="right" vertical="center" textRotation="0" wrapText="false" indent="0" shrinkToFit="false"/>
      <protection locked="true" hidden="false"/>
    </xf>
    <xf numFmtId="166" fontId="12" fillId="0" borderId="0" xfId="0" applyFont="true" applyBorder="false" applyAlignment="true" applyProtection="false">
      <alignment horizontal="right" vertical="center" textRotation="0" wrapText="false" indent="0" shrinkToFit="false"/>
      <protection locked="true" hidden="false"/>
    </xf>
    <xf numFmtId="167" fontId="12" fillId="0" borderId="0" xfId="0" applyFont="true" applyBorder="false" applyAlignment="true" applyProtection="false">
      <alignment horizontal="right" vertical="center" textRotation="0" wrapText="false" indent="0" shrinkToFit="false"/>
      <protection locked="true" hidden="false"/>
    </xf>
    <xf numFmtId="168" fontId="12" fillId="0" borderId="0" xfId="0" applyFont="true" applyBorder="false" applyAlignment="true" applyProtection="false">
      <alignment horizontal="right" vertical="center" textRotation="0" wrapText="false" indent="0" shrinkToFit="false"/>
      <protection locked="true" hidden="false"/>
    </xf>
    <xf numFmtId="164" fontId="13" fillId="4" borderId="0" xfId="0" applyFont="true" applyBorder="false" applyAlignment="true" applyProtection="false">
      <alignment horizontal="left" vertical="center"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9" fontId="18" fillId="5" borderId="0" xfId="0" applyFont="true" applyBorder="false" applyAlignment="true" applyProtection="false">
      <alignment horizontal="right" vertical="center" textRotation="0" wrapText="false" indent="0" shrinkToFit="false"/>
      <protection locked="true" hidden="false"/>
    </xf>
    <xf numFmtId="165" fontId="18" fillId="5" borderId="0" xfId="0" applyFont="true" applyBorder="false" applyAlignment="true" applyProtection="false">
      <alignment horizontal="right" vertical="center" textRotation="0" wrapText="false" indent="0" shrinkToFit="false"/>
      <protection locked="true" hidden="false"/>
    </xf>
    <xf numFmtId="167" fontId="18" fillId="5" borderId="0" xfId="0" applyFont="true" applyBorder="false" applyAlignment="true" applyProtection="false">
      <alignment horizontal="right" vertical="center" textRotation="0" wrapText="false" indent="0" shrinkToFit="false"/>
      <protection locked="true" hidden="false"/>
    </xf>
    <xf numFmtId="168" fontId="18" fillId="5" borderId="0" xfId="0" applyFont="true" applyBorder="false" applyAlignment="true" applyProtection="false">
      <alignment horizontal="right" vertical="center" textRotation="0" wrapText="false" indent="0" shrinkToFit="false"/>
      <protection locked="true" hidden="false"/>
    </xf>
    <xf numFmtId="166" fontId="18" fillId="5"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5" fontId="19" fillId="0" borderId="1" xfId="0" applyFont="true" applyBorder="true" applyAlignment="true" applyProtection="false">
      <alignment horizontal="right" vertical="center" textRotation="0" wrapText="false" indent="0" shrinkToFit="false"/>
      <protection locked="true" hidden="false"/>
    </xf>
    <xf numFmtId="165" fontId="19" fillId="0" borderId="2" xfId="0" applyFont="true" applyBorder="true" applyAlignment="true" applyProtection="false">
      <alignment horizontal="right" vertical="center" textRotation="0" wrapText="false" indent="0" shrinkToFit="false"/>
      <protection locked="true" hidden="false"/>
    </xf>
    <xf numFmtId="165" fontId="19" fillId="0" borderId="0" xfId="0" applyFont="true" applyBorder="false" applyAlignment="true" applyProtection="false">
      <alignment horizontal="right" vertical="center" textRotation="0" wrapText="false" indent="0" shrinkToFit="false"/>
      <protection locked="tru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4" fillId="7" borderId="0" xfId="0" applyFont="true" applyBorder="false" applyAlignment="true" applyProtection="false">
      <alignment horizontal="left" vertical="top" textRotation="0" wrapText="true" indent="1" shrinkToFit="false"/>
      <protection locked="true" hidden="false"/>
    </xf>
    <xf numFmtId="164" fontId="17"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c r="C5" s="6"/>
      <c r="D5" s="6"/>
      <c r="E5" s="6"/>
      <c r="F5" s="6"/>
      <c r="G5" s="6"/>
      <c r="H5" s="6"/>
    </row>
    <row r="7" customFormat="false" ht="15" hidden="false" customHeight="false" outlineLevel="0" collapsed="false">
      <c r="C7" s="7" t="s">
        <v>4</v>
      </c>
      <c r="D7" s="7" t="s">
        <v>5</v>
      </c>
      <c r="E7" s="7" t="s">
        <v>6</v>
      </c>
      <c r="F7" s="7" t="s">
        <v>7</v>
      </c>
      <c r="G7" s="7" t="s">
        <v>8</v>
      </c>
    </row>
    <row r="8" customFormat="false" ht="15" hidden="false" customHeight="false" outlineLevel="0" collapsed="false">
      <c r="B8" s="8" t="s">
        <v>9</v>
      </c>
      <c r="C8" s="9" t="n">
        <f aca="false">Income_Statement!C5</f>
        <v>14547600</v>
      </c>
      <c r="D8" s="9" t="n">
        <f aca="false">Income_Statement!D5</f>
        <v>15292858.5</v>
      </c>
      <c r="E8" s="9" t="n">
        <f aca="false">Income_Statement!E5</f>
        <v>16064814.735</v>
      </c>
      <c r="F8" s="9" t="n">
        <f aca="false">Income_Statement!F5</f>
        <v>16864324.6633875</v>
      </c>
      <c r="G8" s="9" t="n">
        <f aca="false">Income_Statement!G5</f>
        <v>17692270.2925425</v>
      </c>
    </row>
    <row r="9" customFormat="false" ht="15" hidden="false" customHeight="false" outlineLevel="0" collapsed="false">
      <c r="B9" s="8" t="s">
        <v>10</v>
      </c>
      <c r="C9" s="10" t="n">
        <f aca="false">Income_Statement!C14</f>
        <v>0.45</v>
      </c>
      <c r="D9" s="10" t="n">
        <f aca="false">Income_Statement!D14</f>
        <v>0.45</v>
      </c>
      <c r="E9" s="10" t="n">
        <f aca="false">Income_Statement!E14</f>
        <v>0.45</v>
      </c>
      <c r="F9" s="10" t="n">
        <f aca="false">Income_Statement!F14</f>
        <v>0.45</v>
      </c>
      <c r="G9" s="10" t="n">
        <f aca="false">Income_Statement!G14</f>
        <v>0.45</v>
      </c>
    </row>
    <row r="10" customFormat="false" ht="15" hidden="false" customHeight="false" outlineLevel="0" collapsed="false">
      <c r="B10" s="8" t="s">
        <v>11</v>
      </c>
      <c r="C10" s="9" t="n">
        <f aca="false">Income_Statement!C20</f>
        <v>4214280</v>
      </c>
      <c r="D10" s="9" t="n">
        <f aca="false">Income_Statement!D20</f>
        <v>4434107.55</v>
      </c>
      <c r="E10" s="9" t="n">
        <f aca="false">Income_Statement!E20</f>
        <v>4661850.6705</v>
      </c>
      <c r="F10" s="9" t="n">
        <f aca="false">Income_Statement!F20</f>
        <v>4897763.80526625</v>
      </c>
      <c r="G10" s="9" t="n">
        <f aca="false">Income_Statement!G20</f>
        <v>5142109.154169</v>
      </c>
    </row>
    <row r="11" customFormat="false" ht="15" hidden="false" customHeight="false" outlineLevel="0" collapsed="false">
      <c r="B11" s="8" t="s">
        <v>12</v>
      </c>
      <c r="C11" s="9" t="n">
        <f aca="false">Income_Statement!C28</f>
        <v>685709.999999999</v>
      </c>
      <c r="D11" s="9" t="n">
        <f aca="false">Income_Statement!D28</f>
        <v>1011294.94821428</v>
      </c>
      <c r="E11" s="9" t="n">
        <f aca="false">Income_Statement!E28</f>
        <v>1342816.57430357</v>
      </c>
      <c r="F11" s="9" t="n">
        <f aca="false">Income_Statement!F28</f>
        <v>1680465.71109254</v>
      </c>
      <c r="G11" s="9" t="n">
        <f aca="false">Income_Statement!G28</f>
        <v>2024439.00848389</v>
      </c>
    </row>
    <row r="12" customFormat="false" ht="15" hidden="false" customHeight="false" outlineLevel="0" collapsed="false">
      <c r="B12" s="8" t="s">
        <v>13</v>
      </c>
      <c r="C12" s="9" t="n">
        <f aca="false">Cash_Flow!C22</f>
        <v>4264877.14285714</v>
      </c>
      <c r="D12" s="9" t="n">
        <f aca="false">Cash_Flow!D22</f>
        <v>3748399.74368884</v>
      </c>
      <c r="E12" s="9" t="n">
        <f aca="false">Cash_Flow!E22</f>
        <v>3540981.56599853</v>
      </c>
      <c r="F12" s="9" t="n">
        <f aca="false">Cash_Flow!F22</f>
        <v>3647959.85294501</v>
      </c>
      <c r="G12" s="9" t="n">
        <f aca="false">Cash_Flow!G22</f>
        <v>4074843.36077809</v>
      </c>
    </row>
    <row r="13" customFormat="false" ht="15" hidden="false" customHeight="false" outlineLevel="0" collapsed="false">
      <c r="B13" s="8" t="s">
        <v>14</v>
      </c>
      <c r="C13" s="9" t="n">
        <f aca="false">Debt_Schedule!C9</f>
        <v>17142857.1428571</v>
      </c>
      <c r="D13" s="9" t="n">
        <f aca="false">Debt_Schedule!D9</f>
        <v>14285714.2857143</v>
      </c>
      <c r="E13" s="9" t="n">
        <f aca="false">Debt_Schedule!E9</f>
        <v>11428571.4285714</v>
      </c>
      <c r="F13" s="9" t="n">
        <f aca="false">Debt_Schedule!F9</f>
        <v>8571428.57142857</v>
      </c>
      <c r="G13" s="9" t="n">
        <f aca="false">Debt_Schedule!G9</f>
        <v>5714285.71428571</v>
      </c>
    </row>
    <row r="15" customFormat="false" ht="15" hidden="false" customHeight="false" outlineLevel="0" collapsed="false">
      <c r="B15" s="5" t="s">
        <v>15</v>
      </c>
      <c r="C15" s="6"/>
      <c r="D15" s="6"/>
      <c r="E15" s="6"/>
    </row>
    <row r="16" customFormat="false" ht="15" hidden="false" customHeight="false" outlineLevel="0" collapsed="false">
      <c r="B16" s="8" t="s">
        <v>16</v>
      </c>
      <c r="C16" s="11" t="n">
        <f aca="false">ASM_Util_Y1</f>
        <v>0.72</v>
      </c>
    </row>
    <row r="17" customFormat="false" ht="15" hidden="false" customHeight="false" outlineLevel="0" collapsed="false">
      <c r="B17" s="8" t="s">
        <v>17</v>
      </c>
      <c r="C17" s="12" t="n">
        <f aca="false">ASM_Branded_Price</f>
        <v>4.5</v>
      </c>
    </row>
    <row r="18" customFormat="false" ht="15" hidden="false" customHeight="false" outlineLevel="0" collapsed="false">
      <c r="B18" s="8" t="s">
        <v>18</v>
      </c>
      <c r="C18" s="10" t="n">
        <f aca="false">ASM_Interest_Rate</f>
        <v>0.075</v>
      </c>
    </row>
    <row r="19" customFormat="false" ht="15" hidden="false" customHeight="false" outlineLevel="0" collapsed="false">
      <c r="B19" s="8" t="s">
        <v>19</v>
      </c>
      <c r="C19" s="11" t="n">
        <f aca="false">ASM_Tax_Rate</f>
        <v>0.25</v>
      </c>
    </row>
    <row r="20" customFormat="false" ht="15" hidden="false" customHeight="false" outlineLevel="0" collapsed="false">
      <c r="B20" s="8" t="s">
        <v>20</v>
      </c>
      <c r="C20" s="9" t="n">
        <f aca="false">ASM_Loan_Opening</f>
        <v>20000000</v>
      </c>
    </row>
    <row r="23" customFormat="false" ht="19.5" hidden="false" customHeight="true" outlineLevel="0" collapsed="false">
      <c r="B23" s="13" t="s">
        <v>21</v>
      </c>
      <c r="C23" s="14"/>
      <c r="D23" s="14"/>
      <c r="E23" s="14"/>
      <c r="F23" s="14"/>
      <c r="G23" s="14"/>
    </row>
    <row r="24" customFormat="false" ht="220.5" hidden="false" customHeight="true" outlineLevel="0" collapsed="false">
      <c r="B24" s="15" t="s">
        <v>22</v>
      </c>
      <c r="C24" s="15"/>
      <c r="D24" s="15"/>
      <c r="E24" s="15"/>
      <c r="F24" s="15"/>
      <c r="G24" s="15"/>
    </row>
    <row r="26" customFormat="false" ht="19.5" hidden="false" customHeight="true" outlineLevel="0" collapsed="false">
      <c r="B26" s="13" t="s">
        <v>23</v>
      </c>
      <c r="C26" s="14"/>
      <c r="D26" s="14"/>
      <c r="E26" s="14"/>
      <c r="F26" s="14"/>
      <c r="G26" s="14"/>
    </row>
    <row r="27" customFormat="false" ht="57" hidden="false" customHeight="true" outlineLevel="0" collapsed="false">
      <c r="B27" s="15" t="s">
        <v>24</v>
      </c>
      <c r="C27" s="15"/>
      <c r="D27" s="15"/>
      <c r="E27" s="15"/>
      <c r="F27" s="15"/>
      <c r="G27" s="15"/>
    </row>
    <row r="28" customFormat="false" ht="15" hidden="false" customHeight="false" outlineLevel="0" collapsed="false">
      <c r="B28" s="16" t="s">
        <v>25</v>
      </c>
      <c r="C28" s="16"/>
      <c r="D28" s="16"/>
      <c r="E28" s="16"/>
      <c r="F28" s="16"/>
      <c r="G28" s="16"/>
    </row>
    <row r="29" customFormat="false" ht="15" hidden="false" customHeight="false" outlineLevel="0" collapsed="false">
      <c r="B29" s="17" t="s">
        <v>26</v>
      </c>
    </row>
  </sheetData>
  <mergeCells count="3">
    <mergeCell ref="B24:G24"/>
    <mergeCell ref="B27:G27"/>
    <mergeCell ref="B28:G28"/>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8"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195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196</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5" t="s">
        <v>197</v>
      </c>
      <c r="C4" s="28" t="s">
        <v>198</v>
      </c>
      <c r="D4" s="28" t="s">
        <v>4</v>
      </c>
      <c r="E4" s="28" t="s">
        <v>5</v>
      </c>
      <c r="F4" s="28" t="s">
        <v>6</v>
      </c>
      <c r="G4" s="28" t="s">
        <v>7</v>
      </c>
      <c r="H4" s="28" t="s">
        <v>8</v>
      </c>
      <c r="I4" s="6"/>
    </row>
    <row r="5" customFormat="false" ht="15" hidden="false" customHeight="false" outlineLevel="0" collapsed="false">
      <c r="B5" s="8" t="s">
        <v>199</v>
      </c>
      <c r="C5" s="9" t="n">
        <f aca="false">ASM_Cash_D0</f>
        <v>5000000</v>
      </c>
      <c r="D5" s="9" t="n">
        <f aca="false">Cash_Flow!C22</f>
        <v>4264877.14285714</v>
      </c>
      <c r="E5" s="9" t="n">
        <f aca="false">Cash_Flow!D22</f>
        <v>3748399.74368884</v>
      </c>
      <c r="F5" s="9" t="n">
        <f aca="false">Cash_Flow!E22</f>
        <v>3540981.56599853</v>
      </c>
      <c r="G5" s="9" t="n">
        <f aca="false">Cash_Flow!F22</f>
        <v>3647959.85294501</v>
      </c>
      <c r="H5" s="9" t="n">
        <f aca="false">Cash_Flow!G22</f>
        <v>4074843.36077809</v>
      </c>
    </row>
    <row r="6" customFormat="false" ht="15" hidden="false" customHeight="false" outlineLevel="0" collapsed="false">
      <c r="B6" s="8" t="s">
        <v>145</v>
      </c>
      <c r="C6" s="9" t="n">
        <f aca="false">WC_Open_AR</f>
        <v>1394975.34246575</v>
      </c>
      <c r="D6" s="9" t="n">
        <f aca="false">Working_Capital!C16</f>
        <v>1394975.34246575</v>
      </c>
      <c r="E6" s="9" t="n">
        <f aca="false">Working_Capital!D16</f>
        <v>1466438.48630137</v>
      </c>
      <c r="F6" s="9" t="n">
        <f aca="false">Working_Capital!E16</f>
        <v>1540461.68691781</v>
      </c>
      <c r="G6" s="9" t="n">
        <f aca="false">Working_Capital!F16</f>
        <v>1617127.02251661</v>
      </c>
      <c r="H6" s="9" t="n">
        <f aca="false">Working_Capital!G16</f>
        <v>1696519.06914791</v>
      </c>
    </row>
    <row r="7" customFormat="false" ht="15" hidden="false" customHeight="false" outlineLevel="0" collapsed="false">
      <c r="B7" s="8" t="s">
        <v>146</v>
      </c>
      <c r="C7" s="9" t="n">
        <f aca="false">WC_Open_Inv</f>
        <v>1315262.46575343</v>
      </c>
      <c r="D7" s="9" t="n">
        <f aca="false">Working_Capital!C17</f>
        <v>1315262.46575343</v>
      </c>
      <c r="E7" s="9" t="n">
        <f aca="false">Working_Capital!D17</f>
        <v>1382642.00136986</v>
      </c>
      <c r="F7" s="9" t="n">
        <f aca="false">Working_Capital!E17</f>
        <v>1452435.30480822</v>
      </c>
      <c r="G7" s="9" t="n">
        <f aca="false">Working_Capital!F17</f>
        <v>1524719.76408709</v>
      </c>
      <c r="H7" s="9" t="n">
        <f aca="false">Working_Capital!G17</f>
        <v>1599575.12233946</v>
      </c>
    </row>
    <row r="8" customFormat="false" ht="15" hidden="false" customHeight="false" outlineLevel="0" collapsed="false">
      <c r="B8" s="24" t="s">
        <v>200</v>
      </c>
      <c r="C8" s="26" t="n">
        <f aca="false">C5+C6+C7</f>
        <v>7710237.80821918</v>
      </c>
      <c r="D8" s="26" t="n">
        <f aca="false">D5+D6+D7</f>
        <v>6975114.95107632</v>
      </c>
      <c r="E8" s="26" t="n">
        <f aca="false">E5+E6+E7</f>
        <v>6597480.23136008</v>
      </c>
      <c r="F8" s="26" t="n">
        <f aca="false">F5+F6+F7</f>
        <v>6533878.55772456</v>
      </c>
      <c r="G8" s="26" t="n">
        <f aca="false">G5+G6+G7</f>
        <v>6789806.63954871</v>
      </c>
      <c r="H8" s="26" t="n">
        <f aca="false">H5+H6+H7</f>
        <v>7370937.55226546</v>
      </c>
    </row>
    <row r="10" customFormat="false" ht="15" hidden="false" customHeight="false" outlineLevel="0" collapsed="false">
      <c r="B10" s="8" t="s">
        <v>117</v>
      </c>
      <c r="C10" s="9" t="n">
        <f aca="false">ASM_Bldg_Gross+ASM_Equip_Gross-ASM_Accum_Depr_D0</f>
        <v>29000000</v>
      </c>
      <c r="D10" s="9" t="n">
        <f aca="false">Capex_Depreciation!C19</f>
        <v>27563690</v>
      </c>
      <c r="E10" s="9" t="n">
        <f aca="false">Capex_Depreciation!D19</f>
        <v>26146011.4625</v>
      </c>
      <c r="F10" s="9" t="n">
        <f aca="false">Capex_Depreciation!E19</f>
        <v>24747631.830875</v>
      </c>
      <c r="G10" s="9" t="n">
        <f aca="false">Capex_Depreciation!F19</f>
        <v>23369239.9474597</v>
      </c>
      <c r="H10" s="9" t="n">
        <f aca="false">Capex_Depreciation!G19</f>
        <v>22011546.7047732</v>
      </c>
    </row>
    <row r="12" customFormat="false" ht="15" hidden="false" customHeight="false" outlineLevel="0" collapsed="false">
      <c r="B12" s="24" t="s">
        <v>201</v>
      </c>
      <c r="C12" s="25" t="n">
        <f aca="false">C8+C10</f>
        <v>36710237.8082192</v>
      </c>
      <c r="D12" s="25" t="n">
        <f aca="false">D8+D10</f>
        <v>34538804.9510763</v>
      </c>
      <c r="E12" s="25" t="n">
        <f aca="false">E8+E10</f>
        <v>32743491.6938601</v>
      </c>
      <c r="F12" s="25" t="n">
        <f aca="false">F8+F10</f>
        <v>31281510.3885996</v>
      </c>
      <c r="G12" s="25" t="n">
        <f aca="false">G8+G10</f>
        <v>30159046.5870084</v>
      </c>
      <c r="H12" s="25" t="n">
        <f aca="false">H8+H10</f>
        <v>29382484.2570387</v>
      </c>
    </row>
    <row r="13" customFormat="false" ht="15" hidden="false" customHeight="false" outlineLevel="0" collapsed="false">
      <c r="B13" s="5" t="s">
        <v>202</v>
      </c>
      <c r="C13" s="6"/>
      <c r="D13" s="6"/>
      <c r="E13" s="6"/>
      <c r="F13" s="6"/>
      <c r="G13" s="6"/>
      <c r="H13" s="6"/>
      <c r="I13" s="6"/>
    </row>
    <row r="14" customFormat="false" ht="15" hidden="false" customHeight="false" outlineLevel="0" collapsed="false">
      <c r="B14" s="8" t="s">
        <v>147</v>
      </c>
      <c r="C14" s="9" t="n">
        <f aca="false">WC_Open_AP</f>
        <v>986446.849315069</v>
      </c>
      <c r="D14" s="9" t="n">
        <f aca="false">Working_Capital!C18</f>
        <v>986446.849315069</v>
      </c>
      <c r="E14" s="9" t="n">
        <f aca="false">Working_Capital!D18</f>
        <v>1036981.5010274</v>
      </c>
      <c r="F14" s="9" t="n">
        <f aca="false">Working_Capital!E18</f>
        <v>1089326.47860616</v>
      </c>
      <c r="G14" s="9" t="n">
        <f aca="false">Working_Capital!F18</f>
        <v>1143539.82306532</v>
      </c>
      <c r="H14" s="9" t="n">
        <f aca="false">Working_Capital!G18</f>
        <v>1199681.34175459</v>
      </c>
    </row>
    <row r="15" customFormat="false" ht="15" hidden="false" customHeight="false" outlineLevel="0" collapsed="false">
      <c r="B15" s="8" t="s">
        <v>203</v>
      </c>
      <c r="C15" s="9" t="n">
        <f aca="false">DS_Annual_Repay</f>
        <v>2857142.85714286</v>
      </c>
      <c r="D15" s="9" t="n">
        <f aca="false">Debt_Schedule!C13</f>
        <v>2857142.85714286</v>
      </c>
      <c r="E15" s="9" t="n">
        <f aca="false">Debt_Schedule!D13</f>
        <v>2857142.85714286</v>
      </c>
      <c r="F15" s="9" t="n">
        <f aca="false">Debt_Schedule!E13</f>
        <v>2857142.85714286</v>
      </c>
      <c r="G15" s="9" t="n">
        <f aca="false">Debt_Schedule!F13</f>
        <v>2857142.85714286</v>
      </c>
      <c r="H15" s="9" t="n">
        <f aca="false">Debt_Schedule!G13</f>
        <v>2857142.85714286</v>
      </c>
    </row>
    <row r="16" customFormat="false" ht="15" hidden="false" customHeight="false" outlineLevel="0" collapsed="false">
      <c r="B16" s="24" t="s">
        <v>204</v>
      </c>
      <c r="C16" s="26" t="n">
        <f aca="false">C14+C15</f>
        <v>3843589.70645793</v>
      </c>
      <c r="D16" s="26" t="n">
        <f aca="false">D14+D15</f>
        <v>3843589.70645793</v>
      </c>
      <c r="E16" s="26" t="n">
        <f aca="false">E14+E15</f>
        <v>3894124.35817025</v>
      </c>
      <c r="F16" s="26" t="n">
        <f aca="false">F14+F15</f>
        <v>3946469.33574902</v>
      </c>
      <c r="G16" s="26" t="n">
        <f aca="false">G14+G15</f>
        <v>4000682.68020817</v>
      </c>
      <c r="H16" s="26" t="n">
        <f aca="false">H14+H15</f>
        <v>4056824.19889745</v>
      </c>
    </row>
    <row r="18" customFormat="false" ht="15" hidden="false" customHeight="false" outlineLevel="0" collapsed="false">
      <c r="B18" s="8" t="s">
        <v>168</v>
      </c>
      <c r="C18" s="9" t="n">
        <f aca="false">ASM_Loan_Opening-DS_Annual_Repay</f>
        <v>17142857.1428571</v>
      </c>
      <c r="D18" s="9" t="n">
        <f aca="false">Debt_Schedule!C14</f>
        <v>14285714.2857143</v>
      </c>
      <c r="E18" s="9" t="n">
        <f aca="false">Debt_Schedule!D14</f>
        <v>11428571.4285714</v>
      </c>
      <c r="F18" s="9" t="n">
        <f aca="false">Debt_Schedule!E14</f>
        <v>8571428.57142857</v>
      </c>
      <c r="G18" s="9" t="n">
        <f aca="false">Debt_Schedule!F14</f>
        <v>5714285.71428571</v>
      </c>
      <c r="H18" s="9" t="n">
        <f aca="false">Debt_Schedule!G14</f>
        <v>2857142.85714285</v>
      </c>
    </row>
    <row r="20" customFormat="false" ht="15" hidden="false" customHeight="false" outlineLevel="0" collapsed="false">
      <c r="B20" s="24" t="s">
        <v>205</v>
      </c>
      <c r="C20" s="25" t="n">
        <f aca="false">C16+C18</f>
        <v>20986446.8493151</v>
      </c>
      <c r="D20" s="25" t="n">
        <f aca="false">D16+D18</f>
        <v>18129303.9921722</v>
      </c>
      <c r="E20" s="25" t="n">
        <f aca="false">E16+E18</f>
        <v>15322695.7867417</v>
      </c>
      <c r="F20" s="25" t="n">
        <f aca="false">F16+F18</f>
        <v>12517897.9071776</v>
      </c>
      <c r="G20" s="25" t="n">
        <f aca="false">G16+G18</f>
        <v>9714968.39449388</v>
      </c>
      <c r="H20" s="25" t="n">
        <f aca="false">H16+H18</f>
        <v>6913967.0560403</v>
      </c>
    </row>
    <row r="21" customFormat="false" ht="15" hidden="false" customHeight="false" outlineLevel="0" collapsed="false">
      <c r="B21" s="5" t="s">
        <v>206</v>
      </c>
      <c r="C21" s="6"/>
      <c r="D21" s="6"/>
      <c r="E21" s="6"/>
      <c r="F21" s="6"/>
      <c r="G21" s="6"/>
      <c r="H21" s="6"/>
      <c r="I21" s="6"/>
    </row>
    <row r="22" customFormat="false" ht="15" hidden="false" customHeight="false" outlineLevel="0" collapsed="false">
      <c r="B22" s="8" t="s">
        <v>207</v>
      </c>
      <c r="C22" s="9" t="n">
        <f aca="false">ASM_Share_Capital</f>
        <v>15000000</v>
      </c>
      <c r="D22" s="9" t="n">
        <f aca="false">ASM_Share_Capital</f>
        <v>15000000</v>
      </c>
      <c r="E22" s="9" t="n">
        <f aca="false">ASM_Share_Capital</f>
        <v>15000000</v>
      </c>
      <c r="F22" s="9" t="n">
        <f aca="false">ASM_Share_Capital</f>
        <v>15000000</v>
      </c>
      <c r="G22" s="9" t="n">
        <f aca="false">ASM_Share_Capital</f>
        <v>15000000</v>
      </c>
      <c r="H22" s="9" t="n">
        <f aca="false">ASM_Share_Capital</f>
        <v>15000000</v>
      </c>
    </row>
    <row r="23" customFormat="false" ht="15" hidden="false" customHeight="false" outlineLevel="0" collapsed="false">
      <c r="B23" s="8" t="s">
        <v>208</v>
      </c>
      <c r="C23" s="27" t="n">
        <f aca="false">C12-C20-ASM_Share_Capital</f>
        <v>723790.95890411</v>
      </c>
      <c r="D23" s="9" t="n">
        <f aca="false">$C$23</f>
        <v>723790.95890411</v>
      </c>
      <c r="E23" s="9" t="n">
        <f aca="false">$C$23</f>
        <v>723790.95890411</v>
      </c>
      <c r="F23" s="9" t="n">
        <f aca="false">$C$23</f>
        <v>723790.95890411</v>
      </c>
      <c r="G23" s="9" t="n">
        <f aca="false">$C$23</f>
        <v>723790.95890411</v>
      </c>
      <c r="H23" s="9" t="n">
        <f aca="false">$C$23</f>
        <v>723790.95890411</v>
      </c>
    </row>
    <row r="24" customFormat="false" ht="15" hidden="false" customHeight="false" outlineLevel="0" collapsed="false">
      <c r="B24" s="8" t="s">
        <v>209</v>
      </c>
      <c r="C24" s="9" t="n">
        <f aca="false">0</f>
        <v>0</v>
      </c>
      <c r="D24" s="9" t="n">
        <f aca="false">Income_Statement!C28</f>
        <v>685709.999999999</v>
      </c>
      <c r="E24" s="9" t="n">
        <f aca="false">D24+Income_Statement!D28</f>
        <v>1697004.94821428</v>
      </c>
      <c r="F24" s="9" t="n">
        <f aca="false">E24+Income_Statement!E28</f>
        <v>3039821.52251786</v>
      </c>
      <c r="G24" s="9" t="n">
        <f aca="false">F24+Income_Statement!F28</f>
        <v>4720287.2336104</v>
      </c>
      <c r="H24" s="9" t="n">
        <f aca="false">G24+Income_Statement!G28</f>
        <v>6744726.24209429</v>
      </c>
    </row>
    <row r="25" customFormat="false" ht="15" hidden="false" customHeight="false" outlineLevel="0" collapsed="false">
      <c r="B25" s="24" t="s">
        <v>210</v>
      </c>
      <c r="C25" s="26" t="n">
        <f aca="false">C22+C23+C24</f>
        <v>15723790.9589041</v>
      </c>
      <c r="D25" s="26" t="n">
        <f aca="false">D22+D23+D24</f>
        <v>16409500.9589041</v>
      </c>
      <c r="E25" s="26" t="n">
        <f aca="false">E22+E23+E24</f>
        <v>17420795.9071184</v>
      </c>
      <c r="F25" s="26" t="n">
        <f aca="false">F22+F23+F24</f>
        <v>18763612.481422</v>
      </c>
      <c r="G25" s="26" t="n">
        <f aca="false">G22+G23+G24</f>
        <v>20444078.1925145</v>
      </c>
      <c r="H25" s="26" t="n">
        <f aca="false">H22+H23+H24</f>
        <v>22468517.2009984</v>
      </c>
    </row>
    <row r="27" customFormat="false" ht="15" hidden="false" customHeight="false" outlineLevel="0" collapsed="false">
      <c r="B27" s="24" t="s">
        <v>211</v>
      </c>
      <c r="C27" s="25" t="n">
        <f aca="false">C20+C25</f>
        <v>36710237.8082192</v>
      </c>
      <c r="D27" s="25" t="n">
        <f aca="false">D20+D25</f>
        <v>34538804.9510763</v>
      </c>
      <c r="E27" s="25" t="n">
        <f aca="false">E20+E25</f>
        <v>32743491.6938601</v>
      </c>
      <c r="F27" s="25" t="n">
        <f aca="false">F20+F25</f>
        <v>31281510.3885996</v>
      </c>
      <c r="G27" s="25" t="n">
        <f aca="false">G20+G25</f>
        <v>30159046.5870084</v>
      </c>
      <c r="H27" s="25" t="n">
        <f aca="false">H20+H25</f>
        <v>29382484.2570387</v>
      </c>
    </row>
    <row r="28" customFormat="false" ht="15" hidden="false" customHeight="false" outlineLevel="0" collapsed="false">
      <c r="B28" s="5" t="s">
        <v>212</v>
      </c>
      <c r="C28" s="6"/>
      <c r="D28" s="6"/>
      <c r="E28" s="6"/>
      <c r="F28" s="6"/>
      <c r="G28" s="6"/>
      <c r="H28" s="6"/>
      <c r="I28" s="6"/>
    </row>
    <row r="29" customFormat="false" ht="15" hidden="false" customHeight="false" outlineLevel="0" collapsed="false">
      <c r="B29" s="24" t="s">
        <v>213</v>
      </c>
      <c r="C29" s="27" t="n">
        <f aca="false">C12-C27</f>
        <v>0</v>
      </c>
      <c r="D29" s="27" t="n">
        <f aca="false">D12-D27</f>
        <v>0</v>
      </c>
      <c r="E29" s="27" t="n">
        <f aca="false">E12-E27</f>
        <v>0</v>
      </c>
      <c r="F29" s="27" t="n">
        <f aca="false">F12-F27</f>
        <v>0</v>
      </c>
      <c r="G29" s="27" t="n">
        <f aca="false">G12-G27</f>
        <v>0</v>
      </c>
      <c r="H29" s="27" t="n">
        <f aca="false">H12-H27</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3" min="3" style="0" width="62"/>
    <col collapsed="false" customWidth="true" hidden="false" outlineLevel="0" max="4" min="4"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214</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215</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7" t="s">
        <v>216</v>
      </c>
      <c r="C4" s="7" t="s">
        <v>217</v>
      </c>
      <c r="D4" s="7" t="s">
        <v>218</v>
      </c>
    </row>
    <row r="5" customFormat="false" ht="15" hidden="false" customHeight="false" outlineLevel="0" collapsed="false">
      <c r="B5" s="8" t="s">
        <v>219</v>
      </c>
      <c r="C5" s="29" t="s">
        <v>220</v>
      </c>
      <c r="D5" s="30" t="b">
        <f aca="false">ABS(BS_Total_Assets_D0-BS_Total_LE_D0)&lt;1</f>
        <v>1</v>
      </c>
    </row>
    <row r="6" customFormat="false" ht="15" hidden="false" customHeight="false" outlineLevel="0" collapsed="false">
      <c r="B6" s="8" t="s">
        <v>221</v>
      </c>
      <c r="C6" s="29" t="s">
        <v>220</v>
      </c>
      <c r="D6" s="30" t="b">
        <f aca="false">ABS(BS_Total_Assets-BS_Total_LE)&lt;1</f>
        <v>1</v>
      </c>
    </row>
    <row r="7" customFormat="false" ht="15" hidden="false" customHeight="false" outlineLevel="0" collapsed="false">
      <c r="B7" s="8" t="s">
        <v>222</v>
      </c>
      <c r="C7" s="29" t="s">
        <v>220</v>
      </c>
      <c r="D7" s="30" t="b">
        <f aca="false">ABS(Balance_Sheet!E12-Balance_Sheet!E27)&lt;1</f>
        <v>1</v>
      </c>
    </row>
    <row r="8" customFormat="false" ht="15" hidden="false" customHeight="false" outlineLevel="0" collapsed="false">
      <c r="B8" s="8" t="s">
        <v>223</v>
      </c>
      <c r="C8" s="29" t="s">
        <v>220</v>
      </c>
      <c r="D8" s="30" t="b">
        <f aca="false">ABS(Balance_Sheet!F12-Balance_Sheet!F27)&lt;1</f>
        <v>1</v>
      </c>
    </row>
    <row r="9" customFormat="false" ht="15" hidden="false" customHeight="false" outlineLevel="0" collapsed="false">
      <c r="B9" s="8" t="s">
        <v>224</v>
      </c>
      <c r="C9" s="29" t="s">
        <v>220</v>
      </c>
      <c r="D9" s="30" t="b">
        <f aca="false">ABS(Balance_Sheet!G12-Balance_Sheet!G27)&lt;1</f>
        <v>1</v>
      </c>
    </row>
    <row r="10" customFormat="false" ht="15" hidden="false" customHeight="false" outlineLevel="0" collapsed="false">
      <c r="B10" s="8" t="s">
        <v>225</v>
      </c>
      <c r="C10" s="29" t="s">
        <v>220</v>
      </c>
      <c r="D10" s="30" t="b">
        <f aca="false">ABS(Balance_Sheet!H12-Balance_Sheet!H27)&lt;1</f>
        <v>1</v>
      </c>
    </row>
    <row r="12" customFormat="false" ht="15" hidden="false" customHeight="false" outlineLevel="0" collapsed="false">
      <c r="B12" s="8" t="s">
        <v>226</v>
      </c>
      <c r="C12" s="29" t="s">
        <v>220</v>
      </c>
      <c r="D12" s="30" t="b">
        <f aca="false">MIN(Balance_Sheet!D5,Balance_Sheet!E5,Balance_Sheet!F5,Balance_Sheet!G5,Balance_Sheet!H5)&gt;=0</f>
        <v>1</v>
      </c>
    </row>
    <row r="13" customFormat="false" ht="15" hidden="false" customHeight="false" outlineLevel="0" collapsed="false">
      <c r="B13" s="8" t="s">
        <v>227</v>
      </c>
      <c r="C13" s="29" t="s">
        <v>220</v>
      </c>
      <c r="D13" s="30" t="b">
        <f aca="false">AND(Balance_Sheet!E18&lt;Balance_Sheet!D18,Balance_Sheet!F18&lt;Balance_Sheet!E18)</f>
        <v>1</v>
      </c>
    </row>
    <row r="14" customFormat="false" ht="15" hidden="false" customHeight="false" outlineLevel="0" collapsed="false">
      <c r="B14" s="8" t="s">
        <v>228</v>
      </c>
      <c r="C14" s="29" t="s">
        <v>229</v>
      </c>
      <c r="D14" s="30" t="b">
        <f aca="false">AND(Income_Statement!C14&gt;=GM_Floor,Income_Statement!C14&lt;=GM_Ceiling)</f>
        <v>1</v>
      </c>
    </row>
    <row r="15" customFormat="false" ht="15" hidden="false" customHeight="false" outlineLevel="0" collapsed="false">
      <c r="B15" s="8" t="s">
        <v>230</v>
      </c>
      <c r="C15" s="29" t="s">
        <v>220</v>
      </c>
      <c r="D15" s="30" t="b">
        <f aca="false">AND(WC_Open_AR&gt;0,WC_Open_Inv&gt;0)</f>
        <v>1</v>
      </c>
    </row>
    <row r="16" customFormat="false" ht="15" hidden="false" customHeight="false" outlineLevel="0" collapsed="false">
      <c r="B16" s="8" t="s">
        <v>231</v>
      </c>
      <c r="C16" s="29" t="s">
        <v>220</v>
      </c>
      <c r="D16" s="30" t="b">
        <f aca="false">CD_Annual_Depr&gt;0</f>
        <v>1</v>
      </c>
    </row>
    <row r="17" customFormat="false" ht="15" hidden="false" customHeight="false" outlineLevel="0" collapsed="false">
      <c r="B17" s="8" t="s">
        <v>232</v>
      </c>
      <c r="C17" s="29" t="s">
        <v>220</v>
      </c>
      <c r="D17" s="30" t="b">
        <f aca="false">ABS(Debt_Schedule!D11)&lt;ABS(Debt_Schedule!C11)</f>
        <v>1</v>
      </c>
    </row>
    <row r="18" customFormat="false" ht="15" hidden="false" customHeight="false" outlineLevel="0" collapsed="false">
      <c r="B18" s="8" t="s">
        <v>233</v>
      </c>
      <c r="C18" s="29" t="s">
        <v>220</v>
      </c>
      <c r="D18" s="30" t="b">
        <f aca="false">AND(WC_AR_Close&gt;0,WC_Inv_Close&gt;0,WC_AP_Close&gt;0)</f>
        <v>1</v>
      </c>
    </row>
    <row r="19" customFormat="false" ht="15" hidden="false" customHeight="false" outlineLevel="0" collapsed="false">
      <c r="B19" s="8" t="s">
        <v>234</v>
      </c>
      <c r="C19" s="29" t="s">
        <v>235</v>
      </c>
      <c r="D19" s="30" t="b">
        <f aca="false">Income_Statement!E28&gt;0</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1" t="s">
        <v>236</v>
      </c>
    </row>
    <row r="3" customFormat="false" ht="3.75" hidden="false" customHeight="true" outlineLevel="0" collapsed="false">
      <c r="B3" s="32"/>
    </row>
    <row r="5" customFormat="false" ht="19.5" hidden="false" customHeight="true" outlineLevel="0" collapsed="false">
      <c r="B5" s="33" t="s">
        <v>237</v>
      </c>
    </row>
    <row r="6" customFormat="false" ht="48" hidden="false" customHeight="true" outlineLevel="0" collapsed="false">
      <c r="B6" s="34" t="s">
        <v>238</v>
      </c>
    </row>
    <row r="8" customFormat="false" ht="19.5" hidden="false" customHeight="true" outlineLevel="0" collapsed="false">
      <c r="B8" s="33" t="s">
        <v>239</v>
      </c>
    </row>
    <row r="9" customFormat="false" ht="61.5" hidden="false" customHeight="true" outlineLevel="0" collapsed="false">
      <c r="B9" s="34" t="s">
        <v>240</v>
      </c>
    </row>
    <row r="11" customFormat="false" ht="19.5" hidden="false" customHeight="true" outlineLevel="0" collapsed="false">
      <c r="B11" s="33" t="s">
        <v>241</v>
      </c>
    </row>
    <row r="12" customFormat="false" ht="75.75" hidden="false" customHeight="true" outlineLevel="0" collapsed="false">
      <c r="B12" s="34" t="s">
        <v>242</v>
      </c>
    </row>
    <row r="14" customFormat="false" ht="19.5" hidden="false" customHeight="true" outlineLevel="0" collapsed="false">
      <c r="B14" s="33" t="s">
        <v>243</v>
      </c>
    </row>
    <row r="15" customFormat="false" ht="61.5" hidden="false" customHeight="true" outlineLevel="0" collapsed="false">
      <c r="B15" s="34" t="s">
        <v>244</v>
      </c>
    </row>
    <row r="17" customFormat="false" ht="19.5" hidden="false" customHeight="true" outlineLevel="0" collapsed="false">
      <c r="B17" s="33" t="s">
        <v>245</v>
      </c>
    </row>
    <row r="18" customFormat="false" ht="33.75" hidden="false" customHeight="true" outlineLevel="0" collapsed="false">
      <c r="B18" s="34" t="s">
        <v>246</v>
      </c>
    </row>
    <row r="20" customFormat="false" ht="19.5" hidden="false" customHeight="true" outlineLevel="0" collapsed="false">
      <c r="B20" s="33" t="s">
        <v>247</v>
      </c>
    </row>
    <row r="21" customFormat="false" ht="33.75" hidden="false" customHeight="true" outlineLevel="0" collapsed="false">
      <c r="B21" s="34" t="s">
        <v>248</v>
      </c>
    </row>
    <row r="23" customFormat="false" ht="21.75" hidden="false" customHeight="true" outlineLevel="0" collapsed="false">
      <c r="B23" s="35" t="s">
        <v>249</v>
      </c>
    </row>
    <row r="25" customFormat="false" ht="18" hidden="false" customHeight="true" outlineLevel="0" collapsed="false">
      <c r="B25" s="36" t="s">
        <v>250</v>
      </c>
    </row>
    <row r="26" customFormat="false" ht="201.75" hidden="false" customHeight="true" outlineLevel="0" collapsed="false">
      <c r="B26" s="37" t="s">
        <v>251</v>
      </c>
    </row>
    <row r="28" customFormat="false" ht="18" hidden="false" customHeight="true" outlineLevel="0" collapsed="false">
      <c r="B28" s="38" t="s">
        <v>252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3" min="3" style="0" width="18"/>
    <col collapsed="false" customWidth="true" hidden="false" outlineLevel="0" max="4" min="4"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28</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18" t="s">
        <v>29</v>
      </c>
    </row>
    <row r="6" customFormat="false" ht="15" hidden="false" customHeight="false" outlineLevel="0" collapsed="false">
      <c r="B6" s="5" t="s">
        <v>30</v>
      </c>
      <c r="C6" s="6"/>
      <c r="D6" s="6"/>
      <c r="E6" s="6"/>
    </row>
    <row r="7" customFormat="false" ht="15" hidden="false" customHeight="false" outlineLevel="0" collapsed="false">
      <c r="B7" s="8" t="s">
        <v>31</v>
      </c>
      <c r="C7" s="19" t="n">
        <v>3</v>
      </c>
      <c r="D7" s="18" t="s">
        <v>32</v>
      </c>
    </row>
    <row r="8" customFormat="false" ht="15" hidden="false" customHeight="false" outlineLevel="0" collapsed="false">
      <c r="B8" s="8" t="s">
        <v>33</v>
      </c>
      <c r="C8" s="20" t="n">
        <v>2000000</v>
      </c>
      <c r="D8" s="18" t="s">
        <v>34</v>
      </c>
    </row>
    <row r="9" customFormat="false" ht="15" hidden="false" customHeight="false" outlineLevel="0" collapsed="false">
      <c r="B9" s="8" t="s">
        <v>16</v>
      </c>
      <c r="C9" s="21" t="n">
        <v>0.72</v>
      </c>
      <c r="D9" s="18" t="s">
        <v>35</v>
      </c>
    </row>
    <row r="10" customFormat="false" ht="15" hidden="false" customHeight="false" outlineLevel="0" collapsed="false">
      <c r="B10" s="8" t="s">
        <v>36</v>
      </c>
      <c r="C10" s="21" t="n">
        <v>0.02</v>
      </c>
      <c r="D10" s="18" t="s">
        <v>37</v>
      </c>
    </row>
    <row r="11" customFormat="false" ht="15" hidden="false" customHeight="false" outlineLevel="0" collapsed="false">
      <c r="B11" s="8" t="s">
        <v>38</v>
      </c>
      <c r="C11" s="21" t="n">
        <v>0.9</v>
      </c>
      <c r="D11" s="18" t="s">
        <v>35</v>
      </c>
    </row>
    <row r="12" customFormat="false" ht="15" hidden="false" customHeight="false" outlineLevel="0" collapsed="false">
      <c r="B12" s="8" t="s">
        <v>39</v>
      </c>
      <c r="C12" s="21" t="n">
        <v>0.65</v>
      </c>
      <c r="D12" s="18" t="s">
        <v>35</v>
      </c>
    </row>
    <row r="13" customFormat="false" ht="15" hidden="false" customHeight="false" outlineLevel="0" collapsed="false">
      <c r="B13" s="8" t="s">
        <v>17</v>
      </c>
      <c r="C13" s="22" t="n">
        <v>4.5</v>
      </c>
      <c r="D13" s="18" t="s">
        <v>40</v>
      </c>
    </row>
    <row r="14" customFormat="false" ht="15" hidden="false" customHeight="false" outlineLevel="0" collapsed="false">
      <c r="B14" s="8" t="s">
        <v>41</v>
      </c>
      <c r="C14" s="23" t="n">
        <v>0.025</v>
      </c>
      <c r="D14" s="18" t="s">
        <v>42</v>
      </c>
    </row>
    <row r="15" customFormat="false" ht="15" hidden="false" customHeight="false" outlineLevel="0" collapsed="false">
      <c r="B15" s="8" t="s">
        <v>43</v>
      </c>
      <c r="C15" s="22" t="n">
        <v>2.1</v>
      </c>
      <c r="D15" s="18" t="s">
        <v>40</v>
      </c>
    </row>
    <row r="16" customFormat="false" ht="15" hidden="false" customHeight="false" outlineLevel="0" collapsed="false">
      <c r="B16" s="8" t="s">
        <v>44</v>
      </c>
      <c r="C16" s="23" t="n">
        <v>0.015</v>
      </c>
      <c r="D16" s="18" t="s">
        <v>42</v>
      </c>
    </row>
    <row r="17" customFormat="false" ht="15" hidden="false" customHeight="false" outlineLevel="0" collapsed="false">
      <c r="B17" s="8" t="s">
        <v>45</v>
      </c>
      <c r="C17" s="21" t="n">
        <v>0.1</v>
      </c>
      <c r="D17" s="18" t="s">
        <v>46</v>
      </c>
    </row>
    <row r="18" customFormat="false" ht="15" hidden="false" customHeight="false" outlineLevel="0" collapsed="false">
      <c r="B18" s="5" t="s">
        <v>47</v>
      </c>
      <c r="C18" s="6"/>
      <c r="D18" s="6"/>
      <c r="E18" s="6"/>
    </row>
    <row r="19" customFormat="false" ht="15" hidden="false" customHeight="false" outlineLevel="0" collapsed="false">
      <c r="B19" s="8" t="s">
        <v>48</v>
      </c>
      <c r="C19" s="21" t="n">
        <v>0.28</v>
      </c>
      <c r="D19" s="18" t="s">
        <v>49</v>
      </c>
    </row>
    <row r="20" customFormat="false" ht="15" hidden="false" customHeight="false" outlineLevel="0" collapsed="false">
      <c r="B20" s="8" t="s">
        <v>50</v>
      </c>
      <c r="C20" s="21" t="n">
        <v>0.08</v>
      </c>
      <c r="D20" s="18" t="s">
        <v>49</v>
      </c>
    </row>
    <row r="21" customFormat="false" ht="15" hidden="false" customHeight="false" outlineLevel="0" collapsed="false">
      <c r="B21" s="8" t="s">
        <v>51</v>
      </c>
      <c r="C21" s="21" t="n">
        <v>0.12</v>
      </c>
      <c r="D21" s="18" t="s">
        <v>49</v>
      </c>
    </row>
    <row r="22" customFormat="false" ht="15" hidden="false" customHeight="false" outlineLevel="0" collapsed="false">
      <c r="B22" s="8" t="s">
        <v>52</v>
      </c>
      <c r="C22" s="21" t="n">
        <v>0.07</v>
      </c>
      <c r="D22" s="18" t="s">
        <v>49</v>
      </c>
    </row>
    <row r="23" customFormat="false" ht="15" hidden="false" customHeight="false" outlineLevel="0" collapsed="false">
      <c r="B23" s="5" t="s">
        <v>53</v>
      </c>
      <c r="C23" s="6"/>
      <c r="D23" s="6"/>
      <c r="E23" s="6"/>
    </row>
    <row r="24" customFormat="false" ht="15" hidden="false" customHeight="false" outlineLevel="0" collapsed="false">
      <c r="B24" s="8" t="s">
        <v>54</v>
      </c>
      <c r="C24" s="21" t="n">
        <v>0.12</v>
      </c>
      <c r="D24" s="18" t="s">
        <v>49</v>
      </c>
    </row>
    <row r="25" customFormat="false" ht="15" hidden="false" customHeight="false" outlineLevel="0" collapsed="false">
      <c r="B25" s="8" t="s">
        <v>55</v>
      </c>
      <c r="C25" s="20" t="n">
        <v>150000</v>
      </c>
      <c r="D25" s="18" t="s">
        <v>56</v>
      </c>
    </row>
    <row r="26" customFormat="false" ht="15" hidden="false" customHeight="false" outlineLevel="0" collapsed="false">
      <c r="B26" s="8" t="s">
        <v>57</v>
      </c>
      <c r="C26" s="23" t="n">
        <v>0.025</v>
      </c>
      <c r="D26" s="18" t="s">
        <v>42</v>
      </c>
    </row>
    <row r="27" customFormat="false" ht="15" hidden="false" customHeight="false" outlineLevel="0" collapsed="false">
      <c r="B27" s="8" t="s">
        <v>58</v>
      </c>
      <c r="C27" s="21" t="n">
        <v>0.03</v>
      </c>
      <c r="D27" s="18" t="s">
        <v>49</v>
      </c>
    </row>
    <row r="28" customFormat="false" ht="15" hidden="false" customHeight="false" outlineLevel="0" collapsed="false">
      <c r="B28" s="5" t="s">
        <v>59</v>
      </c>
      <c r="C28" s="6"/>
      <c r="D28" s="6"/>
      <c r="E28" s="6"/>
    </row>
    <row r="29" customFormat="false" ht="15" hidden="false" customHeight="false" outlineLevel="0" collapsed="false">
      <c r="B29" s="8" t="s">
        <v>60</v>
      </c>
      <c r="C29" s="21" t="n">
        <v>0.25</v>
      </c>
      <c r="D29" s="18" t="s">
        <v>35</v>
      </c>
    </row>
    <row r="30" customFormat="false" ht="15" hidden="false" customHeight="false" outlineLevel="0" collapsed="false">
      <c r="B30" s="5" t="s">
        <v>61</v>
      </c>
      <c r="C30" s="6"/>
      <c r="D30" s="6"/>
      <c r="E30" s="6"/>
    </row>
    <row r="31" customFormat="false" ht="15" hidden="false" customHeight="false" outlineLevel="0" collapsed="false">
      <c r="B31" s="8" t="s">
        <v>62</v>
      </c>
      <c r="C31" s="19" t="n">
        <v>35</v>
      </c>
      <c r="D31" s="18" t="s">
        <v>63</v>
      </c>
    </row>
    <row r="32" customFormat="false" ht="15" hidden="false" customHeight="false" outlineLevel="0" collapsed="false">
      <c r="B32" s="8" t="s">
        <v>64</v>
      </c>
      <c r="C32" s="19" t="n">
        <v>60</v>
      </c>
      <c r="D32" s="18" t="s">
        <v>63</v>
      </c>
    </row>
    <row r="33" customFormat="false" ht="15" hidden="false" customHeight="false" outlineLevel="0" collapsed="false">
      <c r="B33" s="8" t="s">
        <v>65</v>
      </c>
      <c r="C33" s="19" t="n">
        <v>45</v>
      </c>
      <c r="D33" s="18" t="s">
        <v>63</v>
      </c>
    </row>
    <row r="34" customFormat="false" ht="15" hidden="false" customHeight="false" outlineLevel="0" collapsed="false">
      <c r="B34" s="5" t="s">
        <v>66</v>
      </c>
      <c r="C34" s="6"/>
      <c r="D34" s="6"/>
      <c r="E34" s="6"/>
    </row>
    <row r="35" customFormat="false" ht="15" hidden="false" customHeight="false" outlineLevel="0" collapsed="false">
      <c r="B35" s="8" t="s">
        <v>67</v>
      </c>
      <c r="C35" s="21" t="n">
        <v>0.025</v>
      </c>
      <c r="D35" s="18" t="s">
        <v>49</v>
      </c>
    </row>
    <row r="36" customFormat="false" ht="15" hidden="false" customHeight="false" outlineLevel="0" collapsed="false">
      <c r="B36" s="8" t="s">
        <v>68</v>
      </c>
      <c r="C36" s="20" t="n">
        <v>0</v>
      </c>
      <c r="D36" s="18" t="s">
        <v>56</v>
      </c>
    </row>
    <row r="37" customFormat="false" ht="15" hidden="false" customHeight="false" outlineLevel="0" collapsed="false">
      <c r="B37" s="5" t="s">
        <v>69</v>
      </c>
      <c r="C37" s="6"/>
      <c r="D37" s="6"/>
      <c r="E37" s="6"/>
    </row>
    <row r="38" customFormat="false" ht="15" hidden="false" customHeight="false" outlineLevel="0" collapsed="false">
      <c r="B38" s="8" t="s">
        <v>70</v>
      </c>
      <c r="C38" s="20" t="n">
        <v>18000000</v>
      </c>
      <c r="D38" s="18" t="s">
        <v>56</v>
      </c>
    </row>
    <row r="39" customFormat="false" ht="15" hidden="false" customHeight="false" outlineLevel="0" collapsed="false">
      <c r="B39" s="8" t="s">
        <v>71</v>
      </c>
      <c r="C39" s="20" t="n">
        <v>12000000</v>
      </c>
      <c r="D39" s="18" t="s">
        <v>56</v>
      </c>
    </row>
    <row r="40" customFormat="false" ht="15" hidden="false" customHeight="false" outlineLevel="0" collapsed="false">
      <c r="B40" s="8" t="s">
        <v>72</v>
      </c>
      <c r="C40" s="19" t="n">
        <v>30</v>
      </c>
      <c r="D40" s="18" t="s">
        <v>73</v>
      </c>
    </row>
    <row r="41" customFormat="false" ht="15" hidden="false" customHeight="false" outlineLevel="0" collapsed="false">
      <c r="B41" s="8" t="s">
        <v>74</v>
      </c>
      <c r="C41" s="19" t="n">
        <v>10</v>
      </c>
      <c r="D41" s="18" t="s">
        <v>73</v>
      </c>
    </row>
    <row r="42" customFormat="false" ht="15" hidden="false" customHeight="false" outlineLevel="0" collapsed="false">
      <c r="B42" s="8" t="s">
        <v>75</v>
      </c>
      <c r="C42" s="20" t="n">
        <v>1000000</v>
      </c>
      <c r="D42" s="18" t="s">
        <v>56</v>
      </c>
    </row>
    <row r="43" customFormat="false" ht="15" hidden="false" customHeight="false" outlineLevel="0" collapsed="false">
      <c r="B43" s="5" t="s">
        <v>76</v>
      </c>
      <c r="C43" s="6"/>
      <c r="D43" s="6"/>
      <c r="E43" s="6"/>
    </row>
    <row r="44" customFormat="false" ht="15" hidden="false" customHeight="false" outlineLevel="0" collapsed="false">
      <c r="B44" s="8" t="s">
        <v>77</v>
      </c>
      <c r="C44" s="20" t="n">
        <v>20000000</v>
      </c>
      <c r="D44" s="18" t="s">
        <v>56</v>
      </c>
    </row>
    <row r="45" customFormat="false" ht="15" hidden="false" customHeight="false" outlineLevel="0" collapsed="false">
      <c r="B45" s="8" t="s">
        <v>78</v>
      </c>
      <c r="C45" s="19" t="n">
        <v>7</v>
      </c>
      <c r="D45" s="18" t="s">
        <v>73</v>
      </c>
    </row>
    <row r="46" customFormat="false" ht="15" hidden="false" customHeight="false" outlineLevel="0" collapsed="false">
      <c r="B46" s="8" t="s">
        <v>18</v>
      </c>
      <c r="C46" s="23" t="n">
        <v>0.075</v>
      </c>
      <c r="D46" s="18" t="s">
        <v>42</v>
      </c>
    </row>
    <row r="47" customFormat="false" ht="15" hidden="false" customHeight="false" outlineLevel="0" collapsed="false">
      <c r="B47" s="5" t="s">
        <v>79</v>
      </c>
      <c r="C47" s="6"/>
      <c r="D47" s="6"/>
      <c r="E47" s="6"/>
    </row>
    <row r="48" customFormat="false" ht="15" hidden="false" customHeight="false" outlineLevel="0" collapsed="false">
      <c r="B48" s="8" t="s">
        <v>80</v>
      </c>
      <c r="C48" s="20" t="n">
        <v>15000000</v>
      </c>
      <c r="D48" s="18" t="s">
        <v>56</v>
      </c>
    </row>
    <row r="49" customFormat="false" ht="15" hidden="false" customHeight="false" outlineLevel="0" collapsed="false">
      <c r="B49" s="8" t="s">
        <v>81</v>
      </c>
      <c r="C49" s="20" t="n">
        <v>5000000</v>
      </c>
      <c r="D49" s="18" t="s">
        <v>56</v>
      </c>
    </row>
    <row r="50" customFormat="false" ht="15" hidden="false" customHeight="false" outlineLevel="0" collapsed="false">
      <c r="B50" s="5" t="s">
        <v>82</v>
      </c>
      <c r="C50" s="6"/>
      <c r="D50" s="6"/>
      <c r="E50" s="6"/>
    </row>
    <row r="51" customFormat="false" ht="15" hidden="false" customHeight="false" outlineLevel="0" collapsed="false">
      <c r="B51" s="8" t="s">
        <v>83</v>
      </c>
      <c r="C51" s="21" t="n">
        <v>0.4</v>
      </c>
      <c r="D51" s="18" t="s">
        <v>35</v>
      </c>
    </row>
    <row r="52" customFormat="false" ht="15" hidden="false" customHeight="false" outlineLevel="0" collapsed="false">
      <c r="B52" s="8" t="s">
        <v>84</v>
      </c>
      <c r="C52" s="21" t="n">
        <v>0.52</v>
      </c>
      <c r="D52" s="18" t="s">
        <v>35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85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86</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C4" s="7" t="s">
        <v>4</v>
      </c>
      <c r="D4" s="7" t="s">
        <v>5</v>
      </c>
      <c r="E4" s="7" t="s">
        <v>6</v>
      </c>
      <c r="F4" s="7" t="s">
        <v>7</v>
      </c>
      <c r="G4" s="7" t="s">
        <v>8</v>
      </c>
    </row>
    <row r="5" customFormat="false" ht="15" hidden="false" customHeight="false" outlineLevel="0" collapsed="false">
      <c r="B5" s="8" t="s">
        <v>87</v>
      </c>
      <c r="C5" s="9" t="n">
        <f aca="false">ASM_Lines*ASM_Cap_Per_Line</f>
        <v>6000000</v>
      </c>
      <c r="D5" s="9" t="n">
        <f aca="false">ASM_Lines*ASM_Cap_Per_Line</f>
        <v>6000000</v>
      </c>
      <c r="E5" s="9" t="n">
        <f aca="false">ASM_Lines*ASM_Cap_Per_Line</f>
        <v>6000000</v>
      </c>
      <c r="F5" s="9" t="n">
        <f aca="false">ASM_Lines*ASM_Cap_Per_Line</f>
        <v>6000000</v>
      </c>
      <c r="G5" s="9" t="n">
        <f aca="false">ASM_Lines*ASM_Cap_Per_Line</f>
        <v>6000000</v>
      </c>
    </row>
    <row r="6" customFormat="false" ht="15" hidden="false" customHeight="false" outlineLevel="0" collapsed="false">
      <c r="B6" s="8" t="s">
        <v>88</v>
      </c>
      <c r="C6" s="11" t="n">
        <f aca="false">MIN(ASM_Util_Y1,ASM_Util_Cap)</f>
        <v>0.72</v>
      </c>
      <c r="D6" s="11" t="n">
        <f aca="false">MIN(C6+ASM_Util_Step,ASM_Util_Cap)</f>
        <v>0.74</v>
      </c>
      <c r="E6" s="11" t="n">
        <f aca="false">MIN(D6+ASM_Util_Step,ASM_Util_Cap)</f>
        <v>0.76</v>
      </c>
      <c r="F6" s="11" t="n">
        <f aca="false">MIN(E6+ASM_Util_Step,ASM_Util_Cap)</f>
        <v>0.78</v>
      </c>
      <c r="G6" s="11" t="n">
        <f aca="false">MIN(F6+ASM_Util_Step,ASM_Util_Cap)</f>
        <v>0.8</v>
      </c>
    </row>
    <row r="7" customFormat="false" ht="15" hidden="false" customHeight="false" outlineLevel="0" collapsed="false">
      <c r="B7" s="8" t="s">
        <v>89</v>
      </c>
      <c r="C7" s="9" t="n">
        <f aca="false">C5*C6</f>
        <v>4320000</v>
      </c>
      <c r="D7" s="9" t="n">
        <f aca="false">D5*D6</f>
        <v>4440000</v>
      </c>
      <c r="E7" s="9" t="n">
        <f aca="false">E5*E6</f>
        <v>4560000</v>
      </c>
      <c r="F7" s="9" t="n">
        <f aca="false">F5*F6</f>
        <v>4680000</v>
      </c>
      <c r="G7" s="9" t="n">
        <f aca="false">G5*G6</f>
        <v>4800000</v>
      </c>
    </row>
    <row r="8" customFormat="false" ht="15" hidden="false" customHeight="false" outlineLevel="0" collapsed="false">
      <c r="B8" s="8" t="s">
        <v>90</v>
      </c>
      <c r="C8" s="9" t="n">
        <f aca="false">C7*ASM_Branded_Split</f>
        <v>2808000</v>
      </c>
      <c r="D8" s="9" t="n">
        <f aca="false">D7*ASM_Branded_Split</f>
        <v>2886000</v>
      </c>
      <c r="E8" s="9" t="n">
        <f aca="false">E7*ASM_Branded_Split</f>
        <v>2964000</v>
      </c>
      <c r="F8" s="9" t="n">
        <f aca="false">F7*ASM_Branded_Split</f>
        <v>3042000</v>
      </c>
      <c r="G8" s="9" t="n">
        <f aca="false">G7*ASM_Branded_Split</f>
        <v>3120000</v>
      </c>
    </row>
    <row r="9" customFormat="false" ht="15" hidden="false" customHeight="false" outlineLevel="0" collapsed="false">
      <c r="B9" s="8" t="s">
        <v>91</v>
      </c>
      <c r="C9" s="9" t="n">
        <f aca="false">C7-C8</f>
        <v>1512000</v>
      </c>
      <c r="D9" s="9" t="n">
        <f aca="false">D7-D8</f>
        <v>1554000</v>
      </c>
      <c r="E9" s="9" t="n">
        <f aca="false">E7-E8</f>
        <v>1596000</v>
      </c>
      <c r="F9" s="9" t="n">
        <f aca="false">F7-F8</f>
        <v>1638000</v>
      </c>
      <c r="G9" s="9" t="n">
        <f aca="false">G7-G8</f>
        <v>1680000</v>
      </c>
    </row>
    <row r="11" customFormat="false" ht="15" hidden="false" customHeight="false" outlineLevel="0" collapsed="false">
      <c r="B11" s="8" t="s">
        <v>92</v>
      </c>
      <c r="C11" s="12" t="n">
        <f aca="false">ASM_Branded_Price</f>
        <v>4.5</v>
      </c>
      <c r="D11" s="12" t="n">
        <f aca="false">C11*(1+ASM_Branded_Esc)</f>
        <v>4.6125</v>
      </c>
      <c r="E11" s="12" t="n">
        <f aca="false">D11*(1+ASM_Branded_Esc)</f>
        <v>4.7278125</v>
      </c>
      <c r="F11" s="12" t="n">
        <f aca="false">E11*(1+ASM_Branded_Esc)</f>
        <v>4.8460078125</v>
      </c>
      <c r="G11" s="12" t="n">
        <f aca="false">F11*(1+ASM_Branded_Esc)</f>
        <v>4.9671580078125</v>
      </c>
    </row>
    <row r="12" customFormat="false" ht="15" hidden="false" customHeight="false" outlineLevel="0" collapsed="false">
      <c r="B12" s="8" t="s">
        <v>93</v>
      </c>
      <c r="C12" s="12" t="n">
        <f aca="false">ASM_CoP_Price</f>
        <v>2.1</v>
      </c>
      <c r="D12" s="12" t="n">
        <f aca="false">C12*(1+ASM_CoP_Esc)</f>
        <v>2.1315</v>
      </c>
      <c r="E12" s="12" t="n">
        <f aca="false">D12*(1+ASM_CoP_Esc)</f>
        <v>2.1634725</v>
      </c>
      <c r="F12" s="12" t="n">
        <f aca="false">E12*(1+ASM_CoP_Esc)</f>
        <v>2.1959245875</v>
      </c>
      <c r="G12" s="12" t="n">
        <f aca="false">F12*(1+ASM_CoP_Esc)</f>
        <v>2.2288634563125</v>
      </c>
    </row>
    <row r="14" customFormat="false" ht="15" hidden="false" customHeight="false" outlineLevel="0" collapsed="false">
      <c r="B14" s="8" t="s">
        <v>94</v>
      </c>
      <c r="C14" s="9" t="n">
        <f aca="false">C8*C11</f>
        <v>12636000</v>
      </c>
      <c r="D14" s="9" t="n">
        <f aca="false">D8*D11</f>
        <v>13311675</v>
      </c>
      <c r="E14" s="9" t="n">
        <f aca="false">E8*E11</f>
        <v>14013236.25</v>
      </c>
      <c r="F14" s="9" t="n">
        <f aca="false">F8*F11</f>
        <v>14741555.765625</v>
      </c>
      <c r="G14" s="9" t="n">
        <f aca="false">G8*G11</f>
        <v>15497532.984375</v>
      </c>
    </row>
    <row r="15" customFormat="false" ht="15" hidden="false" customHeight="false" outlineLevel="0" collapsed="false">
      <c r="B15" s="8" t="s">
        <v>95</v>
      </c>
      <c r="C15" s="9" t="n">
        <f aca="false">C9*C12</f>
        <v>3175200</v>
      </c>
      <c r="D15" s="9" t="n">
        <f aca="false">D9*D12</f>
        <v>3312351</v>
      </c>
      <c r="E15" s="9" t="n">
        <f aca="false">E9*E12</f>
        <v>3452902.11</v>
      </c>
      <c r="F15" s="9" t="n">
        <f aca="false">F9*F12</f>
        <v>3596924.474325</v>
      </c>
      <c r="G15" s="9" t="n">
        <f aca="false">G9*G12</f>
        <v>3744490.606605</v>
      </c>
    </row>
    <row r="17" customFormat="false" ht="15" hidden="false" customHeight="false" outlineLevel="0" collapsed="false">
      <c r="B17" s="8" t="s">
        <v>96</v>
      </c>
      <c r="C17" s="9" t="n">
        <f aca="false">-(C14*ASM_Trade_Spend)</f>
        <v>-1263600</v>
      </c>
      <c r="D17" s="9" t="n">
        <f aca="false">-(D14*ASM_Trade_Spend)</f>
        <v>-1331167.5</v>
      </c>
      <c r="E17" s="9" t="n">
        <f aca="false">-(E14*ASM_Trade_Spend)</f>
        <v>-1401323.625</v>
      </c>
      <c r="F17" s="9" t="n">
        <f aca="false">-(F14*ASM_Trade_Spend)</f>
        <v>-1474155.5765625</v>
      </c>
      <c r="G17" s="9" t="n">
        <f aca="false">-(G14*ASM_Trade_Spend)</f>
        <v>-1549753.2984375</v>
      </c>
    </row>
    <row r="18" customFormat="false" ht="15" hidden="false" customHeight="false" outlineLevel="0" collapsed="false">
      <c r="B18" s="8" t="s">
        <v>97</v>
      </c>
      <c r="C18" s="9" t="n">
        <f aca="false">C14+C17</f>
        <v>11372400</v>
      </c>
      <c r="D18" s="9" t="n">
        <f aca="false">D14+D17</f>
        <v>11980507.5</v>
      </c>
      <c r="E18" s="9" t="n">
        <f aca="false">E14+E17</f>
        <v>12611912.625</v>
      </c>
      <c r="F18" s="9" t="n">
        <f aca="false">F14+F17</f>
        <v>13267400.1890625</v>
      </c>
      <c r="G18" s="9" t="n">
        <f aca="false">G14+G17</f>
        <v>13947779.6859375</v>
      </c>
    </row>
    <row r="19" customFormat="false" ht="15" hidden="false" customHeight="false" outlineLevel="0" collapsed="false">
      <c r="B19" s="24" t="s">
        <v>98</v>
      </c>
      <c r="C19" s="25" t="n">
        <f aca="false">C18+C15</f>
        <v>14547600</v>
      </c>
      <c r="D19" s="25" t="n">
        <f aca="false">D18+D15</f>
        <v>15292858.5</v>
      </c>
      <c r="E19" s="25" t="n">
        <f aca="false">E18+E15</f>
        <v>16064814.735</v>
      </c>
      <c r="F19" s="25" t="n">
        <f aca="false">F18+F15</f>
        <v>16864324.6633875</v>
      </c>
      <c r="G19" s="25" t="n">
        <f aca="false">G18+G15</f>
        <v>17692270.2925425</v>
      </c>
    </row>
    <row r="20" customFormat="false" ht="15" hidden="false" customHeight="false" outlineLevel="0" collapsed="false">
      <c r="B20" s="5" t="s">
        <v>99</v>
      </c>
      <c r="C20" s="6"/>
      <c r="D20" s="6"/>
    </row>
    <row r="21" customFormat="false" ht="15" hidden="false" customHeight="false" outlineLevel="0" collapsed="false">
      <c r="B21" s="8" t="s">
        <v>100</v>
      </c>
      <c r="C21" s="9" t="n">
        <f aca="false">ASM_Lines*ASM_Cap_Per_Line*MIN(ASM_Util_Y1,ASM_Util_Cap)*ASM_Branded_Split*ASM_Branded_Price*(1-ASM_Trade_Spend)+ASM_Lines*ASM_Cap_Per_Line*MIN(ASM_Util_Y1,ASM_Util_Cap)*(1-ASM_Branded_Split)*ASM_CoP_Price</f>
        <v>14547600</v>
      </c>
    </row>
    <row r="22" customFormat="false" ht="15" hidden="false" customHeight="false" outlineLevel="0" collapsed="false">
      <c r="B22" s="8" t="s">
        <v>101</v>
      </c>
      <c r="C22" s="9" t="n">
        <f aca="false">RB_Open_Net_Rev*(ASM_RM_Pct+ASM_Pkg_Pct+ASM_DL_Pct+ASM_MFGOH_Pct)</f>
        <v>8001180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102</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103</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C4" s="7" t="s">
        <v>4</v>
      </c>
      <c r="D4" s="7" t="s">
        <v>5</v>
      </c>
      <c r="E4" s="7" t="s">
        <v>6</v>
      </c>
      <c r="F4" s="7" t="s">
        <v>7</v>
      </c>
      <c r="G4" s="7" t="s">
        <v>8</v>
      </c>
    </row>
    <row r="5" customFormat="false" ht="15" hidden="false" customHeight="false" outlineLevel="0" collapsed="false">
      <c r="B5" s="8" t="s">
        <v>104</v>
      </c>
      <c r="C5" s="9" t="n">
        <f aca="false">ASM_Bldg_Gross/ASM_Bldg_Life</f>
        <v>600000</v>
      </c>
      <c r="D5" s="9" t="n">
        <f aca="false">ASM_Bldg_Gross/ASM_Bldg_Life</f>
        <v>600000</v>
      </c>
      <c r="E5" s="9" t="n">
        <f aca="false">ASM_Bldg_Gross/ASM_Bldg_Life</f>
        <v>600000</v>
      </c>
      <c r="F5" s="9" t="n">
        <f aca="false">ASM_Bldg_Gross/ASM_Bldg_Life</f>
        <v>600000</v>
      </c>
      <c r="G5" s="9" t="n">
        <f aca="false">ASM_Bldg_Gross/ASM_Bldg_Life</f>
        <v>600000</v>
      </c>
    </row>
    <row r="6" customFormat="false" ht="15" hidden="false" customHeight="false" outlineLevel="0" collapsed="false">
      <c r="B6" s="8" t="s">
        <v>105</v>
      </c>
      <c r="C6" s="9" t="n">
        <f aca="false">ASM_Equip_Gross/ASM_Equip_Life</f>
        <v>1200000</v>
      </c>
      <c r="D6" s="9" t="n">
        <f aca="false">ASM_Equip_Gross/ASM_Equip_Life</f>
        <v>1200000</v>
      </c>
      <c r="E6" s="9" t="n">
        <f aca="false">ASM_Equip_Gross/ASM_Equip_Life</f>
        <v>1200000</v>
      </c>
      <c r="F6" s="9" t="n">
        <f aca="false">ASM_Equip_Gross/ASM_Equip_Life</f>
        <v>1200000</v>
      </c>
      <c r="G6" s="9" t="n">
        <f aca="false">ASM_Equip_Gross/ASM_Equip_Life</f>
        <v>1200000</v>
      </c>
    </row>
    <row r="7" customFormat="false" ht="15" hidden="false" customHeight="false" outlineLevel="0" collapsed="false">
      <c r="B7" s="8" t="s">
        <v>106</v>
      </c>
      <c r="C7" s="9" t="n">
        <f aca="false">0</f>
        <v>0</v>
      </c>
      <c r="D7" s="9" t="n">
        <f aca="false">IF(C12&gt;0,C12/10,0)</f>
        <v>0</v>
      </c>
      <c r="E7" s="9" t="n">
        <f aca="false">IF(D12&gt;0,D12/10,0)</f>
        <v>0</v>
      </c>
      <c r="F7" s="9" t="n">
        <f aca="false">IF(E12&gt;0,E12/10,0)</f>
        <v>0</v>
      </c>
      <c r="G7" s="9" t="n">
        <f aca="false">IF(F12&gt;0,F12/10,0)</f>
        <v>0</v>
      </c>
    </row>
    <row r="8" customFormat="false" ht="15" hidden="false" customHeight="false" outlineLevel="0" collapsed="false">
      <c r="B8" s="24" t="s">
        <v>107</v>
      </c>
      <c r="C8" s="25" t="n">
        <f aca="false">SUM(C5:C7)</f>
        <v>1800000</v>
      </c>
      <c r="D8" s="25" t="n">
        <f aca="false">SUM(D5:D7)</f>
        <v>1800000</v>
      </c>
      <c r="E8" s="25" t="n">
        <f aca="false">SUM(E5:E7)</f>
        <v>1800000</v>
      </c>
      <c r="F8" s="25" t="n">
        <f aca="false">SUM(F5:F7)</f>
        <v>1800000</v>
      </c>
      <c r="G8" s="25" t="n">
        <f aca="false">SUM(G5:G7)</f>
        <v>1800000</v>
      </c>
    </row>
    <row r="9" customFormat="false" ht="15" hidden="false" customHeight="false" outlineLevel="0" collapsed="false">
      <c r="B9" s="5" t="s">
        <v>108</v>
      </c>
      <c r="C9" s="6"/>
      <c r="D9" s="6"/>
      <c r="E9" s="6"/>
      <c r="F9" s="6"/>
      <c r="G9" s="6"/>
      <c r="H9" s="6"/>
    </row>
    <row r="10" customFormat="false" ht="15" hidden="false" customHeight="false" outlineLevel="0" collapsed="false">
      <c r="B10" s="8" t="s">
        <v>109</v>
      </c>
      <c r="C10" s="9" t="n">
        <f aca="false">ASM_Bldg_Gross+ASM_Equip_Gross</f>
        <v>30000000</v>
      </c>
      <c r="D10" s="9" t="n">
        <f aca="false">C13</f>
        <v>30363690</v>
      </c>
      <c r="E10" s="9" t="n">
        <f aca="false">D13</f>
        <v>30746011.4625</v>
      </c>
      <c r="F10" s="9" t="n">
        <f aca="false">E13</f>
        <v>31147631.830875</v>
      </c>
      <c r="G10" s="9" t="n">
        <f aca="false">F13</f>
        <v>31569239.9474597</v>
      </c>
    </row>
    <row r="11" customFormat="false" ht="15" hidden="false" customHeight="false" outlineLevel="0" collapsed="false">
      <c r="B11" s="8" t="s">
        <v>110</v>
      </c>
      <c r="C11" s="9" t="n">
        <f aca="false">Revenue_Build!C19*ASM_Maint_Capex_Pct</f>
        <v>363690</v>
      </c>
      <c r="D11" s="9" t="n">
        <f aca="false">Revenue_Build!D19*ASM_Maint_Capex_Pct</f>
        <v>382321.4625</v>
      </c>
      <c r="E11" s="9" t="n">
        <f aca="false">Revenue_Build!E19*ASM_Maint_Capex_Pct</f>
        <v>401620.368375</v>
      </c>
      <c r="F11" s="9" t="n">
        <f aca="false">Revenue_Build!F19*ASM_Maint_Capex_Pct</f>
        <v>421608.116584687</v>
      </c>
      <c r="G11" s="9" t="n">
        <f aca="false">Revenue_Build!G19*ASM_Maint_Capex_Pct</f>
        <v>442306.757313562</v>
      </c>
    </row>
    <row r="12" customFormat="false" ht="15" hidden="false" customHeight="false" outlineLevel="0" collapsed="false">
      <c r="B12" s="8" t="s">
        <v>111</v>
      </c>
      <c r="C12" s="9" t="n">
        <f aca="false">ASM_Growth_Capex</f>
        <v>0</v>
      </c>
      <c r="D12" s="9" t="n">
        <f aca="false">0</f>
        <v>0</v>
      </c>
      <c r="E12" s="9" t="n">
        <f aca="false">0</f>
        <v>0</v>
      </c>
      <c r="F12" s="9" t="n">
        <f aca="false">0</f>
        <v>0</v>
      </c>
      <c r="G12" s="9" t="n">
        <f aca="false">0</f>
        <v>0</v>
      </c>
    </row>
    <row r="13" customFormat="false" ht="15" hidden="false" customHeight="false" outlineLevel="0" collapsed="false">
      <c r="B13" s="24" t="s">
        <v>112</v>
      </c>
      <c r="C13" s="26" t="n">
        <f aca="false">C10+C11+C12</f>
        <v>30363690</v>
      </c>
      <c r="D13" s="26" t="n">
        <f aca="false">D10+D11+D12</f>
        <v>30746011.4625</v>
      </c>
      <c r="E13" s="26" t="n">
        <f aca="false">E10+E11+E12</f>
        <v>31147631.830875</v>
      </c>
      <c r="F13" s="26" t="n">
        <f aca="false">F10+F11+F12</f>
        <v>31569239.9474597</v>
      </c>
      <c r="G13" s="26" t="n">
        <f aca="false">G10+G11+G12</f>
        <v>32011546.7047732</v>
      </c>
    </row>
    <row r="14" customFormat="false" ht="15" hidden="false" customHeight="false" outlineLevel="0" collapsed="false">
      <c r="B14" s="5" t="s">
        <v>113</v>
      </c>
      <c r="C14" s="6"/>
      <c r="D14" s="6"/>
      <c r="E14" s="6"/>
      <c r="F14" s="6"/>
      <c r="G14" s="6"/>
      <c r="H14" s="6"/>
    </row>
    <row r="15" customFormat="false" ht="15" hidden="false" customHeight="false" outlineLevel="0" collapsed="false">
      <c r="B15" s="8" t="s">
        <v>114</v>
      </c>
      <c r="C15" s="9" t="n">
        <f aca="false">ASM_Accum_Depr_D0</f>
        <v>1000000</v>
      </c>
      <c r="D15" s="9" t="n">
        <f aca="false">C17</f>
        <v>2800000</v>
      </c>
      <c r="E15" s="9" t="n">
        <f aca="false">D17</f>
        <v>4600000</v>
      </c>
      <c r="F15" s="9" t="n">
        <f aca="false">E17</f>
        <v>6400000</v>
      </c>
      <c r="G15" s="9" t="n">
        <f aca="false">F17</f>
        <v>8200000</v>
      </c>
    </row>
    <row r="16" customFormat="false" ht="15" hidden="false" customHeight="false" outlineLevel="0" collapsed="false">
      <c r="B16" s="8" t="s">
        <v>115</v>
      </c>
      <c r="C16" s="9" t="n">
        <f aca="false">C8</f>
        <v>1800000</v>
      </c>
      <c r="D16" s="9" t="n">
        <f aca="false">D8</f>
        <v>1800000</v>
      </c>
      <c r="E16" s="9" t="n">
        <f aca="false">E8</f>
        <v>1800000</v>
      </c>
      <c r="F16" s="9" t="n">
        <f aca="false">F8</f>
        <v>1800000</v>
      </c>
      <c r="G16" s="9" t="n">
        <f aca="false">G8</f>
        <v>1800000</v>
      </c>
    </row>
    <row r="17" customFormat="false" ht="15" hidden="false" customHeight="false" outlineLevel="0" collapsed="false">
      <c r="B17" s="24" t="s">
        <v>116</v>
      </c>
      <c r="C17" s="26" t="n">
        <f aca="false">C15+C16</f>
        <v>2800000</v>
      </c>
      <c r="D17" s="26" t="n">
        <f aca="false">D15+D16</f>
        <v>4600000</v>
      </c>
      <c r="E17" s="26" t="n">
        <f aca="false">E15+E16</f>
        <v>6400000</v>
      </c>
      <c r="F17" s="26" t="n">
        <f aca="false">F15+F16</f>
        <v>8200000</v>
      </c>
      <c r="G17" s="26" t="n">
        <f aca="false">G15+G16</f>
        <v>10000000</v>
      </c>
    </row>
    <row r="18" customFormat="false" ht="15" hidden="false" customHeight="false" outlineLevel="0" collapsed="false">
      <c r="B18" s="5" t="s">
        <v>117</v>
      </c>
      <c r="C18" s="6"/>
      <c r="D18" s="6"/>
      <c r="E18" s="6"/>
      <c r="F18" s="6"/>
      <c r="G18" s="6"/>
      <c r="H18" s="6"/>
    </row>
    <row r="19" customFormat="false" ht="15" hidden="false" customHeight="false" outlineLevel="0" collapsed="false">
      <c r="B19" s="24" t="s">
        <v>118</v>
      </c>
      <c r="C19" s="25" t="n">
        <f aca="false">C13-C17</f>
        <v>27563690</v>
      </c>
      <c r="D19" s="25" t="n">
        <f aca="false">D13-D17</f>
        <v>26146011.4625</v>
      </c>
      <c r="E19" s="25" t="n">
        <f aca="false">E13-E17</f>
        <v>24747631.830875</v>
      </c>
      <c r="F19" s="25" t="n">
        <f aca="false">F13-F17</f>
        <v>23369239.9474597</v>
      </c>
      <c r="G19" s="25" t="n">
        <f aca="false">G13-G17</f>
        <v>22011546.7047732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119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120</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C4" s="7" t="s">
        <v>4</v>
      </c>
      <c r="D4" s="7" t="s">
        <v>5</v>
      </c>
      <c r="E4" s="7" t="s">
        <v>6</v>
      </c>
      <c r="F4" s="7" t="s">
        <v>7</v>
      </c>
      <c r="G4" s="7" t="s">
        <v>8</v>
      </c>
    </row>
    <row r="5" customFormat="false" ht="15" hidden="false" customHeight="false" outlineLevel="0" collapsed="false">
      <c r="B5" s="24" t="s">
        <v>121</v>
      </c>
      <c r="C5" s="27" t="n">
        <f aca="false">Revenue_Build!C19</f>
        <v>14547600</v>
      </c>
      <c r="D5" s="27" t="n">
        <f aca="false">Revenue_Build!D19</f>
        <v>15292858.5</v>
      </c>
      <c r="E5" s="27" t="n">
        <f aca="false">Revenue_Build!E19</f>
        <v>16064814.735</v>
      </c>
      <c r="F5" s="27" t="n">
        <f aca="false">Revenue_Build!F19</f>
        <v>16864324.6633875</v>
      </c>
      <c r="G5" s="27" t="n">
        <f aca="false">Revenue_Build!G19</f>
        <v>17692270.2925425</v>
      </c>
    </row>
    <row r="6" customFormat="false" ht="15" hidden="false" customHeight="false" outlineLevel="0" collapsed="false">
      <c r="B6" s="5" t="s">
        <v>122</v>
      </c>
      <c r="C6" s="6"/>
      <c r="D6" s="6"/>
      <c r="E6" s="6"/>
      <c r="F6" s="6"/>
      <c r="G6" s="6"/>
      <c r="H6" s="6"/>
    </row>
    <row r="7" customFormat="false" ht="15" hidden="false" customHeight="false" outlineLevel="0" collapsed="false">
      <c r="B7" s="8" t="s">
        <v>123</v>
      </c>
      <c r="C7" s="9" t="n">
        <f aca="false">-(C5*ASM_RM_Pct)</f>
        <v>-4073328</v>
      </c>
      <c r="D7" s="9" t="n">
        <f aca="false">-(D5*ASM_RM_Pct)</f>
        <v>-4282000.38</v>
      </c>
      <c r="E7" s="9" t="n">
        <f aca="false">-(E5*ASM_RM_Pct)</f>
        <v>-4498148.1258</v>
      </c>
      <c r="F7" s="9" t="n">
        <f aca="false">-(F5*ASM_RM_Pct)</f>
        <v>-4722010.9057485</v>
      </c>
      <c r="G7" s="9" t="n">
        <f aca="false">-(G5*ASM_RM_Pct)</f>
        <v>-4953835.6819119</v>
      </c>
    </row>
    <row r="8" customFormat="false" ht="15" hidden="false" customHeight="false" outlineLevel="0" collapsed="false">
      <c r="B8" s="8" t="s">
        <v>124</v>
      </c>
      <c r="C8" s="9" t="n">
        <f aca="false">-(C5*ASM_Pkg_Pct)</f>
        <v>-1163808</v>
      </c>
      <c r="D8" s="9" t="n">
        <f aca="false">-(D5*ASM_Pkg_Pct)</f>
        <v>-1223428.68</v>
      </c>
      <c r="E8" s="9" t="n">
        <f aca="false">-(E5*ASM_Pkg_Pct)</f>
        <v>-1285185.1788</v>
      </c>
      <c r="F8" s="9" t="n">
        <f aca="false">-(F5*ASM_Pkg_Pct)</f>
        <v>-1349145.973071</v>
      </c>
      <c r="G8" s="9" t="n">
        <f aca="false">-(G5*ASM_Pkg_Pct)</f>
        <v>-1415381.6234034</v>
      </c>
    </row>
    <row r="9" customFormat="false" ht="15" hidden="false" customHeight="false" outlineLevel="0" collapsed="false">
      <c r="B9" s="8" t="s">
        <v>125</v>
      </c>
      <c r="C9" s="9" t="n">
        <f aca="false">-(C5*ASM_DL_Pct)</f>
        <v>-1745712</v>
      </c>
      <c r="D9" s="9" t="n">
        <f aca="false">-(D5*ASM_DL_Pct)</f>
        <v>-1835143.02</v>
      </c>
      <c r="E9" s="9" t="n">
        <f aca="false">-(E5*ASM_DL_Pct)</f>
        <v>-1927777.7682</v>
      </c>
      <c r="F9" s="9" t="n">
        <f aca="false">-(F5*ASM_DL_Pct)</f>
        <v>-2023718.9596065</v>
      </c>
      <c r="G9" s="9" t="n">
        <f aca="false">-(G5*ASM_DL_Pct)</f>
        <v>-2123072.4351051</v>
      </c>
    </row>
    <row r="10" customFormat="false" ht="15" hidden="false" customHeight="false" outlineLevel="0" collapsed="false">
      <c r="B10" s="8" t="s">
        <v>126</v>
      </c>
      <c r="C10" s="9" t="n">
        <f aca="false">-(C5*ASM_MFGOH_Pct)</f>
        <v>-1018332</v>
      </c>
      <c r="D10" s="9" t="n">
        <f aca="false">-(D5*ASM_MFGOH_Pct)</f>
        <v>-1070500.095</v>
      </c>
      <c r="E10" s="9" t="n">
        <f aca="false">-(E5*ASM_MFGOH_Pct)</f>
        <v>-1124537.03145</v>
      </c>
      <c r="F10" s="9" t="n">
        <f aca="false">-(F5*ASM_MFGOH_Pct)</f>
        <v>-1180502.72643713</v>
      </c>
      <c r="G10" s="9" t="n">
        <f aca="false">-(G5*ASM_MFGOH_Pct)</f>
        <v>-1238458.92047797</v>
      </c>
    </row>
    <row r="11" customFormat="false" ht="15" hidden="false" customHeight="false" outlineLevel="0" collapsed="false">
      <c r="B11" s="24" t="s">
        <v>127</v>
      </c>
      <c r="C11" s="26" t="n">
        <f aca="false">SUM(C7:C10)</f>
        <v>-8001180</v>
      </c>
      <c r="D11" s="26" t="n">
        <f aca="false">SUM(D7:D10)</f>
        <v>-8411072.175</v>
      </c>
      <c r="E11" s="26" t="n">
        <f aca="false">SUM(E7:E10)</f>
        <v>-8835648.10425</v>
      </c>
      <c r="F11" s="26" t="n">
        <f aca="false">SUM(F7:F10)</f>
        <v>-9275378.56486312</v>
      </c>
      <c r="G11" s="26" t="n">
        <f aca="false">SUM(G7:G10)</f>
        <v>-9730748.66089837</v>
      </c>
    </row>
    <row r="13" customFormat="false" ht="15" hidden="false" customHeight="false" outlineLevel="0" collapsed="false">
      <c r="B13" s="24" t="s">
        <v>128</v>
      </c>
      <c r="C13" s="25" t="n">
        <f aca="false">C5+C11</f>
        <v>6546420</v>
      </c>
      <c r="D13" s="25" t="n">
        <f aca="false">D5+D11</f>
        <v>6881786.325</v>
      </c>
      <c r="E13" s="25" t="n">
        <f aca="false">E5+E11</f>
        <v>7229166.63075</v>
      </c>
      <c r="F13" s="25" t="n">
        <f aca="false">F5+F11</f>
        <v>7588946.09852437</v>
      </c>
      <c r="G13" s="25" t="n">
        <f aca="false">G5+G11</f>
        <v>7961521.63164412</v>
      </c>
    </row>
    <row r="14" customFormat="false" ht="15" hidden="false" customHeight="false" outlineLevel="0" collapsed="false">
      <c r="B14" s="8" t="s">
        <v>129</v>
      </c>
      <c r="C14" s="10" t="n">
        <f aca="false">IFERROR(C13/C5,0)</f>
        <v>0.45</v>
      </c>
      <c r="D14" s="10" t="n">
        <f aca="false">IFERROR(D13/D5,0)</f>
        <v>0.45</v>
      </c>
      <c r="E14" s="10" t="n">
        <f aca="false">IFERROR(E13/E5,0)</f>
        <v>0.45</v>
      </c>
      <c r="F14" s="10" t="n">
        <f aca="false">IFERROR(F13/F5,0)</f>
        <v>0.45</v>
      </c>
      <c r="G14" s="10" t="n">
        <f aca="false">IFERROR(G13/G5,0)</f>
        <v>0.45</v>
      </c>
    </row>
    <row r="15" customFormat="false" ht="15" hidden="false" customHeight="false" outlineLevel="0" collapsed="false">
      <c r="B15" s="5" t="s">
        <v>53</v>
      </c>
      <c r="C15" s="6"/>
      <c r="D15" s="6"/>
      <c r="E15" s="6"/>
      <c r="F15" s="6"/>
      <c r="G15" s="6"/>
      <c r="H15" s="6"/>
    </row>
    <row r="16" customFormat="false" ht="15" hidden="false" customHeight="false" outlineLevel="0" collapsed="false">
      <c r="B16" s="8" t="s">
        <v>130</v>
      </c>
      <c r="C16" s="9" t="n">
        <f aca="false">-(C5*ASM_SGA_Pct)</f>
        <v>-1745712</v>
      </c>
      <c r="D16" s="9" t="n">
        <f aca="false">-(D5*ASM_SGA_Pct)</f>
        <v>-1835143.02</v>
      </c>
      <c r="E16" s="9" t="n">
        <f aca="false">-(E5*ASM_SGA_Pct)</f>
        <v>-1927777.7682</v>
      </c>
      <c r="F16" s="9" t="n">
        <f aca="false">-(F5*ASM_SGA_Pct)</f>
        <v>-2023718.9596065</v>
      </c>
      <c r="G16" s="9" t="n">
        <f aca="false">-(G5*ASM_SGA_Pct)</f>
        <v>-2123072.4351051</v>
      </c>
    </row>
    <row r="17" customFormat="false" ht="15" hidden="false" customHeight="false" outlineLevel="0" collapsed="false">
      <c r="B17" s="8" t="s">
        <v>131</v>
      </c>
      <c r="C17" s="9" t="n">
        <f aca="false">-ASM_Insurance_Y1</f>
        <v>-150000</v>
      </c>
      <c r="D17" s="9" t="n">
        <f aca="false">-(ABS(C17)*(1+ASM_Insurance_Esc))</f>
        <v>-153750</v>
      </c>
      <c r="E17" s="9" t="n">
        <f aca="false">-(ABS(D17)*(1+ASM_Insurance_Esc))</f>
        <v>-157593.75</v>
      </c>
      <c r="F17" s="9" t="n">
        <f aca="false">-(ABS(E17)*(1+ASM_Insurance_Esc))</f>
        <v>-161533.59375</v>
      </c>
      <c r="G17" s="9" t="n">
        <f aca="false">-(ABS(F17)*(1+ASM_Insurance_Esc))</f>
        <v>-165571.93359375</v>
      </c>
    </row>
    <row r="18" customFormat="false" ht="15" hidden="false" customHeight="false" outlineLevel="0" collapsed="false">
      <c r="B18" s="8" t="s">
        <v>132</v>
      </c>
      <c r="C18" s="9" t="n">
        <f aca="false">-(C5*ASM_Freight_Pct)</f>
        <v>-436428</v>
      </c>
      <c r="D18" s="9" t="n">
        <f aca="false">-(D5*ASM_Freight_Pct)</f>
        <v>-458785.755</v>
      </c>
      <c r="E18" s="9" t="n">
        <f aca="false">-(E5*ASM_Freight_Pct)</f>
        <v>-481944.44205</v>
      </c>
      <c r="F18" s="9" t="n">
        <f aca="false">-(F5*ASM_Freight_Pct)</f>
        <v>-505929.739901625</v>
      </c>
      <c r="G18" s="9" t="n">
        <f aca="false">-(G5*ASM_Freight_Pct)</f>
        <v>-530768.108776275</v>
      </c>
    </row>
    <row r="19" customFormat="false" ht="15" hidden="false" customHeight="false" outlineLevel="0" collapsed="false">
      <c r="B19" s="24" t="s">
        <v>133</v>
      </c>
      <c r="C19" s="26" t="n">
        <f aca="false">SUM(C16:C18)</f>
        <v>-2332140</v>
      </c>
      <c r="D19" s="26" t="n">
        <f aca="false">SUM(D16:D18)</f>
        <v>-2447678.775</v>
      </c>
      <c r="E19" s="26" t="n">
        <f aca="false">SUM(E16:E18)</f>
        <v>-2567315.96025</v>
      </c>
      <c r="F19" s="26" t="n">
        <f aca="false">SUM(F16:F18)</f>
        <v>-2691182.29325812</v>
      </c>
      <c r="G19" s="26" t="n">
        <f aca="false">SUM(G16:G18)</f>
        <v>-2819412.47747512</v>
      </c>
    </row>
    <row r="21" customFormat="false" ht="15" hidden="false" customHeight="false" outlineLevel="0" collapsed="false">
      <c r="B21" s="24" t="s">
        <v>134</v>
      </c>
      <c r="C21" s="25" t="n">
        <f aca="false">C13+C19</f>
        <v>4214280</v>
      </c>
      <c r="D21" s="25" t="n">
        <f aca="false">D13+D19</f>
        <v>4434107.55</v>
      </c>
      <c r="E21" s="25" t="n">
        <f aca="false">E13+E19</f>
        <v>4661850.6705</v>
      </c>
      <c r="F21" s="25" t="n">
        <f aca="false">F13+F19</f>
        <v>4897763.80526625</v>
      </c>
      <c r="G21" s="25" t="n">
        <f aca="false">G13+G19</f>
        <v>5142109.154169</v>
      </c>
    </row>
    <row r="22" customFormat="false" ht="15" hidden="false" customHeight="false" outlineLevel="0" collapsed="false">
      <c r="B22" s="8" t="s">
        <v>135</v>
      </c>
      <c r="C22" s="9" t="n">
        <f aca="false">-(Capex_Depreciation!C8)</f>
        <v>-1800000</v>
      </c>
      <c r="D22" s="9" t="n">
        <f aca="false">-(Capex_Depreciation!D8)</f>
        <v>-1800000</v>
      </c>
      <c r="E22" s="9" t="n">
        <f aca="false">-(Capex_Depreciation!E8)</f>
        <v>-1800000</v>
      </c>
      <c r="F22" s="9" t="n">
        <f aca="false">-(Capex_Depreciation!F8)</f>
        <v>-1800000</v>
      </c>
      <c r="G22" s="9" t="n">
        <f aca="false">-(Capex_Depreciation!G8)</f>
        <v>-1800000</v>
      </c>
    </row>
    <row r="23" customFormat="false" ht="15" hidden="false" customHeight="false" outlineLevel="0" collapsed="false">
      <c r="B23" s="24" t="s">
        <v>136</v>
      </c>
      <c r="C23" s="25" t="n">
        <f aca="false">C21+C22</f>
        <v>2414280</v>
      </c>
      <c r="D23" s="25" t="n">
        <f aca="false">D21+D22</f>
        <v>2634107.55</v>
      </c>
      <c r="E23" s="25" t="n">
        <f aca="false">E21+E22</f>
        <v>2861850.6705</v>
      </c>
      <c r="F23" s="25" t="n">
        <f aca="false">F21+F22</f>
        <v>3097763.80526625</v>
      </c>
      <c r="G23" s="25" t="n">
        <f aca="false">G21+G22</f>
        <v>3342109.154169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61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137</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5" t="s">
        <v>138</v>
      </c>
      <c r="C4" s="6"/>
      <c r="D4" s="6"/>
    </row>
    <row r="5" customFormat="false" ht="15" hidden="false" customHeight="false" outlineLevel="0" collapsed="false">
      <c r="B5" s="8" t="s">
        <v>100</v>
      </c>
      <c r="C5" s="9" t="n">
        <f aca="false">RB_Open_Net_Rev</f>
        <v>14547600</v>
      </c>
    </row>
    <row r="6" customFormat="false" ht="15" hidden="false" customHeight="false" outlineLevel="0" collapsed="false">
      <c r="B6" s="8" t="s">
        <v>101</v>
      </c>
      <c r="C6" s="9" t="n">
        <f aca="false">RB_Open_COGS</f>
        <v>8001180</v>
      </c>
    </row>
    <row r="7" customFormat="false" ht="15" hidden="false" customHeight="false" outlineLevel="0" collapsed="false">
      <c r="B7" s="8" t="s">
        <v>139</v>
      </c>
      <c r="C7" s="9" t="n">
        <f aca="false">WC_Open_Net_Rev*ASM_DSO/365</f>
        <v>1394975.34246575</v>
      </c>
    </row>
    <row r="8" customFormat="false" ht="15" hidden="false" customHeight="false" outlineLevel="0" collapsed="false">
      <c r="B8" s="8" t="s">
        <v>140</v>
      </c>
      <c r="C8" s="9" t="n">
        <f aca="false">WC_Open_COGS*ASM_DIO/365</f>
        <v>1315262.46575343</v>
      </c>
    </row>
    <row r="9" customFormat="false" ht="15" hidden="false" customHeight="false" outlineLevel="0" collapsed="false">
      <c r="B9" s="8" t="s">
        <v>141</v>
      </c>
      <c r="C9" s="9" t="n">
        <f aca="false">WC_Open_COGS*ASM_DPO/365</f>
        <v>986446.849315069</v>
      </c>
    </row>
    <row r="10" customFormat="false" ht="15" hidden="false" customHeight="false" outlineLevel="0" collapsed="false">
      <c r="B10" s="24" t="s">
        <v>142</v>
      </c>
      <c r="C10" s="25" t="n">
        <f aca="false">WC_Open_AR+WC_Open_Inv-WC_Open_AP</f>
        <v>1723790.95890411</v>
      </c>
    </row>
    <row r="11" customFormat="false" ht="15" hidden="false" customHeight="false" outlineLevel="0" collapsed="false">
      <c r="B11" s="5" t="s">
        <v>143</v>
      </c>
      <c r="C11" s="6"/>
      <c r="D11" s="6"/>
      <c r="E11" s="6"/>
      <c r="F11" s="6"/>
      <c r="G11" s="6"/>
      <c r="H11" s="6"/>
    </row>
    <row r="12" customFormat="false" ht="15" hidden="false" customHeight="false" outlineLevel="0" collapsed="false">
      <c r="C12" s="7" t="s">
        <v>4</v>
      </c>
      <c r="D12" s="7" t="s">
        <v>5</v>
      </c>
      <c r="E12" s="7" t="s">
        <v>6</v>
      </c>
      <c r="F12" s="7" t="s">
        <v>7</v>
      </c>
      <c r="G12" s="7" t="s">
        <v>8</v>
      </c>
    </row>
    <row r="13" customFormat="false" ht="15" hidden="false" customHeight="false" outlineLevel="0" collapsed="false">
      <c r="B13" s="8" t="s">
        <v>121</v>
      </c>
      <c r="C13" s="9" t="n">
        <f aca="false">Revenue_Build!C19</f>
        <v>14547600</v>
      </c>
      <c r="D13" s="9" t="n">
        <f aca="false">Revenue_Build!D19</f>
        <v>15292858.5</v>
      </c>
      <c r="E13" s="9" t="n">
        <f aca="false">Revenue_Build!E19</f>
        <v>16064814.735</v>
      </c>
      <c r="F13" s="9" t="n">
        <f aca="false">Revenue_Build!F19</f>
        <v>16864324.6633875</v>
      </c>
      <c r="G13" s="9" t="n">
        <f aca="false">Revenue_Build!G19</f>
        <v>17692270.2925425</v>
      </c>
    </row>
    <row r="14" customFormat="false" ht="15" hidden="false" customHeight="false" outlineLevel="0" collapsed="false">
      <c r="B14" s="8" t="s">
        <v>144</v>
      </c>
      <c r="C14" s="9" t="n">
        <f aca="false">ABS(COGS_Opex!C11)</f>
        <v>8001180</v>
      </c>
      <c r="D14" s="9" t="n">
        <f aca="false">ABS(COGS_Opex!D11)</f>
        <v>8411072.175</v>
      </c>
      <c r="E14" s="9" t="n">
        <f aca="false">ABS(COGS_Opex!E11)</f>
        <v>8835648.10425</v>
      </c>
      <c r="F14" s="9" t="n">
        <f aca="false">ABS(COGS_Opex!F11)</f>
        <v>9275378.56486312</v>
      </c>
      <c r="G14" s="9" t="n">
        <f aca="false">ABS(COGS_Opex!G11)</f>
        <v>9730748.66089837</v>
      </c>
    </row>
    <row r="16" customFormat="false" ht="15" hidden="false" customHeight="false" outlineLevel="0" collapsed="false">
      <c r="B16" s="8" t="s">
        <v>145</v>
      </c>
      <c r="C16" s="9" t="n">
        <f aca="false">C13*ASM_DSO/365</f>
        <v>1394975.34246575</v>
      </c>
      <c r="D16" s="9" t="n">
        <f aca="false">D13*ASM_DSO/365</f>
        <v>1466438.48630137</v>
      </c>
      <c r="E16" s="9" t="n">
        <f aca="false">E13*ASM_DSO/365</f>
        <v>1540461.68691781</v>
      </c>
      <c r="F16" s="9" t="n">
        <f aca="false">F13*ASM_DSO/365</f>
        <v>1617127.02251661</v>
      </c>
      <c r="G16" s="9" t="n">
        <f aca="false">G13*ASM_DSO/365</f>
        <v>1696519.06914791</v>
      </c>
    </row>
    <row r="17" customFormat="false" ht="15" hidden="false" customHeight="false" outlineLevel="0" collapsed="false">
      <c r="B17" s="8" t="s">
        <v>146</v>
      </c>
      <c r="C17" s="9" t="n">
        <f aca="false">C14*ASM_DIO/365</f>
        <v>1315262.46575343</v>
      </c>
      <c r="D17" s="9" t="n">
        <f aca="false">D14*ASM_DIO/365</f>
        <v>1382642.00136986</v>
      </c>
      <c r="E17" s="9" t="n">
        <f aca="false">E14*ASM_DIO/365</f>
        <v>1452435.30480822</v>
      </c>
      <c r="F17" s="9" t="n">
        <f aca="false">F14*ASM_DIO/365</f>
        <v>1524719.76408709</v>
      </c>
      <c r="G17" s="9" t="n">
        <f aca="false">G14*ASM_DIO/365</f>
        <v>1599575.12233946</v>
      </c>
    </row>
    <row r="18" customFormat="false" ht="15" hidden="false" customHeight="false" outlineLevel="0" collapsed="false">
      <c r="B18" s="8" t="s">
        <v>147</v>
      </c>
      <c r="C18" s="9" t="n">
        <f aca="false">C14*ASM_DPO/365</f>
        <v>986446.849315069</v>
      </c>
      <c r="D18" s="9" t="n">
        <f aca="false">D14*ASM_DPO/365</f>
        <v>1036981.5010274</v>
      </c>
      <c r="E18" s="9" t="n">
        <f aca="false">E14*ASM_DPO/365</f>
        <v>1089326.47860616</v>
      </c>
      <c r="F18" s="9" t="n">
        <f aca="false">F14*ASM_DPO/365</f>
        <v>1143539.82306532</v>
      </c>
      <c r="G18" s="9" t="n">
        <f aca="false">G14*ASM_DPO/365</f>
        <v>1199681.34175459</v>
      </c>
    </row>
    <row r="20" customFormat="false" ht="15" hidden="false" customHeight="false" outlineLevel="0" collapsed="false">
      <c r="B20" s="24" t="s">
        <v>148</v>
      </c>
      <c r="C20" s="25" t="n">
        <f aca="false">C16+C17-C18</f>
        <v>1723790.95890411</v>
      </c>
      <c r="D20" s="25" t="n">
        <f aca="false">D16+D17-D18</f>
        <v>1812098.98664384</v>
      </c>
      <c r="E20" s="25" t="n">
        <f aca="false">E16+E17-E18</f>
        <v>1903570.51311986</v>
      </c>
      <c r="F20" s="25" t="n">
        <f aca="false">F16+F17-F18</f>
        <v>1998306.96353838</v>
      </c>
      <c r="G20" s="25" t="n">
        <f aca="false">G16+G17-G18</f>
        <v>2096412.84973278</v>
      </c>
    </row>
    <row r="21" customFormat="false" ht="15" hidden="false" customHeight="false" outlineLevel="0" collapsed="false">
      <c r="B21" s="5" t="s">
        <v>149</v>
      </c>
      <c r="C21" s="6"/>
      <c r="D21" s="6"/>
      <c r="E21" s="6"/>
      <c r="F21" s="6"/>
      <c r="G21" s="6"/>
      <c r="H21" s="6"/>
    </row>
    <row r="22" customFormat="false" ht="15" hidden="false" customHeight="false" outlineLevel="0" collapsed="false">
      <c r="C22" s="7" t="s">
        <v>4</v>
      </c>
      <c r="D22" s="7" t="s">
        <v>5</v>
      </c>
      <c r="E22" s="7" t="s">
        <v>6</v>
      </c>
      <c r="F22" s="7" t="s">
        <v>7</v>
      </c>
      <c r="G22" s="7" t="s">
        <v>8</v>
      </c>
    </row>
    <row r="23" customFormat="false" ht="15" hidden="false" customHeight="false" outlineLevel="0" collapsed="false">
      <c r="B23" s="8" t="s">
        <v>150</v>
      </c>
      <c r="C23" s="9" t="n">
        <f aca="false">WC_Open_AR</f>
        <v>1394975.34246575</v>
      </c>
      <c r="D23" s="9" t="n">
        <f aca="false">C16</f>
        <v>1394975.34246575</v>
      </c>
      <c r="E23" s="9" t="n">
        <f aca="false">D16</f>
        <v>1466438.48630137</v>
      </c>
      <c r="F23" s="9" t="n">
        <f aca="false">E16</f>
        <v>1540461.68691781</v>
      </c>
      <c r="G23" s="9" t="n">
        <f aca="false">F16</f>
        <v>1617127.02251661</v>
      </c>
    </row>
    <row r="24" customFormat="false" ht="15" hidden="false" customHeight="false" outlineLevel="0" collapsed="false">
      <c r="B24" s="8" t="s">
        <v>151</v>
      </c>
      <c r="C24" s="9" t="n">
        <f aca="false">-(C16-C23)</f>
        <v>-0</v>
      </c>
      <c r="D24" s="9" t="n">
        <f aca="false">-(D16-D23)</f>
        <v>-71463.1438356165</v>
      </c>
      <c r="E24" s="9" t="n">
        <f aca="false">-(E16-E23)</f>
        <v>-74023.2006164384</v>
      </c>
      <c r="F24" s="9" t="n">
        <f aca="false">-(F16-F23)</f>
        <v>-76665.3355988008</v>
      </c>
      <c r="G24" s="9" t="n">
        <f aca="false">-(G16-G23)</f>
        <v>-79392.0466313013</v>
      </c>
    </row>
    <row r="25" customFormat="false" ht="15" hidden="false" customHeight="false" outlineLevel="0" collapsed="false">
      <c r="B25" s="8" t="s">
        <v>152</v>
      </c>
      <c r="C25" s="9" t="n">
        <f aca="false">WC_Open_Inv</f>
        <v>1315262.46575343</v>
      </c>
      <c r="D25" s="9" t="n">
        <f aca="false">C17</f>
        <v>1315262.46575343</v>
      </c>
      <c r="E25" s="9" t="n">
        <f aca="false">D17</f>
        <v>1382642.00136986</v>
      </c>
      <c r="F25" s="9" t="n">
        <f aca="false">E17</f>
        <v>1452435.30480822</v>
      </c>
      <c r="G25" s="9" t="n">
        <f aca="false">F17</f>
        <v>1524719.76408709</v>
      </c>
    </row>
    <row r="26" customFormat="false" ht="15" hidden="false" customHeight="false" outlineLevel="0" collapsed="false">
      <c r="B26" s="8" t="s">
        <v>153</v>
      </c>
      <c r="C26" s="9" t="n">
        <f aca="false">-(C17-C25)</f>
        <v>-0</v>
      </c>
      <c r="D26" s="9" t="n">
        <f aca="false">-(D17-D25)</f>
        <v>-67379.5356164384</v>
      </c>
      <c r="E26" s="9" t="n">
        <f aca="false">-(E17-E25)</f>
        <v>-69793.3034383562</v>
      </c>
      <c r="F26" s="9" t="n">
        <f aca="false">-(F17-F25)</f>
        <v>-72284.4592788694</v>
      </c>
      <c r="G26" s="9" t="n">
        <f aca="false">-(G17-G25)</f>
        <v>-74855.3582523696</v>
      </c>
    </row>
    <row r="27" customFormat="false" ht="15" hidden="false" customHeight="false" outlineLevel="0" collapsed="false">
      <c r="B27" s="8" t="s">
        <v>154</v>
      </c>
      <c r="C27" s="9" t="n">
        <f aca="false">WC_Open_AP</f>
        <v>986446.849315069</v>
      </c>
      <c r="D27" s="9" t="n">
        <f aca="false">C18</f>
        <v>986446.849315069</v>
      </c>
      <c r="E27" s="9" t="n">
        <f aca="false">D18</f>
        <v>1036981.5010274</v>
      </c>
      <c r="F27" s="9" t="n">
        <f aca="false">E18</f>
        <v>1089326.47860616</v>
      </c>
      <c r="G27" s="9" t="n">
        <f aca="false">F18</f>
        <v>1143539.82306532</v>
      </c>
    </row>
    <row r="28" customFormat="false" ht="15" hidden="false" customHeight="false" outlineLevel="0" collapsed="false">
      <c r="B28" s="8" t="s">
        <v>155</v>
      </c>
      <c r="C28" s="9" t="n">
        <f aca="false">C18-C27</f>
        <v>0</v>
      </c>
      <c r="D28" s="9" t="n">
        <f aca="false">D18-D27</f>
        <v>50534.6517123288</v>
      </c>
      <c r="E28" s="9" t="n">
        <f aca="false">E18-E27</f>
        <v>52344.977578767</v>
      </c>
      <c r="F28" s="9" t="n">
        <f aca="false">F18-F27</f>
        <v>54213.3444591521</v>
      </c>
      <c r="G28" s="9" t="n">
        <f aca="false">G18-G27</f>
        <v>56141.5186892774</v>
      </c>
    </row>
    <row r="29" customFormat="false" ht="15" hidden="false" customHeight="false" outlineLevel="0" collapsed="false">
      <c r="B29" s="24" t="s">
        <v>156</v>
      </c>
      <c r="C29" s="25" t="n">
        <f aca="false">C24+C26+C28</f>
        <v>0</v>
      </c>
      <c r="D29" s="25" t="n">
        <f aca="false">D24+D26+D28</f>
        <v>-88308.0277397261</v>
      </c>
      <c r="E29" s="25" t="n">
        <f aca="false">E24+E26+E28</f>
        <v>-91471.5264760276</v>
      </c>
      <c r="F29" s="25" t="n">
        <f aca="false">F24+F26+F28</f>
        <v>-94736.4504185182</v>
      </c>
      <c r="G29" s="25" t="n">
        <f aca="false">G24+G26+G28</f>
        <v>-98105.8861943935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158</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C4" s="7" t="s">
        <v>4</v>
      </c>
      <c r="D4" s="7" t="s">
        <v>5</v>
      </c>
      <c r="E4" s="7" t="s">
        <v>6</v>
      </c>
      <c r="F4" s="7" t="s">
        <v>7</v>
      </c>
      <c r="G4" s="7" t="s">
        <v>8</v>
      </c>
    </row>
    <row r="5" customFormat="false" ht="15" hidden="false" customHeight="false" outlineLevel="0" collapsed="false">
      <c r="B5" s="8" t="s">
        <v>159</v>
      </c>
      <c r="C5" s="27" t="n">
        <f aca="false">ASM_Loan_Opening/ASM_Loan_Tenor</f>
        <v>2857142.85714286</v>
      </c>
      <c r="D5" s="9" t="n">
        <f aca="false">C5</f>
        <v>2857142.85714286</v>
      </c>
      <c r="E5" s="9" t="n">
        <f aca="false">C5</f>
        <v>2857142.85714286</v>
      </c>
      <c r="F5" s="9" t="n">
        <f aca="false">C5</f>
        <v>2857142.85714286</v>
      </c>
      <c r="G5" s="9" t="n">
        <f aca="false">C5</f>
        <v>2857142.85714286</v>
      </c>
    </row>
    <row r="6" customFormat="false" ht="15" hidden="false" customHeight="false" outlineLevel="0" collapsed="false">
      <c r="B6" s="5" t="s">
        <v>160</v>
      </c>
      <c r="C6" s="6"/>
      <c r="D6" s="6"/>
      <c r="E6" s="6"/>
      <c r="F6" s="6"/>
      <c r="G6" s="6"/>
      <c r="H6" s="6"/>
    </row>
    <row r="7" customFormat="false" ht="15" hidden="false" customHeight="false" outlineLevel="0" collapsed="false">
      <c r="B7" s="8" t="s">
        <v>161</v>
      </c>
      <c r="C7" s="9" t="n">
        <f aca="false">ASM_Loan_Opening</f>
        <v>20000000</v>
      </c>
      <c r="D7" s="9" t="n">
        <f aca="false">C9</f>
        <v>17142857.1428571</v>
      </c>
      <c r="E7" s="9" t="n">
        <f aca="false">D9</f>
        <v>14285714.2857143</v>
      </c>
      <c r="F7" s="9" t="n">
        <f aca="false">E9</f>
        <v>11428571.4285714</v>
      </c>
      <c r="G7" s="9" t="n">
        <f aca="false">F9</f>
        <v>8571428.57142857</v>
      </c>
    </row>
    <row r="8" customFormat="false" ht="15" hidden="false" customHeight="false" outlineLevel="0" collapsed="false">
      <c r="B8" s="8" t="s">
        <v>162</v>
      </c>
      <c r="C8" s="9" t="n">
        <f aca="false">-MIN(DS_Annual_Repay,C7)</f>
        <v>-2857142.85714286</v>
      </c>
      <c r="D8" s="9" t="n">
        <f aca="false">-MIN(DS_Annual_Repay,D7)</f>
        <v>-2857142.85714286</v>
      </c>
      <c r="E8" s="9" t="n">
        <f aca="false">-MIN(DS_Annual_Repay,E7)</f>
        <v>-2857142.85714286</v>
      </c>
      <c r="F8" s="9" t="n">
        <f aca="false">-MIN(DS_Annual_Repay,F7)</f>
        <v>-2857142.85714286</v>
      </c>
      <c r="G8" s="9" t="n">
        <f aca="false">-MIN(DS_Annual_Repay,G7)</f>
        <v>-2857142.85714286</v>
      </c>
    </row>
    <row r="9" customFormat="false" ht="15" hidden="false" customHeight="false" outlineLevel="0" collapsed="false">
      <c r="B9" s="24" t="s">
        <v>163</v>
      </c>
      <c r="C9" s="25" t="n">
        <f aca="false">C7+C8</f>
        <v>17142857.1428571</v>
      </c>
      <c r="D9" s="25" t="n">
        <f aca="false">D7+D8</f>
        <v>14285714.2857143</v>
      </c>
      <c r="E9" s="25" t="n">
        <f aca="false">E7+E8</f>
        <v>11428571.4285714</v>
      </c>
      <c r="F9" s="25" t="n">
        <f aca="false">F7+F8</f>
        <v>8571428.57142857</v>
      </c>
      <c r="G9" s="25" t="n">
        <f aca="false">G7+G8</f>
        <v>5714285.71428571</v>
      </c>
    </row>
    <row r="10" customFormat="false" ht="15" hidden="false" customHeight="false" outlineLevel="0" collapsed="false">
      <c r="B10" s="5" t="s">
        <v>164</v>
      </c>
      <c r="C10" s="6"/>
      <c r="D10" s="6"/>
      <c r="E10" s="6"/>
      <c r="F10" s="6"/>
      <c r="G10" s="6"/>
      <c r="H10" s="6"/>
    </row>
    <row r="11" customFormat="false" ht="15" hidden="false" customHeight="false" outlineLevel="0" collapsed="false">
      <c r="B11" s="8" t="s">
        <v>165</v>
      </c>
      <c r="C11" s="9" t="n">
        <f aca="false">-(C7*ASM_Interest_Rate)</f>
        <v>-1500000</v>
      </c>
      <c r="D11" s="9" t="n">
        <f aca="false">-(D7*ASM_Interest_Rate)</f>
        <v>-1285714.28571429</v>
      </c>
      <c r="E11" s="9" t="n">
        <f aca="false">-(E7*ASM_Interest_Rate)</f>
        <v>-1071428.57142857</v>
      </c>
      <c r="F11" s="9" t="n">
        <f aca="false">-(F7*ASM_Interest_Rate)</f>
        <v>-857142.857142857</v>
      </c>
      <c r="G11" s="9" t="n">
        <f aca="false">-(G7*ASM_Interest_Rate)</f>
        <v>-642857.142857143</v>
      </c>
    </row>
    <row r="12" customFormat="false" ht="15" hidden="false" customHeight="false" outlineLevel="0" collapsed="false">
      <c r="B12" s="5" t="s">
        <v>166</v>
      </c>
      <c r="C12" s="6"/>
      <c r="D12" s="6"/>
      <c r="E12" s="6"/>
      <c r="F12" s="6"/>
      <c r="G12" s="6"/>
      <c r="H12" s="6"/>
    </row>
    <row r="13" customFormat="false" ht="15" hidden="false" customHeight="false" outlineLevel="0" collapsed="false">
      <c r="B13" s="8" t="s">
        <v>167</v>
      </c>
      <c r="C13" s="9" t="n">
        <f aca="false">MIN(DS_Annual_Repay,C9)</f>
        <v>2857142.85714286</v>
      </c>
      <c r="D13" s="9" t="n">
        <f aca="false">MIN(DS_Annual_Repay,D9)</f>
        <v>2857142.85714286</v>
      </c>
      <c r="E13" s="9" t="n">
        <f aca="false">MIN(DS_Annual_Repay,E9)</f>
        <v>2857142.85714286</v>
      </c>
      <c r="F13" s="9" t="n">
        <f aca="false">MIN(DS_Annual_Repay,F9)</f>
        <v>2857142.85714286</v>
      </c>
      <c r="G13" s="9" t="n">
        <f aca="false">MIN(DS_Annual_Repay,G9)</f>
        <v>2857142.85714286</v>
      </c>
    </row>
    <row r="14" customFormat="false" ht="15" hidden="false" customHeight="false" outlineLevel="0" collapsed="false">
      <c r="B14" s="8" t="s">
        <v>168</v>
      </c>
      <c r="C14" s="9" t="n">
        <f aca="false">C9-C13</f>
        <v>14285714.2857143</v>
      </c>
      <c r="D14" s="9" t="n">
        <f aca="false">D9-D13</f>
        <v>11428571.4285714</v>
      </c>
      <c r="E14" s="9" t="n">
        <f aca="false">E9-E13</f>
        <v>8571428.57142857</v>
      </c>
      <c r="F14" s="9" t="n">
        <f aca="false">F9-F13</f>
        <v>5714285.71428571</v>
      </c>
      <c r="G14" s="9" t="n">
        <f aca="false">G9-G13</f>
        <v>2857142.85714285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169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170</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C4" s="7" t="s">
        <v>4</v>
      </c>
      <c r="D4" s="7" t="s">
        <v>5</v>
      </c>
      <c r="E4" s="7" t="s">
        <v>6</v>
      </c>
      <c r="F4" s="7" t="s">
        <v>7</v>
      </c>
      <c r="G4" s="7" t="s">
        <v>8</v>
      </c>
    </row>
    <row r="5" customFormat="false" ht="15" hidden="false" customHeight="false" outlineLevel="0" collapsed="false">
      <c r="B5" s="24" t="s">
        <v>98</v>
      </c>
      <c r="C5" s="25" t="n">
        <f aca="false">Revenue_Build!C19</f>
        <v>14547600</v>
      </c>
      <c r="D5" s="25" t="n">
        <f aca="false">Revenue_Build!D19</f>
        <v>15292858.5</v>
      </c>
      <c r="E5" s="25" t="n">
        <f aca="false">Revenue_Build!E19</f>
        <v>16064814.735</v>
      </c>
      <c r="F5" s="25" t="n">
        <f aca="false">Revenue_Build!F19</f>
        <v>16864324.6633875</v>
      </c>
      <c r="G5" s="25" t="n">
        <f aca="false">Revenue_Build!G19</f>
        <v>17692270.2925425</v>
      </c>
    </row>
    <row r="6" customFormat="false" ht="15" hidden="false" customHeight="false" outlineLevel="0" collapsed="false">
      <c r="B6" s="5" t="s">
        <v>171</v>
      </c>
      <c r="C6" s="6"/>
      <c r="D6" s="6"/>
      <c r="E6" s="6"/>
      <c r="F6" s="6"/>
      <c r="G6" s="6"/>
      <c r="H6" s="6"/>
    </row>
    <row r="7" customFormat="false" ht="15" hidden="false" customHeight="false" outlineLevel="0" collapsed="false">
      <c r="B7" s="8" t="s">
        <v>123</v>
      </c>
      <c r="C7" s="9" t="n">
        <f aca="false">COGS_Opex!C7</f>
        <v>-4073328</v>
      </c>
      <c r="D7" s="9" t="n">
        <f aca="false">COGS_Opex!D7</f>
        <v>-4282000.38</v>
      </c>
      <c r="E7" s="9" t="n">
        <f aca="false">COGS_Opex!E7</f>
        <v>-4498148.1258</v>
      </c>
      <c r="F7" s="9" t="n">
        <f aca="false">COGS_Opex!F7</f>
        <v>-4722010.9057485</v>
      </c>
      <c r="G7" s="9" t="n">
        <f aca="false">COGS_Opex!G7</f>
        <v>-4953835.6819119</v>
      </c>
    </row>
    <row r="8" customFormat="false" ht="15" hidden="false" customHeight="false" outlineLevel="0" collapsed="false">
      <c r="B8" s="8" t="s">
        <v>124</v>
      </c>
      <c r="C8" s="9" t="n">
        <f aca="false">COGS_Opex!C8</f>
        <v>-1163808</v>
      </c>
      <c r="D8" s="9" t="n">
        <f aca="false">COGS_Opex!D8</f>
        <v>-1223428.68</v>
      </c>
      <c r="E8" s="9" t="n">
        <f aca="false">COGS_Opex!E8</f>
        <v>-1285185.1788</v>
      </c>
      <c r="F8" s="9" t="n">
        <f aca="false">COGS_Opex!F8</f>
        <v>-1349145.973071</v>
      </c>
      <c r="G8" s="9" t="n">
        <f aca="false">COGS_Opex!G8</f>
        <v>-1415381.6234034</v>
      </c>
    </row>
    <row r="9" customFormat="false" ht="15" hidden="false" customHeight="false" outlineLevel="0" collapsed="false">
      <c r="B9" s="8" t="s">
        <v>125</v>
      </c>
      <c r="C9" s="9" t="n">
        <f aca="false">COGS_Opex!C9</f>
        <v>-1745712</v>
      </c>
      <c r="D9" s="9" t="n">
        <f aca="false">COGS_Opex!D9</f>
        <v>-1835143.02</v>
      </c>
      <c r="E9" s="9" t="n">
        <f aca="false">COGS_Opex!E9</f>
        <v>-1927777.7682</v>
      </c>
      <c r="F9" s="9" t="n">
        <f aca="false">COGS_Opex!F9</f>
        <v>-2023718.9596065</v>
      </c>
      <c r="G9" s="9" t="n">
        <f aca="false">COGS_Opex!G9</f>
        <v>-2123072.4351051</v>
      </c>
    </row>
    <row r="10" customFormat="false" ht="15" hidden="false" customHeight="false" outlineLevel="0" collapsed="false">
      <c r="B10" s="8" t="s">
        <v>126</v>
      </c>
      <c r="C10" s="9" t="n">
        <f aca="false">COGS_Opex!C10</f>
        <v>-1018332</v>
      </c>
      <c r="D10" s="9" t="n">
        <f aca="false">COGS_Opex!D10</f>
        <v>-1070500.095</v>
      </c>
      <c r="E10" s="9" t="n">
        <f aca="false">COGS_Opex!E10</f>
        <v>-1124537.03145</v>
      </c>
      <c r="F10" s="9" t="n">
        <f aca="false">COGS_Opex!F10</f>
        <v>-1180502.72643713</v>
      </c>
      <c r="G10" s="9" t="n">
        <f aca="false">COGS_Opex!G10</f>
        <v>-1238458.92047797</v>
      </c>
    </row>
    <row r="11" customFormat="false" ht="15" hidden="false" customHeight="false" outlineLevel="0" collapsed="false">
      <c r="B11" s="24" t="s">
        <v>127</v>
      </c>
      <c r="C11" s="26" t="n">
        <f aca="false">COGS_Opex!C11</f>
        <v>-8001180</v>
      </c>
      <c r="D11" s="26" t="n">
        <f aca="false">COGS_Opex!D11</f>
        <v>-8411072.175</v>
      </c>
      <c r="E11" s="26" t="n">
        <f aca="false">COGS_Opex!E11</f>
        <v>-8835648.10425</v>
      </c>
      <c r="F11" s="26" t="n">
        <f aca="false">COGS_Opex!F11</f>
        <v>-9275378.56486312</v>
      </c>
      <c r="G11" s="26" t="n">
        <f aca="false">COGS_Opex!G11</f>
        <v>-9730748.66089837</v>
      </c>
    </row>
    <row r="13" customFormat="false" ht="15" hidden="false" customHeight="false" outlineLevel="0" collapsed="false">
      <c r="B13" s="24" t="s">
        <v>128</v>
      </c>
      <c r="C13" s="25" t="n">
        <f aca="false">COGS_Opex!C13</f>
        <v>6546420</v>
      </c>
      <c r="D13" s="25" t="n">
        <f aca="false">COGS_Opex!D13</f>
        <v>6881786.325</v>
      </c>
      <c r="E13" s="25" t="n">
        <f aca="false">COGS_Opex!E13</f>
        <v>7229166.63075</v>
      </c>
      <c r="F13" s="25" t="n">
        <f aca="false">COGS_Opex!F13</f>
        <v>7588946.09852437</v>
      </c>
      <c r="G13" s="25" t="n">
        <f aca="false">COGS_Opex!G13</f>
        <v>7961521.63164412</v>
      </c>
    </row>
    <row r="14" customFormat="false" ht="15" hidden="false" customHeight="false" outlineLevel="0" collapsed="false">
      <c r="B14" s="8" t="s">
        <v>129</v>
      </c>
      <c r="C14" s="10" t="n">
        <f aca="false">COGS_Opex!C14</f>
        <v>0.45</v>
      </c>
      <c r="D14" s="10" t="n">
        <f aca="false">COGS_Opex!D14</f>
        <v>0.45</v>
      </c>
      <c r="E14" s="10" t="n">
        <f aca="false">COGS_Opex!E14</f>
        <v>0.45</v>
      </c>
      <c r="F14" s="10" t="n">
        <f aca="false">COGS_Opex!F14</f>
        <v>0.45</v>
      </c>
      <c r="G14" s="10" t="n">
        <f aca="false">COGS_Opex!G14</f>
        <v>0.45</v>
      </c>
    </row>
    <row r="15" customFormat="false" ht="15" hidden="false" customHeight="false" outlineLevel="0" collapsed="false">
      <c r="B15" s="5" t="s">
        <v>53</v>
      </c>
      <c r="C15" s="6"/>
      <c r="D15" s="6"/>
      <c r="E15" s="6"/>
      <c r="F15" s="6"/>
      <c r="G15" s="6"/>
      <c r="H15" s="6"/>
    </row>
    <row r="16" customFormat="false" ht="15" hidden="false" customHeight="false" outlineLevel="0" collapsed="false">
      <c r="B16" s="8" t="s">
        <v>130</v>
      </c>
      <c r="C16" s="9" t="n">
        <f aca="false">COGS_Opex!C16</f>
        <v>-1745712</v>
      </c>
      <c r="D16" s="9" t="n">
        <f aca="false">COGS_Opex!D16</f>
        <v>-1835143.02</v>
      </c>
      <c r="E16" s="9" t="n">
        <f aca="false">COGS_Opex!E16</f>
        <v>-1927777.7682</v>
      </c>
      <c r="F16" s="9" t="n">
        <f aca="false">COGS_Opex!F16</f>
        <v>-2023718.9596065</v>
      </c>
      <c r="G16" s="9" t="n">
        <f aca="false">COGS_Opex!G16</f>
        <v>-2123072.4351051</v>
      </c>
    </row>
    <row r="17" customFormat="false" ht="15" hidden="false" customHeight="false" outlineLevel="0" collapsed="false">
      <c r="B17" s="8" t="s">
        <v>131</v>
      </c>
      <c r="C17" s="9" t="n">
        <f aca="false">COGS_Opex!C17</f>
        <v>-150000</v>
      </c>
      <c r="D17" s="9" t="n">
        <f aca="false">COGS_Opex!D17</f>
        <v>-153750</v>
      </c>
      <c r="E17" s="9" t="n">
        <f aca="false">COGS_Opex!E17</f>
        <v>-157593.75</v>
      </c>
      <c r="F17" s="9" t="n">
        <f aca="false">COGS_Opex!F17</f>
        <v>-161533.59375</v>
      </c>
      <c r="G17" s="9" t="n">
        <f aca="false">COGS_Opex!G17</f>
        <v>-165571.93359375</v>
      </c>
    </row>
    <row r="18" customFormat="false" ht="15" hidden="false" customHeight="false" outlineLevel="0" collapsed="false">
      <c r="B18" s="8" t="s">
        <v>132</v>
      </c>
      <c r="C18" s="9" t="n">
        <f aca="false">COGS_Opex!C18</f>
        <v>-436428</v>
      </c>
      <c r="D18" s="9" t="n">
        <f aca="false">COGS_Opex!D18</f>
        <v>-458785.755</v>
      </c>
      <c r="E18" s="9" t="n">
        <f aca="false">COGS_Opex!E18</f>
        <v>-481944.44205</v>
      </c>
      <c r="F18" s="9" t="n">
        <f aca="false">COGS_Opex!F18</f>
        <v>-505929.739901625</v>
      </c>
      <c r="G18" s="9" t="n">
        <f aca="false">COGS_Opex!G18</f>
        <v>-530768.108776275</v>
      </c>
    </row>
    <row r="20" customFormat="false" ht="15" hidden="false" customHeight="false" outlineLevel="0" collapsed="false">
      <c r="B20" s="24" t="s">
        <v>134</v>
      </c>
      <c r="C20" s="25" t="n">
        <f aca="false">COGS_Opex!C21</f>
        <v>4214280</v>
      </c>
      <c r="D20" s="25" t="n">
        <f aca="false">COGS_Opex!D21</f>
        <v>4434107.55</v>
      </c>
      <c r="E20" s="25" t="n">
        <f aca="false">COGS_Opex!E21</f>
        <v>4661850.6705</v>
      </c>
      <c r="F20" s="25" t="n">
        <f aca="false">COGS_Opex!F21</f>
        <v>4897763.80526625</v>
      </c>
      <c r="G20" s="25" t="n">
        <f aca="false">COGS_Opex!G21</f>
        <v>5142109.154169</v>
      </c>
    </row>
    <row r="21" customFormat="false" ht="15" hidden="false" customHeight="false" outlineLevel="0" collapsed="false">
      <c r="B21" s="8" t="s">
        <v>135</v>
      </c>
      <c r="C21" s="9" t="n">
        <f aca="false">COGS_Opex!C22</f>
        <v>-1800000</v>
      </c>
      <c r="D21" s="9" t="n">
        <f aca="false">COGS_Opex!D22</f>
        <v>-1800000</v>
      </c>
      <c r="E21" s="9" t="n">
        <f aca="false">COGS_Opex!E22</f>
        <v>-1800000</v>
      </c>
      <c r="F21" s="9" t="n">
        <f aca="false">COGS_Opex!F22</f>
        <v>-1800000</v>
      </c>
      <c r="G21" s="9" t="n">
        <f aca="false">COGS_Opex!G22</f>
        <v>-1800000</v>
      </c>
    </row>
    <row r="22" customFormat="false" ht="15" hidden="false" customHeight="false" outlineLevel="0" collapsed="false">
      <c r="B22" s="24" t="s">
        <v>136</v>
      </c>
      <c r="C22" s="25" t="n">
        <f aca="false">COGS_Opex!C23</f>
        <v>2414280</v>
      </c>
      <c r="D22" s="25" t="n">
        <f aca="false">COGS_Opex!D23</f>
        <v>2634107.55</v>
      </c>
      <c r="E22" s="25" t="n">
        <f aca="false">COGS_Opex!E23</f>
        <v>2861850.6705</v>
      </c>
      <c r="F22" s="25" t="n">
        <f aca="false">COGS_Opex!F23</f>
        <v>3097763.80526625</v>
      </c>
      <c r="G22" s="25" t="n">
        <f aca="false">COGS_Opex!G23</f>
        <v>3342109.154169</v>
      </c>
    </row>
    <row r="23" customFormat="false" ht="15" hidden="false" customHeight="false" outlineLevel="0" collapsed="false">
      <c r="B23" s="5" t="s">
        <v>172</v>
      </c>
      <c r="C23" s="6"/>
      <c r="D23" s="6"/>
      <c r="E23" s="6"/>
      <c r="F23" s="6"/>
      <c r="G23" s="6"/>
      <c r="H23" s="6"/>
    </row>
    <row r="24" customFormat="false" ht="15" hidden="false" customHeight="false" outlineLevel="0" collapsed="false">
      <c r="B24" s="8" t="s">
        <v>173</v>
      </c>
      <c r="C24" s="9" t="n">
        <f aca="false">Debt_Schedule!C11</f>
        <v>-1500000</v>
      </c>
      <c r="D24" s="9" t="n">
        <f aca="false">Debt_Schedule!D11</f>
        <v>-1285714.28571429</v>
      </c>
      <c r="E24" s="9" t="n">
        <f aca="false">Debt_Schedule!E11</f>
        <v>-1071428.57142857</v>
      </c>
      <c r="F24" s="9" t="n">
        <f aca="false">Debt_Schedule!F11</f>
        <v>-857142.857142857</v>
      </c>
      <c r="G24" s="9" t="n">
        <f aca="false">Debt_Schedule!G11</f>
        <v>-642857.142857143</v>
      </c>
    </row>
    <row r="25" customFormat="false" ht="15" hidden="false" customHeight="false" outlineLevel="0" collapsed="false">
      <c r="B25" s="24" t="s">
        <v>174</v>
      </c>
      <c r="C25" s="26" t="n">
        <f aca="false">C22+C24</f>
        <v>914279.999999999</v>
      </c>
      <c r="D25" s="26" t="n">
        <f aca="false">D22+D24</f>
        <v>1348393.26428571</v>
      </c>
      <c r="E25" s="26" t="n">
        <f aca="false">E22+E24</f>
        <v>1790422.09907143</v>
      </c>
      <c r="F25" s="26" t="n">
        <f aca="false">F22+F24</f>
        <v>2240620.94812339</v>
      </c>
      <c r="G25" s="26" t="n">
        <f aca="false">G22+G24</f>
        <v>2699252.01131186</v>
      </c>
    </row>
    <row r="26" customFormat="false" ht="15" hidden="false" customHeight="false" outlineLevel="0" collapsed="false">
      <c r="B26" s="8" t="s">
        <v>175</v>
      </c>
      <c r="C26" s="9" t="n">
        <f aca="false">IF(C25&gt;0,-(C25*ASM_Tax_Rate),0)</f>
        <v>-228570</v>
      </c>
      <c r="D26" s="9" t="n">
        <f aca="false">IF(D25&gt;0,-(D25*ASM_Tax_Rate),0)</f>
        <v>-337098.316071428</v>
      </c>
      <c r="E26" s="9" t="n">
        <f aca="false">IF(E25&gt;0,-(E25*ASM_Tax_Rate),0)</f>
        <v>-447605.524767857</v>
      </c>
      <c r="F26" s="9" t="n">
        <f aca="false">IF(F25&gt;0,-(F25*ASM_Tax_Rate),0)</f>
        <v>-560155.237030848</v>
      </c>
      <c r="G26" s="9" t="n">
        <f aca="false">IF(G25&gt;0,-(G25*ASM_Tax_Rate),0)</f>
        <v>-674813.002827964</v>
      </c>
    </row>
    <row r="28" customFormat="false" ht="15" hidden="false" customHeight="false" outlineLevel="0" collapsed="false">
      <c r="B28" s="24" t="s">
        <v>176</v>
      </c>
      <c r="C28" s="25" t="n">
        <f aca="false">C25+C26</f>
        <v>685709.999999999</v>
      </c>
      <c r="D28" s="25" t="n">
        <f aca="false">D25+D26</f>
        <v>1011294.94821428</v>
      </c>
      <c r="E28" s="25" t="n">
        <f aca="false">E25+E26</f>
        <v>1342816.57430357</v>
      </c>
      <c r="F28" s="25" t="n">
        <f aca="false">F25+F26</f>
        <v>1680465.71109254</v>
      </c>
      <c r="G28" s="25" t="n">
        <f aca="false">G25+G26</f>
        <v>2024439.00848389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177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178</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5" t="s">
        <v>179</v>
      </c>
      <c r="C4" s="28" t="s">
        <v>4</v>
      </c>
      <c r="D4" s="28" t="s">
        <v>5</v>
      </c>
      <c r="E4" s="28" t="s">
        <v>6</v>
      </c>
      <c r="F4" s="28" t="s">
        <v>7</v>
      </c>
      <c r="G4" s="28" t="s">
        <v>8</v>
      </c>
      <c r="H4" s="6"/>
    </row>
    <row r="5" customFormat="false" ht="15" hidden="false" customHeight="false" outlineLevel="0" collapsed="false">
      <c r="B5" s="8" t="s">
        <v>180</v>
      </c>
      <c r="C5" s="9" t="n">
        <f aca="false">Income_Statement!C28</f>
        <v>685709.999999999</v>
      </c>
      <c r="D5" s="9" t="n">
        <f aca="false">Income_Statement!D28</f>
        <v>1011294.94821428</v>
      </c>
      <c r="E5" s="9" t="n">
        <f aca="false">Income_Statement!E28</f>
        <v>1342816.57430357</v>
      </c>
      <c r="F5" s="9" t="n">
        <f aca="false">Income_Statement!F28</f>
        <v>1680465.71109254</v>
      </c>
      <c r="G5" s="9" t="n">
        <f aca="false">Income_Statement!G28</f>
        <v>2024439.00848389</v>
      </c>
    </row>
    <row r="6" customFormat="false" ht="15" hidden="false" customHeight="false" outlineLevel="0" collapsed="false">
      <c r="B6" s="8" t="s">
        <v>181</v>
      </c>
      <c r="C6" s="9" t="n">
        <f aca="false">-(COGS_Opex!C22)</f>
        <v>1800000</v>
      </c>
      <c r="D6" s="9" t="n">
        <f aca="false">-(COGS_Opex!D22)</f>
        <v>1800000</v>
      </c>
      <c r="E6" s="9" t="n">
        <f aca="false">-(COGS_Opex!E22)</f>
        <v>1800000</v>
      </c>
      <c r="F6" s="9" t="n">
        <f aca="false">-(COGS_Opex!F22)</f>
        <v>1800000</v>
      </c>
      <c r="G6" s="9" t="n">
        <f aca="false">-(COGS_Opex!G22)</f>
        <v>1800000</v>
      </c>
    </row>
    <row r="7" customFormat="false" ht="15" hidden="false" customHeight="false" outlineLevel="0" collapsed="false">
      <c r="B7" s="8" t="s">
        <v>182</v>
      </c>
      <c r="C7" s="9" t="n">
        <f aca="false">Working_Capital!C24</f>
        <v>-0</v>
      </c>
      <c r="D7" s="9" t="n">
        <f aca="false">Working_Capital!D24</f>
        <v>-71463.1438356165</v>
      </c>
      <c r="E7" s="9" t="n">
        <f aca="false">Working_Capital!E24</f>
        <v>-74023.2006164384</v>
      </c>
      <c r="F7" s="9" t="n">
        <f aca="false">Working_Capital!F24</f>
        <v>-76665.3355988008</v>
      </c>
      <c r="G7" s="9" t="n">
        <f aca="false">Working_Capital!G24</f>
        <v>-79392.0466313013</v>
      </c>
    </row>
    <row r="8" customFormat="false" ht="15" hidden="false" customHeight="false" outlineLevel="0" collapsed="false">
      <c r="B8" s="8" t="s">
        <v>183</v>
      </c>
      <c r="C8" s="9" t="n">
        <f aca="false">Working_Capital!C26</f>
        <v>-0</v>
      </c>
      <c r="D8" s="9" t="n">
        <f aca="false">Working_Capital!D26</f>
        <v>-67379.5356164384</v>
      </c>
      <c r="E8" s="9" t="n">
        <f aca="false">Working_Capital!E26</f>
        <v>-69793.3034383562</v>
      </c>
      <c r="F8" s="9" t="n">
        <f aca="false">Working_Capital!F26</f>
        <v>-72284.4592788694</v>
      </c>
      <c r="G8" s="9" t="n">
        <f aca="false">Working_Capital!G26</f>
        <v>-74855.3582523696</v>
      </c>
    </row>
    <row r="9" customFormat="false" ht="15" hidden="false" customHeight="false" outlineLevel="0" collapsed="false">
      <c r="B9" s="8" t="s">
        <v>184</v>
      </c>
      <c r="C9" s="9" t="n">
        <f aca="false">Working_Capital!C28</f>
        <v>0</v>
      </c>
      <c r="D9" s="9" t="n">
        <f aca="false">Working_Capital!D28</f>
        <v>50534.6517123288</v>
      </c>
      <c r="E9" s="9" t="n">
        <f aca="false">Working_Capital!E28</f>
        <v>52344.977578767</v>
      </c>
      <c r="F9" s="9" t="n">
        <f aca="false">Working_Capital!F28</f>
        <v>54213.3444591521</v>
      </c>
      <c r="G9" s="9" t="n">
        <f aca="false">Working_Capital!G28</f>
        <v>56141.5186892774</v>
      </c>
    </row>
    <row r="11" customFormat="false" ht="15" hidden="false" customHeight="false" outlineLevel="0" collapsed="false">
      <c r="B11" s="24" t="s">
        <v>185</v>
      </c>
      <c r="C11" s="25" t="n">
        <f aca="false">SUM(C5:C9)</f>
        <v>2485710</v>
      </c>
      <c r="D11" s="25" t="n">
        <f aca="false">SUM(D5:D9)</f>
        <v>2722986.92047456</v>
      </c>
      <c r="E11" s="25" t="n">
        <f aca="false">SUM(E5:E9)</f>
        <v>3051345.04782754</v>
      </c>
      <c r="F11" s="25" t="n">
        <f aca="false">SUM(F5:F9)</f>
        <v>3385729.26067403</v>
      </c>
      <c r="G11" s="25" t="n">
        <f aca="false">SUM(G5:G9)</f>
        <v>3726333.1222895</v>
      </c>
    </row>
    <row r="12" customFormat="false" ht="15" hidden="false" customHeight="false" outlineLevel="0" collapsed="false">
      <c r="B12" s="5" t="s">
        <v>186</v>
      </c>
      <c r="C12" s="6"/>
      <c r="D12" s="6"/>
      <c r="E12" s="6"/>
      <c r="F12" s="6"/>
      <c r="G12" s="6"/>
      <c r="H12" s="6"/>
    </row>
    <row r="13" customFormat="false" ht="15" hidden="false" customHeight="false" outlineLevel="0" collapsed="false">
      <c r="B13" s="8" t="s">
        <v>110</v>
      </c>
      <c r="C13" s="9" t="n">
        <f aca="false">-(Capex_Depreciation!C11)</f>
        <v>-363690</v>
      </c>
      <c r="D13" s="9" t="n">
        <f aca="false">-(Capex_Depreciation!D11)</f>
        <v>-382321.4625</v>
      </c>
      <c r="E13" s="9" t="n">
        <f aca="false">-(Capex_Depreciation!E11)</f>
        <v>-401620.368375</v>
      </c>
      <c r="F13" s="9" t="n">
        <f aca="false">-(Capex_Depreciation!F11)</f>
        <v>-421608.116584687</v>
      </c>
      <c r="G13" s="9" t="n">
        <f aca="false">-(Capex_Depreciation!G11)</f>
        <v>-442306.757313562</v>
      </c>
    </row>
    <row r="14" customFormat="false" ht="15" hidden="false" customHeight="false" outlineLevel="0" collapsed="false">
      <c r="B14" s="8" t="s">
        <v>111</v>
      </c>
      <c r="C14" s="9" t="n">
        <f aca="false">-(Capex_Depreciation!C12)</f>
        <v>-0</v>
      </c>
      <c r="D14" s="9" t="n">
        <f aca="false">-(Capex_Depreciation!D12)</f>
        <v>-0</v>
      </c>
      <c r="E14" s="9" t="n">
        <f aca="false">-(Capex_Depreciation!E12)</f>
        <v>-0</v>
      </c>
      <c r="F14" s="9" t="n">
        <f aca="false">-(Capex_Depreciation!F12)</f>
        <v>-0</v>
      </c>
      <c r="G14" s="9" t="n">
        <f aca="false">-(Capex_Depreciation!G12)</f>
        <v>-0</v>
      </c>
    </row>
    <row r="15" customFormat="false" ht="15" hidden="false" customHeight="false" outlineLevel="0" collapsed="false">
      <c r="B15" s="24" t="s">
        <v>187</v>
      </c>
      <c r="C15" s="25" t="n">
        <f aca="false">C13+C14</f>
        <v>-363690</v>
      </c>
      <c r="D15" s="25" t="n">
        <f aca="false">D13+D14</f>
        <v>-382321.4625</v>
      </c>
      <c r="E15" s="25" t="n">
        <f aca="false">E13+E14</f>
        <v>-401620.368375</v>
      </c>
      <c r="F15" s="25" t="n">
        <f aca="false">F13+F14</f>
        <v>-421608.116584687</v>
      </c>
      <c r="G15" s="25" t="n">
        <f aca="false">G13+G14</f>
        <v>-442306.757313562</v>
      </c>
    </row>
    <row r="16" customFormat="false" ht="15" hidden="false" customHeight="false" outlineLevel="0" collapsed="false">
      <c r="B16" s="5" t="s">
        <v>188</v>
      </c>
      <c r="C16" s="6"/>
      <c r="D16" s="6"/>
      <c r="E16" s="6"/>
      <c r="F16" s="6"/>
      <c r="G16" s="6"/>
      <c r="H16" s="6"/>
    </row>
    <row r="17" customFormat="false" ht="15" hidden="false" customHeight="false" outlineLevel="0" collapsed="false">
      <c r="B17" s="8" t="s">
        <v>189</v>
      </c>
      <c r="C17" s="9" t="n">
        <f aca="false">Debt_Schedule!C8</f>
        <v>-2857142.85714286</v>
      </c>
      <c r="D17" s="9" t="n">
        <f aca="false">Debt_Schedule!D8</f>
        <v>-2857142.85714286</v>
      </c>
      <c r="E17" s="9" t="n">
        <f aca="false">Debt_Schedule!E8</f>
        <v>-2857142.85714286</v>
      </c>
      <c r="F17" s="9" t="n">
        <f aca="false">Debt_Schedule!F8</f>
        <v>-2857142.85714286</v>
      </c>
      <c r="G17" s="9" t="n">
        <f aca="false">Debt_Schedule!G8</f>
        <v>-2857142.85714286</v>
      </c>
    </row>
    <row r="18" customFormat="false" ht="15" hidden="false" customHeight="false" outlineLevel="0" collapsed="false">
      <c r="B18" s="24" t="s">
        <v>190</v>
      </c>
      <c r="C18" s="25" t="n">
        <f aca="false">C17</f>
        <v>-2857142.85714286</v>
      </c>
      <c r="D18" s="25" t="n">
        <f aca="false">D17</f>
        <v>-2857142.85714286</v>
      </c>
      <c r="E18" s="25" t="n">
        <f aca="false">E17</f>
        <v>-2857142.85714286</v>
      </c>
      <c r="F18" s="25" t="n">
        <f aca="false">F17</f>
        <v>-2857142.85714286</v>
      </c>
      <c r="G18" s="25" t="n">
        <f aca="false">G17</f>
        <v>-2857142.85714286</v>
      </c>
    </row>
    <row r="19" customFormat="false" ht="15" hidden="false" customHeight="false" outlineLevel="0" collapsed="false">
      <c r="B19" s="5" t="s">
        <v>191</v>
      </c>
      <c r="C19" s="6"/>
      <c r="D19" s="6"/>
      <c r="E19" s="6"/>
      <c r="F19" s="6"/>
      <c r="G19" s="6"/>
      <c r="H19" s="6"/>
    </row>
    <row r="20" customFormat="false" ht="15" hidden="false" customHeight="false" outlineLevel="0" collapsed="false">
      <c r="B20" s="8" t="s">
        <v>192</v>
      </c>
      <c r="C20" s="9" t="n">
        <f aca="false">C11+C15+C18</f>
        <v>-735122.857142858</v>
      </c>
      <c r="D20" s="9" t="n">
        <f aca="false">D11+D15+D18</f>
        <v>-516477.399168299</v>
      </c>
      <c r="E20" s="9" t="n">
        <f aca="false">E11+E15+E18</f>
        <v>-207418.177690314</v>
      </c>
      <c r="F20" s="9" t="n">
        <f aca="false">F11+F15+F18</f>
        <v>106978.286946481</v>
      </c>
      <c r="G20" s="9" t="n">
        <f aca="false">G11+G15+G18</f>
        <v>426883.507833078</v>
      </c>
    </row>
    <row r="21" customFormat="false" ht="15" hidden="false" customHeight="false" outlineLevel="0" collapsed="false">
      <c r="B21" s="8" t="s">
        <v>193</v>
      </c>
      <c r="C21" s="9" t="n">
        <f aca="false">ASM_Cash_D0</f>
        <v>5000000</v>
      </c>
      <c r="D21" s="9" t="n">
        <f aca="false">C22</f>
        <v>4264877.14285714</v>
      </c>
      <c r="E21" s="9" t="n">
        <f aca="false">D22</f>
        <v>3748399.74368884</v>
      </c>
      <c r="F21" s="9" t="n">
        <f aca="false">E22</f>
        <v>3540981.56599853</v>
      </c>
      <c r="G21" s="9" t="n">
        <f aca="false">F22</f>
        <v>3647959.85294501</v>
      </c>
    </row>
    <row r="22" customFormat="false" ht="15" hidden="false" customHeight="false" outlineLevel="0" collapsed="false">
      <c r="B22" s="24" t="s">
        <v>194</v>
      </c>
      <c r="C22" s="25" t="n">
        <f aca="false">C21+C20</f>
        <v>4264877.14285714</v>
      </c>
      <c r="D22" s="25" t="n">
        <f aca="false">D21+D20</f>
        <v>3748399.74368884</v>
      </c>
      <c r="E22" s="25" t="n">
        <f aca="false">E21+E20</f>
        <v>3540981.56599853</v>
      </c>
      <c r="F22" s="25" t="n">
        <f aca="false">F21+F20</f>
        <v>3647959.85294501</v>
      </c>
      <c r="G22" s="25" t="n">
        <f aca="false">G21+G20</f>
        <v>4074843.36077809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2026-05-15T18:53:14Z</dcterms:created>
  <dc:creator>openpyxl</dc:creator>
  <dc:description/>
  <dc:language>en-GB</dc:language>
  <cp:lastModifiedBy/>
  <dcterms:modified xsi:type="dcterms:W3CDTF">2026-05-15T18:53:14Z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