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3.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Underlying_Funds" sheetId="3" state="visible" r:id="rId5"/>
    <sheet name="FoF_Cash_Flows" sheetId="4" state="visible" r:id="rId6"/>
    <sheet name="Waterfall" sheetId="5" state="visible" r:id="rId7"/>
    <sheet name="Returns" sheetId="6" state="visible" r:id="rId8"/>
    <sheet name="Disclaimer" sheetId="7" state="visible" r:id="rId9"/>
  </sheets>
  <definedNames>
    <definedName function="false" hidden="false" name="CF_Cumul_GP_Called" vbProcedure="false">OFFSET(FoF_Cash_Flows!$C$21,0,0,1,12)</definedName>
    <definedName function="false" hidden="false" name="CF_Cumul_Gross_Dist" vbProcedure="false">OFFSET(FoF_Cash_Flows!$C$28,0,0,1,12)</definedName>
    <definedName function="false" hidden="false" name="CF_Cumul_LP_Called" vbProcedure="false">OFFSET(FoF_Cash_Flows!$C$19,0,0,1,12)</definedName>
    <definedName function="false" hidden="false" name="CF_Cumul_Total_Called" vbProcedure="false">OFFSET(FoF_Cash_Flows!$C$23,0,0,1,12)</definedName>
    <definedName function="false" hidden="false" name="CF_GP_Call" vbProcedure="false">OFFSET(FoF_Cash_Flows!$C$20,0,0,1,12)</definedName>
    <definedName function="false" hidden="false" name="CF_Gross_Dist" vbProcedure="false">OFFSET(FoF_Cash_Flows!$C$27,0,0,1,12)</definedName>
    <definedName function="false" hidden="false" name="CF_LP_Call" vbProcedure="false">OFFSET(FoF_Cash_Flows!$C$18,0,0,1,12)</definedName>
    <definedName function="false" hidden="false" name="CF_NAV_UF" vbProcedure="false">OFFSET(FoF_Cash_Flows!$C$31,0,0,1,12)</definedName>
    <definedName function="false" hidden="false" name="CF_Total_Called" vbProcedure="false">OFFSET(FoF_Cash_Flows!$C$22,0,0,1,12)</definedName>
    <definedName function="false" hidden="false" name="CF_Total_FOF_Fee" vbProcedure="false">OFFSET(FoF_Cash_Flows!$C$15,0,0,1,12)</definedName>
    <definedName function="false" hidden="false" name="Commit_Period" vbProcedure="false">Assumptions!$C$8</definedName>
    <definedName function="false" hidden="false" name="Deploy_Y1" vbProcedure="false">Assumptions!$C$24</definedName>
    <definedName function="false" hidden="false" name="Deploy_Y2" vbProcedure="false">Assumptions!$C$25</definedName>
    <definedName function="false" hidden="false" name="Deploy_Y3" vbProcedure="false">Assumptions!$C$26</definedName>
    <definedName function="false" hidden="false" name="Deploy_Y4" vbProcedure="false">Assumptions!$C$27</definedName>
    <definedName function="false" hidden="false" name="Deploy_Y5" vbProcedure="false">Assumptions!$C$28</definedName>
    <definedName function="false" hidden="false" name="FoF_Life" vbProcedure="false">Assumptions!$C$7</definedName>
    <definedName function="false" hidden="false" name="FoF_Mgmt_Fee_Commit" vbProcedure="false">Assumptions!$C$12</definedName>
    <definedName function="false" hidden="false" name="FoF_Mgmt_Fee_NAV" vbProcedure="false">Assumptions!$C$13</definedName>
    <definedName function="false" hidden="false" name="FoF_Org_Cost_Pct" vbProcedure="false">Assumptions!$C$14</definedName>
    <definedName function="false" hidden="false" name="FoF_Size" vbProcedure="false">Assumptions!$C$6</definedName>
    <definedName function="false" hidden="false" name="GP_Commit_Pct" vbProcedure="false">Assumptions!$C$9</definedName>
    <definedName function="false" hidden="false" name="Target_Net_IRR" vbProcedure="false">Assumptions!$C$48</definedName>
    <definedName function="false" hidden="false" name="Target_Net_Multiple" vbProcedure="false">Assumptions!$C$47</definedName>
    <definedName function="false" hidden="false" name="UF_Call_Y1" vbProcedure="false">Assumptions!$C$32</definedName>
    <definedName function="false" hidden="false" name="UF_Call_Y2" vbProcedure="false">Assumptions!$C$33</definedName>
    <definedName function="false" hidden="false" name="UF_Call_Y3" vbProcedure="false">Assumptions!$C$34</definedName>
    <definedName function="false" hidden="false" name="UF_Call_Y4" vbProcedure="false">Assumptions!$C$35</definedName>
    <definedName function="false" hidden="false" name="UF_Call_Y5" vbProcedure="false">Assumptions!$C$36</definedName>
    <definedName function="false" hidden="false" name="UF_Carry_Pct" vbProcedure="false">Assumptions!$C$18</definedName>
    <definedName function="false" hidden="false" name="UF_Dist_End" vbProcedure="false">Assumptions!$C$39</definedName>
    <definedName function="false" hidden="false" name="UF_Dist_Peak" vbProcedure="false">Assumptions!$C$38</definedName>
    <definedName function="false" hidden="false" name="UF_Dist_Start" vbProcedure="false">Assumptions!$C$37</definedName>
    <definedName function="false" hidden="false" name="UF_Fund_Life" vbProcedure="false">Assumptions!$C$20</definedName>
    <definedName function="false" hidden="false" name="UF_Gross_MOIC" vbProcedure="false">Assumptions!$C$31</definedName>
    <definedName function="false" hidden="false" name="UF_Hurdle" vbProcedure="false">Assumptions!$C$19</definedName>
    <definedName function="false" hidden="false" name="UF_Invest_Period" vbProcedure="false">Assumptions!$C$21</definedName>
    <definedName function="false" hidden="false" name="UF_Mgmt_Fee" vbProcedure="false">Assumptions!$C$17</definedName>
    <definedName function="false" hidden="false" name="UF_Total_Called" vbProcedure="false">OFFSET(Underlying_Funds!$C$87,0,0,1,12)</definedName>
    <definedName function="false" hidden="false" name="UF_Total_Gross_Dist" vbProcedure="false">OFFSET(Underlying_Funds!$C$90,0,0,1,12)</definedName>
    <definedName function="false" hidden="false" name="UF_Total_NAV" vbProcedure="false">OFFSET(Underlying_Funds!$C$89,0,0,1,12)</definedName>
    <definedName function="false" hidden="false" name="UF_Total_Net_Dist" vbProcedure="false">OFFSET(Underlying_Funds!$C$88,0,0,1,12)</definedName>
    <definedName function="false" hidden="false" name="WF_Carry_Pct" vbProcedure="false">Assumptions!$C$43</definedName>
    <definedName function="false" hidden="false" name="WF_Catchup_Pct" vbProcedure="false">Assumptions!$C$44</definedName>
    <definedName function="false" hidden="false" name="WF_Hurdle_Rate" vbProcedure="false">Assumptions!$C$42</definedName>
    <definedName function="false" hidden="false" name="W_Cumul_GP_Dist" vbProcedure="false">OFFSET(Waterfall!$C$41,0,0,1,12)</definedName>
    <definedName function="false" hidden="false" name="W_Cumul_LP_Dist" vbProcedure="false">OFFSET(Waterfall!$C$42,0,0,1,12)</definedName>
    <definedName function="false" hidden="false" name="W_Cumul_Total_Dist" vbProcedure="false">OFFSET(Waterfall!$C$43,0,0,1,12)</definedName>
    <definedName function="false" hidden="false" name="W_GP_Dist" vbProcedure="false">OFFSET(Waterfall!$C$35,0,0,1,12)</definedName>
    <definedName function="false" hidden="false" name="W_LP_Dist" vbProcedure="false">OFFSET(Waterfall!$C$36,0,0,1,12)</definedName>
    <definedName function="false" hidden="false" name="W_Total_Dist" vbProcedure="false">OFFSET(Waterfall!$C$37,0,0,1,12)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<sst xmlns="http://schemas.openxmlformats.org/spreadsheetml/2006/main" count="331" uniqueCount="231">
  <si>
    <t xml:space="preserve">Fund of Funds Model</t>
  </si>
  <si>
    <t xml:space="preserve">FINAMODEL.com</t>
  </si>
  <si>
    <t xml:space="preserve">Multi-fund portfolio analysis</t>
  </si>
  <si>
    <t xml:space="preserve">Sheet</t>
  </si>
  <si>
    <t xml:space="preserve">Description</t>
  </si>
  <si>
    <t xml:space="preserve">Tab Colour</t>
  </si>
  <si>
    <t xml:space="preserve">Cover</t>
  </si>
  <si>
    <t xml:space="preserve">Title and navigation</t>
  </si>
  <si>
    <t xml:space="preserve">Dark Blue</t>
  </si>
  <si>
    <t xml:space="preserve">Assumptions</t>
  </si>
  <si>
    <t xml:space="preserve">FoF terms, fund assumptions</t>
  </si>
  <si>
    <t xml:space="preserve">Light Blue</t>
  </si>
  <si>
    <t xml:space="preserve">Underlying_Funds</t>
  </si>
  <si>
    <t xml:space="preserve">Per-fund calls, distributions, NAV</t>
  </si>
  <si>
    <t xml:space="preserve">Green</t>
  </si>
  <si>
    <t xml:space="preserve">FoF_Cash_Flows</t>
  </si>
  <si>
    <t xml:space="preserve">Aggregate cash flows and fees</t>
  </si>
  <si>
    <t xml:space="preserve">Waterfall</t>
  </si>
  <si>
    <t xml:space="preserve">LP/GP distribution allocation</t>
  </si>
  <si>
    <t xml:space="preserve">Orange</t>
  </si>
  <si>
    <t xml:space="preserve">Returns</t>
  </si>
  <si>
    <t xml:space="preserve">Performance metrics and benchmarks</t>
  </si>
  <si>
    <t xml:space="preserve">Grey</t>
  </si>
  <si>
    <t xml:space="preserve">About this model</t>
  </si>
  <si>
    <t xml:space="preserve">This portfolio model tracks capital calls, distributions, and net returns across a fund-of-funds vehicle investing in PE, VC, hedge funds, and real estate manager-run funds. Model allocation by strategy, manage the fee waterfall (management fees on commitments, performance fees above HWM, GP clawback mechanics), and consolidate cash flows and leverage across the underlying fund lineup to optimise composition and fee structure.
The workbook tracks each underlying fund's capital call schedule, distribution timing, performance fees, and leverage separately, then consolidates into a roll-forward of total portfolio NAV, cumulative distributions, and net IRR. Fee waterfall: typically 1.0â1.5% management fee on fund AUM, 15â20% performance fee above hurdle. Key outputs: net IRR (fund-of-funds level), DPI/MOIC by vintage manager, and exposure concentration analysis.
Used by institutional investors (pension funds, endowments, sovereign wealth), family offices sizing multi-strategy allocations, and funds-of-funds managers structuring new vehicles. The model reveals fee drag from layered performance fees (manager fee + FOFOF fee + GP carry) and helps identify over-allocated geographies or strategies. Benchmarks: industry net IRR target 8â12%, net MOIC 1.8â2.5x after all fees.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</si>
  <si>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</si>
  <si>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</si>
  <si>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</si>
  <si>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</si>
  <si>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Fund parameters</t>
  </si>
  <si>
    <t xml:space="preserve">Parameter</t>
  </si>
  <si>
    <t xml:space="preserve">Value</t>
  </si>
  <si>
    <t xml:space="preserve">Unit</t>
  </si>
  <si>
    <t xml:space="preserve">Notes</t>
  </si>
  <si>
    <t xml:space="preserve">FoF Structure</t>
  </si>
  <si>
    <t xml:space="preserve">FoF Size</t>
  </si>
  <si>
    <t xml:space="preserve">$M</t>
  </si>
  <si>
    <t xml:space="preserve">Total committed capital</t>
  </si>
  <si>
    <t xml:space="preserve">FoF Life</t>
  </si>
  <si>
    <t xml:space="preserve">years</t>
  </si>
  <si>
    <t xml:space="preserve">Total fund duration</t>
  </si>
  <si>
    <t xml:space="preserve">Commitment Period</t>
  </si>
  <si>
    <t xml:space="preserve">Window to commit to funds</t>
  </si>
  <si>
    <t xml:space="preserve">GP Commit</t>
  </si>
  <si>
    <t xml:space="preserve">%</t>
  </si>
  <si>
    <t xml:space="preserve">GP co-investment</t>
  </si>
  <si>
    <t xml:space="preserve">FoF-Level Fees</t>
  </si>
  <si>
    <t xml:space="preserve">Mgmt Fee (Commit)</t>
  </si>
  <si>
    <t xml:space="preserve">On commitments during invest</t>
  </si>
  <si>
    <t xml:space="preserve">Mgmt Fee (NAV)</t>
  </si>
  <si>
    <t xml:space="preserve">On NAV post-invest period</t>
  </si>
  <si>
    <t xml:space="preserve">Org/Setup Costs</t>
  </si>
  <si>
    <t xml:space="preserve">One-time, % of FoF size</t>
  </si>
  <si>
    <t xml:space="preserve">Underlying Fund Terms</t>
  </si>
  <si>
    <t xml:space="preserve">UF Mgmt Fee</t>
  </si>
  <si>
    <t xml:space="preserve">Annual, on commitments</t>
  </si>
  <si>
    <t xml:space="preserve">UF Carried Interest</t>
  </si>
  <si>
    <t xml:space="preserve">Standard 20% carry</t>
  </si>
  <si>
    <t xml:space="preserve">UF Hurdle Rate</t>
  </si>
  <si>
    <t xml:space="preserve">Preferred return</t>
  </si>
  <si>
    <t xml:space="preserve">UF Fund Life</t>
  </si>
  <si>
    <t xml:space="preserve">Typical PE/VC fund</t>
  </si>
  <si>
    <t xml:space="preserve">UF Invest Period</t>
  </si>
  <si>
    <t xml:space="preserve">Deployment window</t>
  </si>
  <si>
    <t xml:space="preserve">Deployment Schedule</t>
  </si>
  <si>
    <t xml:space="preserve">Vintage Y1 Alloc</t>
  </si>
  <si>
    <t xml:space="preserve">% of FoF committed to V1</t>
  </si>
  <si>
    <t xml:space="preserve">Vintage Y2 Alloc</t>
  </si>
  <si>
    <t xml:space="preserve">% of FoF committed to V2</t>
  </si>
  <si>
    <t xml:space="preserve">Vintage Y3 Alloc</t>
  </si>
  <si>
    <t xml:space="preserve">% of FoF committed to V3</t>
  </si>
  <si>
    <t xml:space="preserve">Vintage Y4 Alloc</t>
  </si>
  <si>
    <t xml:space="preserve">% of FoF committed to V4</t>
  </si>
  <si>
    <t xml:space="preserve">Vintage Y5 Alloc</t>
  </si>
  <si>
    <t xml:space="preserve">% of FoF committed to V5</t>
  </si>
  <si>
    <t xml:space="preserve">Underlying Fund Returns</t>
  </si>
  <si>
    <t xml:space="preserve">UF Gross MOIC</t>
  </si>
  <si>
    <t xml:space="preserve">x</t>
  </si>
  <si>
    <t xml:space="preserve">Blended gross multiple</t>
  </si>
  <si>
    <t xml:space="preserve">UF Call Y1</t>
  </si>
  <si>
    <t xml:space="preserve">% of commit called Yr 1</t>
  </si>
  <si>
    <t xml:space="preserve">UF Call Y2</t>
  </si>
  <si>
    <t xml:space="preserve">% of commit called Yr 2</t>
  </si>
  <si>
    <t xml:space="preserve">UF Call Y3</t>
  </si>
  <si>
    <t xml:space="preserve">% of commit called Yr 3</t>
  </si>
  <si>
    <t xml:space="preserve">UF Call Y4</t>
  </si>
  <si>
    <t xml:space="preserve">% of commit called Yr 4</t>
  </si>
  <si>
    <t xml:space="preserve">UF Call Y5</t>
  </si>
  <si>
    <t xml:space="preserve">% of commit called Yr 5</t>
  </si>
  <si>
    <t xml:space="preserve">UF Dist Start Year</t>
  </si>
  <si>
    <t xml:space="preserve">year</t>
  </si>
  <si>
    <t xml:space="preserve">First distributions</t>
  </si>
  <si>
    <t xml:space="preserve">UF Dist Peak Year</t>
  </si>
  <si>
    <t xml:space="preserve">Modal distribution year</t>
  </si>
  <si>
    <t xml:space="preserve">UF Dist End Year</t>
  </si>
  <si>
    <t xml:space="preserve">Final distributions</t>
  </si>
  <si>
    <t xml:space="preserve">FoF Waterfall Terms</t>
  </si>
  <si>
    <t xml:space="preserve">Preferred Return</t>
  </si>
  <si>
    <t xml:space="preserve">Compound annual hurdle</t>
  </si>
  <si>
    <t xml:space="preserve">Carried Interest</t>
  </si>
  <si>
    <t xml:space="preserve">GP share above hurdle</t>
  </si>
  <si>
    <t xml:space="preserve">GP Catch-Up</t>
  </si>
  <si>
    <t xml:space="preserve">100% to GP until at carry %</t>
  </si>
  <si>
    <t xml:space="preserve">Benchmarks</t>
  </si>
  <si>
    <t xml:space="preserve">Target Net Multiple</t>
  </si>
  <si>
    <t xml:space="preserve">FoF target after all fees</t>
  </si>
  <si>
    <t xml:space="preserve">Target Net IRR</t>
  </si>
  <si>
    <t xml:space="preserve">Underlying Funds</t>
  </si>
  <si>
    <t xml:space="preserve">Per-fund cash flows</t>
  </si>
  <si>
    <t xml:space="preserve">Year</t>
  </si>
  <si>
    <t xml:space="preserve">Fund A (V1 PE)</t>
  </si>
  <si>
    <t xml:space="preserve">Commitment</t>
  </si>
  <si>
    <t xml:space="preserve">Capital Called</t>
  </si>
  <si>
    <t xml:space="preserve">Cumul Called</t>
  </si>
  <si>
    <t xml:space="preserve">Gross Distributions</t>
  </si>
  <si>
    <t xml:space="preserve">Cumul Gross Dist</t>
  </si>
  <si>
    <t xml:space="preserve">NAV</t>
  </si>
  <si>
    <t xml:space="preserve">UF Fees (est)</t>
  </si>
  <si>
    <t xml:space="preserve">Net Distributions</t>
  </si>
  <si>
    <t xml:space="preserve">Cumul Net Dist</t>
  </si>
  <si>
    <t xml:space="preserve">Fund B (V1 VC)</t>
  </si>
  <si>
    <t xml:space="preserve">Fund C (V2 PE)</t>
  </si>
  <si>
    <t xml:space="preserve">Fund D (V2 VC)</t>
  </si>
  <si>
    <t xml:space="preserve">Fund E (V3 PE)</t>
  </si>
  <si>
    <t xml:space="preserve">Fund F (V3 VC)</t>
  </si>
  <si>
    <t xml:space="preserve">Fund G (V4 PE)</t>
  </si>
  <si>
    <t xml:space="preserve">Fund H (V5 PE)</t>
  </si>
  <si>
    <t xml:space="preserve">Portfolio Aggregation</t>
  </si>
  <si>
    <t xml:space="preserve">TOTAL CALLED</t>
  </si>
  <si>
    <t xml:space="preserve">TOTAL NET DIST</t>
  </si>
  <si>
    <t xml:space="preserve">TOTAL NAV</t>
  </si>
  <si>
    <t xml:space="preserve">TOTAL GROSS DIST</t>
  </si>
  <si>
    <t xml:space="preserve">FoF Cash Flows</t>
  </si>
  <si>
    <t xml:space="preserve">Aggregate flows and fees</t>
  </si>
  <si>
    <t xml:space="preserve">Year Number</t>
  </si>
  <si>
    <t xml:space="preserve">Underlying Fund Flows</t>
  </si>
  <si>
    <t xml:space="preserve">Calls to UF</t>
  </si>
  <si>
    <t xml:space="preserve">Dist from UF (Net)</t>
  </si>
  <si>
    <t xml:space="preserve">Net UF Cash Flow</t>
  </si>
  <si>
    <t xml:space="preserve">FoF Mgmt Fee</t>
  </si>
  <si>
    <t xml:space="preserve">Total FoF Fees</t>
  </si>
  <si>
    <t xml:space="preserve">Capital Calls</t>
  </si>
  <si>
    <t xml:space="preserve">LP Capital Call</t>
  </si>
  <si>
    <t xml:space="preserve">Cumul LP Called</t>
  </si>
  <si>
    <t xml:space="preserve">GP Capital Call</t>
  </si>
  <si>
    <t xml:space="preserve">Cumul GP Called</t>
  </si>
  <si>
    <t xml:space="preserve">Total Capital Called</t>
  </si>
  <si>
    <t xml:space="preserve">Cumul Total Called</t>
  </si>
  <si>
    <t xml:space="preserve">Uncalled Capital</t>
  </si>
  <si>
    <t xml:space="preserve">Distributions (Pre-Waterfall)</t>
  </si>
  <si>
    <t xml:space="preserve">Portfolio Value</t>
  </si>
  <si>
    <t xml:space="preserve">Underlying NAV</t>
  </si>
  <si>
    <t xml:space="preserve">Total Value</t>
  </si>
  <si>
    <t xml:space="preserve">Distribution Waterfall</t>
  </si>
  <si>
    <t xml:space="preserve">LP/GP allocation</t>
  </si>
  <si>
    <t xml:space="preserve">Gross Proceeds</t>
  </si>
  <si>
    <t xml:space="preserve">Period Proceeds</t>
  </si>
  <si>
    <t xml:space="preserve">Cumul Proceeds</t>
  </si>
  <si>
    <t xml:space="preserve">Step 1: Return of Capital</t>
  </si>
  <si>
    <t xml:space="preserve">Cumul Capital Called</t>
  </si>
  <si>
    <t xml:space="preserve">Cumul Return of Capital</t>
  </si>
  <si>
    <t xml:space="preserve">Period ROC</t>
  </si>
  <si>
    <t xml:space="preserve">Remaining After ROC</t>
  </si>
  <si>
    <t xml:space="preserve">Step 2: Preferred Return</t>
  </si>
  <si>
    <t xml:space="preserve">Hurdle Amount (Cumul)</t>
  </si>
  <si>
    <t xml:space="preserve">Cumul Pref Paid</t>
  </si>
  <si>
    <t xml:space="preserve">Period Pref Return</t>
  </si>
  <si>
    <t xml:space="preserve">Remaining After Pref</t>
  </si>
  <si>
    <t xml:space="preserve">Step 3: GP Catch-Up</t>
  </si>
  <si>
    <t xml:space="preserve">Catch-Up Target</t>
  </si>
  <si>
    <t xml:space="preserve">Cumul Catch-Up Paid</t>
  </si>
  <si>
    <t xml:space="preserve">Period Catch-Up</t>
  </si>
  <si>
    <t xml:space="preserve">Remaining After Catch-Up</t>
  </si>
  <si>
    <t xml:space="preserve">Step 4: Residual Split</t>
  </si>
  <si>
    <t xml:space="preserve">Cumul GP Residual</t>
  </si>
  <si>
    <t xml:space="preserve">Period GP Residual</t>
  </si>
  <si>
    <t xml:space="preserve">Cumul LP Residual</t>
  </si>
  <si>
    <t xml:space="preserve">Period LP Residual</t>
  </si>
  <si>
    <t xml:space="preserve">Distribution Summary</t>
  </si>
  <si>
    <t xml:space="preserve">GP Distribution</t>
  </si>
  <si>
    <t xml:space="preserve">LP Distribution</t>
  </si>
  <si>
    <t xml:space="preserve">TOTAL DISTRIBUTION</t>
  </si>
  <si>
    <t xml:space="preserve">Check (Dist - Proceeds)</t>
  </si>
  <si>
    <t xml:space="preserve">Cumulative Distributions</t>
  </si>
  <si>
    <t xml:space="preserve">Cumul GP Dist</t>
  </si>
  <si>
    <t xml:space="preserve">Cumul LP Dist</t>
  </si>
  <si>
    <t xml:space="preserve">Cumul Total Dist</t>
  </si>
  <si>
    <t xml:space="preserve">Performance and benchmarks</t>
  </si>
  <si>
    <t xml:space="preserve">Fund Multiples</t>
  </si>
  <si>
    <t xml:space="preserve">TVPI</t>
  </si>
  <si>
    <t xml:space="preserve">DPI</t>
  </si>
  <si>
    <t xml:space="preserve">RVPI</t>
  </si>
  <si>
    <t xml:space="preserve">Check (TVPI-DPI-RVPI)</t>
  </si>
  <si>
    <t xml:space="preserve">LP Returns</t>
  </si>
  <si>
    <t xml:space="preserve">LP Net Cash Flow</t>
  </si>
  <si>
    <t xml:space="preserve">LP Net Multiple</t>
  </si>
  <si>
    <t xml:space="preserve">LP Net IRR</t>
  </si>
  <si>
    <t xml:space="preserve">vs Target Multiple</t>
  </si>
  <si>
    <t xml:space="preserve">vs Target IRR</t>
  </si>
  <si>
    <t xml:space="preserve">GP Economics</t>
  </si>
  <si>
    <t xml:space="preserve">Cumul FoF Mgmt Fees</t>
  </si>
  <si>
    <t xml:space="preserve">Cumul Carried Interest</t>
  </si>
  <si>
    <t xml:space="preserve">GP Commit Return</t>
  </si>
  <si>
    <t xml:space="preserve">TOTAL GP ECONOMICS</t>
  </si>
  <si>
    <t xml:space="preserve">Fund Cash Flows</t>
  </si>
  <si>
    <t xml:space="preserve">Total Calls (Negative)</t>
  </si>
  <si>
    <t xml:space="preserve">Total Distributions</t>
  </si>
  <si>
    <t xml:space="preserve">Fund Net Cash Flow</t>
  </si>
  <si>
    <t xml:space="preserve">Fund Gross IRR</t>
  </si>
  <si>
    <t xml:space="preserve">Fund Lifecycle</t>
  </si>
  <si>
    <t xml:space="preserve">Remaining Life</t>
  </si>
  <si>
    <t xml:space="preserve">Fee Drag Analysis</t>
  </si>
  <si>
    <t xml:space="preserve">Cumul Fee Drag</t>
  </si>
  <si>
    <t xml:space="preserve">Gross vs Net MOIC Gap</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</si>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</sst>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
    <numFmt numFmtId="166" formatCode="0"/>
    <numFmt numFmtId="167" formatCode="0.00%"/>
    <numFmt numFmtId="168" formatCode="0.00\x"/>
    <numFmt numFmtId="169" formatCode="0.000"/>
  </numFmts>
  <fonts count="26">
    <font>
      <sz val="11"/>
      <name val="Arial"/>
      <family val="0"/>
      <charset val="1"/>
    </font>
    <font>
      <sz val="10"/>
      <name val="Arial"/>
      <family val="0"/>
    </font>
    <font>
      <sz val="10"/>
      <name val="Arial"/>
      <family val="0"/>
    </font>
    <font>
      <sz val="10"/>
      <name val="Arial"/>
      <family val="0"/>
    </font>
    <font>
      <sz val="11"/>
      <color theme="0"/>
      <name val="Calibri"/>
      <family val="0"/>
      <charset val="1"/>
    </font>
    <font>
      <sz val="11"/>
      <color theme="0"/>
      <name val="Arial"/>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2" borderId="0" xfId="0" applyFont="true" applyBorder="false" applyAlignment="true" applyProtection="false">
      <alignment horizontal="left" vertical="bottom" textRotation="0" wrapText="false" indent="0" shrinkToFit="false"/>
      <protection locked="true" hidden="false"/>
    </xf>
    <xf numFmtId="164" fontId="16" fillId="2" borderId="0" xfId="0" applyFont="true" applyBorder="false" applyAlignment="true" applyProtection="false">
      <alignment horizontal="center" vertical="bottom" textRotation="0" wrapText="false" indent="0" shrinkToFit="false"/>
      <protection locked="true" hidden="false"/>
    </xf>
    <xf numFmtId="164" fontId="17"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5" fontId="18" fillId="5"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5" borderId="0" xfId="0" applyFont="true" applyBorder="false" applyAlignment="true" applyProtection="false">
      <alignment horizontal="right" vertical="bottom" textRotation="0" wrapText="false" indent="0" shrinkToFit="false"/>
      <protection locked="true" hidden="false"/>
    </xf>
    <xf numFmtId="167" fontId="18" fillId="5" borderId="0" xfId="0" applyFont="true" applyBorder="false" applyAlignment="true" applyProtection="false">
      <alignment horizontal="right" vertical="bottom" textRotation="0" wrapText="false" indent="0" shrinkToFit="false"/>
      <protection locked="true" hidden="false"/>
    </xf>
    <xf numFmtId="168" fontId="18" fillId="5" borderId="0" xfId="0" applyFont="true" applyBorder="false" applyAlignment="true" applyProtection="false">
      <alignment horizontal="right" vertical="bottom" textRotation="0" wrapText="false" indent="0" shrinkToFit="false"/>
      <protection locked="true" hidden="false"/>
    </xf>
    <xf numFmtId="166" fontId="16"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2"/>
    <col collapsed="false" customWidth="true" hidden="false" outlineLevel="0" max="4" min="4" style="0" width="14"/>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0</v>
      </c>
      <c r="C2" s="2"/>
      <c r="D2" s="4"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7" t="s">
        <v>3</v>
      </c>
      <c r="C5" s="7" t="s">
        <v>4</v>
      </c>
      <c r="D5" s="7" t="s">
        <v>5</v>
      </c>
    </row>
    <row r="6" customFormat="false" ht="15" hidden="false" customHeight="false" outlineLevel="0" collapsed="false">
      <c r="B6" s="8" t="s">
        <v>6</v>
      </c>
      <c r="C6" s="8" t="s">
        <v>7</v>
      </c>
      <c r="D6" s="8" t="s">
        <v>8</v>
      </c>
    </row>
    <row r="7" customFormat="false" ht="15" hidden="false" customHeight="false" outlineLevel="0" collapsed="false">
      <c r="B7" s="8" t="s">
        <v>9</v>
      </c>
      <c r="C7" s="8" t="s">
        <v>10</v>
      </c>
      <c r="D7" s="8" t="s">
        <v>11</v>
      </c>
    </row>
    <row r="8" customFormat="false" ht="15" hidden="false" customHeight="false" outlineLevel="0" collapsed="false">
      <c r="B8" s="8" t="s">
        <v>12</v>
      </c>
      <c r="C8" s="8" t="s">
        <v>13</v>
      </c>
      <c r="D8" s="8" t="s">
        <v>14</v>
      </c>
    </row>
    <row r="9" customFormat="false" ht="15" hidden="false" customHeight="false" outlineLevel="0" collapsed="false">
      <c r="B9" s="8" t="s">
        <v>15</v>
      </c>
      <c r="C9" s="8" t="s">
        <v>16</v>
      </c>
      <c r="D9" s="8" t="s">
        <v>14</v>
      </c>
    </row>
    <row r="10" customFormat="false" ht="15" hidden="false" customHeight="false" outlineLevel="0" collapsed="false">
      <c r="B10" s="8" t="s">
        <v>17</v>
      </c>
      <c r="C10" s="8" t="s">
        <v>18</v>
      </c>
      <c r="D10" s="8" t="s">
        <v>19</v>
      </c>
    </row>
    <row r="11" customFormat="false" ht="15" hidden="false" customHeight="false" outlineLevel="0" collapsed="false">
      <c r="B11" s="8" t="s">
        <v>20</v>
      </c>
      <c r="C11" s="8" t="s">
        <v>21</v>
      </c>
      <c r="D11" s="8" t="s">
        <v>22</v>
      </c>
    </row>
    <row r="14" customFormat="false" ht="19.5" hidden="false" customHeight="true" outlineLevel="0" collapsed="false">
      <c r="B14" s="9" t="s">
        <v>23</v>
      </c>
      <c r="C14" s="10"/>
      <c r="D14" s="10"/>
      <c r="E14" s="10"/>
      <c r="F14" s="10"/>
      <c r="G14" s="10"/>
    </row>
    <row r="15" customFormat="false" ht="195.75" hidden="false" customHeight="true" outlineLevel="0" collapsed="false">
      <c r="B15" s="11" t="s">
        <v>24</v>
      </c>
      <c r="C15" s="11"/>
      <c r="D15" s="11"/>
      <c r="E15" s="11"/>
      <c r="F15" s="11"/>
      <c r="G15" s="11"/>
    </row>
    <row r="17" customFormat="false" ht="19.5" hidden="false" customHeight="true" outlineLevel="0" collapsed="false">
      <c r="B17" s="9" t="s">
        <v>25</v>
      </c>
      <c r="C17" s="10"/>
      <c r="D17" s="10"/>
      <c r="E17" s="10"/>
      <c r="F17" s="10"/>
      <c r="G17" s="10"/>
    </row>
    <row r="18" customFormat="false" ht="57" hidden="false" customHeight="true" outlineLevel="0" collapsed="false">
      <c r="B18" s="11" t="s">
        <v>26</v>
      </c>
      <c r="C18" s="11"/>
      <c r="D18" s="11"/>
      <c r="E18" s="11"/>
      <c r="F18" s="11"/>
      <c r="G18" s="11"/>
    </row>
    <row r="19" customFormat="false" ht="15" hidden="false" customHeight="false" outlineLevel="0" collapsed="false">
      <c r="B19" s="12" t="s">
        <v>27</v>
      </c>
      <c r="C19" s="12"/>
      <c r="D19" s="12"/>
      <c r="E19" s="12"/>
      <c r="F19" s="12"/>
      <c r="G19" s="12"/>
    </row>
    <row r="20" customFormat="false" ht="15" hidden="false" customHeight="false" outlineLevel="0" collapsed="false">
      <c r="B20" s="13" t="s">
        <v>28</v>
      </c>
    </row>
  </sheetData>
  <mergeCells count="3">
    <mergeCell ref="B15:G15"/>
    <mergeCell ref="B18:G18"/>
    <mergeCell ref="B19:G1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2"/>
      <c r="C1" s="2"/>
      <c r="D1" s="2"/>
      <c r="E1" s="2"/>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9</v>
      </c>
      <c r="C2" s="2"/>
      <c r="D2" s="2"/>
      <c r="E2" s="2"/>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29</v>
      </c>
      <c r="C3" s="2"/>
      <c r="D3" s="2"/>
      <c r="E3" s="2"/>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4" t="s">
        <v>30</v>
      </c>
      <c r="C4" s="15" t="s">
        <v>31</v>
      </c>
      <c r="D4" s="15" t="s">
        <v>32</v>
      </c>
      <c r="E4" s="15" t="s">
        <v>33</v>
      </c>
    </row>
    <row r="5" customFormat="false" ht="15" hidden="false" customHeight="false" outlineLevel="0" collapsed="false">
      <c r="B5" s="16" t="s">
        <v>34</v>
      </c>
      <c r="C5" s="17"/>
      <c r="D5" s="17"/>
      <c r="E5" s="17"/>
    </row>
    <row r="6" customFormat="false" ht="15" hidden="false" customHeight="false" outlineLevel="0" collapsed="false">
      <c r="B6" s="8" t="s">
        <v>35</v>
      </c>
      <c r="C6" s="18" t="n">
        <v>500</v>
      </c>
      <c r="D6" s="19" t="s">
        <v>36</v>
      </c>
      <c r="E6" s="19" t="s">
        <v>37</v>
      </c>
    </row>
    <row r="7" customFormat="false" ht="15" hidden="false" customHeight="false" outlineLevel="0" collapsed="false">
      <c r="B7" s="8" t="s">
        <v>38</v>
      </c>
      <c r="C7" s="20" t="n">
        <v>12</v>
      </c>
      <c r="D7" s="19" t="s">
        <v>39</v>
      </c>
      <c r="E7" s="19" t="s">
        <v>40</v>
      </c>
    </row>
    <row r="8" customFormat="false" ht="15" hidden="false" customHeight="false" outlineLevel="0" collapsed="false">
      <c r="B8" s="8" t="s">
        <v>41</v>
      </c>
      <c r="C8" s="20" t="n">
        <v>5</v>
      </c>
      <c r="D8" s="19" t="s">
        <v>39</v>
      </c>
      <c r="E8" s="19" t="s">
        <v>42</v>
      </c>
    </row>
    <row r="9" customFormat="false" ht="15" hidden="false" customHeight="false" outlineLevel="0" collapsed="false">
      <c r="B9" s="8" t="s">
        <v>43</v>
      </c>
      <c r="C9" s="21" t="n">
        <v>0.02</v>
      </c>
      <c r="D9" s="19" t="s">
        <v>44</v>
      </c>
      <c r="E9" s="19" t="s">
        <v>45</v>
      </c>
    </row>
    <row r="10" customFormat="false" ht="15" hidden="false" customHeight="false" outlineLevel="0" collapsed="false">
      <c r="B10" s="6"/>
      <c r="C10" s="6"/>
      <c r="D10" s="6"/>
      <c r="E10" s="6"/>
    </row>
    <row r="11" customFormat="false" ht="15" hidden="false" customHeight="false" outlineLevel="0" collapsed="false">
      <c r="B11" s="16" t="s">
        <v>46</v>
      </c>
      <c r="C11" s="17"/>
      <c r="D11" s="17"/>
      <c r="E11" s="17"/>
    </row>
    <row r="12" customFormat="false" ht="15" hidden="false" customHeight="false" outlineLevel="0" collapsed="false">
      <c r="B12" s="8" t="s">
        <v>47</v>
      </c>
      <c r="C12" s="21" t="n">
        <v>0.0075</v>
      </c>
      <c r="D12" s="19" t="s">
        <v>44</v>
      </c>
      <c r="E12" s="19" t="s">
        <v>48</v>
      </c>
    </row>
    <row r="13" customFormat="false" ht="15" hidden="false" customHeight="false" outlineLevel="0" collapsed="false">
      <c r="B13" s="8" t="s">
        <v>49</v>
      </c>
      <c r="C13" s="21" t="n">
        <v>0.005</v>
      </c>
      <c r="D13" s="19" t="s">
        <v>44</v>
      </c>
      <c r="E13" s="19" t="s">
        <v>50</v>
      </c>
    </row>
    <row r="14" customFormat="false" ht="15" hidden="false" customHeight="false" outlineLevel="0" collapsed="false">
      <c r="B14" s="8" t="s">
        <v>51</v>
      </c>
      <c r="C14" s="21" t="n">
        <v>0.005</v>
      </c>
      <c r="D14" s="19" t="s">
        <v>44</v>
      </c>
      <c r="E14" s="19" t="s">
        <v>52</v>
      </c>
    </row>
    <row r="15" customFormat="false" ht="15" hidden="false" customHeight="false" outlineLevel="0" collapsed="false">
      <c r="B15" s="6"/>
      <c r="C15" s="6"/>
      <c r="D15" s="6"/>
      <c r="E15" s="6"/>
    </row>
    <row r="16" customFormat="false" ht="15" hidden="false" customHeight="false" outlineLevel="0" collapsed="false">
      <c r="B16" s="16" t="s">
        <v>53</v>
      </c>
      <c r="C16" s="17"/>
      <c r="D16" s="17"/>
      <c r="E16" s="17"/>
    </row>
    <row r="17" customFormat="false" ht="15" hidden="false" customHeight="false" outlineLevel="0" collapsed="false">
      <c r="B17" s="8" t="s">
        <v>54</v>
      </c>
      <c r="C17" s="21" t="n">
        <v>0.02</v>
      </c>
      <c r="D17" s="19" t="s">
        <v>44</v>
      </c>
      <c r="E17" s="19" t="s">
        <v>55</v>
      </c>
    </row>
    <row r="18" customFormat="false" ht="15" hidden="false" customHeight="false" outlineLevel="0" collapsed="false">
      <c r="B18" s="8" t="s">
        <v>56</v>
      </c>
      <c r="C18" s="21" t="n">
        <v>0.2</v>
      </c>
      <c r="D18" s="19" t="s">
        <v>44</v>
      </c>
      <c r="E18" s="19" t="s">
        <v>57</v>
      </c>
    </row>
    <row r="19" customFormat="false" ht="15" hidden="false" customHeight="false" outlineLevel="0" collapsed="false">
      <c r="B19" s="8" t="s">
        <v>58</v>
      </c>
      <c r="C19" s="21" t="n">
        <v>0.08</v>
      </c>
      <c r="D19" s="19" t="s">
        <v>44</v>
      </c>
      <c r="E19" s="19" t="s">
        <v>59</v>
      </c>
    </row>
    <row r="20" customFormat="false" ht="15" hidden="false" customHeight="false" outlineLevel="0" collapsed="false">
      <c r="B20" s="8" t="s">
        <v>60</v>
      </c>
      <c r="C20" s="20" t="n">
        <v>10</v>
      </c>
      <c r="D20" s="19" t="s">
        <v>39</v>
      </c>
      <c r="E20" s="19" t="s">
        <v>61</v>
      </c>
    </row>
    <row r="21" customFormat="false" ht="15" hidden="false" customHeight="false" outlineLevel="0" collapsed="false">
      <c r="B21" s="8" t="s">
        <v>62</v>
      </c>
      <c r="C21" s="20" t="n">
        <v>5</v>
      </c>
      <c r="D21" s="19" t="s">
        <v>39</v>
      </c>
      <c r="E21" s="19" t="s">
        <v>63</v>
      </c>
    </row>
    <row r="22" customFormat="false" ht="15" hidden="false" customHeight="false" outlineLevel="0" collapsed="false">
      <c r="B22" s="6"/>
      <c r="C22" s="6"/>
      <c r="D22" s="6"/>
      <c r="E22" s="6"/>
    </row>
    <row r="23" customFormat="false" ht="15" hidden="false" customHeight="false" outlineLevel="0" collapsed="false">
      <c r="B23" s="16" t="s">
        <v>64</v>
      </c>
      <c r="C23" s="17"/>
      <c r="D23" s="17"/>
      <c r="E23" s="17"/>
    </row>
    <row r="24" customFormat="false" ht="15" hidden="false" customHeight="false" outlineLevel="0" collapsed="false">
      <c r="B24" s="8" t="s">
        <v>65</v>
      </c>
      <c r="C24" s="21" t="n">
        <v>0.25</v>
      </c>
      <c r="D24" s="19" t="s">
        <v>44</v>
      </c>
      <c r="E24" s="19" t="s">
        <v>66</v>
      </c>
    </row>
    <row r="25" customFormat="false" ht="15" hidden="false" customHeight="false" outlineLevel="0" collapsed="false">
      <c r="B25" s="8" t="s">
        <v>67</v>
      </c>
      <c r="C25" s="21" t="n">
        <v>0.25</v>
      </c>
      <c r="D25" s="19" t="s">
        <v>44</v>
      </c>
      <c r="E25" s="19" t="s">
        <v>68</v>
      </c>
    </row>
    <row r="26" customFormat="false" ht="15" hidden="false" customHeight="false" outlineLevel="0" collapsed="false">
      <c r="B26" s="8" t="s">
        <v>69</v>
      </c>
      <c r="C26" s="21" t="n">
        <v>0.2</v>
      </c>
      <c r="D26" s="19" t="s">
        <v>44</v>
      </c>
      <c r="E26" s="19" t="s">
        <v>70</v>
      </c>
    </row>
    <row r="27" customFormat="false" ht="15" hidden="false" customHeight="false" outlineLevel="0" collapsed="false">
      <c r="B27" s="8" t="s">
        <v>71</v>
      </c>
      <c r="C27" s="21" t="n">
        <v>0.15</v>
      </c>
      <c r="D27" s="19" t="s">
        <v>44</v>
      </c>
      <c r="E27" s="19" t="s">
        <v>72</v>
      </c>
    </row>
    <row r="28" customFormat="false" ht="15" hidden="false" customHeight="false" outlineLevel="0" collapsed="false">
      <c r="B28" s="8" t="s">
        <v>73</v>
      </c>
      <c r="C28" s="21" t="n">
        <v>0.15</v>
      </c>
      <c r="D28" s="19" t="s">
        <v>44</v>
      </c>
      <c r="E28" s="19" t="s">
        <v>74</v>
      </c>
    </row>
    <row r="29" customFormat="false" ht="15" hidden="false" customHeight="false" outlineLevel="0" collapsed="false">
      <c r="B29" s="6"/>
      <c r="C29" s="6"/>
      <c r="D29" s="6"/>
      <c r="E29" s="6"/>
    </row>
    <row r="30" customFormat="false" ht="15" hidden="false" customHeight="false" outlineLevel="0" collapsed="false">
      <c r="B30" s="16" t="s">
        <v>75</v>
      </c>
      <c r="C30" s="17"/>
      <c r="D30" s="17"/>
      <c r="E30" s="17"/>
    </row>
    <row r="31" customFormat="false" ht="15" hidden="false" customHeight="false" outlineLevel="0" collapsed="false">
      <c r="B31" s="8" t="s">
        <v>76</v>
      </c>
      <c r="C31" s="22" t="n">
        <v>2</v>
      </c>
      <c r="D31" s="19" t="s">
        <v>77</v>
      </c>
      <c r="E31" s="19" t="s">
        <v>78</v>
      </c>
    </row>
    <row r="32" customFormat="false" ht="15" hidden="false" customHeight="false" outlineLevel="0" collapsed="false">
      <c r="B32" s="8" t="s">
        <v>79</v>
      </c>
      <c r="C32" s="21" t="n">
        <v>0.25</v>
      </c>
      <c r="D32" s="19" t="s">
        <v>44</v>
      </c>
      <c r="E32" s="19" t="s">
        <v>80</v>
      </c>
    </row>
    <row r="33" customFormat="false" ht="15" hidden="false" customHeight="false" outlineLevel="0" collapsed="false">
      <c r="B33" s="8" t="s">
        <v>81</v>
      </c>
      <c r="C33" s="21" t="n">
        <v>0.25</v>
      </c>
      <c r="D33" s="19" t="s">
        <v>44</v>
      </c>
      <c r="E33" s="19" t="s">
        <v>82</v>
      </c>
    </row>
    <row r="34" customFormat="false" ht="15" hidden="false" customHeight="false" outlineLevel="0" collapsed="false">
      <c r="B34" s="8" t="s">
        <v>83</v>
      </c>
      <c r="C34" s="21" t="n">
        <v>0.2</v>
      </c>
      <c r="D34" s="19" t="s">
        <v>44</v>
      </c>
      <c r="E34" s="19" t="s">
        <v>84</v>
      </c>
    </row>
    <row r="35" customFormat="false" ht="15" hidden="false" customHeight="false" outlineLevel="0" collapsed="false">
      <c r="B35" s="8" t="s">
        <v>85</v>
      </c>
      <c r="C35" s="21" t="n">
        <v>0.15</v>
      </c>
      <c r="D35" s="19" t="s">
        <v>44</v>
      </c>
      <c r="E35" s="19" t="s">
        <v>86</v>
      </c>
    </row>
    <row r="36" customFormat="false" ht="15" hidden="false" customHeight="false" outlineLevel="0" collapsed="false">
      <c r="B36" s="8" t="s">
        <v>87</v>
      </c>
      <c r="C36" s="21" t="n">
        <v>0.15</v>
      </c>
      <c r="D36" s="19" t="s">
        <v>44</v>
      </c>
      <c r="E36" s="19" t="s">
        <v>88</v>
      </c>
    </row>
    <row r="37" customFormat="false" ht="15" hidden="false" customHeight="false" outlineLevel="0" collapsed="false">
      <c r="B37" s="8" t="s">
        <v>89</v>
      </c>
      <c r="C37" s="20" t="n">
        <v>4</v>
      </c>
      <c r="D37" s="19" t="s">
        <v>90</v>
      </c>
      <c r="E37" s="19" t="s">
        <v>91</v>
      </c>
    </row>
    <row r="38" customFormat="false" ht="15" hidden="false" customHeight="false" outlineLevel="0" collapsed="false">
      <c r="B38" s="8" t="s">
        <v>92</v>
      </c>
      <c r="C38" s="20" t="n">
        <v>7</v>
      </c>
      <c r="D38" s="19" t="s">
        <v>90</v>
      </c>
      <c r="E38" s="19" t="s">
        <v>93</v>
      </c>
    </row>
    <row r="39" customFormat="false" ht="15" hidden="false" customHeight="false" outlineLevel="0" collapsed="false">
      <c r="B39" s="8" t="s">
        <v>94</v>
      </c>
      <c r="C39" s="20" t="n">
        <v>10</v>
      </c>
      <c r="D39" s="19" t="s">
        <v>90</v>
      </c>
      <c r="E39" s="19" t="s">
        <v>95</v>
      </c>
    </row>
    <row r="40" customFormat="false" ht="15" hidden="false" customHeight="false" outlineLevel="0" collapsed="false">
      <c r="B40" s="6"/>
      <c r="C40" s="6"/>
      <c r="D40" s="6"/>
      <c r="E40" s="6"/>
    </row>
    <row r="41" customFormat="false" ht="15" hidden="false" customHeight="false" outlineLevel="0" collapsed="false">
      <c r="B41" s="16" t="s">
        <v>96</v>
      </c>
      <c r="C41" s="17"/>
      <c r="D41" s="17"/>
      <c r="E41" s="17"/>
    </row>
    <row r="42" customFormat="false" ht="15" hidden="false" customHeight="false" outlineLevel="0" collapsed="false">
      <c r="B42" s="8" t="s">
        <v>97</v>
      </c>
      <c r="C42" s="21" t="n">
        <v>0.06</v>
      </c>
      <c r="D42" s="19" t="s">
        <v>44</v>
      </c>
      <c r="E42" s="19" t="s">
        <v>98</v>
      </c>
    </row>
    <row r="43" customFormat="false" ht="15" hidden="false" customHeight="false" outlineLevel="0" collapsed="false">
      <c r="B43" s="8" t="s">
        <v>99</v>
      </c>
      <c r="C43" s="21" t="n">
        <v>0.1</v>
      </c>
      <c r="D43" s="19" t="s">
        <v>44</v>
      </c>
      <c r="E43" s="19" t="s">
        <v>100</v>
      </c>
    </row>
    <row r="44" customFormat="false" ht="15" hidden="false" customHeight="false" outlineLevel="0" collapsed="false">
      <c r="B44" s="8" t="s">
        <v>101</v>
      </c>
      <c r="C44" s="18" t="n">
        <v>1</v>
      </c>
      <c r="D44" s="19" t="s">
        <v>44</v>
      </c>
      <c r="E44" s="19" t="s">
        <v>102</v>
      </c>
    </row>
    <row r="45" customFormat="false" ht="15" hidden="false" customHeight="false" outlineLevel="0" collapsed="false">
      <c r="B45" s="6"/>
      <c r="C45" s="6"/>
      <c r="D45" s="6"/>
      <c r="E45" s="6"/>
    </row>
    <row r="46" customFormat="false" ht="15" hidden="false" customHeight="false" outlineLevel="0" collapsed="false">
      <c r="B46" s="16" t="s">
        <v>103</v>
      </c>
      <c r="C46" s="17"/>
      <c r="D46" s="17"/>
      <c r="E46" s="17"/>
    </row>
    <row r="47" customFormat="false" ht="15" hidden="false" customHeight="false" outlineLevel="0" collapsed="false">
      <c r="B47" s="8" t="s">
        <v>104</v>
      </c>
      <c r="C47" s="22" t="n">
        <v>1.5</v>
      </c>
      <c r="D47" s="19" t="s">
        <v>77</v>
      </c>
      <c r="E47" s="19" t="s">
        <v>105</v>
      </c>
    </row>
    <row r="48" customFormat="false" ht="15" hidden="false" customHeight="false" outlineLevel="0" collapsed="false">
      <c r="B48" s="8" t="s">
        <v>106</v>
      </c>
      <c r="C48" s="21" t="n">
        <v>0.1</v>
      </c>
      <c r="D48" s="19" t="s">
        <v>44</v>
      </c>
      <c r="E48" s="19" t="s">
        <v>105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9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4" min="3" style="0" width="14"/>
  </cols>
  <sheetData>
    <row r="1" customFormat="false" ht="15" hidden="false" customHeight="false" outlineLevel="0" collapsed="false">
      <c r="A1" s="1"/>
      <c r="B1" s="2"/>
      <c r="C1" s="2"/>
      <c r="D1" s="2"/>
      <c r="E1" s="2"/>
      <c r="F1" s="2"/>
      <c r="G1" s="2"/>
      <c r="H1" s="2"/>
      <c r="I1" s="2"/>
      <c r="J1" s="2"/>
      <c r="K1" s="2"/>
      <c r="L1" s="2"/>
      <c r="M1" s="2"/>
      <c r="N1" s="2"/>
      <c r="O1" s="1"/>
      <c r="P1" s="1"/>
      <c r="Q1" s="1"/>
      <c r="R1" s="1"/>
      <c r="S1" s="1"/>
      <c r="T1" s="1"/>
      <c r="U1" s="1"/>
      <c r="V1" s="1"/>
      <c r="W1" s="1"/>
      <c r="X1" s="1"/>
      <c r="Y1" s="1"/>
      <c r="Z1" s="1"/>
      <c r="AA1" s="1"/>
      <c r="AB1" s="1"/>
      <c r="AC1" s="1"/>
      <c r="AD1" s="1"/>
    </row>
    <row r="2" customFormat="false" ht="21.75" hidden="false" customHeight="true" outlineLevel="0" collapsed="false">
      <c r="A2" s="1"/>
      <c r="B2" s="3" t="s">
        <v>107</v>
      </c>
      <c r="C2" s="2"/>
      <c r="D2" s="2"/>
      <c r="E2" s="2"/>
      <c r="F2" s="2"/>
      <c r="G2" s="2"/>
      <c r="H2" s="2"/>
      <c r="I2" s="2"/>
      <c r="J2" s="2"/>
      <c r="K2" s="2"/>
      <c r="L2" s="2"/>
      <c r="M2" s="2"/>
      <c r="N2" s="2"/>
      <c r="O2" s="1"/>
      <c r="P2" s="1"/>
      <c r="Q2" s="1"/>
      <c r="R2" s="1"/>
      <c r="S2" s="1"/>
      <c r="T2" s="1"/>
      <c r="U2" s="1"/>
      <c r="V2" s="1"/>
      <c r="W2" s="1"/>
      <c r="X2" s="1"/>
      <c r="Y2" s="1"/>
      <c r="Z2" s="1"/>
      <c r="AA2" s="1"/>
      <c r="AB2" s="1"/>
      <c r="AC2" s="1"/>
      <c r="AD2" s="1"/>
    </row>
    <row r="3" customFormat="false" ht="15" hidden="false" customHeight="false" outlineLevel="0" collapsed="false">
      <c r="A3" s="1"/>
      <c r="B3" s="5" t="s">
        <v>108</v>
      </c>
      <c r="C3" s="2"/>
      <c r="D3" s="2"/>
      <c r="E3" s="2"/>
      <c r="F3" s="2"/>
      <c r="G3" s="2"/>
      <c r="H3" s="2"/>
      <c r="I3" s="2"/>
      <c r="J3" s="2"/>
      <c r="K3" s="2"/>
      <c r="L3" s="2"/>
      <c r="M3" s="2"/>
      <c r="N3" s="2"/>
      <c r="O3" s="1"/>
      <c r="P3" s="1"/>
      <c r="Q3" s="1"/>
      <c r="R3" s="1"/>
      <c r="S3" s="1"/>
      <c r="T3" s="1"/>
      <c r="U3" s="1"/>
      <c r="V3" s="1"/>
      <c r="W3" s="1"/>
      <c r="X3" s="1"/>
      <c r="Y3" s="1"/>
      <c r="Z3" s="1"/>
      <c r="AA3" s="1"/>
      <c r="AB3" s="1"/>
      <c r="AC3" s="1"/>
      <c r="AD3" s="1"/>
    </row>
    <row r="4" customFormat="false" ht="15" hidden="false" customHeight="false" outlineLevel="0" collapsed="false">
      <c r="B4" s="14" t="s">
        <v>109</v>
      </c>
      <c r="C4" s="23" t="n">
        <f aca="false">COLUMN()-2</f>
        <v>1</v>
      </c>
      <c r="D4" s="23" t="n">
        <f aca="false">COLUMN()-2</f>
        <v>2</v>
      </c>
      <c r="E4" s="23" t="n">
        <f aca="false">COLUMN()-2</f>
        <v>3</v>
      </c>
      <c r="F4" s="23" t="n">
        <f aca="false">COLUMN()-2</f>
        <v>4</v>
      </c>
      <c r="G4" s="23" t="n">
        <f aca="false">COLUMN()-2</f>
        <v>5</v>
      </c>
      <c r="H4" s="23" t="n">
        <f aca="false">COLUMN()-2</f>
        <v>6</v>
      </c>
      <c r="I4" s="23" t="n">
        <f aca="false">COLUMN()-2</f>
        <v>7</v>
      </c>
      <c r="J4" s="23" t="n">
        <f aca="false">COLUMN()-2</f>
        <v>8</v>
      </c>
      <c r="K4" s="23" t="n">
        <f aca="false">COLUMN()-2</f>
        <v>9</v>
      </c>
      <c r="L4" s="23" t="n">
        <f aca="false">COLUMN()-2</f>
        <v>10</v>
      </c>
      <c r="M4" s="23" t="n">
        <f aca="false">COLUMN()-2</f>
        <v>11</v>
      </c>
      <c r="N4" s="23" t="n">
        <f aca="false">COLUMN()-2</f>
        <v>12</v>
      </c>
    </row>
    <row r="5" customFormat="false" ht="15" hidden="false" customHeight="false" outlineLevel="0" collapsed="false">
      <c r="B5" s="6"/>
      <c r="C5" s="6"/>
      <c r="D5" s="6"/>
      <c r="E5" s="6"/>
      <c r="F5" s="6"/>
      <c r="G5" s="6"/>
      <c r="H5" s="6"/>
      <c r="I5" s="6"/>
      <c r="J5" s="6"/>
      <c r="K5" s="6"/>
      <c r="L5" s="6"/>
      <c r="M5" s="6"/>
      <c r="N5" s="6"/>
    </row>
    <row r="6" customFormat="false" ht="15" hidden="false" customHeight="false" outlineLevel="0" collapsed="false">
      <c r="B6" s="16" t="s">
        <v>110</v>
      </c>
      <c r="C6" s="17"/>
      <c r="D6" s="17"/>
      <c r="E6" s="17"/>
      <c r="F6" s="17"/>
      <c r="G6" s="17"/>
      <c r="H6" s="17"/>
      <c r="I6" s="17"/>
      <c r="J6" s="17"/>
      <c r="K6" s="17"/>
      <c r="L6" s="17"/>
      <c r="M6" s="17"/>
      <c r="N6" s="17"/>
    </row>
    <row r="7" customFormat="false" ht="15" hidden="false" customHeight="false" outlineLevel="0" collapsed="false">
      <c r="B7" s="24" t="s">
        <v>111</v>
      </c>
      <c r="C7" s="25" t="n">
        <f aca="false">IF(COLUMN()-2=1,FoF_Size*Deploy_Y1*0.5,0)</f>
        <v>62.5</v>
      </c>
      <c r="D7" s="25" t="n">
        <f aca="false">IF(COLUMN()-2=1,FoF_Size*Deploy_Y1*0.5,0)</f>
        <v>0</v>
      </c>
      <c r="E7" s="25" t="n">
        <f aca="false">IF(COLUMN()-2=1,FoF_Size*Deploy_Y1*0.5,0)</f>
        <v>0</v>
      </c>
      <c r="F7" s="25" t="n">
        <f aca="false">IF(COLUMN()-2=1,FoF_Size*Deploy_Y1*0.5,0)</f>
        <v>0</v>
      </c>
      <c r="G7" s="25" t="n">
        <f aca="false">IF(COLUMN()-2=1,FoF_Size*Deploy_Y1*0.5,0)</f>
        <v>0</v>
      </c>
      <c r="H7" s="25" t="n">
        <f aca="false">IF(COLUMN()-2=1,FoF_Size*Deploy_Y1*0.5,0)</f>
        <v>0</v>
      </c>
      <c r="I7" s="25" t="n">
        <f aca="false">IF(COLUMN()-2=1,FoF_Size*Deploy_Y1*0.5,0)</f>
        <v>0</v>
      </c>
      <c r="J7" s="25" t="n">
        <f aca="false">IF(COLUMN()-2=1,FoF_Size*Deploy_Y1*0.5,0)</f>
        <v>0</v>
      </c>
      <c r="K7" s="25" t="n">
        <f aca="false">IF(COLUMN()-2=1,FoF_Size*Deploy_Y1*0.5,0)</f>
        <v>0</v>
      </c>
      <c r="L7" s="25" t="n">
        <f aca="false">IF(COLUMN()-2=1,FoF_Size*Deploy_Y1*0.5,0)</f>
        <v>0</v>
      </c>
      <c r="M7" s="25" t="n">
        <f aca="false">IF(COLUMN()-2=1,FoF_Size*Deploy_Y1*0.5,0)</f>
        <v>0</v>
      </c>
      <c r="N7" s="25" t="n">
        <f aca="false">IF(COLUMN()-2=1,FoF_Size*Deploy_Y1*0.5,0)</f>
        <v>0</v>
      </c>
    </row>
    <row r="8" customFormat="false" ht="15" hidden="false" customHeight="false" outlineLevel="0" collapsed="false">
      <c r="B8" s="24" t="s">
        <v>112</v>
      </c>
      <c r="C8" s="25" t="n">
        <f aca="false">IF(OR(COLUMN()-2&lt;1,COLUMN()-2-1+1&gt;UF_Invest_Period),0,IF(COLUMN()-2-1+1=1,SUM(C7:N7)*UF_Call_Y1,IF(COLUMN()-2-1+1=2,SUM(C7:N7)*UF_Call_Y2,IF(COLUMN()-2-1+1=3,SUM(C7:N7)*UF_Call_Y3,IF(COLUMN()-2-1+1=4,SUM(C7:N7)*UF_Call_Y4,IF(COLUMN()-2-1+1=5,SUM(C7:N7)*UF_Call_Y5,0))))))</f>
        <v>15.625</v>
      </c>
      <c r="D8" s="25" t="n">
        <f aca="false">IF(OR(COLUMN()-2&lt;1,COLUMN()-2-1+1&gt;UF_Invest_Period),0,IF(COLUMN()-2-1+1=1,SUM(C7:N7)*UF_Call_Y1,IF(COLUMN()-2-1+1=2,SUM(C7:N7)*UF_Call_Y2,IF(COLUMN()-2-1+1=3,SUM(C7:N7)*UF_Call_Y3,IF(COLUMN()-2-1+1=4,SUM(C7:N7)*UF_Call_Y4,IF(COLUMN()-2-1+1=5,SUM(C7:N7)*UF_Call_Y5,0))))))</f>
        <v>15.625</v>
      </c>
      <c r="E8" s="25" t="n">
        <f aca="false">IF(OR(COLUMN()-2&lt;1,COLUMN()-2-1+1&gt;UF_Invest_Period),0,IF(COLUMN()-2-1+1=1,SUM(C7:N7)*UF_Call_Y1,IF(COLUMN()-2-1+1=2,SUM(C7:N7)*UF_Call_Y2,IF(COLUMN()-2-1+1=3,SUM(C7:N7)*UF_Call_Y3,IF(COLUMN()-2-1+1=4,SUM(C7:N7)*UF_Call_Y4,IF(COLUMN()-2-1+1=5,SUM(C7:N7)*UF_Call_Y5,0))))))</f>
        <v>12.5</v>
      </c>
      <c r="F8" s="25" t="n">
        <f aca="false">IF(OR(COLUMN()-2&lt;1,COLUMN()-2-1+1&gt;UF_Invest_Period),0,IF(COLUMN()-2-1+1=1,SUM(C7:N7)*UF_Call_Y1,IF(COLUMN()-2-1+1=2,SUM(C7:N7)*UF_Call_Y2,IF(COLUMN()-2-1+1=3,SUM(C7:N7)*UF_Call_Y3,IF(COLUMN()-2-1+1=4,SUM(C7:N7)*UF_Call_Y4,IF(COLUMN()-2-1+1=5,SUM(C7:N7)*UF_Call_Y5,0))))))</f>
        <v>9.375</v>
      </c>
      <c r="G8" s="25" t="n">
        <f aca="false">IF(OR(COLUMN()-2&lt;1,COLUMN()-2-1+1&gt;UF_Invest_Period),0,IF(COLUMN()-2-1+1=1,SUM(C7:N7)*UF_Call_Y1,IF(COLUMN()-2-1+1=2,SUM(C7:N7)*UF_Call_Y2,IF(COLUMN()-2-1+1=3,SUM(C7:N7)*UF_Call_Y3,IF(COLUMN()-2-1+1=4,SUM(C7:N7)*UF_Call_Y4,IF(COLUMN()-2-1+1=5,SUM(C7:N7)*UF_Call_Y5,0))))))</f>
        <v>9.375</v>
      </c>
      <c r="H8" s="25" t="n">
        <f aca="false">IF(OR(COLUMN()-2&lt;1,COLUMN()-2-1+1&gt;UF_Invest_Period),0,IF(COLUMN()-2-1+1=1,SUM(C7:N7)*UF_Call_Y1,IF(COLUMN()-2-1+1=2,SUM(C7:N7)*UF_Call_Y2,IF(COLUMN()-2-1+1=3,SUM(C7:N7)*UF_Call_Y3,IF(COLUMN()-2-1+1=4,SUM(C7:N7)*UF_Call_Y4,IF(COLUMN()-2-1+1=5,SUM(C7:N7)*UF_Call_Y5,0))))))</f>
        <v>0</v>
      </c>
      <c r="I8" s="25" t="n">
        <f aca="false">IF(OR(COLUMN()-2&lt;1,COLUMN()-2-1+1&gt;UF_Invest_Period),0,IF(COLUMN()-2-1+1=1,SUM(C7:N7)*UF_Call_Y1,IF(COLUMN()-2-1+1=2,SUM(C7:N7)*UF_Call_Y2,IF(COLUMN()-2-1+1=3,SUM(C7:N7)*UF_Call_Y3,IF(COLUMN()-2-1+1=4,SUM(C7:N7)*UF_Call_Y4,IF(COLUMN()-2-1+1=5,SUM(C7:N7)*UF_Call_Y5,0))))))</f>
        <v>0</v>
      </c>
      <c r="J8" s="25" t="n">
        <f aca="false">IF(OR(COLUMN()-2&lt;1,COLUMN()-2-1+1&gt;UF_Invest_Period),0,IF(COLUMN()-2-1+1=1,SUM(C7:N7)*UF_Call_Y1,IF(COLUMN()-2-1+1=2,SUM(C7:N7)*UF_Call_Y2,IF(COLUMN()-2-1+1=3,SUM(C7:N7)*UF_Call_Y3,IF(COLUMN()-2-1+1=4,SUM(C7:N7)*UF_Call_Y4,IF(COLUMN()-2-1+1=5,SUM(C7:N7)*UF_Call_Y5,0))))))</f>
        <v>0</v>
      </c>
      <c r="K8" s="25" t="n">
        <f aca="false">IF(OR(COLUMN()-2&lt;1,COLUMN()-2-1+1&gt;UF_Invest_Period),0,IF(COLUMN()-2-1+1=1,SUM(C7:N7)*UF_Call_Y1,IF(COLUMN()-2-1+1=2,SUM(C7:N7)*UF_Call_Y2,IF(COLUMN()-2-1+1=3,SUM(C7:N7)*UF_Call_Y3,IF(COLUMN()-2-1+1=4,SUM(C7:N7)*UF_Call_Y4,IF(COLUMN()-2-1+1=5,SUM(C7:N7)*UF_Call_Y5,0))))))</f>
        <v>0</v>
      </c>
      <c r="L8" s="25" t="n">
        <f aca="false">IF(OR(COLUMN()-2&lt;1,COLUMN()-2-1+1&gt;UF_Invest_Period),0,IF(COLUMN()-2-1+1=1,SUM(C7:N7)*UF_Call_Y1,IF(COLUMN()-2-1+1=2,SUM(C7:N7)*UF_Call_Y2,IF(COLUMN()-2-1+1=3,SUM(C7:N7)*UF_Call_Y3,IF(COLUMN()-2-1+1=4,SUM(C7:N7)*UF_Call_Y4,IF(COLUMN()-2-1+1=5,SUM(C7:N7)*UF_Call_Y5,0))))))</f>
        <v>0</v>
      </c>
      <c r="M8" s="25" t="n">
        <f aca="false">IF(OR(COLUMN()-2&lt;1,COLUMN()-2-1+1&gt;UF_Invest_Period),0,IF(COLUMN()-2-1+1=1,SUM(C7:N7)*UF_Call_Y1,IF(COLUMN()-2-1+1=2,SUM(C7:N7)*UF_Call_Y2,IF(COLUMN()-2-1+1=3,SUM(C7:N7)*UF_Call_Y3,IF(COLUMN()-2-1+1=4,SUM(C7:N7)*UF_Call_Y4,IF(COLUMN()-2-1+1=5,SUM(C7:N7)*UF_Call_Y5,0))))))</f>
        <v>0</v>
      </c>
      <c r="N8" s="25" t="n">
        <f aca="false">IF(OR(COLUMN()-2&lt;1,COLUMN()-2-1+1&gt;UF_Invest_Period),0,IF(COLUMN()-2-1+1=1,SUM(C7:N7)*UF_Call_Y1,IF(COLUMN()-2-1+1=2,SUM(C7:N7)*UF_Call_Y2,IF(COLUMN()-2-1+1=3,SUM(C7:N7)*UF_Call_Y3,IF(COLUMN()-2-1+1=4,SUM(C7:N7)*UF_Call_Y4,IF(COLUMN()-2-1+1=5,SUM(C7:N7)*UF_Call_Y5,0))))))</f>
        <v>0</v>
      </c>
    </row>
    <row r="9" customFormat="false" ht="15" hidden="false" customHeight="false" outlineLevel="0" collapsed="false">
      <c r="B9" s="24" t="s">
        <v>113</v>
      </c>
      <c r="C9" s="25" t="n">
        <f aca="false">C8</f>
        <v>15.625</v>
      </c>
      <c r="D9" s="25" t="n">
        <f aca="false">C9+D8</f>
        <v>31.25</v>
      </c>
      <c r="E9" s="25" t="n">
        <f aca="false">D9+E8</f>
        <v>43.75</v>
      </c>
      <c r="F9" s="25" t="n">
        <f aca="false">E9+F8</f>
        <v>53.125</v>
      </c>
      <c r="G9" s="25" t="n">
        <f aca="false">F9+G8</f>
        <v>62.5</v>
      </c>
      <c r="H9" s="25" t="n">
        <f aca="false">G9+H8</f>
        <v>62.5</v>
      </c>
      <c r="I9" s="25" t="n">
        <f aca="false">H9+I8</f>
        <v>62.5</v>
      </c>
      <c r="J9" s="25" t="n">
        <f aca="false">I9+J8</f>
        <v>62.5</v>
      </c>
      <c r="K9" s="25" t="n">
        <f aca="false">J9+K8</f>
        <v>62.5</v>
      </c>
      <c r="L9" s="25" t="n">
        <f aca="false">K9+L8</f>
        <v>62.5</v>
      </c>
      <c r="M9" s="25" t="n">
        <f aca="false">L9+M8</f>
        <v>62.5</v>
      </c>
      <c r="N9" s="25" t="n">
        <f aca="false">M9+N8</f>
        <v>62.5</v>
      </c>
    </row>
    <row r="10" customFormat="false" ht="15" hidden="false" customHeight="false" outlineLevel="0" collapsed="false">
      <c r="B10" s="24" t="s">
        <v>114</v>
      </c>
      <c r="C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0</v>
      </c>
      <c r="D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0</v>
      </c>
      <c r="E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0</v>
      </c>
      <c r="F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7.58928571428571</v>
      </c>
      <c r="G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17.8571428571429</v>
      </c>
      <c r="H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26.7857142857143</v>
      </c>
      <c r="I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35.7142857142857</v>
      </c>
      <c r="J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26.7857142857143</v>
      </c>
      <c r="K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17.8571428571429</v>
      </c>
      <c r="L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8.92857142857143</v>
      </c>
      <c r="M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0</v>
      </c>
      <c r="N10" s="25" t="n">
        <f aca="false">IF(OR(COLUMN()-2&lt;1+UF_Dist_Start-1,COLUMN()-2&gt;1+UF_Dist_End-1),0,IF(COLUMN()-2&lt;=1+UF_Dist_Peak-1,INDEX($C$9:$N$9,1,COLUMN()-2)*UF_Gross_MOIC*2*(COLUMN()-2-1-UF_Dist_Start+2)/((UF_Dist_End-UF_Dist_Start+1)*(UF_Dist_Peak-UF_Dist_Start+1)),INDEX($C$9:$N$9,1,COLUMN()-2)*UF_Gross_MOIC*2*(1+UF_Dist_End-COLUMN()+2)/((UF_Dist_End-UF_Dist_Start+1)*(UF_Dist_End-UF_Dist_Peak+1))))</f>
        <v>0</v>
      </c>
    </row>
    <row r="11" customFormat="false" ht="15" hidden="false" customHeight="false" outlineLevel="0" collapsed="false">
      <c r="B11" s="24" t="s">
        <v>115</v>
      </c>
      <c r="C11" s="25" t="n">
        <f aca="false">C10</f>
        <v>0</v>
      </c>
      <c r="D11" s="25" t="n">
        <f aca="false">C11+D10</f>
        <v>0</v>
      </c>
      <c r="E11" s="25" t="n">
        <f aca="false">D11+E10</f>
        <v>0</v>
      </c>
      <c r="F11" s="25" t="n">
        <f aca="false">E11+F10</f>
        <v>7.58928571428571</v>
      </c>
      <c r="G11" s="25" t="n">
        <f aca="false">F11+G10</f>
        <v>25.4464285714286</v>
      </c>
      <c r="H11" s="25" t="n">
        <f aca="false">G11+H10</f>
        <v>52.2321428571429</v>
      </c>
      <c r="I11" s="25" t="n">
        <f aca="false">H11+I10</f>
        <v>87.9464285714286</v>
      </c>
      <c r="J11" s="25" t="n">
        <f aca="false">I11+J10</f>
        <v>114.732142857143</v>
      </c>
      <c r="K11" s="25" t="n">
        <f aca="false">J11+K10</f>
        <v>132.589285714286</v>
      </c>
      <c r="L11" s="25" t="n">
        <f aca="false">K11+L10</f>
        <v>141.517857142857</v>
      </c>
      <c r="M11" s="25" t="n">
        <f aca="false">L11+M10</f>
        <v>141.517857142857</v>
      </c>
      <c r="N11" s="25" t="n">
        <f aca="false">M11+N10</f>
        <v>141.517857142857</v>
      </c>
    </row>
    <row r="12" customFormat="false" ht="15" hidden="false" customHeight="false" outlineLevel="0" collapsed="false">
      <c r="B12" s="24" t="s">
        <v>116</v>
      </c>
      <c r="C12" s="25" t="n">
        <f aca="false">MAX(C9*UF_Gross_MOIC-C11,0)</f>
        <v>31.25</v>
      </c>
      <c r="D12" s="25" t="n">
        <f aca="false">MAX(D9*UF_Gross_MOIC-D11,0)</f>
        <v>62.5</v>
      </c>
      <c r="E12" s="25" t="n">
        <f aca="false">MAX(E9*UF_Gross_MOIC-E11,0)</f>
        <v>87.5</v>
      </c>
      <c r="F12" s="25" t="n">
        <f aca="false">MAX(F9*UF_Gross_MOIC-F11,0)</f>
        <v>98.6607142857143</v>
      </c>
      <c r="G12" s="25" t="n">
        <f aca="false">MAX(G9*UF_Gross_MOIC-G11,0)</f>
        <v>99.5535714285714</v>
      </c>
      <c r="H12" s="25" t="n">
        <f aca="false">MAX(H9*UF_Gross_MOIC-H11,0)</f>
        <v>72.7678571428571</v>
      </c>
      <c r="I12" s="25" t="n">
        <f aca="false">MAX(I9*UF_Gross_MOIC-I11,0)</f>
        <v>37.0535714285714</v>
      </c>
      <c r="J12" s="25" t="n">
        <f aca="false">MAX(J9*UF_Gross_MOIC-J11,0)</f>
        <v>10.2678571428571</v>
      </c>
      <c r="K12" s="25" t="n">
        <f aca="false">MAX(K9*UF_Gross_MOIC-K11,0)</f>
        <v>0</v>
      </c>
      <c r="L12" s="25" t="n">
        <f aca="false">MAX(L9*UF_Gross_MOIC-L11,0)</f>
        <v>0</v>
      </c>
      <c r="M12" s="25" t="n">
        <f aca="false">MAX(M9*UF_Gross_MOIC-M11,0)</f>
        <v>0</v>
      </c>
      <c r="N12" s="25" t="n">
        <f aca="false">MAX(N9*UF_Gross_MOIC-N11,0)</f>
        <v>0</v>
      </c>
    </row>
    <row r="13" customFormat="false" ht="15" hidden="false" customHeight="false" outlineLevel="0" collapsed="false">
      <c r="B13" s="24" t="s">
        <v>117</v>
      </c>
      <c r="C13" s="25" t="n">
        <f aca="false">IF(COLUMN()-2&lt;1,0,IF(COLUMN()-2&lt;=1+UF_Fund_Life-1,SUM(C7:N7)*UF_Mgmt_Fee,0))+MAX(C10-C10/UF_Gross_MOIC*(1+UF_Hurdle),0)*UF_Carry_Pct</f>
        <v>1.25</v>
      </c>
      <c r="D13" s="25" t="n">
        <f aca="false">IF(COLUMN()-2&lt;1,0,IF(COLUMN()-2&lt;=1+UF_Fund_Life-1,SUM(C7:N7)*UF_Mgmt_Fee,0))+MAX(D10-D10/UF_Gross_MOIC*(1+UF_Hurdle),0)*UF_Carry_Pct</f>
        <v>1.25</v>
      </c>
      <c r="E13" s="25" t="n">
        <f aca="false">IF(COLUMN()-2&lt;1,0,IF(COLUMN()-2&lt;=1+UF_Fund_Life-1,SUM(C7:N7)*UF_Mgmt_Fee,0))+MAX(E10-E10/UF_Gross_MOIC*(1+UF_Hurdle),0)*UF_Carry_Pct</f>
        <v>1.25</v>
      </c>
      <c r="F13" s="25" t="n">
        <f aca="false">IF(COLUMN()-2&lt;1,0,IF(COLUMN()-2&lt;=1+UF_Fund_Life-1,SUM(C7:N7)*UF_Mgmt_Fee,0))+MAX(F10-F10/UF_Gross_MOIC*(1+UF_Hurdle),0)*UF_Carry_Pct</f>
        <v>1.94821428571429</v>
      </c>
      <c r="G13" s="25" t="n">
        <f aca="false">IF(COLUMN()-2&lt;1,0,IF(COLUMN()-2&lt;=1+UF_Fund_Life-1,SUM(C7:N7)*UF_Mgmt_Fee,0))+MAX(G10-G10/UF_Gross_MOIC*(1+UF_Hurdle),0)*UF_Carry_Pct</f>
        <v>2.89285714285714</v>
      </c>
      <c r="H13" s="25" t="n">
        <f aca="false">IF(COLUMN()-2&lt;1,0,IF(COLUMN()-2&lt;=1+UF_Fund_Life-1,SUM(C7:N7)*UF_Mgmt_Fee,0))+MAX(H10-H10/UF_Gross_MOIC*(1+UF_Hurdle),0)*UF_Carry_Pct</f>
        <v>3.71428571428571</v>
      </c>
      <c r="I13" s="25" t="n">
        <f aca="false">IF(COLUMN()-2&lt;1,0,IF(COLUMN()-2&lt;=1+UF_Fund_Life-1,SUM(C7:N7)*UF_Mgmt_Fee,0))+MAX(I10-I10/UF_Gross_MOIC*(1+UF_Hurdle),0)*UF_Carry_Pct</f>
        <v>4.53571428571429</v>
      </c>
      <c r="J13" s="25" t="n">
        <f aca="false">IF(COLUMN()-2&lt;1,0,IF(COLUMN()-2&lt;=1+UF_Fund_Life-1,SUM(C7:N7)*UF_Mgmt_Fee,0))+MAX(J10-J10/UF_Gross_MOIC*(1+UF_Hurdle),0)*UF_Carry_Pct</f>
        <v>3.71428571428571</v>
      </c>
      <c r="K13" s="25" t="n">
        <f aca="false">IF(COLUMN()-2&lt;1,0,IF(COLUMN()-2&lt;=1+UF_Fund_Life-1,SUM(C7:N7)*UF_Mgmt_Fee,0))+MAX(K10-K10/UF_Gross_MOIC*(1+UF_Hurdle),0)*UF_Carry_Pct</f>
        <v>2.89285714285714</v>
      </c>
      <c r="L13" s="25" t="n">
        <f aca="false">IF(COLUMN()-2&lt;1,0,IF(COLUMN()-2&lt;=1+UF_Fund_Life-1,SUM(C7:N7)*UF_Mgmt_Fee,0))+MAX(L10-L10/UF_Gross_MOIC*(1+UF_Hurdle),0)*UF_Carry_Pct</f>
        <v>2.07142857142857</v>
      </c>
      <c r="M13" s="25" t="n">
        <f aca="false">IF(COLUMN()-2&lt;1,0,IF(COLUMN()-2&lt;=1+UF_Fund_Life-1,SUM(C7:N7)*UF_Mgmt_Fee,0))+MAX(M10-M10/UF_Gross_MOIC*(1+UF_Hurdle),0)*UF_Carry_Pct</f>
        <v>0</v>
      </c>
      <c r="N13" s="25" t="n">
        <f aca="false">IF(COLUMN()-2&lt;1,0,IF(COLUMN()-2&lt;=1+UF_Fund_Life-1,SUM(C7:N7)*UF_Mgmt_Fee,0))+MAX(N10-N10/UF_Gross_MOIC*(1+UF_Hurdle),0)*UF_Carry_Pct</f>
        <v>0</v>
      </c>
    </row>
    <row r="14" customFormat="false" ht="15" hidden="false" customHeight="false" outlineLevel="0" collapsed="false">
      <c r="B14" s="24" t="s">
        <v>118</v>
      </c>
      <c r="C14" s="25" t="n">
        <f aca="false">MAX(C10-C13,0)</f>
        <v>0</v>
      </c>
      <c r="D14" s="25" t="n">
        <f aca="false">MAX(D10-D13,0)</f>
        <v>0</v>
      </c>
      <c r="E14" s="25" t="n">
        <f aca="false">MAX(E10-E13,0)</f>
        <v>0</v>
      </c>
      <c r="F14" s="25" t="n">
        <f aca="false">MAX(F10-F13,0)</f>
        <v>5.64107142857143</v>
      </c>
      <c r="G14" s="25" t="n">
        <f aca="false">MAX(G10-G13,0)</f>
        <v>14.9642857142857</v>
      </c>
      <c r="H14" s="25" t="n">
        <f aca="false">MAX(H10-H13,0)</f>
        <v>23.0714285714286</v>
      </c>
      <c r="I14" s="25" t="n">
        <f aca="false">MAX(I10-I13,0)</f>
        <v>31.1785714285714</v>
      </c>
      <c r="J14" s="25" t="n">
        <f aca="false">MAX(J10-J13,0)</f>
        <v>23.0714285714286</v>
      </c>
      <c r="K14" s="25" t="n">
        <f aca="false">MAX(K10-K13,0)</f>
        <v>14.9642857142857</v>
      </c>
      <c r="L14" s="25" t="n">
        <f aca="false">MAX(L10-L13,0)</f>
        <v>6.85714285714286</v>
      </c>
      <c r="M14" s="25" t="n">
        <f aca="false">MAX(M10-M13,0)</f>
        <v>0</v>
      </c>
      <c r="N14" s="25" t="n">
        <f aca="false">MAX(N10-N13,0)</f>
        <v>0</v>
      </c>
    </row>
    <row r="15" customFormat="false" ht="15" hidden="false" customHeight="false" outlineLevel="0" collapsed="false">
      <c r="B15" s="24" t="s">
        <v>119</v>
      </c>
      <c r="C15" s="25" t="n">
        <f aca="false">C14</f>
        <v>0</v>
      </c>
      <c r="D15" s="25" t="n">
        <f aca="false">C15+D14</f>
        <v>0</v>
      </c>
      <c r="E15" s="25" t="n">
        <f aca="false">D15+E14</f>
        <v>0</v>
      </c>
      <c r="F15" s="25" t="n">
        <f aca="false">E15+F14</f>
        <v>5.64107142857143</v>
      </c>
      <c r="G15" s="25" t="n">
        <f aca="false">F15+G14</f>
        <v>20.6053571428571</v>
      </c>
      <c r="H15" s="25" t="n">
        <f aca="false">G15+H14</f>
        <v>43.6767857142857</v>
      </c>
      <c r="I15" s="25" t="n">
        <f aca="false">H15+I14</f>
        <v>74.8553571428571</v>
      </c>
      <c r="J15" s="25" t="n">
        <f aca="false">I15+J14</f>
        <v>97.9267857142857</v>
      </c>
      <c r="K15" s="25" t="n">
        <f aca="false">J15+K14</f>
        <v>112.891071428571</v>
      </c>
      <c r="L15" s="25" t="n">
        <f aca="false">K15+L14</f>
        <v>119.748214285714</v>
      </c>
      <c r="M15" s="25" t="n">
        <f aca="false">L15+M14</f>
        <v>119.748214285714</v>
      </c>
      <c r="N15" s="25" t="n">
        <f aca="false">M15+N14</f>
        <v>119.748214285714</v>
      </c>
    </row>
    <row r="16" customFormat="false" ht="15" hidden="false" customHeight="false" outlineLevel="0" collapsed="false">
      <c r="B16" s="16" t="s">
        <v>120</v>
      </c>
      <c r="C16" s="17"/>
      <c r="D16" s="17"/>
      <c r="E16" s="17"/>
      <c r="F16" s="17"/>
      <c r="G16" s="17"/>
      <c r="H16" s="17"/>
      <c r="I16" s="17"/>
      <c r="J16" s="17"/>
      <c r="K16" s="17"/>
      <c r="L16" s="17"/>
      <c r="M16" s="17"/>
      <c r="N16" s="17"/>
    </row>
    <row r="17" customFormat="false" ht="15" hidden="false" customHeight="false" outlineLevel="0" collapsed="false">
      <c r="B17" s="24" t="s">
        <v>111</v>
      </c>
      <c r="C17" s="25" t="n">
        <f aca="false">IF(COLUMN()-2=1,FoF_Size*Deploy_Y1*0.5,0)</f>
        <v>62.5</v>
      </c>
      <c r="D17" s="25" t="n">
        <f aca="false">IF(COLUMN()-2=1,FoF_Size*Deploy_Y1*0.5,0)</f>
        <v>0</v>
      </c>
      <c r="E17" s="25" t="n">
        <f aca="false">IF(COLUMN()-2=1,FoF_Size*Deploy_Y1*0.5,0)</f>
        <v>0</v>
      </c>
      <c r="F17" s="25" t="n">
        <f aca="false">IF(COLUMN()-2=1,FoF_Size*Deploy_Y1*0.5,0)</f>
        <v>0</v>
      </c>
      <c r="G17" s="25" t="n">
        <f aca="false">IF(COLUMN()-2=1,FoF_Size*Deploy_Y1*0.5,0)</f>
        <v>0</v>
      </c>
      <c r="H17" s="25" t="n">
        <f aca="false">IF(COLUMN()-2=1,FoF_Size*Deploy_Y1*0.5,0)</f>
        <v>0</v>
      </c>
      <c r="I17" s="25" t="n">
        <f aca="false">IF(COLUMN()-2=1,FoF_Size*Deploy_Y1*0.5,0)</f>
        <v>0</v>
      </c>
      <c r="J17" s="25" t="n">
        <f aca="false">IF(COLUMN()-2=1,FoF_Size*Deploy_Y1*0.5,0)</f>
        <v>0</v>
      </c>
      <c r="K17" s="25" t="n">
        <f aca="false">IF(COLUMN()-2=1,FoF_Size*Deploy_Y1*0.5,0)</f>
        <v>0</v>
      </c>
      <c r="L17" s="25" t="n">
        <f aca="false">IF(COLUMN()-2=1,FoF_Size*Deploy_Y1*0.5,0)</f>
        <v>0</v>
      </c>
      <c r="M17" s="25" t="n">
        <f aca="false">IF(COLUMN()-2=1,FoF_Size*Deploy_Y1*0.5,0)</f>
        <v>0</v>
      </c>
      <c r="N17" s="25" t="n">
        <f aca="false">IF(COLUMN()-2=1,FoF_Size*Deploy_Y1*0.5,0)</f>
        <v>0</v>
      </c>
    </row>
    <row r="18" customFormat="false" ht="15" hidden="false" customHeight="false" outlineLevel="0" collapsed="false">
      <c r="B18" s="24" t="s">
        <v>112</v>
      </c>
      <c r="C18" s="25" t="n">
        <f aca="false">IF(OR(COLUMN()-2&lt;1,COLUMN()-2-1+1&gt;UF_Invest_Period),0,IF(COLUMN()-2-1+1=1,SUM(C17:N17)*UF_Call_Y1,IF(COLUMN()-2-1+1=2,SUM(C17:N17)*UF_Call_Y2,IF(COLUMN()-2-1+1=3,SUM(C17:N17)*UF_Call_Y3,IF(COLUMN()-2-1+1=4,SUM(C17:N17)*UF_Call_Y4,IF(COLUMN()-2-1+1=5,SUM(C17:N17)*UF_Call_Y5,0))))))</f>
        <v>15.625</v>
      </c>
      <c r="D18" s="25" t="n">
        <f aca="false">IF(OR(COLUMN()-2&lt;1,COLUMN()-2-1+1&gt;UF_Invest_Period),0,IF(COLUMN()-2-1+1=1,SUM(C17:N17)*UF_Call_Y1,IF(COLUMN()-2-1+1=2,SUM(C17:N17)*UF_Call_Y2,IF(COLUMN()-2-1+1=3,SUM(C17:N17)*UF_Call_Y3,IF(COLUMN()-2-1+1=4,SUM(C17:N17)*UF_Call_Y4,IF(COLUMN()-2-1+1=5,SUM(C17:N17)*UF_Call_Y5,0))))))</f>
        <v>15.625</v>
      </c>
      <c r="E18" s="25" t="n">
        <f aca="false">IF(OR(COLUMN()-2&lt;1,COLUMN()-2-1+1&gt;UF_Invest_Period),0,IF(COLUMN()-2-1+1=1,SUM(C17:N17)*UF_Call_Y1,IF(COLUMN()-2-1+1=2,SUM(C17:N17)*UF_Call_Y2,IF(COLUMN()-2-1+1=3,SUM(C17:N17)*UF_Call_Y3,IF(COLUMN()-2-1+1=4,SUM(C17:N17)*UF_Call_Y4,IF(COLUMN()-2-1+1=5,SUM(C17:N17)*UF_Call_Y5,0))))))</f>
        <v>12.5</v>
      </c>
      <c r="F18" s="25" t="n">
        <f aca="false">IF(OR(COLUMN()-2&lt;1,COLUMN()-2-1+1&gt;UF_Invest_Period),0,IF(COLUMN()-2-1+1=1,SUM(C17:N17)*UF_Call_Y1,IF(COLUMN()-2-1+1=2,SUM(C17:N17)*UF_Call_Y2,IF(COLUMN()-2-1+1=3,SUM(C17:N17)*UF_Call_Y3,IF(COLUMN()-2-1+1=4,SUM(C17:N17)*UF_Call_Y4,IF(COLUMN()-2-1+1=5,SUM(C17:N17)*UF_Call_Y5,0))))))</f>
        <v>9.375</v>
      </c>
      <c r="G18" s="25" t="n">
        <f aca="false">IF(OR(COLUMN()-2&lt;1,COLUMN()-2-1+1&gt;UF_Invest_Period),0,IF(COLUMN()-2-1+1=1,SUM(C17:N17)*UF_Call_Y1,IF(COLUMN()-2-1+1=2,SUM(C17:N17)*UF_Call_Y2,IF(COLUMN()-2-1+1=3,SUM(C17:N17)*UF_Call_Y3,IF(COLUMN()-2-1+1=4,SUM(C17:N17)*UF_Call_Y4,IF(COLUMN()-2-1+1=5,SUM(C17:N17)*UF_Call_Y5,0))))))</f>
        <v>9.375</v>
      </c>
      <c r="H18" s="25" t="n">
        <f aca="false">IF(OR(COLUMN()-2&lt;1,COLUMN()-2-1+1&gt;UF_Invest_Period),0,IF(COLUMN()-2-1+1=1,SUM(C17:N17)*UF_Call_Y1,IF(COLUMN()-2-1+1=2,SUM(C17:N17)*UF_Call_Y2,IF(COLUMN()-2-1+1=3,SUM(C17:N17)*UF_Call_Y3,IF(COLUMN()-2-1+1=4,SUM(C17:N17)*UF_Call_Y4,IF(COLUMN()-2-1+1=5,SUM(C17:N17)*UF_Call_Y5,0))))))</f>
        <v>0</v>
      </c>
      <c r="I18" s="25" t="n">
        <f aca="false">IF(OR(COLUMN()-2&lt;1,COLUMN()-2-1+1&gt;UF_Invest_Period),0,IF(COLUMN()-2-1+1=1,SUM(C17:N17)*UF_Call_Y1,IF(COLUMN()-2-1+1=2,SUM(C17:N17)*UF_Call_Y2,IF(COLUMN()-2-1+1=3,SUM(C17:N17)*UF_Call_Y3,IF(COLUMN()-2-1+1=4,SUM(C17:N17)*UF_Call_Y4,IF(COLUMN()-2-1+1=5,SUM(C17:N17)*UF_Call_Y5,0))))))</f>
        <v>0</v>
      </c>
      <c r="J18" s="25" t="n">
        <f aca="false">IF(OR(COLUMN()-2&lt;1,COLUMN()-2-1+1&gt;UF_Invest_Period),0,IF(COLUMN()-2-1+1=1,SUM(C17:N17)*UF_Call_Y1,IF(COLUMN()-2-1+1=2,SUM(C17:N17)*UF_Call_Y2,IF(COLUMN()-2-1+1=3,SUM(C17:N17)*UF_Call_Y3,IF(COLUMN()-2-1+1=4,SUM(C17:N17)*UF_Call_Y4,IF(COLUMN()-2-1+1=5,SUM(C17:N17)*UF_Call_Y5,0))))))</f>
        <v>0</v>
      </c>
      <c r="K18" s="25" t="n">
        <f aca="false">IF(OR(COLUMN()-2&lt;1,COLUMN()-2-1+1&gt;UF_Invest_Period),0,IF(COLUMN()-2-1+1=1,SUM(C17:N17)*UF_Call_Y1,IF(COLUMN()-2-1+1=2,SUM(C17:N17)*UF_Call_Y2,IF(COLUMN()-2-1+1=3,SUM(C17:N17)*UF_Call_Y3,IF(COLUMN()-2-1+1=4,SUM(C17:N17)*UF_Call_Y4,IF(COLUMN()-2-1+1=5,SUM(C17:N17)*UF_Call_Y5,0))))))</f>
        <v>0</v>
      </c>
      <c r="L18" s="25" t="n">
        <f aca="false">IF(OR(COLUMN()-2&lt;1,COLUMN()-2-1+1&gt;UF_Invest_Period),0,IF(COLUMN()-2-1+1=1,SUM(C17:N17)*UF_Call_Y1,IF(COLUMN()-2-1+1=2,SUM(C17:N17)*UF_Call_Y2,IF(COLUMN()-2-1+1=3,SUM(C17:N17)*UF_Call_Y3,IF(COLUMN()-2-1+1=4,SUM(C17:N17)*UF_Call_Y4,IF(COLUMN()-2-1+1=5,SUM(C17:N17)*UF_Call_Y5,0))))))</f>
        <v>0</v>
      </c>
      <c r="M18" s="25" t="n">
        <f aca="false">IF(OR(COLUMN()-2&lt;1,COLUMN()-2-1+1&gt;UF_Invest_Period),0,IF(COLUMN()-2-1+1=1,SUM(C17:N17)*UF_Call_Y1,IF(COLUMN()-2-1+1=2,SUM(C17:N17)*UF_Call_Y2,IF(COLUMN()-2-1+1=3,SUM(C17:N17)*UF_Call_Y3,IF(COLUMN()-2-1+1=4,SUM(C17:N17)*UF_Call_Y4,IF(COLUMN()-2-1+1=5,SUM(C17:N17)*UF_Call_Y5,0))))))</f>
        <v>0</v>
      </c>
      <c r="N18" s="25" t="n">
        <f aca="false">IF(OR(COLUMN()-2&lt;1,COLUMN()-2-1+1&gt;UF_Invest_Period),0,IF(COLUMN()-2-1+1=1,SUM(C17:N17)*UF_Call_Y1,IF(COLUMN()-2-1+1=2,SUM(C17:N17)*UF_Call_Y2,IF(COLUMN()-2-1+1=3,SUM(C17:N17)*UF_Call_Y3,IF(COLUMN()-2-1+1=4,SUM(C17:N17)*UF_Call_Y4,IF(COLUMN()-2-1+1=5,SUM(C17:N17)*UF_Call_Y5,0))))))</f>
        <v>0</v>
      </c>
    </row>
    <row r="19" customFormat="false" ht="15" hidden="false" customHeight="false" outlineLevel="0" collapsed="false">
      <c r="B19" s="24" t="s">
        <v>113</v>
      </c>
      <c r="C19" s="25" t="n">
        <f aca="false">C18</f>
        <v>15.625</v>
      </c>
      <c r="D19" s="25" t="n">
        <f aca="false">C19+D18</f>
        <v>31.25</v>
      </c>
      <c r="E19" s="25" t="n">
        <f aca="false">D19+E18</f>
        <v>43.75</v>
      </c>
      <c r="F19" s="25" t="n">
        <f aca="false">E19+F18</f>
        <v>53.125</v>
      </c>
      <c r="G19" s="25" t="n">
        <f aca="false">F19+G18</f>
        <v>62.5</v>
      </c>
      <c r="H19" s="25" t="n">
        <f aca="false">G19+H18</f>
        <v>62.5</v>
      </c>
      <c r="I19" s="25" t="n">
        <f aca="false">H19+I18</f>
        <v>62.5</v>
      </c>
      <c r="J19" s="25" t="n">
        <f aca="false">I19+J18</f>
        <v>62.5</v>
      </c>
      <c r="K19" s="25" t="n">
        <f aca="false">J19+K18</f>
        <v>62.5</v>
      </c>
      <c r="L19" s="25" t="n">
        <f aca="false">K19+L18</f>
        <v>62.5</v>
      </c>
      <c r="M19" s="25" t="n">
        <f aca="false">L19+M18</f>
        <v>62.5</v>
      </c>
      <c r="N19" s="25" t="n">
        <f aca="false">M19+N18</f>
        <v>62.5</v>
      </c>
    </row>
    <row r="20" customFormat="false" ht="15" hidden="false" customHeight="false" outlineLevel="0" collapsed="false">
      <c r="B20" s="24" t="s">
        <v>114</v>
      </c>
      <c r="C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0</v>
      </c>
      <c r="D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0</v>
      </c>
      <c r="E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0</v>
      </c>
      <c r="F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7.58928571428571</v>
      </c>
      <c r="G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17.8571428571429</v>
      </c>
      <c r="H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26.7857142857143</v>
      </c>
      <c r="I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35.7142857142857</v>
      </c>
      <c r="J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26.7857142857143</v>
      </c>
      <c r="K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17.8571428571429</v>
      </c>
      <c r="L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8.92857142857143</v>
      </c>
      <c r="M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0</v>
      </c>
      <c r="N20" s="25" t="n">
        <f aca="false">IF(OR(COLUMN()-2&lt;1+UF_Dist_Start-1,COLUMN()-2&gt;1+UF_Dist_End-1),0,IF(COLUMN()-2&lt;=1+UF_Dist_Peak-1,INDEX($C$19:$N$19,1,COLUMN()-2)*UF_Gross_MOIC*2*(COLUMN()-2-1-UF_Dist_Start+2)/((UF_Dist_End-UF_Dist_Start+1)*(UF_Dist_Peak-UF_Dist_Start+1)),INDEX($C$19:$N$19,1,COLUMN()-2)*UF_Gross_MOIC*2*(1+UF_Dist_End-COLUMN()+2)/((UF_Dist_End-UF_Dist_Start+1)*(UF_Dist_End-UF_Dist_Peak+1))))</f>
        <v>0</v>
      </c>
    </row>
    <row r="21" customFormat="false" ht="15" hidden="false" customHeight="false" outlineLevel="0" collapsed="false">
      <c r="B21" s="24" t="s">
        <v>115</v>
      </c>
      <c r="C21" s="25" t="n">
        <f aca="false">C20</f>
        <v>0</v>
      </c>
      <c r="D21" s="25" t="n">
        <f aca="false">C21+D20</f>
        <v>0</v>
      </c>
      <c r="E21" s="25" t="n">
        <f aca="false">D21+E20</f>
        <v>0</v>
      </c>
      <c r="F21" s="25" t="n">
        <f aca="false">E21+F20</f>
        <v>7.58928571428571</v>
      </c>
      <c r="G21" s="25" t="n">
        <f aca="false">F21+G20</f>
        <v>25.4464285714286</v>
      </c>
      <c r="H21" s="25" t="n">
        <f aca="false">G21+H20</f>
        <v>52.2321428571429</v>
      </c>
      <c r="I21" s="25" t="n">
        <f aca="false">H21+I20</f>
        <v>87.9464285714286</v>
      </c>
      <c r="J21" s="25" t="n">
        <f aca="false">I21+J20</f>
        <v>114.732142857143</v>
      </c>
      <c r="K21" s="25" t="n">
        <f aca="false">J21+K20</f>
        <v>132.589285714286</v>
      </c>
      <c r="L21" s="25" t="n">
        <f aca="false">K21+L20</f>
        <v>141.517857142857</v>
      </c>
      <c r="M21" s="25" t="n">
        <f aca="false">L21+M20</f>
        <v>141.517857142857</v>
      </c>
      <c r="N21" s="25" t="n">
        <f aca="false">M21+N20</f>
        <v>141.517857142857</v>
      </c>
    </row>
    <row r="22" customFormat="false" ht="15" hidden="false" customHeight="false" outlineLevel="0" collapsed="false">
      <c r="B22" s="24" t="s">
        <v>116</v>
      </c>
      <c r="C22" s="25" t="n">
        <f aca="false">MAX(C19*UF_Gross_MOIC-C21,0)</f>
        <v>31.25</v>
      </c>
      <c r="D22" s="25" t="n">
        <f aca="false">MAX(D19*UF_Gross_MOIC-D21,0)</f>
        <v>62.5</v>
      </c>
      <c r="E22" s="25" t="n">
        <f aca="false">MAX(E19*UF_Gross_MOIC-E21,0)</f>
        <v>87.5</v>
      </c>
      <c r="F22" s="25" t="n">
        <f aca="false">MAX(F19*UF_Gross_MOIC-F21,0)</f>
        <v>98.6607142857143</v>
      </c>
      <c r="G22" s="25" t="n">
        <f aca="false">MAX(G19*UF_Gross_MOIC-G21,0)</f>
        <v>99.5535714285714</v>
      </c>
      <c r="H22" s="25" t="n">
        <f aca="false">MAX(H19*UF_Gross_MOIC-H21,0)</f>
        <v>72.7678571428571</v>
      </c>
      <c r="I22" s="25" t="n">
        <f aca="false">MAX(I19*UF_Gross_MOIC-I21,0)</f>
        <v>37.0535714285714</v>
      </c>
      <c r="J22" s="25" t="n">
        <f aca="false">MAX(J19*UF_Gross_MOIC-J21,0)</f>
        <v>10.2678571428571</v>
      </c>
      <c r="K22" s="25" t="n">
        <f aca="false">MAX(K19*UF_Gross_MOIC-K21,0)</f>
        <v>0</v>
      </c>
      <c r="L22" s="25" t="n">
        <f aca="false">MAX(L19*UF_Gross_MOIC-L21,0)</f>
        <v>0</v>
      </c>
      <c r="M22" s="25" t="n">
        <f aca="false">MAX(M19*UF_Gross_MOIC-M21,0)</f>
        <v>0</v>
      </c>
      <c r="N22" s="25" t="n">
        <f aca="false">MAX(N19*UF_Gross_MOIC-N21,0)</f>
        <v>0</v>
      </c>
    </row>
    <row r="23" customFormat="false" ht="15" hidden="false" customHeight="false" outlineLevel="0" collapsed="false">
      <c r="B23" s="24" t="s">
        <v>117</v>
      </c>
      <c r="C23" s="25" t="n">
        <f aca="false">IF(COLUMN()-2&lt;1,0,IF(COLUMN()-2&lt;=1+UF_Fund_Life-1,SUM(C17:N17)*UF_Mgmt_Fee,0))+MAX(C20-C20/UF_Gross_MOIC*(1+UF_Hurdle),0)*UF_Carry_Pct</f>
        <v>1.25</v>
      </c>
      <c r="D23" s="25" t="n">
        <f aca="false">IF(COLUMN()-2&lt;1,0,IF(COLUMN()-2&lt;=1+UF_Fund_Life-1,SUM(C17:N17)*UF_Mgmt_Fee,0))+MAX(D20-D20/UF_Gross_MOIC*(1+UF_Hurdle),0)*UF_Carry_Pct</f>
        <v>1.25</v>
      </c>
      <c r="E23" s="25" t="n">
        <f aca="false">IF(COLUMN()-2&lt;1,0,IF(COLUMN()-2&lt;=1+UF_Fund_Life-1,SUM(C17:N17)*UF_Mgmt_Fee,0))+MAX(E20-E20/UF_Gross_MOIC*(1+UF_Hurdle),0)*UF_Carry_Pct</f>
        <v>1.25</v>
      </c>
      <c r="F23" s="25" t="n">
        <f aca="false">IF(COLUMN()-2&lt;1,0,IF(COLUMN()-2&lt;=1+UF_Fund_Life-1,SUM(C17:N17)*UF_Mgmt_Fee,0))+MAX(F20-F20/UF_Gross_MOIC*(1+UF_Hurdle),0)*UF_Carry_Pct</f>
        <v>1.94821428571429</v>
      </c>
      <c r="G23" s="25" t="n">
        <f aca="false">IF(COLUMN()-2&lt;1,0,IF(COLUMN()-2&lt;=1+UF_Fund_Life-1,SUM(C17:N17)*UF_Mgmt_Fee,0))+MAX(G20-G20/UF_Gross_MOIC*(1+UF_Hurdle),0)*UF_Carry_Pct</f>
        <v>2.89285714285714</v>
      </c>
      <c r="H23" s="25" t="n">
        <f aca="false">IF(COLUMN()-2&lt;1,0,IF(COLUMN()-2&lt;=1+UF_Fund_Life-1,SUM(C17:N17)*UF_Mgmt_Fee,0))+MAX(H20-H20/UF_Gross_MOIC*(1+UF_Hurdle),0)*UF_Carry_Pct</f>
        <v>3.71428571428571</v>
      </c>
      <c r="I23" s="25" t="n">
        <f aca="false">IF(COLUMN()-2&lt;1,0,IF(COLUMN()-2&lt;=1+UF_Fund_Life-1,SUM(C17:N17)*UF_Mgmt_Fee,0))+MAX(I20-I20/UF_Gross_MOIC*(1+UF_Hurdle),0)*UF_Carry_Pct</f>
        <v>4.53571428571429</v>
      </c>
      <c r="J23" s="25" t="n">
        <f aca="false">IF(COLUMN()-2&lt;1,0,IF(COLUMN()-2&lt;=1+UF_Fund_Life-1,SUM(C17:N17)*UF_Mgmt_Fee,0))+MAX(J20-J20/UF_Gross_MOIC*(1+UF_Hurdle),0)*UF_Carry_Pct</f>
        <v>3.71428571428571</v>
      </c>
      <c r="K23" s="25" t="n">
        <f aca="false">IF(COLUMN()-2&lt;1,0,IF(COLUMN()-2&lt;=1+UF_Fund_Life-1,SUM(C17:N17)*UF_Mgmt_Fee,0))+MAX(K20-K20/UF_Gross_MOIC*(1+UF_Hurdle),0)*UF_Carry_Pct</f>
        <v>2.89285714285714</v>
      </c>
      <c r="L23" s="25" t="n">
        <f aca="false">IF(COLUMN()-2&lt;1,0,IF(COLUMN()-2&lt;=1+UF_Fund_Life-1,SUM(C17:N17)*UF_Mgmt_Fee,0))+MAX(L20-L20/UF_Gross_MOIC*(1+UF_Hurdle),0)*UF_Carry_Pct</f>
        <v>2.07142857142857</v>
      </c>
      <c r="M23" s="25" t="n">
        <f aca="false">IF(COLUMN()-2&lt;1,0,IF(COLUMN()-2&lt;=1+UF_Fund_Life-1,SUM(C17:N17)*UF_Mgmt_Fee,0))+MAX(M20-M20/UF_Gross_MOIC*(1+UF_Hurdle),0)*UF_Carry_Pct</f>
        <v>0</v>
      </c>
      <c r="N23" s="25" t="n">
        <f aca="false">IF(COLUMN()-2&lt;1,0,IF(COLUMN()-2&lt;=1+UF_Fund_Life-1,SUM(C17:N17)*UF_Mgmt_Fee,0))+MAX(N20-N20/UF_Gross_MOIC*(1+UF_Hurdle),0)*UF_Carry_Pct</f>
        <v>0</v>
      </c>
    </row>
    <row r="24" customFormat="false" ht="15" hidden="false" customHeight="false" outlineLevel="0" collapsed="false">
      <c r="B24" s="24" t="s">
        <v>118</v>
      </c>
      <c r="C24" s="25" t="n">
        <f aca="false">MAX(C20-C23,0)</f>
        <v>0</v>
      </c>
      <c r="D24" s="25" t="n">
        <f aca="false">MAX(D20-D23,0)</f>
        <v>0</v>
      </c>
      <c r="E24" s="25" t="n">
        <f aca="false">MAX(E20-E23,0)</f>
        <v>0</v>
      </c>
      <c r="F24" s="25" t="n">
        <f aca="false">MAX(F20-F23,0)</f>
        <v>5.64107142857143</v>
      </c>
      <c r="G24" s="25" t="n">
        <f aca="false">MAX(G20-G23,0)</f>
        <v>14.9642857142857</v>
      </c>
      <c r="H24" s="25" t="n">
        <f aca="false">MAX(H20-H23,0)</f>
        <v>23.0714285714286</v>
      </c>
      <c r="I24" s="25" t="n">
        <f aca="false">MAX(I20-I23,0)</f>
        <v>31.1785714285714</v>
      </c>
      <c r="J24" s="25" t="n">
        <f aca="false">MAX(J20-J23,0)</f>
        <v>23.0714285714286</v>
      </c>
      <c r="K24" s="25" t="n">
        <f aca="false">MAX(K20-K23,0)</f>
        <v>14.9642857142857</v>
      </c>
      <c r="L24" s="25" t="n">
        <f aca="false">MAX(L20-L23,0)</f>
        <v>6.85714285714286</v>
      </c>
      <c r="M24" s="25" t="n">
        <f aca="false">MAX(M20-M23,0)</f>
        <v>0</v>
      </c>
      <c r="N24" s="25" t="n">
        <f aca="false">MAX(N20-N23,0)</f>
        <v>0</v>
      </c>
    </row>
    <row r="25" customFormat="false" ht="15" hidden="false" customHeight="false" outlineLevel="0" collapsed="false">
      <c r="B25" s="24" t="s">
        <v>119</v>
      </c>
      <c r="C25" s="25" t="n">
        <f aca="false">C24</f>
        <v>0</v>
      </c>
      <c r="D25" s="25" t="n">
        <f aca="false">C25+D24</f>
        <v>0</v>
      </c>
      <c r="E25" s="25" t="n">
        <f aca="false">D25+E24</f>
        <v>0</v>
      </c>
      <c r="F25" s="25" t="n">
        <f aca="false">E25+F24</f>
        <v>5.64107142857143</v>
      </c>
      <c r="G25" s="25" t="n">
        <f aca="false">F25+G24</f>
        <v>20.6053571428571</v>
      </c>
      <c r="H25" s="25" t="n">
        <f aca="false">G25+H24</f>
        <v>43.6767857142857</v>
      </c>
      <c r="I25" s="25" t="n">
        <f aca="false">H25+I24</f>
        <v>74.8553571428571</v>
      </c>
      <c r="J25" s="25" t="n">
        <f aca="false">I25+J24</f>
        <v>97.9267857142857</v>
      </c>
      <c r="K25" s="25" t="n">
        <f aca="false">J25+K24</f>
        <v>112.891071428571</v>
      </c>
      <c r="L25" s="25" t="n">
        <f aca="false">K25+L24</f>
        <v>119.748214285714</v>
      </c>
      <c r="M25" s="25" t="n">
        <f aca="false">L25+M24</f>
        <v>119.748214285714</v>
      </c>
      <c r="N25" s="25" t="n">
        <f aca="false">M25+N24</f>
        <v>119.748214285714</v>
      </c>
    </row>
    <row r="26" customFormat="false" ht="15" hidden="false" customHeight="false" outlineLevel="0" collapsed="false">
      <c r="B26" s="16" t="s">
        <v>121</v>
      </c>
      <c r="C26" s="17"/>
      <c r="D26" s="17"/>
      <c r="E26" s="17"/>
      <c r="F26" s="17"/>
      <c r="G26" s="17"/>
      <c r="H26" s="17"/>
      <c r="I26" s="17"/>
      <c r="J26" s="17"/>
      <c r="K26" s="17"/>
      <c r="L26" s="17"/>
      <c r="M26" s="17"/>
      <c r="N26" s="17"/>
    </row>
    <row r="27" customFormat="false" ht="15" hidden="false" customHeight="false" outlineLevel="0" collapsed="false">
      <c r="B27" s="24" t="s">
        <v>111</v>
      </c>
      <c r="C27" s="25" t="n">
        <f aca="false">IF(COLUMN()-2=2,FoF_Size*Deploy_Y2*0.5,0)</f>
        <v>0</v>
      </c>
      <c r="D27" s="25" t="n">
        <f aca="false">IF(COLUMN()-2=2,FoF_Size*Deploy_Y2*0.5,0)</f>
        <v>62.5</v>
      </c>
      <c r="E27" s="25" t="n">
        <f aca="false">IF(COLUMN()-2=2,FoF_Size*Deploy_Y2*0.5,0)</f>
        <v>0</v>
      </c>
      <c r="F27" s="25" t="n">
        <f aca="false">IF(COLUMN()-2=2,FoF_Size*Deploy_Y2*0.5,0)</f>
        <v>0</v>
      </c>
      <c r="G27" s="25" t="n">
        <f aca="false">IF(COLUMN()-2=2,FoF_Size*Deploy_Y2*0.5,0)</f>
        <v>0</v>
      </c>
      <c r="H27" s="25" t="n">
        <f aca="false">IF(COLUMN()-2=2,FoF_Size*Deploy_Y2*0.5,0)</f>
        <v>0</v>
      </c>
      <c r="I27" s="25" t="n">
        <f aca="false">IF(COLUMN()-2=2,FoF_Size*Deploy_Y2*0.5,0)</f>
        <v>0</v>
      </c>
      <c r="J27" s="25" t="n">
        <f aca="false">IF(COLUMN()-2=2,FoF_Size*Deploy_Y2*0.5,0)</f>
        <v>0</v>
      </c>
      <c r="K27" s="25" t="n">
        <f aca="false">IF(COLUMN()-2=2,FoF_Size*Deploy_Y2*0.5,0)</f>
        <v>0</v>
      </c>
      <c r="L27" s="25" t="n">
        <f aca="false">IF(COLUMN()-2=2,FoF_Size*Deploy_Y2*0.5,0)</f>
        <v>0</v>
      </c>
      <c r="M27" s="25" t="n">
        <f aca="false">IF(COLUMN()-2=2,FoF_Size*Deploy_Y2*0.5,0)</f>
        <v>0</v>
      </c>
      <c r="N27" s="25" t="n">
        <f aca="false">IF(COLUMN()-2=2,FoF_Size*Deploy_Y2*0.5,0)</f>
        <v>0</v>
      </c>
    </row>
    <row r="28" customFormat="false" ht="15" hidden="false" customHeight="false" outlineLevel="0" collapsed="false">
      <c r="B28" s="24" t="s">
        <v>112</v>
      </c>
      <c r="C28" s="25" t="n">
        <f aca="false">IF(OR(COLUMN()-2&lt;2,COLUMN()-2-2+1&gt;UF_Invest_Period),0,IF(COLUMN()-2-2+1=1,SUM(C27:N27)*UF_Call_Y1,IF(COLUMN()-2-2+1=2,SUM(C27:N27)*UF_Call_Y2,IF(COLUMN()-2-2+1=3,SUM(C27:N27)*UF_Call_Y3,IF(COLUMN()-2-2+1=4,SUM(C27:N27)*UF_Call_Y4,IF(COLUMN()-2-2+1=5,SUM(C27:N27)*UF_Call_Y5,0))))))</f>
        <v>0</v>
      </c>
      <c r="D28" s="25" t="n">
        <f aca="false">IF(OR(COLUMN()-2&lt;2,COLUMN()-2-2+1&gt;UF_Invest_Period),0,IF(COLUMN()-2-2+1=1,SUM(C27:N27)*UF_Call_Y1,IF(COLUMN()-2-2+1=2,SUM(C27:N27)*UF_Call_Y2,IF(COLUMN()-2-2+1=3,SUM(C27:N27)*UF_Call_Y3,IF(COLUMN()-2-2+1=4,SUM(C27:N27)*UF_Call_Y4,IF(COLUMN()-2-2+1=5,SUM(C27:N27)*UF_Call_Y5,0))))))</f>
        <v>15.625</v>
      </c>
      <c r="E28" s="25" t="n">
        <f aca="false">IF(OR(COLUMN()-2&lt;2,COLUMN()-2-2+1&gt;UF_Invest_Period),0,IF(COLUMN()-2-2+1=1,SUM(C27:N27)*UF_Call_Y1,IF(COLUMN()-2-2+1=2,SUM(C27:N27)*UF_Call_Y2,IF(COLUMN()-2-2+1=3,SUM(C27:N27)*UF_Call_Y3,IF(COLUMN()-2-2+1=4,SUM(C27:N27)*UF_Call_Y4,IF(COLUMN()-2-2+1=5,SUM(C27:N27)*UF_Call_Y5,0))))))</f>
        <v>15.625</v>
      </c>
      <c r="F28" s="25" t="n">
        <f aca="false">IF(OR(COLUMN()-2&lt;2,COLUMN()-2-2+1&gt;UF_Invest_Period),0,IF(COLUMN()-2-2+1=1,SUM(C27:N27)*UF_Call_Y1,IF(COLUMN()-2-2+1=2,SUM(C27:N27)*UF_Call_Y2,IF(COLUMN()-2-2+1=3,SUM(C27:N27)*UF_Call_Y3,IF(COLUMN()-2-2+1=4,SUM(C27:N27)*UF_Call_Y4,IF(COLUMN()-2-2+1=5,SUM(C27:N27)*UF_Call_Y5,0))))))</f>
        <v>12.5</v>
      </c>
      <c r="G28" s="25" t="n">
        <f aca="false">IF(OR(COLUMN()-2&lt;2,COLUMN()-2-2+1&gt;UF_Invest_Period),0,IF(COLUMN()-2-2+1=1,SUM(C27:N27)*UF_Call_Y1,IF(COLUMN()-2-2+1=2,SUM(C27:N27)*UF_Call_Y2,IF(COLUMN()-2-2+1=3,SUM(C27:N27)*UF_Call_Y3,IF(COLUMN()-2-2+1=4,SUM(C27:N27)*UF_Call_Y4,IF(COLUMN()-2-2+1=5,SUM(C27:N27)*UF_Call_Y5,0))))))</f>
        <v>9.375</v>
      </c>
      <c r="H28" s="25" t="n">
        <f aca="false">IF(OR(COLUMN()-2&lt;2,COLUMN()-2-2+1&gt;UF_Invest_Period),0,IF(COLUMN()-2-2+1=1,SUM(C27:N27)*UF_Call_Y1,IF(COLUMN()-2-2+1=2,SUM(C27:N27)*UF_Call_Y2,IF(COLUMN()-2-2+1=3,SUM(C27:N27)*UF_Call_Y3,IF(COLUMN()-2-2+1=4,SUM(C27:N27)*UF_Call_Y4,IF(COLUMN()-2-2+1=5,SUM(C27:N27)*UF_Call_Y5,0))))))</f>
        <v>9.375</v>
      </c>
      <c r="I28" s="25" t="n">
        <f aca="false">IF(OR(COLUMN()-2&lt;2,COLUMN()-2-2+1&gt;UF_Invest_Period),0,IF(COLUMN()-2-2+1=1,SUM(C27:N27)*UF_Call_Y1,IF(COLUMN()-2-2+1=2,SUM(C27:N27)*UF_Call_Y2,IF(COLUMN()-2-2+1=3,SUM(C27:N27)*UF_Call_Y3,IF(COLUMN()-2-2+1=4,SUM(C27:N27)*UF_Call_Y4,IF(COLUMN()-2-2+1=5,SUM(C27:N27)*UF_Call_Y5,0))))))</f>
        <v>0</v>
      </c>
      <c r="J28" s="25" t="n">
        <f aca="false">IF(OR(COLUMN()-2&lt;2,COLUMN()-2-2+1&gt;UF_Invest_Period),0,IF(COLUMN()-2-2+1=1,SUM(C27:N27)*UF_Call_Y1,IF(COLUMN()-2-2+1=2,SUM(C27:N27)*UF_Call_Y2,IF(COLUMN()-2-2+1=3,SUM(C27:N27)*UF_Call_Y3,IF(COLUMN()-2-2+1=4,SUM(C27:N27)*UF_Call_Y4,IF(COLUMN()-2-2+1=5,SUM(C27:N27)*UF_Call_Y5,0))))))</f>
        <v>0</v>
      </c>
      <c r="K28" s="25" t="n">
        <f aca="false">IF(OR(COLUMN()-2&lt;2,COLUMN()-2-2+1&gt;UF_Invest_Period),0,IF(COLUMN()-2-2+1=1,SUM(C27:N27)*UF_Call_Y1,IF(COLUMN()-2-2+1=2,SUM(C27:N27)*UF_Call_Y2,IF(COLUMN()-2-2+1=3,SUM(C27:N27)*UF_Call_Y3,IF(COLUMN()-2-2+1=4,SUM(C27:N27)*UF_Call_Y4,IF(COLUMN()-2-2+1=5,SUM(C27:N27)*UF_Call_Y5,0))))))</f>
        <v>0</v>
      </c>
      <c r="L28" s="25" t="n">
        <f aca="false">IF(OR(COLUMN()-2&lt;2,COLUMN()-2-2+1&gt;UF_Invest_Period),0,IF(COLUMN()-2-2+1=1,SUM(C27:N27)*UF_Call_Y1,IF(COLUMN()-2-2+1=2,SUM(C27:N27)*UF_Call_Y2,IF(COLUMN()-2-2+1=3,SUM(C27:N27)*UF_Call_Y3,IF(COLUMN()-2-2+1=4,SUM(C27:N27)*UF_Call_Y4,IF(COLUMN()-2-2+1=5,SUM(C27:N27)*UF_Call_Y5,0))))))</f>
        <v>0</v>
      </c>
      <c r="M28" s="25" t="n">
        <f aca="false">IF(OR(COLUMN()-2&lt;2,COLUMN()-2-2+1&gt;UF_Invest_Period),0,IF(COLUMN()-2-2+1=1,SUM(C27:N27)*UF_Call_Y1,IF(COLUMN()-2-2+1=2,SUM(C27:N27)*UF_Call_Y2,IF(COLUMN()-2-2+1=3,SUM(C27:N27)*UF_Call_Y3,IF(COLUMN()-2-2+1=4,SUM(C27:N27)*UF_Call_Y4,IF(COLUMN()-2-2+1=5,SUM(C27:N27)*UF_Call_Y5,0))))))</f>
        <v>0</v>
      </c>
      <c r="N28" s="25" t="n">
        <f aca="false">IF(OR(COLUMN()-2&lt;2,COLUMN()-2-2+1&gt;UF_Invest_Period),0,IF(COLUMN()-2-2+1=1,SUM(C27:N27)*UF_Call_Y1,IF(COLUMN()-2-2+1=2,SUM(C27:N27)*UF_Call_Y2,IF(COLUMN()-2-2+1=3,SUM(C27:N27)*UF_Call_Y3,IF(COLUMN()-2-2+1=4,SUM(C27:N27)*UF_Call_Y4,IF(COLUMN()-2-2+1=5,SUM(C27:N27)*UF_Call_Y5,0))))))</f>
        <v>0</v>
      </c>
    </row>
    <row r="29" customFormat="false" ht="15" hidden="false" customHeight="false" outlineLevel="0" collapsed="false">
      <c r="B29" s="24" t="s">
        <v>113</v>
      </c>
      <c r="C29" s="25" t="n">
        <f aca="false">C28</f>
        <v>0</v>
      </c>
      <c r="D29" s="25" t="n">
        <f aca="false">C29+D28</f>
        <v>15.625</v>
      </c>
      <c r="E29" s="25" t="n">
        <f aca="false">D29+E28</f>
        <v>31.25</v>
      </c>
      <c r="F29" s="25" t="n">
        <f aca="false">E29+F28</f>
        <v>43.75</v>
      </c>
      <c r="G29" s="25" t="n">
        <f aca="false">F29+G28</f>
        <v>53.125</v>
      </c>
      <c r="H29" s="25" t="n">
        <f aca="false">G29+H28</f>
        <v>62.5</v>
      </c>
      <c r="I29" s="25" t="n">
        <f aca="false">H29+I28</f>
        <v>62.5</v>
      </c>
      <c r="J29" s="25" t="n">
        <f aca="false">I29+J28</f>
        <v>62.5</v>
      </c>
      <c r="K29" s="25" t="n">
        <f aca="false">J29+K28</f>
        <v>62.5</v>
      </c>
      <c r="L29" s="25" t="n">
        <f aca="false">K29+L28</f>
        <v>62.5</v>
      </c>
      <c r="M29" s="25" t="n">
        <f aca="false">L29+M28</f>
        <v>62.5</v>
      </c>
      <c r="N29" s="25" t="n">
        <f aca="false">M29+N28</f>
        <v>62.5</v>
      </c>
    </row>
    <row r="30" customFormat="false" ht="15" hidden="false" customHeight="false" outlineLevel="0" collapsed="false">
      <c r="B30" s="24" t="s">
        <v>114</v>
      </c>
      <c r="C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0</v>
      </c>
      <c r="D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0</v>
      </c>
      <c r="E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0</v>
      </c>
      <c r="F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0</v>
      </c>
      <c r="G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7.58928571428571</v>
      </c>
      <c r="H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17.8571428571429</v>
      </c>
      <c r="I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26.7857142857143</v>
      </c>
      <c r="J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35.7142857142857</v>
      </c>
      <c r="K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26.7857142857143</v>
      </c>
      <c r="L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17.8571428571429</v>
      </c>
      <c r="M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8.92857142857143</v>
      </c>
      <c r="N30" s="25" t="n">
        <f aca="false">IF(OR(COLUMN()-2&lt;2+UF_Dist_Start-1,COLUMN()-2&gt;2+UF_Dist_End-1),0,IF(COLUMN()-2&lt;=2+UF_Dist_Peak-1,INDEX($C$29:$N$29,1,COLUMN()-2)*UF_Gross_MOIC*2*(COLUMN()-2-2-UF_Dist_Start+2)/((UF_Dist_End-UF_Dist_Start+1)*(UF_Dist_Peak-UF_Dist_Start+1)),INDEX($C$29:$N$29,1,COLUMN()-2)*UF_Gross_MOIC*2*(2+UF_Dist_End-COLUMN()+2)/((UF_Dist_End-UF_Dist_Start+1)*(UF_Dist_End-UF_Dist_Peak+1))))</f>
        <v>0</v>
      </c>
    </row>
    <row r="31" customFormat="false" ht="15" hidden="false" customHeight="false" outlineLevel="0" collapsed="false">
      <c r="B31" s="24" t="s">
        <v>115</v>
      </c>
      <c r="C31" s="25" t="n">
        <f aca="false">C30</f>
        <v>0</v>
      </c>
      <c r="D31" s="25" t="n">
        <f aca="false">C31+D30</f>
        <v>0</v>
      </c>
      <c r="E31" s="25" t="n">
        <f aca="false">D31+E30</f>
        <v>0</v>
      </c>
      <c r="F31" s="25" t="n">
        <f aca="false">E31+F30</f>
        <v>0</v>
      </c>
      <c r="G31" s="25" t="n">
        <f aca="false">F31+G30</f>
        <v>7.58928571428571</v>
      </c>
      <c r="H31" s="25" t="n">
        <f aca="false">G31+H30</f>
        <v>25.4464285714286</v>
      </c>
      <c r="I31" s="25" t="n">
        <f aca="false">H31+I30</f>
        <v>52.2321428571429</v>
      </c>
      <c r="J31" s="25" t="n">
        <f aca="false">I31+J30</f>
        <v>87.9464285714286</v>
      </c>
      <c r="K31" s="25" t="n">
        <f aca="false">J31+K30</f>
        <v>114.732142857143</v>
      </c>
      <c r="L31" s="25" t="n">
        <f aca="false">K31+L30</f>
        <v>132.589285714286</v>
      </c>
      <c r="M31" s="25" t="n">
        <f aca="false">L31+M30</f>
        <v>141.517857142857</v>
      </c>
      <c r="N31" s="25" t="n">
        <f aca="false">M31+N30</f>
        <v>141.517857142857</v>
      </c>
    </row>
    <row r="32" customFormat="false" ht="15" hidden="false" customHeight="false" outlineLevel="0" collapsed="false">
      <c r="B32" s="24" t="s">
        <v>116</v>
      </c>
      <c r="C32" s="25" t="n">
        <f aca="false">MAX(C29*UF_Gross_MOIC-C31,0)</f>
        <v>0</v>
      </c>
      <c r="D32" s="25" t="n">
        <f aca="false">MAX(D29*UF_Gross_MOIC-D31,0)</f>
        <v>31.25</v>
      </c>
      <c r="E32" s="25" t="n">
        <f aca="false">MAX(E29*UF_Gross_MOIC-E31,0)</f>
        <v>62.5</v>
      </c>
      <c r="F32" s="25" t="n">
        <f aca="false">MAX(F29*UF_Gross_MOIC-F31,0)</f>
        <v>87.5</v>
      </c>
      <c r="G32" s="25" t="n">
        <f aca="false">MAX(G29*UF_Gross_MOIC-G31,0)</f>
        <v>98.6607142857143</v>
      </c>
      <c r="H32" s="25" t="n">
        <f aca="false">MAX(H29*UF_Gross_MOIC-H31,0)</f>
        <v>99.5535714285714</v>
      </c>
      <c r="I32" s="25" t="n">
        <f aca="false">MAX(I29*UF_Gross_MOIC-I31,0)</f>
        <v>72.7678571428571</v>
      </c>
      <c r="J32" s="25" t="n">
        <f aca="false">MAX(J29*UF_Gross_MOIC-J31,0)</f>
        <v>37.0535714285714</v>
      </c>
      <c r="K32" s="25" t="n">
        <f aca="false">MAX(K29*UF_Gross_MOIC-K31,0)</f>
        <v>10.2678571428571</v>
      </c>
      <c r="L32" s="25" t="n">
        <f aca="false">MAX(L29*UF_Gross_MOIC-L31,0)</f>
        <v>0</v>
      </c>
      <c r="M32" s="25" t="n">
        <f aca="false">MAX(M29*UF_Gross_MOIC-M31,0)</f>
        <v>0</v>
      </c>
      <c r="N32" s="25" t="n">
        <f aca="false">MAX(N29*UF_Gross_MOIC-N31,0)</f>
        <v>0</v>
      </c>
    </row>
    <row r="33" customFormat="false" ht="15" hidden="false" customHeight="false" outlineLevel="0" collapsed="false">
      <c r="B33" s="24" t="s">
        <v>117</v>
      </c>
      <c r="C33" s="25" t="n">
        <f aca="false">IF(COLUMN()-2&lt;2,0,IF(COLUMN()-2&lt;=2+UF_Fund_Life-1,SUM(C27:N27)*UF_Mgmt_Fee,0))+MAX(C30-C30/UF_Gross_MOIC*(1+UF_Hurdle),0)*UF_Carry_Pct</f>
        <v>0</v>
      </c>
      <c r="D33" s="25" t="n">
        <f aca="false">IF(COLUMN()-2&lt;2,0,IF(COLUMN()-2&lt;=2+UF_Fund_Life-1,SUM(C27:N27)*UF_Mgmt_Fee,0))+MAX(D30-D30/UF_Gross_MOIC*(1+UF_Hurdle),0)*UF_Carry_Pct</f>
        <v>1.25</v>
      </c>
      <c r="E33" s="25" t="n">
        <f aca="false">IF(COLUMN()-2&lt;2,0,IF(COLUMN()-2&lt;=2+UF_Fund_Life-1,SUM(C27:N27)*UF_Mgmt_Fee,0))+MAX(E30-E30/UF_Gross_MOIC*(1+UF_Hurdle),0)*UF_Carry_Pct</f>
        <v>1.25</v>
      </c>
      <c r="F33" s="25" t="n">
        <f aca="false">IF(COLUMN()-2&lt;2,0,IF(COLUMN()-2&lt;=2+UF_Fund_Life-1,SUM(C27:N27)*UF_Mgmt_Fee,0))+MAX(F30-F30/UF_Gross_MOIC*(1+UF_Hurdle),0)*UF_Carry_Pct</f>
        <v>1.25</v>
      </c>
      <c r="G33" s="25" t="n">
        <f aca="false">IF(COLUMN()-2&lt;2,0,IF(COLUMN()-2&lt;=2+UF_Fund_Life-1,SUM(C27:N27)*UF_Mgmt_Fee,0))+MAX(G30-G30/UF_Gross_MOIC*(1+UF_Hurdle),0)*UF_Carry_Pct</f>
        <v>1.94821428571429</v>
      </c>
      <c r="H33" s="25" t="n">
        <f aca="false">IF(COLUMN()-2&lt;2,0,IF(COLUMN()-2&lt;=2+UF_Fund_Life-1,SUM(C27:N27)*UF_Mgmt_Fee,0))+MAX(H30-H30/UF_Gross_MOIC*(1+UF_Hurdle),0)*UF_Carry_Pct</f>
        <v>2.89285714285714</v>
      </c>
      <c r="I33" s="25" t="n">
        <f aca="false">IF(COLUMN()-2&lt;2,0,IF(COLUMN()-2&lt;=2+UF_Fund_Life-1,SUM(C27:N27)*UF_Mgmt_Fee,0))+MAX(I30-I30/UF_Gross_MOIC*(1+UF_Hurdle),0)*UF_Carry_Pct</f>
        <v>3.71428571428571</v>
      </c>
      <c r="J33" s="25" t="n">
        <f aca="false">IF(COLUMN()-2&lt;2,0,IF(COLUMN()-2&lt;=2+UF_Fund_Life-1,SUM(C27:N27)*UF_Mgmt_Fee,0))+MAX(J30-J30/UF_Gross_MOIC*(1+UF_Hurdle),0)*UF_Carry_Pct</f>
        <v>4.53571428571429</v>
      </c>
      <c r="K33" s="25" t="n">
        <f aca="false">IF(COLUMN()-2&lt;2,0,IF(COLUMN()-2&lt;=2+UF_Fund_Life-1,SUM(C27:N27)*UF_Mgmt_Fee,0))+MAX(K30-K30/UF_Gross_MOIC*(1+UF_Hurdle),0)*UF_Carry_Pct</f>
        <v>3.71428571428571</v>
      </c>
      <c r="L33" s="25" t="n">
        <f aca="false">IF(COLUMN()-2&lt;2,0,IF(COLUMN()-2&lt;=2+UF_Fund_Life-1,SUM(C27:N27)*UF_Mgmt_Fee,0))+MAX(L30-L30/UF_Gross_MOIC*(1+UF_Hurdle),0)*UF_Carry_Pct</f>
        <v>2.89285714285714</v>
      </c>
      <c r="M33" s="25" t="n">
        <f aca="false">IF(COLUMN()-2&lt;2,0,IF(COLUMN()-2&lt;=2+UF_Fund_Life-1,SUM(C27:N27)*UF_Mgmt_Fee,0))+MAX(M30-M30/UF_Gross_MOIC*(1+UF_Hurdle),0)*UF_Carry_Pct</f>
        <v>2.07142857142857</v>
      </c>
      <c r="N33" s="25" t="n">
        <f aca="false">IF(COLUMN()-2&lt;2,0,IF(COLUMN()-2&lt;=2+UF_Fund_Life-1,SUM(C27:N27)*UF_Mgmt_Fee,0))+MAX(N30-N30/UF_Gross_MOIC*(1+UF_Hurdle),0)*UF_Carry_Pct</f>
        <v>0</v>
      </c>
    </row>
    <row r="34" customFormat="false" ht="15" hidden="false" customHeight="false" outlineLevel="0" collapsed="false">
      <c r="B34" s="24" t="s">
        <v>118</v>
      </c>
      <c r="C34" s="25" t="n">
        <f aca="false">MAX(C30-C33,0)</f>
        <v>0</v>
      </c>
      <c r="D34" s="25" t="n">
        <f aca="false">MAX(D30-D33,0)</f>
        <v>0</v>
      </c>
      <c r="E34" s="25" t="n">
        <f aca="false">MAX(E30-E33,0)</f>
        <v>0</v>
      </c>
      <c r="F34" s="25" t="n">
        <f aca="false">MAX(F30-F33,0)</f>
        <v>0</v>
      </c>
      <c r="G34" s="25" t="n">
        <f aca="false">MAX(G30-G33,0)</f>
        <v>5.64107142857143</v>
      </c>
      <c r="H34" s="25" t="n">
        <f aca="false">MAX(H30-H33,0)</f>
        <v>14.9642857142857</v>
      </c>
      <c r="I34" s="25" t="n">
        <f aca="false">MAX(I30-I33,0)</f>
        <v>23.0714285714286</v>
      </c>
      <c r="J34" s="25" t="n">
        <f aca="false">MAX(J30-J33,0)</f>
        <v>31.1785714285714</v>
      </c>
      <c r="K34" s="25" t="n">
        <f aca="false">MAX(K30-K33,0)</f>
        <v>23.0714285714286</v>
      </c>
      <c r="L34" s="25" t="n">
        <f aca="false">MAX(L30-L33,0)</f>
        <v>14.9642857142857</v>
      </c>
      <c r="M34" s="25" t="n">
        <f aca="false">MAX(M30-M33,0)</f>
        <v>6.85714285714286</v>
      </c>
      <c r="N34" s="25" t="n">
        <f aca="false">MAX(N30-N33,0)</f>
        <v>0</v>
      </c>
    </row>
    <row r="35" customFormat="false" ht="15" hidden="false" customHeight="false" outlineLevel="0" collapsed="false">
      <c r="B35" s="24" t="s">
        <v>119</v>
      </c>
      <c r="C35" s="25" t="n">
        <f aca="false">C34</f>
        <v>0</v>
      </c>
      <c r="D35" s="25" t="n">
        <f aca="false">C35+D34</f>
        <v>0</v>
      </c>
      <c r="E35" s="25" t="n">
        <f aca="false">D35+E34</f>
        <v>0</v>
      </c>
      <c r="F35" s="25" t="n">
        <f aca="false">E35+F34</f>
        <v>0</v>
      </c>
      <c r="G35" s="25" t="n">
        <f aca="false">F35+G34</f>
        <v>5.64107142857143</v>
      </c>
      <c r="H35" s="25" t="n">
        <f aca="false">G35+H34</f>
        <v>20.6053571428571</v>
      </c>
      <c r="I35" s="25" t="n">
        <f aca="false">H35+I34</f>
        <v>43.6767857142857</v>
      </c>
      <c r="J35" s="25" t="n">
        <f aca="false">I35+J34</f>
        <v>74.8553571428571</v>
      </c>
      <c r="K35" s="25" t="n">
        <f aca="false">J35+K34</f>
        <v>97.9267857142857</v>
      </c>
      <c r="L35" s="25" t="n">
        <f aca="false">K35+L34</f>
        <v>112.891071428571</v>
      </c>
      <c r="M35" s="25" t="n">
        <f aca="false">L35+M34</f>
        <v>119.748214285714</v>
      </c>
      <c r="N35" s="25" t="n">
        <f aca="false">M35+N34</f>
        <v>119.748214285714</v>
      </c>
    </row>
    <row r="36" customFormat="false" ht="15" hidden="false" customHeight="false" outlineLevel="0" collapsed="false">
      <c r="B36" s="16" t="s">
        <v>122</v>
      </c>
      <c r="C36" s="17"/>
      <c r="D36" s="17"/>
      <c r="E36" s="17"/>
      <c r="F36" s="17"/>
      <c r="G36" s="17"/>
      <c r="H36" s="17"/>
      <c r="I36" s="17"/>
      <c r="J36" s="17"/>
      <c r="K36" s="17"/>
      <c r="L36" s="17"/>
      <c r="M36" s="17"/>
      <c r="N36" s="17"/>
    </row>
    <row r="37" customFormat="false" ht="15" hidden="false" customHeight="false" outlineLevel="0" collapsed="false">
      <c r="B37" s="24" t="s">
        <v>111</v>
      </c>
      <c r="C37" s="25" t="n">
        <f aca="false">IF(COLUMN()-2=2,FoF_Size*Deploy_Y2*0.5,0)</f>
        <v>0</v>
      </c>
      <c r="D37" s="25" t="n">
        <f aca="false">IF(COLUMN()-2=2,FoF_Size*Deploy_Y2*0.5,0)</f>
        <v>62.5</v>
      </c>
      <c r="E37" s="25" t="n">
        <f aca="false">IF(COLUMN()-2=2,FoF_Size*Deploy_Y2*0.5,0)</f>
        <v>0</v>
      </c>
      <c r="F37" s="25" t="n">
        <f aca="false">IF(COLUMN()-2=2,FoF_Size*Deploy_Y2*0.5,0)</f>
        <v>0</v>
      </c>
      <c r="G37" s="25" t="n">
        <f aca="false">IF(COLUMN()-2=2,FoF_Size*Deploy_Y2*0.5,0)</f>
        <v>0</v>
      </c>
      <c r="H37" s="25" t="n">
        <f aca="false">IF(COLUMN()-2=2,FoF_Size*Deploy_Y2*0.5,0)</f>
        <v>0</v>
      </c>
      <c r="I37" s="25" t="n">
        <f aca="false">IF(COLUMN()-2=2,FoF_Size*Deploy_Y2*0.5,0)</f>
        <v>0</v>
      </c>
      <c r="J37" s="25" t="n">
        <f aca="false">IF(COLUMN()-2=2,FoF_Size*Deploy_Y2*0.5,0)</f>
        <v>0</v>
      </c>
      <c r="K37" s="25" t="n">
        <f aca="false">IF(COLUMN()-2=2,FoF_Size*Deploy_Y2*0.5,0)</f>
        <v>0</v>
      </c>
      <c r="L37" s="25" t="n">
        <f aca="false">IF(COLUMN()-2=2,FoF_Size*Deploy_Y2*0.5,0)</f>
        <v>0</v>
      </c>
      <c r="M37" s="25" t="n">
        <f aca="false">IF(COLUMN()-2=2,FoF_Size*Deploy_Y2*0.5,0)</f>
        <v>0</v>
      </c>
      <c r="N37" s="25" t="n">
        <f aca="false">IF(COLUMN()-2=2,FoF_Size*Deploy_Y2*0.5,0)</f>
        <v>0</v>
      </c>
    </row>
    <row r="38" customFormat="false" ht="15" hidden="false" customHeight="false" outlineLevel="0" collapsed="false">
      <c r="B38" s="24" t="s">
        <v>112</v>
      </c>
      <c r="C38" s="25" t="n">
        <f aca="false">IF(OR(COLUMN()-2&lt;2,COLUMN()-2-2+1&gt;UF_Invest_Period),0,IF(COLUMN()-2-2+1=1,SUM(C37:N37)*UF_Call_Y1,IF(COLUMN()-2-2+1=2,SUM(C37:N37)*UF_Call_Y2,IF(COLUMN()-2-2+1=3,SUM(C37:N37)*UF_Call_Y3,IF(COLUMN()-2-2+1=4,SUM(C37:N37)*UF_Call_Y4,IF(COLUMN()-2-2+1=5,SUM(C37:N37)*UF_Call_Y5,0))))))</f>
        <v>0</v>
      </c>
      <c r="D38" s="25" t="n">
        <f aca="false">IF(OR(COLUMN()-2&lt;2,COLUMN()-2-2+1&gt;UF_Invest_Period),0,IF(COLUMN()-2-2+1=1,SUM(C37:N37)*UF_Call_Y1,IF(COLUMN()-2-2+1=2,SUM(C37:N37)*UF_Call_Y2,IF(COLUMN()-2-2+1=3,SUM(C37:N37)*UF_Call_Y3,IF(COLUMN()-2-2+1=4,SUM(C37:N37)*UF_Call_Y4,IF(COLUMN()-2-2+1=5,SUM(C37:N37)*UF_Call_Y5,0))))))</f>
        <v>15.625</v>
      </c>
      <c r="E38" s="25" t="n">
        <f aca="false">IF(OR(COLUMN()-2&lt;2,COLUMN()-2-2+1&gt;UF_Invest_Period),0,IF(COLUMN()-2-2+1=1,SUM(C37:N37)*UF_Call_Y1,IF(COLUMN()-2-2+1=2,SUM(C37:N37)*UF_Call_Y2,IF(COLUMN()-2-2+1=3,SUM(C37:N37)*UF_Call_Y3,IF(COLUMN()-2-2+1=4,SUM(C37:N37)*UF_Call_Y4,IF(COLUMN()-2-2+1=5,SUM(C37:N37)*UF_Call_Y5,0))))))</f>
        <v>15.625</v>
      </c>
      <c r="F38" s="25" t="n">
        <f aca="false">IF(OR(COLUMN()-2&lt;2,COLUMN()-2-2+1&gt;UF_Invest_Period),0,IF(COLUMN()-2-2+1=1,SUM(C37:N37)*UF_Call_Y1,IF(COLUMN()-2-2+1=2,SUM(C37:N37)*UF_Call_Y2,IF(COLUMN()-2-2+1=3,SUM(C37:N37)*UF_Call_Y3,IF(COLUMN()-2-2+1=4,SUM(C37:N37)*UF_Call_Y4,IF(COLUMN()-2-2+1=5,SUM(C37:N37)*UF_Call_Y5,0))))))</f>
        <v>12.5</v>
      </c>
      <c r="G38" s="25" t="n">
        <f aca="false">IF(OR(COLUMN()-2&lt;2,COLUMN()-2-2+1&gt;UF_Invest_Period),0,IF(COLUMN()-2-2+1=1,SUM(C37:N37)*UF_Call_Y1,IF(COLUMN()-2-2+1=2,SUM(C37:N37)*UF_Call_Y2,IF(COLUMN()-2-2+1=3,SUM(C37:N37)*UF_Call_Y3,IF(COLUMN()-2-2+1=4,SUM(C37:N37)*UF_Call_Y4,IF(COLUMN()-2-2+1=5,SUM(C37:N37)*UF_Call_Y5,0))))))</f>
        <v>9.375</v>
      </c>
      <c r="H38" s="25" t="n">
        <f aca="false">IF(OR(COLUMN()-2&lt;2,COLUMN()-2-2+1&gt;UF_Invest_Period),0,IF(COLUMN()-2-2+1=1,SUM(C37:N37)*UF_Call_Y1,IF(COLUMN()-2-2+1=2,SUM(C37:N37)*UF_Call_Y2,IF(COLUMN()-2-2+1=3,SUM(C37:N37)*UF_Call_Y3,IF(COLUMN()-2-2+1=4,SUM(C37:N37)*UF_Call_Y4,IF(COLUMN()-2-2+1=5,SUM(C37:N37)*UF_Call_Y5,0))))))</f>
        <v>9.375</v>
      </c>
      <c r="I38" s="25" t="n">
        <f aca="false">IF(OR(COLUMN()-2&lt;2,COLUMN()-2-2+1&gt;UF_Invest_Period),0,IF(COLUMN()-2-2+1=1,SUM(C37:N37)*UF_Call_Y1,IF(COLUMN()-2-2+1=2,SUM(C37:N37)*UF_Call_Y2,IF(COLUMN()-2-2+1=3,SUM(C37:N37)*UF_Call_Y3,IF(COLUMN()-2-2+1=4,SUM(C37:N37)*UF_Call_Y4,IF(COLUMN()-2-2+1=5,SUM(C37:N37)*UF_Call_Y5,0))))))</f>
        <v>0</v>
      </c>
      <c r="J38" s="25" t="n">
        <f aca="false">IF(OR(COLUMN()-2&lt;2,COLUMN()-2-2+1&gt;UF_Invest_Period),0,IF(COLUMN()-2-2+1=1,SUM(C37:N37)*UF_Call_Y1,IF(COLUMN()-2-2+1=2,SUM(C37:N37)*UF_Call_Y2,IF(COLUMN()-2-2+1=3,SUM(C37:N37)*UF_Call_Y3,IF(COLUMN()-2-2+1=4,SUM(C37:N37)*UF_Call_Y4,IF(COLUMN()-2-2+1=5,SUM(C37:N37)*UF_Call_Y5,0))))))</f>
        <v>0</v>
      </c>
      <c r="K38" s="25" t="n">
        <f aca="false">IF(OR(COLUMN()-2&lt;2,COLUMN()-2-2+1&gt;UF_Invest_Period),0,IF(COLUMN()-2-2+1=1,SUM(C37:N37)*UF_Call_Y1,IF(COLUMN()-2-2+1=2,SUM(C37:N37)*UF_Call_Y2,IF(COLUMN()-2-2+1=3,SUM(C37:N37)*UF_Call_Y3,IF(COLUMN()-2-2+1=4,SUM(C37:N37)*UF_Call_Y4,IF(COLUMN()-2-2+1=5,SUM(C37:N37)*UF_Call_Y5,0))))))</f>
        <v>0</v>
      </c>
      <c r="L38" s="25" t="n">
        <f aca="false">IF(OR(COLUMN()-2&lt;2,COLUMN()-2-2+1&gt;UF_Invest_Period),0,IF(COLUMN()-2-2+1=1,SUM(C37:N37)*UF_Call_Y1,IF(COLUMN()-2-2+1=2,SUM(C37:N37)*UF_Call_Y2,IF(COLUMN()-2-2+1=3,SUM(C37:N37)*UF_Call_Y3,IF(COLUMN()-2-2+1=4,SUM(C37:N37)*UF_Call_Y4,IF(COLUMN()-2-2+1=5,SUM(C37:N37)*UF_Call_Y5,0))))))</f>
        <v>0</v>
      </c>
      <c r="M38" s="25" t="n">
        <f aca="false">IF(OR(COLUMN()-2&lt;2,COLUMN()-2-2+1&gt;UF_Invest_Period),0,IF(COLUMN()-2-2+1=1,SUM(C37:N37)*UF_Call_Y1,IF(COLUMN()-2-2+1=2,SUM(C37:N37)*UF_Call_Y2,IF(COLUMN()-2-2+1=3,SUM(C37:N37)*UF_Call_Y3,IF(COLUMN()-2-2+1=4,SUM(C37:N37)*UF_Call_Y4,IF(COLUMN()-2-2+1=5,SUM(C37:N37)*UF_Call_Y5,0))))))</f>
        <v>0</v>
      </c>
      <c r="N38" s="25" t="n">
        <f aca="false">IF(OR(COLUMN()-2&lt;2,COLUMN()-2-2+1&gt;UF_Invest_Period),0,IF(COLUMN()-2-2+1=1,SUM(C37:N37)*UF_Call_Y1,IF(COLUMN()-2-2+1=2,SUM(C37:N37)*UF_Call_Y2,IF(COLUMN()-2-2+1=3,SUM(C37:N37)*UF_Call_Y3,IF(COLUMN()-2-2+1=4,SUM(C37:N37)*UF_Call_Y4,IF(COLUMN()-2-2+1=5,SUM(C37:N37)*UF_Call_Y5,0))))))</f>
        <v>0</v>
      </c>
    </row>
    <row r="39" customFormat="false" ht="15" hidden="false" customHeight="false" outlineLevel="0" collapsed="false">
      <c r="B39" s="24" t="s">
        <v>113</v>
      </c>
      <c r="C39" s="25" t="n">
        <f aca="false">C38</f>
        <v>0</v>
      </c>
      <c r="D39" s="25" t="n">
        <f aca="false">C39+D38</f>
        <v>15.625</v>
      </c>
      <c r="E39" s="25" t="n">
        <f aca="false">D39+E38</f>
        <v>31.25</v>
      </c>
      <c r="F39" s="25" t="n">
        <f aca="false">E39+F38</f>
        <v>43.75</v>
      </c>
      <c r="G39" s="25" t="n">
        <f aca="false">F39+G38</f>
        <v>53.125</v>
      </c>
      <c r="H39" s="25" t="n">
        <f aca="false">G39+H38</f>
        <v>62.5</v>
      </c>
      <c r="I39" s="25" t="n">
        <f aca="false">H39+I38</f>
        <v>62.5</v>
      </c>
      <c r="J39" s="25" t="n">
        <f aca="false">I39+J38</f>
        <v>62.5</v>
      </c>
      <c r="K39" s="25" t="n">
        <f aca="false">J39+K38</f>
        <v>62.5</v>
      </c>
      <c r="L39" s="25" t="n">
        <f aca="false">K39+L38</f>
        <v>62.5</v>
      </c>
      <c r="M39" s="25" t="n">
        <f aca="false">L39+M38</f>
        <v>62.5</v>
      </c>
      <c r="N39" s="25" t="n">
        <f aca="false">M39+N38</f>
        <v>62.5</v>
      </c>
    </row>
    <row r="40" customFormat="false" ht="15" hidden="false" customHeight="false" outlineLevel="0" collapsed="false">
      <c r="B40" s="24" t="s">
        <v>114</v>
      </c>
      <c r="C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0</v>
      </c>
      <c r="D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0</v>
      </c>
      <c r="E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0</v>
      </c>
      <c r="F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0</v>
      </c>
      <c r="G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7.58928571428571</v>
      </c>
      <c r="H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17.8571428571429</v>
      </c>
      <c r="I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26.7857142857143</v>
      </c>
      <c r="J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35.7142857142857</v>
      </c>
      <c r="K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26.7857142857143</v>
      </c>
      <c r="L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17.8571428571429</v>
      </c>
      <c r="M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8.92857142857143</v>
      </c>
      <c r="N40" s="25" t="n">
        <f aca="false">IF(OR(COLUMN()-2&lt;2+UF_Dist_Start-1,COLUMN()-2&gt;2+UF_Dist_End-1),0,IF(COLUMN()-2&lt;=2+UF_Dist_Peak-1,INDEX($C$39:$N$39,1,COLUMN()-2)*UF_Gross_MOIC*2*(COLUMN()-2-2-UF_Dist_Start+2)/((UF_Dist_End-UF_Dist_Start+1)*(UF_Dist_Peak-UF_Dist_Start+1)),INDEX($C$39:$N$39,1,COLUMN()-2)*UF_Gross_MOIC*2*(2+UF_Dist_End-COLUMN()+2)/((UF_Dist_End-UF_Dist_Start+1)*(UF_Dist_End-UF_Dist_Peak+1))))</f>
        <v>0</v>
      </c>
    </row>
    <row r="41" customFormat="false" ht="15" hidden="false" customHeight="false" outlineLevel="0" collapsed="false">
      <c r="B41" s="24" t="s">
        <v>115</v>
      </c>
      <c r="C41" s="25" t="n">
        <f aca="false">C40</f>
        <v>0</v>
      </c>
      <c r="D41" s="25" t="n">
        <f aca="false">C41+D40</f>
        <v>0</v>
      </c>
      <c r="E41" s="25" t="n">
        <f aca="false">D41+E40</f>
        <v>0</v>
      </c>
      <c r="F41" s="25" t="n">
        <f aca="false">E41+F40</f>
        <v>0</v>
      </c>
      <c r="G41" s="25" t="n">
        <f aca="false">F41+G40</f>
        <v>7.58928571428571</v>
      </c>
      <c r="H41" s="25" t="n">
        <f aca="false">G41+H40</f>
        <v>25.4464285714286</v>
      </c>
      <c r="I41" s="25" t="n">
        <f aca="false">H41+I40</f>
        <v>52.2321428571429</v>
      </c>
      <c r="J41" s="25" t="n">
        <f aca="false">I41+J40</f>
        <v>87.9464285714286</v>
      </c>
      <c r="K41" s="25" t="n">
        <f aca="false">J41+K40</f>
        <v>114.732142857143</v>
      </c>
      <c r="L41" s="25" t="n">
        <f aca="false">K41+L40</f>
        <v>132.589285714286</v>
      </c>
      <c r="M41" s="25" t="n">
        <f aca="false">L41+M40</f>
        <v>141.517857142857</v>
      </c>
      <c r="N41" s="25" t="n">
        <f aca="false">M41+N40</f>
        <v>141.517857142857</v>
      </c>
    </row>
    <row r="42" customFormat="false" ht="15" hidden="false" customHeight="false" outlineLevel="0" collapsed="false">
      <c r="B42" s="24" t="s">
        <v>116</v>
      </c>
      <c r="C42" s="25" t="n">
        <f aca="false">MAX(C39*UF_Gross_MOIC-C41,0)</f>
        <v>0</v>
      </c>
      <c r="D42" s="25" t="n">
        <f aca="false">MAX(D39*UF_Gross_MOIC-D41,0)</f>
        <v>31.25</v>
      </c>
      <c r="E42" s="25" t="n">
        <f aca="false">MAX(E39*UF_Gross_MOIC-E41,0)</f>
        <v>62.5</v>
      </c>
      <c r="F42" s="25" t="n">
        <f aca="false">MAX(F39*UF_Gross_MOIC-F41,0)</f>
        <v>87.5</v>
      </c>
      <c r="G42" s="25" t="n">
        <f aca="false">MAX(G39*UF_Gross_MOIC-G41,0)</f>
        <v>98.6607142857143</v>
      </c>
      <c r="H42" s="25" t="n">
        <f aca="false">MAX(H39*UF_Gross_MOIC-H41,0)</f>
        <v>99.5535714285714</v>
      </c>
      <c r="I42" s="25" t="n">
        <f aca="false">MAX(I39*UF_Gross_MOIC-I41,0)</f>
        <v>72.7678571428571</v>
      </c>
      <c r="J42" s="25" t="n">
        <f aca="false">MAX(J39*UF_Gross_MOIC-J41,0)</f>
        <v>37.0535714285714</v>
      </c>
      <c r="K42" s="25" t="n">
        <f aca="false">MAX(K39*UF_Gross_MOIC-K41,0)</f>
        <v>10.2678571428571</v>
      </c>
      <c r="L42" s="25" t="n">
        <f aca="false">MAX(L39*UF_Gross_MOIC-L41,0)</f>
        <v>0</v>
      </c>
      <c r="M42" s="25" t="n">
        <f aca="false">MAX(M39*UF_Gross_MOIC-M41,0)</f>
        <v>0</v>
      </c>
      <c r="N42" s="25" t="n">
        <f aca="false">MAX(N39*UF_Gross_MOIC-N41,0)</f>
        <v>0</v>
      </c>
    </row>
    <row r="43" customFormat="false" ht="15" hidden="false" customHeight="false" outlineLevel="0" collapsed="false">
      <c r="B43" s="24" t="s">
        <v>117</v>
      </c>
      <c r="C43" s="25" t="n">
        <f aca="false">IF(COLUMN()-2&lt;2,0,IF(COLUMN()-2&lt;=2+UF_Fund_Life-1,SUM(C37:N37)*UF_Mgmt_Fee,0))+MAX(C40-C40/UF_Gross_MOIC*(1+UF_Hurdle),0)*UF_Carry_Pct</f>
        <v>0</v>
      </c>
      <c r="D43" s="25" t="n">
        <f aca="false">IF(COLUMN()-2&lt;2,0,IF(COLUMN()-2&lt;=2+UF_Fund_Life-1,SUM(C37:N37)*UF_Mgmt_Fee,0))+MAX(D40-D40/UF_Gross_MOIC*(1+UF_Hurdle),0)*UF_Carry_Pct</f>
        <v>1.25</v>
      </c>
      <c r="E43" s="25" t="n">
        <f aca="false">IF(COLUMN()-2&lt;2,0,IF(COLUMN()-2&lt;=2+UF_Fund_Life-1,SUM(C37:N37)*UF_Mgmt_Fee,0))+MAX(E40-E40/UF_Gross_MOIC*(1+UF_Hurdle),0)*UF_Carry_Pct</f>
        <v>1.25</v>
      </c>
      <c r="F43" s="25" t="n">
        <f aca="false">IF(COLUMN()-2&lt;2,0,IF(COLUMN()-2&lt;=2+UF_Fund_Life-1,SUM(C37:N37)*UF_Mgmt_Fee,0))+MAX(F40-F40/UF_Gross_MOIC*(1+UF_Hurdle),0)*UF_Carry_Pct</f>
        <v>1.25</v>
      </c>
      <c r="G43" s="25" t="n">
        <f aca="false">IF(COLUMN()-2&lt;2,0,IF(COLUMN()-2&lt;=2+UF_Fund_Life-1,SUM(C37:N37)*UF_Mgmt_Fee,0))+MAX(G40-G40/UF_Gross_MOIC*(1+UF_Hurdle),0)*UF_Carry_Pct</f>
        <v>1.94821428571429</v>
      </c>
      <c r="H43" s="25" t="n">
        <f aca="false">IF(COLUMN()-2&lt;2,0,IF(COLUMN()-2&lt;=2+UF_Fund_Life-1,SUM(C37:N37)*UF_Mgmt_Fee,0))+MAX(H40-H40/UF_Gross_MOIC*(1+UF_Hurdle),0)*UF_Carry_Pct</f>
        <v>2.89285714285714</v>
      </c>
      <c r="I43" s="25" t="n">
        <f aca="false">IF(COLUMN()-2&lt;2,0,IF(COLUMN()-2&lt;=2+UF_Fund_Life-1,SUM(C37:N37)*UF_Mgmt_Fee,0))+MAX(I40-I40/UF_Gross_MOIC*(1+UF_Hurdle),0)*UF_Carry_Pct</f>
        <v>3.71428571428571</v>
      </c>
      <c r="J43" s="25" t="n">
        <f aca="false">IF(COLUMN()-2&lt;2,0,IF(COLUMN()-2&lt;=2+UF_Fund_Life-1,SUM(C37:N37)*UF_Mgmt_Fee,0))+MAX(J40-J40/UF_Gross_MOIC*(1+UF_Hurdle),0)*UF_Carry_Pct</f>
        <v>4.53571428571429</v>
      </c>
      <c r="K43" s="25" t="n">
        <f aca="false">IF(COLUMN()-2&lt;2,0,IF(COLUMN()-2&lt;=2+UF_Fund_Life-1,SUM(C37:N37)*UF_Mgmt_Fee,0))+MAX(K40-K40/UF_Gross_MOIC*(1+UF_Hurdle),0)*UF_Carry_Pct</f>
        <v>3.71428571428571</v>
      </c>
      <c r="L43" s="25" t="n">
        <f aca="false">IF(COLUMN()-2&lt;2,0,IF(COLUMN()-2&lt;=2+UF_Fund_Life-1,SUM(C37:N37)*UF_Mgmt_Fee,0))+MAX(L40-L40/UF_Gross_MOIC*(1+UF_Hurdle),0)*UF_Carry_Pct</f>
        <v>2.89285714285714</v>
      </c>
      <c r="M43" s="25" t="n">
        <f aca="false">IF(COLUMN()-2&lt;2,0,IF(COLUMN()-2&lt;=2+UF_Fund_Life-1,SUM(C37:N37)*UF_Mgmt_Fee,0))+MAX(M40-M40/UF_Gross_MOIC*(1+UF_Hurdle),0)*UF_Carry_Pct</f>
        <v>2.07142857142857</v>
      </c>
      <c r="N43" s="25" t="n">
        <f aca="false">IF(COLUMN()-2&lt;2,0,IF(COLUMN()-2&lt;=2+UF_Fund_Life-1,SUM(C37:N37)*UF_Mgmt_Fee,0))+MAX(N40-N40/UF_Gross_MOIC*(1+UF_Hurdle),0)*UF_Carry_Pct</f>
        <v>0</v>
      </c>
    </row>
    <row r="44" customFormat="false" ht="15" hidden="false" customHeight="false" outlineLevel="0" collapsed="false">
      <c r="B44" s="24" t="s">
        <v>118</v>
      </c>
      <c r="C44" s="25" t="n">
        <f aca="false">MAX(C40-C43,0)</f>
        <v>0</v>
      </c>
      <c r="D44" s="25" t="n">
        <f aca="false">MAX(D40-D43,0)</f>
        <v>0</v>
      </c>
      <c r="E44" s="25" t="n">
        <f aca="false">MAX(E40-E43,0)</f>
        <v>0</v>
      </c>
      <c r="F44" s="25" t="n">
        <f aca="false">MAX(F40-F43,0)</f>
        <v>0</v>
      </c>
      <c r="G44" s="25" t="n">
        <f aca="false">MAX(G40-G43,0)</f>
        <v>5.64107142857143</v>
      </c>
      <c r="H44" s="25" t="n">
        <f aca="false">MAX(H40-H43,0)</f>
        <v>14.9642857142857</v>
      </c>
      <c r="I44" s="25" t="n">
        <f aca="false">MAX(I40-I43,0)</f>
        <v>23.0714285714286</v>
      </c>
      <c r="J44" s="25" t="n">
        <f aca="false">MAX(J40-J43,0)</f>
        <v>31.1785714285714</v>
      </c>
      <c r="K44" s="25" t="n">
        <f aca="false">MAX(K40-K43,0)</f>
        <v>23.0714285714286</v>
      </c>
      <c r="L44" s="25" t="n">
        <f aca="false">MAX(L40-L43,0)</f>
        <v>14.9642857142857</v>
      </c>
      <c r="M44" s="25" t="n">
        <f aca="false">MAX(M40-M43,0)</f>
        <v>6.85714285714286</v>
      </c>
      <c r="N44" s="25" t="n">
        <f aca="false">MAX(N40-N43,0)</f>
        <v>0</v>
      </c>
    </row>
    <row r="45" customFormat="false" ht="15" hidden="false" customHeight="false" outlineLevel="0" collapsed="false">
      <c r="B45" s="24" t="s">
        <v>119</v>
      </c>
      <c r="C45" s="25" t="n">
        <f aca="false">C44</f>
        <v>0</v>
      </c>
      <c r="D45" s="25" t="n">
        <f aca="false">C45+D44</f>
        <v>0</v>
      </c>
      <c r="E45" s="25" t="n">
        <f aca="false">D45+E44</f>
        <v>0</v>
      </c>
      <c r="F45" s="25" t="n">
        <f aca="false">E45+F44</f>
        <v>0</v>
      </c>
      <c r="G45" s="25" t="n">
        <f aca="false">F45+G44</f>
        <v>5.64107142857143</v>
      </c>
      <c r="H45" s="25" t="n">
        <f aca="false">G45+H44</f>
        <v>20.6053571428571</v>
      </c>
      <c r="I45" s="25" t="n">
        <f aca="false">H45+I44</f>
        <v>43.6767857142857</v>
      </c>
      <c r="J45" s="25" t="n">
        <f aca="false">I45+J44</f>
        <v>74.8553571428571</v>
      </c>
      <c r="K45" s="25" t="n">
        <f aca="false">J45+K44</f>
        <v>97.9267857142857</v>
      </c>
      <c r="L45" s="25" t="n">
        <f aca="false">K45+L44</f>
        <v>112.891071428571</v>
      </c>
      <c r="M45" s="25" t="n">
        <f aca="false">L45+M44</f>
        <v>119.748214285714</v>
      </c>
      <c r="N45" s="25" t="n">
        <f aca="false">M45+N44</f>
        <v>119.748214285714</v>
      </c>
    </row>
    <row r="46" customFormat="false" ht="15" hidden="false" customHeight="false" outlineLevel="0" collapsed="false">
      <c r="B46" s="16" t="s">
        <v>123</v>
      </c>
      <c r="C46" s="17"/>
      <c r="D46" s="17"/>
      <c r="E46" s="17"/>
      <c r="F46" s="17"/>
      <c r="G46" s="17"/>
      <c r="H46" s="17"/>
      <c r="I46" s="17"/>
      <c r="J46" s="17"/>
      <c r="K46" s="17"/>
      <c r="L46" s="17"/>
      <c r="M46" s="17"/>
      <c r="N46" s="17"/>
    </row>
    <row r="47" customFormat="false" ht="15" hidden="false" customHeight="false" outlineLevel="0" collapsed="false">
      <c r="B47" s="24" t="s">
        <v>111</v>
      </c>
      <c r="C47" s="25" t="n">
        <f aca="false">IF(COLUMN()-2=3,FoF_Size*Deploy_Y3*0.5,0)</f>
        <v>0</v>
      </c>
      <c r="D47" s="25" t="n">
        <f aca="false">IF(COLUMN()-2=3,FoF_Size*Deploy_Y3*0.5,0)</f>
        <v>0</v>
      </c>
      <c r="E47" s="25" t="n">
        <f aca="false">IF(COLUMN()-2=3,FoF_Size*Deploy_Y3*0.5,0)</f>
        <v>50</v>
      </c>
      <c r="F47" s="25" t="n">
        <f aca="false">IF(COLUMN()-2=3,FoF_Size*Deploy_Y3*0.5,0)</f>
        <v>0</v>
      </c>
      <c r="G47" s="25" t="n">
        <f aca="false">IF(COLUMN()-2=3,FoF_Size*Deploy_Y3*0.5,0)</f>
        <v>0</v>
      </c>
      <c r="H47" s="25" t="n">
        <f aca="false">IF(COLUMN()-2=3,FoF_Size*Deploy_Y3*0.5,0)</f>
        <v>0</v>
      </c>
      <c r="I47" s="25" t="n">
        <f aca="false">IF(COLUMN()-2=3,FoF_Size*Deploy_Y3*0.5,0)</f>
        <v>0</v>
      </c>
      <c r="J47" s="25" t="n">
        <f aca="false">IF(COLUMN()-2=3,FoF_Size*Deploy_Y3*0.5,0)</f>
        <v>0</v>
      </c>
      <c r="K47" s="25" t="n">
        <f aca="false">IF(COLUMN()-2=3,FoF_Size*Deploy_Y3*0.5,0)</f>
        <v>0</v>
      </c>
      <c r="L47" s="25" t="n">
        <f aca="false">IF(COLUMN()-2=3,FoF_Size*Deploy_Y3*0.5,0)</f>
        <v>0</v>
      </c>
      <c r="M47" s="25" t="n">
        <f aca="false">IF(COLUMN()-2=3,FoF_Size*Deploy_Y3*0.5,0)</f>
        <v>0</v>
      </c>
      <c r="N47" s="25" t="n">
        <f aca="false">IF(COLUMN()-2=3,FoF_Size*Deploy_Y3*0.5,0)</f>
        <v>0</v>
      </c>
    </row>
    <row r="48" customFormat="false" ht="15" hidden="false" customHeight="false" outlineLevel="0" collapsed="false">
      <c r="B48" s="24" t="s">
        <v>112</v>
      </c>
      <c r="C48" s="25" t="n">
        <f aca="false">IF(OR(COLUMN()-2&lt;3,COLUMN()-2-3+1&gt;UF_Invest_Period),0,IF(COLUMN()-2-3+1=1,SUM(C47:N47)*UF_Call_Y1,IF(COLUMN()-2-3+1=2,SUM(C47:N47)*UF_Call_Y2,IF(COLUMN()-2-3+1=3,SUM(C47:N47)*UF_Call_Y3,IF(COLUMN()-2-3+1=4,SUM(C47:N47)*UF_Call_Y4,IF(COLUMN()-2-3+1=5,SUM(C47:N47)*UF_Call_Y5,0))))))</f>
        <v>0</v>
      </c>
      <c r="D48" s="25" t="n">
        <f aca="false">IF(OR(COLUMN()-2&lt;3,COLUMN()-2-3+1&gt;UF_Invest_Period),0,IF(COLUMN()-2-3+1=1,SUM(C47:N47)*UF_Call_Y1,IF(COLUMN()-2-3+1=2,SUM(C47:N47)*UF_Call_Y2,IF(COLUMN()-2-3+1=3,SUM(C47:N47)*UF_Call_Y3,IF(COLUMN()-2-3+1=4,SUM(C47:N47)*UF_Call_Y4,IF(COLUMN()-2-3+1=5,SUM(C47:N47)*UF_Call_Y5,0))))))</f>
        <v>0</v>
      </c>
      <c r="E48" s="25" t="n">
        <f aca="false">IF(OR(COLUMN()-2&lt;3,COLUMN()-2-3+1&gt;UF_Invest_Period),0,IF(COLUMN()-2-3+1=1,SUM(C47:N47)*UF_Call_Y1,IF(COLUMN()-2-3+1=2,SUM(C47:N47)*UF_Call_Y2,IF(COLUMN()-2-3+1=3,SUM(C47:N47)*UF_Call_Y3,IF(COLUMN()-2-3+1=4,SUM(C47:N47)*UF_Call_Y4,IF(COLUMN()-2-3+1=5,SUM(C47:N47)*UF_Call_Y5,0))))))</f>
        <v>12.5</v>
      </c>
      <c r="F48" s="25" t="n">
        <f aca="false">IF(OR(COLUMN()-2&lt;3,COLUMN()-2-3+1&gt;UF_Invest_Period),0,IF(COLUMN()-2-3+1=1,SUM(C47:N47)*UF_Call_Y1,IF(COLUMN()-2-3+1=2,SUM(C47:N47)*UF_Call_Y2,IF(COLUMN()-2-3+1=3,SUM(C47:N47)*UF_Call_Y3,IF(COLUMN()-2-3+1=4,SUM(C47:N47)*UF_Call_Y4,IF(COLUMN()-2-3+1=5,SUM(C47:N47)*UF_Call_Y5,0))))))</f>
        <v>12.5</v>
      </c>
      <c r="G48" s="25" t="n">
        <f aca="false">IF(OR(COLUMN()-2&lt;3,COLUMN()-2-3+1&gt;UF_Invest_Period),0,IF(COLUMN()-2-3+1=1,SUM(C47:N47)*UF_Call_Y1,IF(COLUMN()-2-3+1=2,SUM(C47:N47)*UF_Call_Y2,IF(COLUMN()-2-3+1=3,SUM(C47:N47)*UF_Call_Y3,IF(COLUMN()-2-3+1=4,SUM(C47:N47)*UF_Call_Y4,IF(COLUMN()-2-3+1=5,SUM(C47:N47)*UF_Call_Y5,0))))))</f>
        <v>10</v>
      </c>
      <c r="H48" s="25" t="n">
        <f aca="false">IF(OR(COLUMN()-2&lt;3,COLUMN()-2-3+1&gt;UF_Invest_Period),0,IF(COLUMN()-2-3+1=1,SUM(C47:N47)*UF_Call_Y1,IF(COLUMN()-2-3+1=2,SUM(C47:N47)*UF_Call_Y2,IF(COLUMN()-2-3+1=3,SUM(C47:N47)*UF_Call_Y3,IF(COLUMN()-2-3+1=4,SUM(C47:N47)*UF_Call_Y4,IF(COLUMN()-2-3+1=5,SUM(C47:N47)*UF_Call_Y5,0))))))</f>
        <v>7.5</v>
      </c>
      <c r="I48" s="25" t="n">
        <f aca="false">IF(OR(COLUMN()-2&lt;3,COLUMN()-2-3+1&gt;UF_Invest_Period),0,IF(COLUMN()-2-3+1=1,SUM(C47:N47)*UF_Call_Y1,IF(COLUMN()-2-3+1=2,SUM(C47:N47)*UF_Call_Y2,IF(COLUMN()-2-3+1=3,SUM(C47:N47)*UF_Call_Y3,IF(COLUMN()-2-3+1=4,SUM(C47:N47)*UF_Call_Y4,IF(COLUMN()-2-3+1=5,SUM(C47:N47)*UF_Call_Y5,0))))))</f>
        <v>7.5</v>
      </c>
      <c r="J48" s="25" t="n">
        <f aca="false">IF(OR(COLUMN()-2&lt;3,COLUMN()-2-3+1&gt;UF_Invest_Period),0,IF(COLUMN()-2-3+1=1,SUM(C47:N47)*UF_Call_Y1,IF(COLUMN()-2-3+1=2,SUM(C47:N47)*UF_Call_Y2,IF(COLUMN()-2-3+1=3,SUM(C47:N47)*UF_Call_Y3,IF(COLUMN()-2-3+1=4,SUM(C47:N47)*UF_Call_Y4,IF(COLUMN()-2-3+1=5,SUM(C47:N47)*UF_Call_Y5,0))))))</f>
        <v>0</v>
      </c>
      <c r="K48" s="25" t="n">
        <f aca="false">IF(OR(COLUMN()-2&lt;3,COLUMN()-2-3+1&gt;UF_Invest_Period),0,IF(COLUMN()-2-3+1=1,SUM(C47:N47)*UF_Call_Y1,IF(COLUMN()-2-3+1=2,SUM(C47:N47)*UF_Call_Y2,IF(COLUMN()-2-3+1=3,SUM(C47:N47)*UF_Call_Y3,IF(COLUMN()-2-3+1=4,SUM(C47:N47)*UF_Call_Y4,IF(COLUMN()-2-3+1=5,SUM(C47:N47)*UF_Call_Y5,0))))))</f>
        <v>0</v>
      </c>
      <c r="L48" s="25" t="n">
        <f aca="false">IF(OR(COLUMN()-2&lt;3,COLUMN()-2-3+1&gt;UF_Invest_Period),0,IF(COLUMN()-2-3+1=1,SUM(C47:N47)*UF_Call_Y1,IF(COLUMN()-2-3+1=2,SUM(C47:N47)*UF_Call_Y2,IF(COLUMN()-2-3+1=3,SUM(C47:N47)*UF_Call_Y3,IF(COLUMN()-2-3+1=4,SUM(C47:N47)*UF_Call_Y4,IF(COLUMN()-2-3+1=5,SUM(C47:N47)*UF_Call_Y5,0))))))</f>
        <v>0</v>
      </c>
      <c r="M48" s="25" t="n">
        <f aca="false">IF(OR(COLUMN()-2&lt;3,COLUMN()-2-3+1&gt;UF_Invest_Period),0,IF(COLUMN()-2-3+1=1,SUM(C47:N47)*UF_Call_Y1,IF(COLUMN()-2-3+1=2,SUM(C47:N47)*UF_Call_Y2,IF(COLUMN()-2-3+1=3,SUM(C47:N47)*UF_Call_Y3,IF(COLUMN()-2-3+1=4,SUM(C47:N47)*UF_Call_Y4,IF(COLUMN()-2-3+1=5,SUM(C47:N47)*UF_Call_Y5,0))))))</f>
        <v>0</v>
      </c>
      <c r="N48" s="25" t="n">
        <f aca="false">IF(OR(COLUMN()-2&lt;3,COLUMN()-2-3+1&gt;UF_Invest_Period),0,IF(COLUMN()-2-3+1=1,SUM(C47:N47)*UF_Call_Y1,IF(COLUMN()-2-3+1=2,SUM(C47:N47)*UF_Call_Y2,IF(COLUMN()-2-3+1=3,SUM(C47:N47)*UF_Call_Y3,IF(COLUMN()-2-3+1=4,SUM(C47:N47)*UF_Call_Y4,IF(COLUMN()-2-3+1=5,SUM(C47:N47)*UF_Call_Y5,0))))))</f>
        <v>0</v>
      </c>
    </row>
    <row r="49" customFormat="false" ht="15" hidden="false" customHeight="false" outlineLevel="0" collapsed="false">
      <c r="B49" s="24" t="s">
        <v>113</v>
      </c>
      <c r="C49" s="25" t="n">
        <f aca="false">C48</f>
        <v>0</v>
      </c>
      <c r="D49" s="25" t="n">
        <f aca="false">C49+D48</f>
        <v>0</v>
      </c>
      <c r="E49" s="25" t="n">
        <f aca="false">D49+E48</f>
        <v>12.5</v>
      </c>
      <c r="F49" s="25" t="n">
        <f aca="false">E49+F48</f>
        <v>25</v>
      </c>
      <c r="G49" s="25" t="n">
        <f aca="false">F49+G48</f>
        <v>35</v>
      </c>
      <c r="H49" s="25" t="n">
        <f aca="false">G49+H48</f>
        <v>42.5</v>
      </c>
      <c r="I49" s="25" t="n">
        <f aca="false">H49+I48</f>
        <v>50</v>
      </c>
      <c r="J49" s="25" t="n">
        <f aca="false">I49+J48</f>
        <v>50</v>
      </c>
      <c r="K49" s="25" t="n">
        <f aca="false">J49+K48</f>
        <v>50</v>
      </c>
      <c r="L49" s="25" t="n">
        <f aca="false">K49+L48</f>
        <v>50</v>
      </c>
      <c r="M49" s="25" t="n">
        <f aca="false">L49+M48</f>
        <v>50</v>
      </c>
      <c r="N49" s="25" t="n">
        <f aca="false">M49+N48</f>
        <v>50</v>
      </c>
    </row>
    <row r="50" customFormat="false" ht="15" hidden="false" customHeight="false" outlineLevel="0" collapsed="false">
      <c r="B50" s="24" t="s">
        <v>114</v>
      </c>
      <c r="C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0</v>
      </c>
      <c r="D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0</v>
      </c>
      <c r="E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0</v>
      </c>
      <c r="F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0</v>
      </c>
      <c r="G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0</v>
      </c>
      <c r="H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6.07142857142857</v>
      </c>
      <c r="I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14.2857142857143</v>
      </c>
      <c r="J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21.4285714285714</v>
      </c>
      <c r="K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28.5714285714286</v>
      </c>
      <c r="L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21.4285714285714</v>
      </c>
      <c r="M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14.2857142857143</v>
      </c>
      <c r="N50" s="25" t="n">
        <f aca="false">IF(OR(COLUMN()-2&lt;3+UF_Dist_Start-1,COLUMN()-2&gt;3+UF_Dist_End-1),0,IF(COLUMN()-2&lt;=3+UF_Dist_Peak-1,INDEX($C$49:$N$49,1,COLUMN()-2)*UF_Gross_MOIC*2*(COLUMN()-2-3-UF_Dist_Start+2)/((UF_Dist_End-UF_Dist_Start+1)*(UF_Dist_Peak-UF_Dist_Start+1)),INDEX($C$49:$N$49,1,COLUMN()-2)*UF_Gross_MOIC*2*(3+UF_Dist_End-COLUMN()+2)/((UF_Dist_End-UF_Dist_Start+1)*(UF_Dist_End-UF_Dist_Peak+1))))</f>
        <v>7.14285714285714</v>
      </c>
    </row>
    <row r="51" customFormat="false" ht="15" hidden="false" customHeight="false" outlineLevel="0" collapsed="false">
      <c r="B51" s="24" t="s">
        <v>115</v>
      </c>
      <c r="C51" s="25" t="n">
        <f aca="false">C50</f>
        <v>0</v>
      </c>
      <c r="D51" s="25" t="n">
        <f aca="false">C51+D50</f>
        <v>0</v>
      </c>
      <c r="E51" s="25" t="n">
        <f aca="false">D51+E50</f>
        <v>0</v>
      </c>
      <c r="F51" s="25" t="n">
        <f aca="false">E51+F50</f>
        <v>0</v>
      </c>
      <c r="G51" s="25" t="n">
        <f aca="false">F51+G50</f>
        <v>0</v>
      </c>
      <c r="H51" s="25" t="n">
        <f aca="false">G51+H50</f>
        <v>6.07142857142857</v>
      </c>
      <c r="I51" s="25" t="n">
        <f aca="false">H51+I50</f>
        <v>20.3571428571429</v>
      </c>
      <c r="J51" s="25" t="n">
        <f aca="false">I51+J50</f>
        <v>41.7857142857143</v>
      </c>
      <c r="K51" s="25" t="n">
        <f aca="false">J51+K50</f>
        <v>70.3571428571429</v>
      </c>
      <c r="L51" s="25" t="n">
        <f aca="false">K51+L50</f>
        <v>91.7857142857143</v>
      </c>
      <c r="M51" s="25" t="n">
        <f aca="false">L51+M50</f>
        <v>106.071428571429</v>
      </c>
      <c r="N51" s="25" t="n">
        <f aca="false">M51+N50</f>
        <v>113.214285714286</v>
      </c>
    </row>
    <row r="52" customFormat="false" ht="15" hidden="false" customHeight="false" outlineLevel="0" collapsed="false">
      <c r="B52" s="24" t="s">
        <v>116</v>
      </c>
      <c r="C52" s="25" t="n">
        <f aca="false">MAX(C49*UF_Gross_MOIC-C51,0)</f>
        <v>0</v>
      </c>
      <c r="D52" s="25" t="n">
        <f aca="false">MAX(D49*UF_Gross_MOIC-D51,0)</f>
        <v>0</v>
      </c>
      <c r="E52" s="25" t="n">
        <f aca="false">MAX(E49*UF_Gross_MOIC-E51,0)</f>
        <v>25</v>
      </c>
      <c r="F52" s="25" t="n">
        <f aca="false">MAX(F49*UF_Gross_MOIC-F51,0)</f>
        <v>50</v>
      </c>
      <c r="G52" s="25" t="n">
        <f aca="false">MAX(G49*UF_Gross_MOIC-G51,0)</f>
        <v>70</v>
      </c>
      <c r="H52" s="25" t="n">
        <f aca="false">MAX(H49*UF_Gross_MOIC-H51,0)</f>
        <v>78.9285714285714</v>
      </c>
      <c r="I52" s="25" t="n">
        <f aca="false">MAX(I49*UF_Gross_MOIC-I51,0)</f>
        <v>79.6428571428571</v>
      </c>
      <c r="J52" s="25" t="n">
        <f aca="false">MAX(J49*UF_Gross_MOIC-J51,0)</f>
        <v>58.2142857142857</v>
      </c>
      <c r="K52" s="25" t="n">
        <f aca="false">MAX(K49*UF_Gross_MOIC-K51,0)</f>
        <v>29.6428571428571</v>
      </c>
      <c r="L52" s="25" t="n">
        <f aca="false">MAX(L49*UF_Gross_MOIC-L51,0)</f>
        <v>8.21428571428571</v>
      </c>
      <c r="M52" s="25" t="n">
        <f aca="false">MAX(M49*UF_Gross_MOIC-M51,0)</f>
        <v>0</v>
      </c>
      <c r="N52" s="25" t="n">
        <f aca="false">MAX(N49*UF_Gross_MOIC-N51,0)</f>
        <v>0</v>
      </c>
    </row>
    <row r="53" customFormat="false" ht="15" hidden="false" customHeight="false" outlineLevel="0" collapsed="false">
      <c r="B53" s="24" t="s">
        <v>117</v>
      </c>
      <c r="C53" s="25" t="n">
        <f aca="false">IF(COLUMN()-2&lt;3,0,IF(COLUMN()-2&lt;=3+UF_Fund_Life-1,SUM(C47:N47)*UF_Mgmt_Fee,0))+MAX(C50-C50/UF_Gross_MOIC*(1+UF_Hurdle),0)*UF_Carry_Pct</f>
        <v>0</v>
      </c>
      <c r="D53" s="25" t="n">
        <f aca="false">IF(COLUMN()-2&lt;3,0,IF(COLUMN()-2&lt;=3+UF_Fund_Life-1,SUM(C47:N47)*UF_Mgmt_Fee,0))+MAX(D50-D50/UF_Gross_MOIC*(1+UF_Hurdle),0)*UF_Carry_Pct</f>
        <v>0</v>
      </c>
      <c r="E53" s="25" t="n">
        <f aca="false">IF(COLUMN()-2&lt;3,0,IF(COLUMN()-2&lt;=3+UF_Fund_Life-1,SUM(C47:N47)*UF_Mgmt_Fee,0))+MAX(E50-E50/UF_Gross_MOIC*(1+UF_Hurdle),0)*UF_Carry_Pct</f>
        <v>1</v>
      </c>
      <c r="F53" s="25" t="n">
        <f aca="false">IF(COLUMN()-2&lt;3,0,IF(COLUMN()-2&lt;=3+UF_Fund_Life-1,SUM(C47:N47)*UF_Mgmt_Fee,0))+MAX(F50-F50/UF_Gross_MOIC*(1+UF_Hurdle),0)*UF_Carry_Pct</f>
        <v>1</v>
      </c>
      <c r="G53" s="25" t="n">
        <f aca="false">IF(COLUMN()-2&lt;3,0,IF(COLUMN()-2&lt;=3+UF_Fund_Life-1,SUM(C47:N47)*UF_Mgmt_Fee,0))+MAX(G50-G50/UF_Gross_MOIC*(1+UF_Hurdle),0)*UF_Carry_Pct</f>
        <v>1</v>
      </c>
      <c r="H53" s="25" t="n">
        <f aca="false">IF(COLUMN()-2&lt;3,0,IF(COLUMN()-2&lt;=3+UF_Fund_Life-1,SUM(C47:N47)*UF_Mgmt_Fee,0))+MAX(H50-H50/UF_Gross_MOIC*(1+UF_Hurdle),0)*UF_Carry_Pct</f>
        <v>1.55857142857143</v>
      </c>
      <c r="I53" s="25" t="n">
        <f aca="false">IF(COLUMN()-2&lt;3,0,IF(COLUMN()-2&lt;=3+UF_Fund_Life-1,SUM(C47:N47)*UF_Mgmt_Fee,0))+MAX(I50-I50/UF_Gross_MOIC*(1+UF_Hurdle),0)*UF_Carry_Pct</f>
        <v>2.31428571428571</v>
      </c>
      <c r="J53" s="25" t="n">
        <f aca="false">IF(COLUMN()-2&lt;3,0,IF(COLUMN()-2&lt;=3+UF_Fund_Life-1,SUM(C47:N47)*UF_Mgmt_Fee,0))+MAX(J50-J50/UF_Gross_MOIC*(1+UF_Hurdle),0)*UF_Carry_Pct</f>
        <v>2.97142857142857</v>
      </c>
      <c r="K53" s="25" t="n">
        <f aca="false">IF(COLUMN()-2&lt;3,0,IF(COLUMN()-2&lt;=3+UF_Fund_Life-1,SUM(C47:N47)*UF_Mgmt_Fee,0))+MAX(K50-K50/UF_Gross_MOIC*(1+UF_Hurdle),0)*UF_Carry_Pct</f>
        <v>3.62857142857143</v>
      </c>
      <c r="L53" s="25" t="n">
        <f aca="false">IF(COLUMN()-2&lt;3,0,IF(COLUMN()-2&lt;=3+UF_Fund_Life-1,SUM(C47:N47)*UF_Mgmt_Fee,0))+MAX(L50-L50/UF_Gross_MOIC*(1+UF_Hurdle),0)*UF_Carry_Pct</f>
        <v>2.97142857142857</v>
      </c>
      <c r="M53" s="25" t="n">
        <f aca="false">IF(COLUMN()-2&lt;3,0,IF(COLUMN()-2&lt;=3+UF_Fund_Life-1,SUM(C47:N47)*UF_Mgmt_Fee,0))+MAX(M50-M50/UF_Gross_MOIC*(1+UF_Hurdle),0)*UF_Carry_Pct</f>
        <v>2.31428571428571</v>
      </c>
      <c r="N53" s="25" t="n">
        <f aca="false">IF(COLUMN()-2&lt;3,0,IF(COLUMN()-2&lt;=3+UF_Fund_Life-1,SUM(C47:N47)*UF_Mgmt_Fee,0))+MAX(N50-N50/UF_Gross_MOIC*(1+UF_Hurdle),0)*UF_Carry_Pct</f>
        <v>1.65714285714286</v>
      </c>
    </row>
    <row r="54" customFormat="false" ht="15" hidden="false" customHeight="false" outlineLevel="0" collapsed="false">
      <c r="B54" s="24" t="s">
        <v>118</v>
      </c>
      <c r="C54" s="25" t="n">
        <f aca="false">MAX(C50-C53,0)</f>
        <v>0</v>
      </c>
      <c r="D54" s="25" t="n">
        <f aca="false">MAX(D50-D53,0)</f>
        <v>0</v>
      </c>
      <c r="E54" s="25" t="n">
        <f aca="false">MAX(E50-E53,0)</f>
        <v>0</v>
      </c>
      <c r="F54" s="25" t="n">
        <f aca="false">MAX(F50-F53,0)</f>
        <v>0</v>
      </c>
      <c r="G54" s="25" t="n">
        <f aca="false">MAX(G50-G53,0)</f>
        <v>0</v>
      </c>
      <c r="H54" s="25" t="n">
        <f aca="false">MAX(H50-H53,0)</f>
        <v>4.51285714285714</v>
      </c>
      <c r="I54" s="25" t="n">
        <f aca="false">MAX(I50-I53,0)</f>
        <v>11.9714285714286</v>
      </c>
      <c r="J54" s="25" t="n">
        <f aca="false">MAX(J50-J53,0)</f>
        <v>18.4571428571429</v>
      </c>
      <c r="K54" s="25" t="n">
        <f aca="false">MAX(K50-K53,0)</f>
        <v>24.9428571428571</v>
      </c>
      <c r="L54" s="25" t="n">
        <f aca="false">MAX(L50-L53,0)</f>
        <v>18.4571428571429</v>
      </c>
      <c r="M54" s="25" t="n">
        <f aca="false">MAX(M50-M53,0)</f>
        <v>11.9714285714286</v>
      </c>
      <c r="N54" s="25" t="n">
        <f aca="false">MAX(N50-N53,0)</f>
        <v>5.48571428571429</v>
      </c>
    </row>
    <row r="55" customFormat="false" ht="15" hidden="false" customHeight="false" outlineLevel="0" collapsed="false">
      <c r="B55" s="24" t="s">
        <v>119</v>
      </c>
      <c r="C55" s="25" t="n">
        <f aca="false">C54</f>
        <v>0</v>
      </c>
      <c r="D55" s="25" t="n">
        <f aca="false">C55+D54</f>
        <v>0</v>
      </c>
      <c r="E55" s="25" t="n">
        <f aca="false">D55+E54</f>
        <v>0</v>
      </c>
      <c r="F55" s="25" t="n">
        <f aca="false">E55+F54</f>
        <v>0</v>
      </c>
      <c r="G55" s="25" t="n">
        <f aca="false">F55+G54</f>
        <v>0</v>
      </c>
      <c r="H55" s="25" t="n">
        <f aca="false">G55+H54</f>
        <v>4.51285714285714</v>
      </c>
      <c r="I55" s="25" t="n">
        <f aca="false">H55+I54</f>
        <v>16.4842857142857</v>
      </c>
      <c r="J55" s="25" t="n">
        <f aca="false">I55+J54</f>
        <v>34.9414285714286</v>
      </c>
      <c r="K55" s="25" t="n">
        <f aca="false">J55+K54</f>
        <v>59.8842857142857</v>
      </c>
      <c r="L55" s="25" t="n">
        <f aca="false">K55+L54</f>
        <v>78.3414285714286</v>
      </c>
      <c r="M55" s="25" t="n">
        <f aca="false">L55+M54</f>
        <v>90.3128571428571</v>
      </c>
      <c r="N55" s="25" t="n">
        <f aca="false">M55+N54</f>
        <v>95.7985714285714</v>
      </c>
    </row>
    <row r="56" customFormat="false" ht="15" hidden="false" customHeight="false" outlineLevel="0" collapsed="false">
      <c r="B56" s="16" t="s">
        <v>124</v>
      </c>
      <c r="C56" s="17"/>
      <c r="D56" s="17"/>
      <c r="E56" s="17"/>
      <c r="F56" s="17"/>
      <c r="G56" s="17"/>
      <c r="H56" s="17"/>
      <c r="I56" s="17"/>
      <c r="J56" s="17"/>
      <c r="K56" s="17"/>
      <c r="L56" s="17"/>
      <c r="M56" s="17"/>
      <c r="N56" s="17"/>
    </row>
    <row r="57" customFormat="false" ht="15" hidden="false" customHeight="false" outlineLevel="0" collapsed="false">
      <c r="B57" s="24" t="s">
        <v>111</v>
      </c>
      <c r="C57" s="25" t="n">
        <f aca="false">IF(COLUMN()-2=3,FoF_Size*Deploy_Y3*0.5,0)</f>
        <v>0</v>
      </c>
      <c r="D57" s="25" t="n">
        <f aca="false">IF(COLUMN()-2=3,FoF_Size*Deploy_Y3*0.5,0)</f>
        <v>0</v>
      </c>
      <c r="E57" s="25" t="n">
        <f aca="false">IF(COLUMN()-2=3,FoF_Size*Deploy_Y3*0.5,0)</f>
        <v>50</v>
      </c>
      <c r="F57" s="25" t="n">
        <f aca="false">IF(COLUMN()-2=3,FoF_Size*Deploy_Y3*0.5,0)</f>
        <v>0</v>
      </c>
      <c r="G57" s="25" t="n">
        <f aca="false">IF(COLUMN()-2=3,FoF_Size*Deploy_Y3*0.5,0)</f>
        <v>0</v>
      </c>
      <c r="H57" s="25" t="n">
        <f aca="false">IF(COLUMN()-2=3,FoF_Size*Deploy_Y3*0.5,0)</f>
        <v>0</v>
      </c>
      <c r="I57" s="25" t="n">
        <f aca="false">IF(COLUMN()-2=3,FoF_Size*Deploy_Y3*0.5,0)</f>
        <v>0</v>
      </c>
      <c r="J57" s="25" t="n">
        <f aca="false">IF(COLUMN()-2=3,FoF_Size*Deploy_Y3*0.5,0)</f>
        <v>0</v>
      </c>
      <c r="K57" s="25" t="n">
        <f aca="false">IF(COLUMN()-2=3,FoF_Size*Deploy_Y3*0.5,0)</f>
        <v>0</v>
      </c>
      <c r="L57" s="25" t="n">
        <f aca="false">IF(COLUMN()-2=3,FoF_Size*Deploy_Y3*0.5,0)</f>
        <v>0</v>
      </c>
      <c r="M57" s="25" t="n">
        <f aca="false">IF(COLUMN()-2=3,FoF_Size*Deploy_Y3*0.5,0)</f>
        <v>0</v>
      </c>
      <c r="N57" s="25" t="n">
        <f aca="false">IF(COLUMN()-2=3,FoF_Size*Deploy_Y3*0.5,0)</f>
        <v>0</v>
      </c>
    </row>
    <row r="58" customFormat="false" ht="15" hidden="false" customHeight="false" outlineLevel="0" collapsed="false">
      <c r="B58" s="24" t="s">
        <v>112</v>
      </c>
      <c r="C58" s="25" t="n">
        <f aca="false">IF(OR(COLUMN()-2&lt;3,COLUMN()-2-3+1&gt;UF_Invest_Period),0,IF(COLUMN()-2-3+1=1,SUM(C57:N57)*UF_Call_Y1,IF(COLUMN()-2-3+1=2,SUM(C57:N57)*UF_Call_Y2,IF(COLUMN()-2-3+1=3,SUM(C57:N57)*UF_Call_Y3,IF(COLUMN()-2-3+1=4,SUM(C57:N57)*UF_Call_Y4,IF(COLUMN()-2-3+1=5,SUM(C57:N57)*UF_Call_Y5,0))))))</f>
        <v>0</v>
      </c>
      <c r="D58" s="25" t="n">
        <f aca="false">IF(OR(COLUMN()-2&lt;3,COLUMN()-2-3+1&gt;UF_Invest_Period),0,IF(COLUMN()-2-3+1=1,SUM(C57:N57)*UF_Call_Y1,IF(COLUMN()-2-3+1=2,SUM(C57:N57)*UF_Call_Y2,IF(COLUMN()-2-3+1=3,SUM(C57:N57)*UF_Call_Y3,IF(COLUMN()-2-3+1=4,SUM(C57:N57)*UF_Call_Y4,IF(COLUMN()-2-3+1=5,SUM(C57:N57)*UF_Call_Y5,0))))))</f>
        <v>0</v>
      </c>
      <c r="E58" s="25" t="n">
        <f aca="false">IF(OR(COLUMN()-2&lt;3,COLUMN()-2-3+1&gt;UF_Invest_Period),0,IF(COLUMN()-2-3+1=1,SUM(C57:N57)*UF_Call_Y1,IF(COLUMN()-2-3+1=2,SUM(C57:N57)*UF_Call_Y2,IF(COLUMN()-2-3+1=3,SUM(C57:N57)*UF_Call_Y3,IF(COLUMN()-2-3+1=4,SUM(C57:N57)*UF_Call_Y4,IF(COLUMN()-2-3+1=5,SUM(C57:N57)*UF_Call_Y5,0))))))</f>
        <v>12.5</v>
      </c>
      <c r="F58" s="25" t="n">
        <f aca="false">IF(OR(COLUMN()-2&lt;3,COLUMN()-2-3+1&gt;UF_Invest_Period),0,IF(COLUMN()-2-3+1=1,SUM(C57:N57)*UF_Call_Y1,IF(COLUMN()-2-3+1=2,SUM(C57:N57)*UF_Call_Y2,IF(COLUMN()-2-3+1=3,SUM(C57:N57)*UF_Call_Y3,IF(COLUMN()-2-3+1=4,SUM(C57:N57)*UF_Call_Y4,IF(COLUMN()-2-3+1=5,SUM(C57:N57)*UF_Call_Y5,0))))))</f>
        <v>12.5</v>
      </c>
      <c r="G58" s="25" t="n">
        <f aca="false">IF(OR(COLUMN()-2&lt;3,COLUMN()-2-3+1&gt;UF_Invest_Period),0,IF(COLUMN()-2-3+1=1,SUM(C57:N57)*UF_Call_Y1,IF(COLUMN()-2-3+1=2,SUM(C57:N57)*UF_Call_Y2,IF(COLUMN()-2-3+1=3,SUM(C57:N57)*UF_Call_Y3,IF(COLUMN()-2-3+1=4,SUM(C57:N57)*UF_Call_Y4,IF(COLUMN()-2-3+1=5,SUM(C57:N57)*UF_Call_Y5,0))))))</f>
        <v>10</v>
      </c>
      <c r="H58" s="25" t="n">
        <f aca="false">IF(OR(COLUMN()-2&lt;3,COLUMN()-2-3+1&gt;UF_Invest_Period),0,IF(COLUMN()-2-3+1=1,SUM(C57:N57)*UF_Call_Y1,IF(COLUMN()-2-3+1=2,SUM(C57:N57)*UF_Call_Y2,IF(COLUMN()-2-3+1=3,SUM(C57:N57)*UF_Call_Y3,IF(COLUMN()-2-3+1=4,SUM(C57:N57)*UF_Call_Y4,IF(COLUMN()-2-3+1=5,SUM(C57:N57)*UF_Call_Y5,0))))))</f>
        <v>7.5</v>
      </c>
      <c r="I58" s="25" t="n">
        <f aca="false">IF(OR(COLUMN()-2&lt;3,COLUMN()-2-3+1&gt;UF_Invest_Period),0,IF(COLUMN()-2-3+1=1,SUM(C57:N57)*UF_Call_Y1,IF(COLUMN()-2-3+1=2,SUM(C57:N57)*UF_Call_Y2,IF(COLUMN()-2-3+1=3,SUM(C57:N57)*UF_Call_Y3,IF(COLUMN()-2-3+1=4,SUM(C57:N57)*UF_Call_Y4,IF(COLUMN()-2-3+1=5,SUM(C57:N57)*UF_Call_Y5,0))))))</f>
        <v>7.5</v>
      </c>
      <c r="J58" s="25" t="n">
        <f aca="false">IF(OR(COLUMN()-2&lt;3,COLUMN()-2-3+1&gt;UF_Invest_Period),0,IF(COLUMN()-2-3+1=1,SUM(C57:N57)*UF_Call_Y1,IF(COLUMN()-2-3+1=2,SUM(C57:N57)*UF_Call_Y2,IF(COLUMN()-2-3+1=3,SUM(C57:N57)*UF_Call_Y3,IF(COLUMN()-2-3+1=4,SUM(C57:N57)*UF_Call_Y4,IF(COLUMN()-2-3+1=5,SUM(C57:N57)*UF_Call_Y5,0))))))</f>
        <v>0</v>
      </c>
      <c r="K58" s="25" t="n">
        <f aca="false">IF(OR(COLUMN()-2&lt;3,COLUMN()-2-3+1&gt;UF_Invest_Period),0,IF(COLUMN()-2-3+1=1,SUM(C57:N57)*UF_Call_Y1,IF(COLUMN()-2-3+1=2,SUM(C57:N57)*UF_Call_Y2,IF(COLUMN()-2-3+1=3,SUM(C57:N57)*UF_Call_Y3,IF(COLUMN()-2-3+1=4,SUM(C57:N57)*UF_Call_Y4,IF(COLUMN()-2-3+1=5,SUM(C57:N57)*UF_Call_Y5,0))))))</f>
        <v>0</v>
      </c>
      <c r="L58" s="25" t="n">
        <f aca="false">IF(OR(COLUMN()-2&lt;3,COLUMN()-2-3+1&gt;UF_Invest_Period),0,IF(COLUMN()-2-3+1=1,SUM(C57:N57)*UF_Call_Y1,IF(COLUMN()-2-3+1=2,SUM(C57:N57)*UF_Call_Y2,IF(COLUMN()-2-3+1=3,SUM(C57:N57)*UF_Call_Y3,IF(COLUMN()-2-3+1=4,SUM(C57:N57)*UF_Call_Y4,IF(COLUMN()-2-3+1=5,SUM(C57:N57)*UF_Call_Y5,0))))))</f>
        <v>0</v>
      </c>
      <c r="M58" s="25" t="n">
        <f aca="false">IF(OR(COLUMN()-2&lt;3,COLUMN()-2-3+1&gt;UF_Invest_Period),0,IF(COLUMN()-2-3+1=1,SUM(C57:N57)*UF_Call_Y1,IF(COLUMN()-2-3+1=2,SUM(C57:N57)*UF_Call_Y2,IF(COLUMN()-2-3+1=3,SUM(C57:N57)*UF_Call_Y3,IF(COLUMN()-2-3+1=4,SUM(C57:N57)*UF_Call_Y4,IF(COLUMN()-2-3+1=5,SUM(C57:N57)*UF_Call_Y5,0))))))</f>
        <v>0</v>
      </c>
      <c r="N58" s="25" t="n">
        <f aca="false">IF(OR(COLUMN()-2&lt;3,COLUMN()-2-3+1&gt;UF_Invest_Period),0,IF(COLUMN()-2-3+1=1,SUM(C57:N57)*UF_Call_Y1,IF(COLUMN()-2-3+1=2,SUM(C57:N57)*UF_Call_Y2,IF(COLUMN()-2-3+1=3,SUM(C57:N57)*UF_Call_Y3,IF(COLUMN()-2-3+1=4,SUM(C57:N57)*UF_Call_Y4,IF(COLUMN()-2-3+1=5,SUM(C57:N57)*UF_Call_Y5,0))))))</f>
        <v>0</v>
      </c>
    </row>
    <row r="59" customFormat="false" ht="15" hidden="false" customHeight="false" outlineLevel="0" collapsed="false">
      <c r="B59" s="24" t="s">
        <v>113</v>
      </c>
      <c r="C59" s="25" t="n">
        <f aca="false">C58</f>
        <v>0</v>
      </c>
      <c r="D59" s="25" t="n">
        <f aca="false">C59+D58</f>
        <v>0</v>
      </c>
      <c r="E59" s="25" t="n">
        <f aca="false">D59+E58</f>
        <v>12.5</v>
      </c>
      <c r="F59" s="25" t="n">
        <f aca="false">E59+F58</f>
        <v>25</v>
      </c>
      <c r="G59" s="25" t="n">
        <f aca="false">F59+G58</f>
        <v>35</v>
      </c>
      <c r="H59" s="25" t="n">
        <f aca="false">G59+H58</f>
        <v>42.5</v>
      </c>
      <c r="I59" s="25" t="n">
        <f aca="false">H59+I58</f>
        <v>50</v>
      </c>
      <c r="J59" s="25" t="n">
        <f aca="false">I59+J58</f>
        <v>50</v>
      </c>
      <c r="K59" s="25" t="n">
        <f aca="false">J59+K58</f>
        <v>50</v>
      </c>
      <c r="L59" s="25" t="n">
        <f aca="false">K59+L58</f>
        <v>50</v>
      </c>
      <c r="M59" s="25" t="n">
        <f aca="false">L59+M58</f>
        <v>50</v>
      </c>
      <c r="N59" s="25" t="n">
        <f aca="false">M59+N58</f>
        <v>50</v>
      </c>
    </row>
    <row r="60" customFormat="false" ht="15" hidden="false" customHeight="false" outlineLevel="0" collapsed="false">
      <c r="B60" s="24" t="s">
        <v>114</v>
      </c>
      <c r="C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0</v>
      </c>
      <c r="D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0</v>
      </c>
      <c r="E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0</v>
      </c>
      <c r="F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0</v>
      </c>
      <c r="G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0</v>
      </c>
      <c r="H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6.07142857142857</v>
      </c>
      <c r="I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14.2857142857143</v>
      </c>
      <c r="J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21.4285714285714</v>
      </c>
      <c r="K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28.5714285714286</v>
      </c>
      <c r="L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21.4285714285714</v>
      </c>
      <c r="M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14.2857142857143</v>
      </c>
      <c r="N60" s="25" t="n">
        <f aca="false">IF(OR(COLUMN()-2&lt;3+UF_Dist_Start-1,COLUMN()-2&gt;3+UF_Dist_End-1),0,IF(COLUMN()-2&lt;=3+UF_Dist_Peak-1,INDEX($C$59:$N$59,1,COLUMN()-2)*UF_Gross_MOIC*2*(COLUMN()-2-3-UF_Dist_Start+2)/((UF_Dist_End-UF_Dist_Start+1)*(UF_Dist_Peak-UF_Dist_Start+1)),INDEX($C$59:$N$59,1,COLUMN()-2)*UF_Gross_MOIC*2*(3+UF_Dist_End-COLUMN()+2)/((UF_Dist_End-UF_Dist_Start+1)*(UF_Dist_End-UF_Dist_Peak+1))))</f>
        <v>7.14285714285714</v>
      </c>
    </row>
    <row r="61" customFormat="false" ht="15" hidden="false" customHeight="false" outlineLevel="0" collapsed="false">
      <c r="B61" s="24" t="s">
        <v>115</v>
      </c>
      <c r="C61" s="25" t="n">
        <f aca="false">C60</f>
        <v>0</v>
      </c>
      <c r="D61" s="25" t="n">
        <f aca="false">C61+D60</f>
        <v>0</v>
      </c>
      <c r="E61" s="25" t="n">
        <f aca="false">D61+E60</f>
        <v>0</v>
      </c>
      <c r="F61" s="25" t="n">
        <f aca="false">E61+F60</f>
        <v>0</v>
      </c>
      <c r="G61" s="25" t="n">
        <f aca="false">F61+G60</f>
        <v>0</v>
      </c>
      <c r="H61" s="25" t="n">
        <f aca="false">G61+H60</f>
        <v>6.07142857142857</v>
      </c>
      <c r="I61" s="25" t="n">
        <f aca="false">H61+I60</f>
        <v>20.3571428571429</v>
      </c>
      <c r="J61" s="25" t="n">
        <f aca="false">I61+J60</f>
        <v>41.7857142857143</v>
      </c>
      <c r="K61" s="25" t="n">
        <f aca="false">J61+K60</f>
        <v>70.3571428571429</v>
      </c>
      <c r="L61" s="25" t="n">
        <f aca="false">K61+L60</f>
        <v>91.7857142857143</v>
      </c>
      <c r="M61" s="25" t="n">
        <f aca="false">L61+M60</f>
        <v>106.071428571429</v>
      </c>
      <c r="N61" s="25" t="n">
        <f aca="false">M61+N60</f>
        <v>113.214285714286</v>
      </c>
    </row>
    <row r="62" customFormat="false" ht="15" hidden="false" customHeight="false" outlineLevel="0" collapsed="false">
      <c r="B62" s="24" t="s">
        <v>116</v>
      </c>
      <c r="C62" s="25" t="n">
        <f aca="false">MAX(C59*UF_Gross_MOIC-C61,0)</f>
        <v>0</v>
      </c>
      <c r="D62" s="25" t="n">
        <f aca="false">MAX(D59*UF_Gross_MOIC-D61,0)</f>
        <v>0</v>
      </c>
      <c r="E62" s="25" t="n">
        <f aca="false">MAX(E59*UF_Gross_MOIC-E61,0)</f>
        <v>25</v>
      </c>
      <c r="F62" s="25" t="n">
        <f aca="false">MAX(F59*UF_Gross_MOIC-F61,0)</f>
        <v>50</v>
      </c>
      <c r="G62" s="25" t="n">
        <f aca="false">MAX(G59*UF_Gross_MOIC-G61,0)</f>
        <v>70</v>
      </c>
      <c r="H62" s="25" t="n">
        <f aca="false">MAX(H59*UF_Gross_MOIC-H61,0)</f>
        <v>78.9285714285714</v>
      </c>
      <c r="I62" s="25" t="n">
        <f aca="false">MAX(I59*UF_Gross_MOIC-I61,0)</f>
        <v>79.6428571428571</v>
      </c>
      <c r="J62" s="25" t="n">
        <f aca="false">MAX(J59*UF_Gross_MOIC-J61,0)</f>
        <v>58.2142857142857</v>
      </c>
      <c r="K62" s="25" t="n">
        <f aca="false">MAX(K59*UF_Gross_MOIC-K61,0)</f>
        <v>29.6428571428571</v>
      </c>
      <c r="L62" s="25" t="n">
        <f aca="false">MAX(L59*UF_Gross_MOIC-L61,0)</f>
        <v>8.21428571428571</v>
      </c>
      <c r="M62" s="25" t="n">
        <f aca="false">MAX(M59*UF_Gross_MOIC-M61,0)</f>
        <v>0</v>
      </c>
      <c r="N62" s="25" t="n">
        <f aca="false">MAX(N59*UF_Gross_MOIC-N61,0)</f>
        <v>0</v>
      </c>
    </row>
    <row r="63" customFormat="false" ht="15" hidden="false" customHeight="false" outlineLevel="0" collapsed="false">
      <c r="B63" s="24" t="s">
        <v>117</v>
      </c>
      <c r="C63" s="25" t="n">
        <f aca="false">IF(COLUMN()-2&lt;3,0,IF(COLUMN()-2&lt;=3+UF_Fund_Life-1,SUM(C57:N57)*UF_Mgmt_Fee,0))+MAX(C60-C60/UF_Gross_MOIC*(1+UF_Hurdle),0)*UF_Carry_Pct</f>
        <v>0</v>
      </c>
      <c r="D63" s="25" t="n">
        <f aca="false">IF(COLUMN()-2&lt;3,0,IF(COLUMN()-2&lt;=3+UF_Fund_Life-1,SUM(C57:N57)*UF_Mgmt_Fee,0))+MAX(D60-D60/UF_Gross_MOIC*(1+UF_Hurdle),0)*UF_Carry_Pct</f>
        <v>0</v>
      </c>
      <c r="E63" s="25" t="n">
        <f aca="false">IF(COLUMN()-2&lt;3,0,IF(COLUMN()-2&lt;=3+UF_Fund_Life-1,SUM(C57:N57)*UF_Mgmt_Fee,0))+MAX(E60-E60/UF_Gross_MOIC*(1+UF_Hurdle),0)*UF_Carry_Pct</f>
        <v>1</v>
      </c>
      <c r="F63" s="25" t="n">
        <f aca="false">IF(COLUMN()-2&lt;3,0,IF(COLUMN()-2&lt;=3+UF_Fund_Life-1,SUM(C57:N57)*UF_Mgmt_Fee,0))+MAX(F60-F60/UF_Gross_MOIC*(1+UF_Hurdle),0)*UF_Carry_Pct</f>
        <v>1</v>
      </c>
      <c r="G63" s="25" t="n">
        <f aca="false">IF(COLUMN()-2&lt;3,0,IF(COLUMN()-2&lt;=3+UF_Fund_Life-1,SUM(C57:N57)*UF_Mgmt_Fee,0))+MAX(G60-G60/UF_Gross_MOIC*(1+UF_Hurdle),0)*UF_Carry_Pct</f>
        <v>1</v>
      </c>
      <c r="H63" s="25" t="n">
        <f aca="false">IF(COLUMN()-2&lt;3,0,IF(COLUMN()-2&lt;=3+UF_Fund_Life-1,SUM(C57:N57)*UF_Mgmt_Fee,0))+MAX(H60-H60/UF_Gross_MOIC*(1+UF_Hurdle),0)*UF_Carry_Pct</f>
        <v>1.55857142857143</v>
      </c>
      <c r="I63" s="25" t="n">
        <f aca="false">IF(COLUMN()-2&lt;3,0,IF(COLUMN()-2&lt;=3+UF_Fund_Life-1,SUM(C57:N57)*UF_Mgmt_Fee,0))+MAX(I60-I60/UF_Gross_MOIC*(1+UF_Hurdle),0)*UF_Carry_Pct</f>
        <v>2.31428571428571</v>
      </c>
      <c r="J63" s="25" t="n">
        <f aca="false">IF(COLUMN()-2&lt;3,0,IF(COLUMN()-2&lt;=3+UF_Fund_Life-1,SUM(C57:N57)*UF_Mgmt_Fee,0))+MAX(J60-J60/UF_Gross_MOIC*(1+UF_Hurdle),0)*UF_Carry_Pct</f>
        <v>2.97142857142857</v>
      </c>
      <c r="K63" s="25" t="n">
        <f aca="false">IF(COLUMN()-2&lt;3,0,IF(COLUMN()-2&lt;=3+UF_Fund_Life-1,SUM(C57:N57)*UF_Mgmt_Fee,0))+MAX(K60-K60/UF_Gross_MOIC*(1+UF_Hurdle),0)*UF_Carry_Pct</f>
        <v>3.62857142857143</v>
      </c>
      <c r="L63" s="25" t="n">
        <f aca="false">IF(COLUMN()-2&lt;3,0,IF(COLUMN()-2&lt;=3+UF_Fund_Life-1,SUM(C57:N57)*UF_Mgmt_Fee,0))+MAX(L60-L60/UF_Gross_MOIC*(1+UF_Hurdle),0)*UF_Carry_Pct</f>
        <v>2.97142857142857</v>
      </c>
      <c r="M63" s="25" t="n">
        <f aca="false">IF(COLUMN()-2&lt;3,0,IF(COLUMN()-2&lt;=3+UF_Fund_Life-1,SUM(C57:N57)*UF_Mgmt_Fee,0))+MAX(M60-M60/UF_Gross_MOIC*(1+UF_Hurdle),0)*UF_Carry_Pct</f>
        <v>2.31428571428571</v>
      </c>
      <c r="N63" s="25" t="n">
        <f aca="false">IF(COLUMN()-2&lt;3,0,IF(COLUMN()-2&lt;=3+UF_Fund_Life-1,SUM(C57:N57)*UF_Mgmt_Fee,0))+MAX(N60-N60/UF_Gross_MOIC*(1+UF_Hurdle),0)*UF_Carry_Pct</f>
        <v>1.65714285714286</v>
      </c>
    </row>
    <row r="64" customFormat="false" ht="15" hidden="false" customHeight="false" outlineLevel="0" collapsed="false">
      <c r="B64" s="24" t="s">
        <v>118</v>
      </c>
      <c r="C64" s="25" t="n">
        <f aca="false">MAX(C60-C63,0)</f>
        <v>0</v>
      </c>
      <c r="D64" s="25" t="n">
        <f aca="false">MAX(D60-D63,0)</f>
        <v>0</v>
      </c>
      <c r="E64" s="25" t="n">
        <f aca="false">MAX(E60-E63,0)</f>
        <v>0</v>
      </c>
      <c r="F64" s="25" t="n">
        <f aca="false">MAX(F60-F63,0)</f>
        <v>0</v>
      </c>
      <c r="G64" s="25" t="n">
        <f aca="false">MAX(G60-G63,0)</f>
        <v>0</v>
      </c>
      <c r="H64" s="25" t="n">
        <f aca="false">MAX(H60-H63,0)</f>
        <v>4.51285714285714</v>
      </c>
      <c r="I64" s="25" t="n">
        <f aca="false">MAX(I60-I63,0)</f>
        <v>11.9714285714286</v>
      </c>
      <c r="J64" s="25" t="n">
        <f aca="false">MAX(J60-J63,0)</f>
        <v>18.4571428571429</v>
      </c>
      <c r="K64" s="25" t="n">
        <f aca="false">MAX(K60-K63,0)</f>
        <v>24.9428571428571</v>
      </c>
      <c r="L64" s="25" t="n">
        <f aca="false">MAX(L60-L63,0)</f>
        <v>18.4571428571429</v>
      </c>
      <c r="M64" s="25" t="n">
        <f aca="false">MAX(M60-M63,0)</f>
        <v>11.9714285714286</v>
      </c>
      <c r="N64" s="25" t="n">
        <f aca="false">MAX(N60-N63,0)</f>
        <v>5.48571428571429</v>
      </c>
    </row>
    <row r="65" customFormat="false" ht="15" hidden="false" customHeight="false" outlineLevel="0" collapsed="false">
      <c r="B65" s="24" t="s">
        <v>119</v>
      </c>
      <c r="C65" s="25" t="n">
        <f aca="false">C64</f>
        <v>0</v>
      </c>
      <c r="D65" s="25" t="n">
        <f aca="false">C65+D64</f>
        <v>0</v>
      </c>
      <c r="E65" s="25" t="n">
        <f aca="false">D65+E64</f>
        <v>0</v>
      </c>
      <c r="F65" s="25" t="n">
        <f aca="false">E65+F64</f>
        <v>0</v>
      </c>
      <c r="G65" s="25" t="n">
        <f aca="false">F65+G64</f>
        <v>0</v>
      </c>
      <c r="H65" s="25" t="n">
        <f aca="false">G65+H64</f>
        <v>4.51285714285714</v>
      </c>
      <c r="I65" s="25" t="n">
        <f aca="false">H65+I64</f>
        <v>16.4842857142857</v>
      </c>
      <c r="J65" s="25" t="n">
        <f aca="false">I65+J64</f>
        <v>34.9414285714286</v>
      </c>
      <c r="K65" s="25" t="n">
        <f aca="false">J65+K64</f>
        <v>59.8842857142857</v>
      </c>
      <c r="L65" s="25" t="n">
        <f aca="false">K65+L64</f>
        <v>78.3414285714286</v>
      </c>
      <c r="M65" s="25" t="n">
        <f aca="false">L65+M64</f>
        <v>90.3128571428571</v>
      </c>
      <c r="N65" s="25" t="n">
        <f aca="false">M65+N64</f>
        <v>95.7985714285714</v>
      </c>
    </row>
    <row r="66" customFormat="false" ht="15" hidden="false" customHeight="false" outlineLevel="0" collapsed="false">
      <c r="B66" s="16" t="s">
        <v>125</v>
      </c>
      <c r="C66" s="17"/>
      <c r="D66" s="17"/>
      <c r="E66" s="17"/>
      <c r="F66" s="17"/>
      <c r="G66" s="17"/>
      <c r="H66" s="17"/>
      <c r="I66" s="17"/>
      <c r="J66" s="17"/>
      <c r="K66" s="17"/>
      <c r="L66" s="17"/>
      <c r="M66" s="17"/>
      <c r="N66" s="17"/>
    </row>
    <row r="67" customFormat="false" ht="15" hidden="false" customHeight="false" outlineLevel="0" collapsed="false">
      <c r="B67" s="24" t="s">
        <v>111</v>
      </c>
      <c r="C67" s="25" t="n">
        <f aca="false">IF(COLUMN()-2=4,FoF_Size*Deploy_Y4*1,0)</f>
        <v>0</v>
      </c>
      <c r="D67" s="25" t="n">
        <f aca="false">IF(COLUMN()-2=4,FoF_Size*Deploy_Y4*1,0)</f>
        <v>0</v>
      </c>
      <c r="E67" s="25" t="n">
        <f aca="false">IF(COLUMN()-2=4,FoF_Size*Deploy_Y4*1,0)</f>
        <v>0</v>
      </c>
      <c r="F67" s="25" t="n">
        <f aca="false">IF(COLUMN()-2=4,FoF_Size*Deploy_Y4*1,0)</f>
        <v>75</v>
      </c>
      <c r="G67" s="25" t="n">
        <f aca="false">IF(COLUMN()-2=4,FoF_Size*Deploy_Y4*1,0)</f>
        <v>0</v>
      </c>
      <c r="H67" s="25" t="n">
        <f aca="false">IF(COLUMN()-2=4,FoF_Size*Deploy_Y4*1,0)</f>
        <v>0</v>
      </c>
      <c r="I67" s="25" t="n">
        <f aca="false">IF(COLUMN()-2=4,FoF_Size*Deploy_Y4*1,0)</f>
        <v>0</v>
      </c>
      <c r="J67" s="25" t="n">
        <f aca="false">IF(COLUMN()-2=4,FoF_Size*Deploy_Y4*1,0)</f>
        <v>0</v>
      </c>
      <c r="K67" s="25" t="n">
        <f aca="false">IF(COLUMN()-2=4,FoF_Size*Deploy_Y4*1,0)</f>
        <v>0</v>
      </c>
      <c r="L67" s="25" t="n">
        <f aca="false">IF(COLUMN()-2=4,FoF_Size*Deploy_Y4*1,0)</f>
        <v>0</v>
      </c>
      <c r="M67" s="25" t="n">
        <f aca="false">IF(COLUMN()-2=4,FoF_Size*Deploy_Y4*1,0)</f>
        <v>0</v>
      </c>
      <c r="N67" s="25" t="n">
        <f aca="false">IF(COLUMN()-2=4,FoF_Size*Deploy_Y4*1,0)</f>
        <v>0</v>
      </c>
    </row>
    <row r="68" customFormat="false" ht="15" hidden="false" customHeight="false" outlineLevel="0" collapsed="false">
      <c r="B68" s="24" t="s">
        <v>112</v>
      </c>
      <c r="C68" s="25" t="n">
        <f aca="false">IF(OR(COLUMN()-2&lt;4,COLUMN()-2-4+1&gt;UF_Invest_Period),0,IF(COLUMN()-2-4+1=1,SUM(C67:N67)*UF_Call_Y1,IF(COLUMN()-2-4+1=2,SUM(C67:N67)*UF_Call_Y2,IF(COLUMN()-2-4+1=3,SUM(C67:N67)*UF_Call_Y3,IF(COLUMN()-2-4+1=4,SUM(C67:N67)*UF_Call_Y4,IF(COLUMN()-2-4+1=5,SUM(C67:N67)*UF_Call_Y5,0))))))</f>
        <v>0</v>
      </c>
      <c r="D68" s="25" t="n">
        <f aca="false">IF(OR(COLUMN()-2&lt;4,COLUMN()-2-4+1&gt;UF_Invest_Period),0,IF(COLUMN()-2-4+1=1,SUM(C67:N67)*UF_Call_Y1,IF(COLUMN()-2-4+1=2,SUM(C67:N67)*UF_Call_Y2,IF(COLUMN()-2-4+1=3,SUM(C67:N67)*UF_Call_Y3,IF(COLUMN()-2-4+1=4,SUM(C67:N67)*UF_Call_Y4,IF(COLUMN()-2-4+1=5,SUM(C67:N67)*UF_Call_Y5,0))))))</f>
        <v>0</v>
      </c>
      <c r="E68" s="25" t="n">
        <f aca="false">IF(OR(COLUMN()-2&lt;4,COLUMN()-2-4+1&gt;UF_Invest_Period),0,IF(COLUMN()-2-4+1=1,SUM(C67:N67)*UF_Call_Y1,IF(COLUMN()-2-4+1=2,SUM(C67:N67)*UF_Call_Y2,IF(COLUMN()-2-4+1=3,SUM(C67:N67)*UF_Call_Y3,IF(COLUMN()-2-4+1=4,SUM(C67:N67)*UF_Call_Y4,IF(COLUMN()-2-4+1=5,SUM(C67:N67)*UF_Call_Y5,0))))))</f>
        <v>0</v>
      </c>
      <c r="F68" s="25" t="n">
        <f aca="false">IF(OR(COLUMN()-2&lt;4,COLUMN()-2-4+1&gt;UF_Invest_Period),0,IF(COLUMN()-2-4+1=1,SUM(C67:N67)*UF_Call_Y1,IF(COLUMN()-2-4+1=2,SUM(C67:N67)*UF_Call_Y2,IF(COLUMN()-2-4+1=3,SUM(C67:N67)*UF_Call_Y3,IF(COLUMN()-2-4+1=4,SUM(C67:N67)*UF_Call_Y4,IF(COLUMN()-2-4+1=5,SUM(C67:N67)*UF_Call_Y5,0))))))</f>
        <v>18.75</v>
      </c>
      <c r="G68" s="25" t="n">
        <f aca="false">IF(OR(COLUMN()-2&lt;4,COLUMN()-2-4+1&gt;UF_Invest_Period),0,IF(COLUMN()-2-4+1=1,SUM(C67:N67)*UF_Call_Y1,IF(COLUMN()-2-4+1=2,SUM(C67:N67)*UF_Call_Y2,IF(COLUMN()-2-4+1=3,SUM(C67:N67)*UF_Call_Y3,IF(COLUMN()-2-4+1=4,SUM(C67:N67)*UF_Call_Y4,IF(COLUMN()-2-4+1=5,SUM(C67:N67)*UF_Call_Y5,0))))))</f>
        <v>18.75</v>
      </c>
      <c r="H68" s="25" t="n">
        <f aca="false">IF(OR(COLUMN()-2&lt;4,COLUMN()-2-4+1&gt;UF_Invest_Period),0,IF(COLUMN()-2-4+1=1,SUM(C67:N67)*UF_Call_Y1,IF(COLUMN()-2-4+1=2,SUM(C67:N67)*UF_Call_Y2,IF(COLUMN()-2-4+1=3,SUM(C67:N67)*UF_Call_Y3,IF(COLUMN()-2-4+1=4,SUM(C67:N67)*UF_Call_Y4,IF(COLUMN()-2-4+1=5,SUM(C67:N67)*UF_Call_Y5,0))))))</f>
        <v>15</v>
      </c>
      <c r="I68" s="25" t="n">
        <f aca="false">IF(OR(COLUMN()-2&lt;4,COLUMN()-2-4+1&gt;UF_Invest_Period),0,IF(COLUMN()-2-4+1=1,SUM(C67:N67)*UF_Call_Y1,IF(COLUMN()-2-4+1=2,SUM(C67:N67)*UF_Call_Y2,IF(COLUMN()-2-4+1=3,SUM(C67:N67)*UF_Call_Y3,IF(COLUMN()-2-4+1=4,SUM(C67:N67)*UF_Call_Y4,IF(COLUMN()-2-4+1=5,SUM(C67:N67)*UF_Call_Y5,0))))))</f>
        <v>11.25</v>
      </c>
      <c r="J68" s="25" t="n">
        <f aca="false">IF(OR(COLUMN()-2&lt;4,COLUMN()-2-4+1&gt;UF_Invest_Period),0,IF(COLUMN()-2-4+1=1,SUM(C67:N67)*UF_Call_Y1,IF(COLUMN()-2-4+1=2,SUM(C67:N67)*UF_Call_Y2,IF(COLUMN()-2-4+1=3,SUM(C67:N67)*UF_Call_Y3,IF(COLUMN()-2-4+1=4,SUM(C67:N67)*UF_Call_Y4,IF(COLUMN()-2-4+1=5,SUM(C67:N67)*UF_Call_Y5,0))))))</f>
        <v>11.25</v>
      </c>
      <c r="K68" s="25" t="n">
        <f aca="false">IF(OR(COLUMN()-2&lt;4,COLUMN()-2-4+1&gt;UF_Invest_Period),0,IF(COLUMN()-2-4+1=1,SUM(C67:N67)*UF_Call_Y1,IF(COLUMN()-2-4+1=2,SUM(C67:N67)*UF_Call_Y2,IF(COLUMN()-2-4+1=3,SUM(C67:N67)*UF_Call_Y3,IF(COLUMN()-2-4+1=4,SUM(C67:N67)*UF_Call_Y4,IF(COLUMN()-2-4+1=5,SUM(C67:N67)*UF_Call_Y5,0))))))</f>
        <v>0</v>
      </c>
      <c r="L68" s="25" t="n">
        <f aca="false">IF(OR(COLUMN()-2&lt;4,COLUMN()-2-4+1&gt;UF_Invest_Period),0,IF(COLUMN()-2-4+1=1,SUM(C67:N67)*UF_Call_Y1,IF(COLUMN()-2-4+1=2,SUM(C67:N67)*UF_Call_Y2,IF(COLUMN()-2-4+1=3,SUM(C67:N67)*UF_Call_Y3,IF(COLUMN()-2-4+1=4,SUM(C67:N67)*UF_Call_Y4,IF(COLUMN()-2-4+1=5,SUM(C67:N67)*UF_Call_Y5,0))))))</f>
        <v>0</v>
      </c>
      <c r="M68" s="25" t="n">
        <f aca="false">IF(OR(COLUMN()-2&lt;4,COLUMN()-2-4+1&gt;UF_Invest_Period),0,IF(COLUMN()-2-4+1=1,SUM(C67:N67)*UF_Call_Y1,IF(COLUMN()-2-4+1=2,SUM(C67:N67)*UF_Call_Y2,IF(COLUMN()-2-4+1=3,SUM(C67:N67)*UF_Call_Y3,IF(COLUMN()-2-4+1=4,SUM(C67:N67)*UF_Call_Y4,IF(COLUMN()-2-4+1=5,SUM(C67:N67)*UF_Call_Y5,0))))))</f>
        <v>0</v>
      </c>
      <c r="N68" s="25" t="n">
        <f aca="false">IF(OR(COLUMN()-2&lt;4,COLUMN()-2-4+1&gt;UF_Invest_Period),0,IF(COLUMN()-2-4+1=1,SUM(C67:N67)*UF_Call_Y1,IF(COLUMN()-2-4+1=2,SUM(C67:N67)*UF_Call_Y2,IF(COLUMN()-2-4+1=3,SUM(C67:N67)*UF_Call_Y3,IF(COLUMN()-2-4+1=4,SUM(C67:N67)*UF_Call_Y4,IF(COLUMN()-2-4+1=5,SUM(C67:N67)*UF_Call_Y5,0))))))</f>
        <v>0</v>
      </c>
    </row>
    <row r="69" customFormat="false" ht="15" hidden="false" customHeight="false" outlineLevel="0" collapsed="false">
      <c r="B69" s="24" t="s">
        <v>113</v>
      </c>
      <c r="C69" s="25" t="n">
        <f aca="false">C68</f>
        <v>0</v>
      </c>
      <c r="D69" s="25" t="n">
        <f aca="false">C69+D68</f>
        <v>0</v>
      </c>
      <c r="E69" s="25" t="n">
        <f aca="false">D69+E68</f>
        <v>0</v>
      </c>
      <c r="F69" s="25" t="n">
        <f aca="false">E69+F68</f>
        <v>18.75</v>
      </c>
      <c r="G69" s="25" t="n">
        <f aca="false">F69+G68</f>
        <v>37.5</v>
      </c>
      <c r="H69" s="25" t="n">
        <f aca="false">G69+H68</f>
        <v>52.5</v>
      </c>
      <c r="I69" s="25" t="n">
        <f aca="false">H69+I68</f>
        <v>63.75</v>
      </c>
      <c r="J69" s="25" t="n">
        <f aca="false">I69+J68</f>
        <v>75</v>
      </c>
      <c r="K69" s="25" t="n">
        <f aca="false">J69+K68</f>
        <v>75</v>
      </c>
      <c r="L69" s="25" t="n">
        <f aca="false">K69+L68</f>
        <v>75</v>
      </c>
      <c r="M69" s="25" t="n">
        <f aca="false">L69+M68</f>
        <v>75</v>
      </c>
      <c r="N69" s="25" t="n">
        <f aca="false">M69+N68</f>
        <v>75</v>
      </c>
    </row>
    <row r="70" customFormat="false" ht="15" hidden="false" customHeight="false" outlineLevel="0" collapsed="false">
      <c r="B70" s="24" t="s">
        <v>114</v>
      </c>
      <c r="C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D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E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F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G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H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0</v>
      </c>
      <c r="I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9.10714285714286</v>
      </c>
      <c r="J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21.4285714285714</v>
      </c>
      <c r="K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32.1428571428571</v>
      </c>
      <c r="L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42.8571428571429</v>
      </c>
      <c r="M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32.1428571428571</v>
      </c>
      <c r="N70" s="25" t="n">
        <f aca="false">IF(OR(COLUMN()-2&lt;4+UF_Dist_Start-1,COLUMN()-2&gt;4+UF_Dist_End-1),0,IF(COLUMN()-2&lt;=4+UF_Dist_Peak-1,INDEX($C$69:$N$69,1,COLUMN()-2)*UF_Gross_MOIC*2*(COLUMN()-2-4-UF_Dist_Start+2)/((UF_Dist_End-UF_Dist_Start+1)*(UF_Dist_Peak-UF_Dist_Start+1)),INDEX($C$69:$N$69,1,COLUMN()-2)*UF_Gross_MOIC*2*(4+UF_Dist_End-COLUMN()+2)/((UF_Dist_End-UF_Dist_Start+1)*(UF_Dist_End-UF_Dist_Peak+1))))</f>
        <v>21.4285714285714</v>
      </c>
    </row>
    <row r="71" customFormat="false" ht="15" hidden="false" customHeight="false" outlineLevel="0" collapsed="false">
      <c r="B71" s="24" t="s">
        <v>115</v>
      </c>
      <c r="C71" s="25" t="n">
        <f aca="false">C70</f>
        <v>0</v>
      </c>
      <c r="D71" s="25" t="n">
        <f aca="false">C71+D70</f>
        <v>0</v>
      </c>
      <c r="E71" s="25" t="n">
        <f aca="false">D71+E70</f>
        <v>0</v>
      </c>
      <c r="F71" s="25" t="n">
        <f aca="false">E71+F70</f>
        <v>0</v>
      </c>
      <c r="G71" s="25" t="n">
        <f aca="false">F71+G70</f>
        <v>0</v>
      </c>
      <c r="H71" s="25" t="n">
        <f aca="false">G71+H70</f>
        <v>0</v>
      </c>
      <c r="I71" s="25" t="n">
        <f aca="false">H71+I70</f>
        <v>9.10714285714286</v>
      </c>
      <c r="J71" s="25" t="n">
        <f aca="false">I71+J70</f>
        <v>30.5357142857143</v>
      </c>
      <c r="K71" s="25" t="n">
        <f aca="false">J71+K70</f>
        <v>62.6785714285714</v>
      </c>
      <c r="L71" s="25" t="n">
        <f aca="false">K71+L70</f>
        <v>105.535714285714</v>
      </c>
      <c r="M71" s="25" t="n">
        <f aca="false">L71+M70</f>
        <v>137.678571428571</v>
      </c>
      <c r="N71" s="25" t="n">
        <f aca="false">M71+N70</f>
        <v>159.107142857143</v>
      </c>
    </row>
    <row r="72" customFormat="false" ht="15" hidden="false" customHeight="false" outlineLevel="0" collapsed="false">
      <c r="B72" s="24" t="s">
        <v>116</v>
      </c>
      <c r="C72" s="25" t="n">
        <f aca="false">MAX(C69*UF_Gross_MOIC-C71,0)</f>
        <v>0</v>
      </c>
      <c r="D72" s="25" t="n">
        <f aca="false">MAX(D69*UF_Gross_MOIC-D71,0)</f>
        <v>0</v>
      </c>
      <c r="E72" s="25" t="n">
        <f aca="false">MAX(E69*UF_Gross_MOIC-E71,0)</f>
        <v>0</v>
      </c>
      <c r="F72" s="25" t="n">
        <f aca="false">MAX(F69*UF_Gross_MOIC-F71,0)</f>
        <v>37.5</v>
      </c>
      <c r="G72" s="25" t="n">
        <f aca="false">MAX(G69*UF_Gross_MOIC-G71,0)</f>
        <v>75</v>
      </c>
      <c r="H72" s="25" t="n">
        <f aca="false">MAX(H69*UF_Gross_MOIC-H71,0)</f>
        <v>105</v>
      </c>
      <c r="I72" s="25" t="n">
        <f aca="false">MAX(I69*UF_Gross_MOIC-I71,0)</f>
        <v>118.392857142857</v>
      </c>
      <c r="J72" s="25" t="n">
        <f aca="false">MAX(J69*UF_Gross_MOIC-J71,0)</f>
        <v>119.464285714286</v>
      </c>
      <c r="K72" s="25" t="n">
        <f aca="false">MAX(K69*UF_Gross_MOIC-K71,0)</f>
        <v>87.3214285714286</v>
      </c>
      <c r="L72" s="25" t="n">
        <f aca="false">MAX(L69*UF_Gross_MOIC-L71,0)</f>
        <v>44.4642857142857</v>
      </c>
      <c r="M72" s="25" t="n">
        <f aca="false">MAX(M69*UF_Gross_MOIC-M71,0)</f>
        <v>12.3214285714286</v>
      </c>
      <c r="N72" s="25" t="n">
        <f aca="false">MAX(N69*UF_Gross_MOIC-N71,0)</f>
        <v>0</v>
      </c>
    </row>
    <row r="73" customFormat="false" ht="15" hidden="false" customHeight="false" outlineLevel="0" collapsed="false">
      <c r="B73" s="24" t="s">
        <v>117</v>
      </c>
      <c r="C73" s="25" t="n">
        <f aca="false">IF(COLUMN()-2&lt;4,0,IF(COLUMN()-2&lt;=4+UF_Fund_Life-1,SUM(C67:N67)*UF_Mgmt_Fee,0))+MAX(C70-C70/UF_Gross_MOIC*(1+UF_Hurdle),0)*UF_Carry_Pct</f>
        <v>0</v>
      </c>
      <c r="D73" s="25" t="n">
        <f aca="false">IF(COLUMN()-2&lt;4,0,IF(COLUMN()-2&lt;=4+UF_Fund_Life-1,SUM(C67:N67)*UF_Mgmt_Fee,0))+MAX(D70-D70/UF_Gross_MOIC*(1+UF_Hurdle),0)*UF_Carry_Pct</f>
        <v>0</v>
      </c>
      <c r="E73" s="25" t="n">
        <f aca="false">IF(COLUMN()-2&lt;4,0,IF(COLUMN()-2&lt;=4+UF_Fund_Life-1,SUM(C67:N67)*UF_Mgmt_Fee,0))+MAX(E70-E70/UF_Gross_MOIC*(1+UF_Hurdle),0)*UF_Carry_Pct</f>
        <v>0</v>
      </c>
      <c r="F73" s="25" t="n">
        <f aca="false">IF(COLUMN()-2&lt;4,0,IF(COLUMN()-2&lt;=4+UF_Fund_Life-1,SUM(C67:N67)*UF_Mgmt_Fee,0))+MAX(F70-F70/UF_Gross_MOIC*(1+UF_Hurdle),0)*UF_Carry_Pct</f>
        <v>1.5</v>
      </c>
      <c r="G73" s="25" t="n">
        <f aca="false">IF(COLUMN()-2&lt;4,0,IF(COLUMN()-2&lt;=4+UF_Fund_Life-1,SUM(C67:N67)*UF_Mgmt_Fee,0))+MAX(G70-G70/UF_Gross_MOIC*(1+UF_Hurdle),0)*UF_Carry_Pct</f>
        <v>1.5</v>
      </c>
      <c r="H73" s="25" t="n">
        <f aca="false">IF(COLUMN()-2&lt;4,0,IF(COLUMN()-2&lt;=4+UF_Fund_Life-1,SUM(C67:N67)*UF_Mgmt_Fee,0))+MAX(H70-H70/UF_Gross_MOIC*(1+UF_Hurdle),0)*UF_Carry_Pct</f>
        <v>1.5</v>
      </c>
      <c r="I73" s="25" t="n">
        <f aca="false">IF(COLUMN()-2&lt;4,0,IF(COLUMN()-2&lt;=4+UF_Fund_Life-1,SUM(C67:N67)*UF_Mgmt_Fee,0))+MAX(I70-I70/UF_Gross_MOIC*(1+UF_Hurdle),0)*UF_Carry_Pct</f>
        <v>2.33785714285714</v>
      </c>
      <c r="J73" s="25" t="n">
        <f aca="false">IF(COLUMN()-2&lt;4,0,IF(COLUMN()-2&lt;=4+UF_Fund_Life-1,SUM(C67:N67)*UF_Mgmt_Fee,0))+MAX(J70-J70/UF_Gross_MOIC*(1+UF_Hurdle),0)*UF_Carry_Pct</f>
        <v>3.47142857142857</v>
      </c>
      <c r="K73" s="25" t="n">
        <f aca="false">IF(COLUMN()-2&lt;4,0,IF(COLUMN()-2&lt;=4+UF_Fund_Life-1,SUM(C67:N67)*UF_Mgmt_Fee,0))+MAX(K70-K70/UF_Gross_MOIC*(1+UF_Hurdle),0)*UF_Carry_Pct</f>
        <v>4.45714285714286</v>
      </c>
      <c r="L73" s="25" t="n">
        <f aca="false">IF(COLUMN()-2&lt;4,0,IF(COLUMN()-2&lt;=4+UF_Fund_Life-1,SUM(C67:N67)*UF_Mgmt_Fee,0))+MAX(L70-L70/UF_Gross_MOIC*(1+UF_Hurdle),0)*UF_Carry_Pct</f>
        <v>5.44285714285714</v>
      </c>
      <c r="M73" s="25" t="n">
        <f aca="false">IF(COLUMN()-2&lt;4,0,IF(COLUMN()-2&lt;=4+UF_Fund_Life-1,SUM(C67:N67)*UF_Mgmt_Fee,0))+MAX(M70-M70/UF_Gross_MOIC*(1+UF_Hurdle),0)*UF_Carry_Pct</f>
        <v>4.45714285714286</v>
      </c>
      <c r="N73" s="25" t="n">
        <f aca="false">IF(COLUMN()-2&lt;4,0,IF(COLUMN()-2&lt;=4+UF_Fund_Life-1,SUM(C67:N67)*UF_Mgmt_Fee,0))+MAX(N70-N70/UF_Gross_MOIC*(1+UF_Hurdle),0)*UF_Carry_Pct</f>
        <v>3.47142857142857</v>
      </c>
    </row>
    <row r="74" customFormat="false" ht="15" hidden="false" customHeight="false" outlineLevel="0" collapsed="false">
      <c r="B74" s="24" t="s">
        <v>118</v>
      </c>
      <c r="C74" s="25" t="n">
        <f aca="false">MAX(C70-C73,0)</f>
        <v>0</v>
      </c>
      <c r="D74" s="25" t="n">
        <f aca="false">MAX(D70-D73,0)</f>
        <v>0</v>
      </c>
      <c r="E74" s="25" t="n">
        <f aca="false">MAX(E70-E73,0)</f>
        <v>0</v>
      </c>
      <c r="F74" s="25" t="n">
        <f aca="false">MAX(F70-F73,0)</f>
        <v>0</v>
      </c>
      <c r="G74" s="25" t="n">
        <f aca="false">MAX(G70-G73,0)</f>
        <v>0</v>
      </c>
      <c r="H74" s="25" t="n">
        <f aca="false">MAX(H70-H73,0)</f>
        <v>0</v>
      </c>
      <c r="I74" s="25" t="n">
        <f aca="false">MAX(I70-I73,0)</f>
        <v>6.76928571428572</v>
      </c>
      <c r="J74" s="25" t="n">
        <f aca="false">MAX(J70-J73,0)</f>
        <v>17.9571428571429</v>
      </c>
      <c r="K74" s="25" t="n">
        <f aca="false">MAX(K70-K73,0)</f>
        <v>27.6857142857143</v>
      </c>
      <c r="L74" s="25" t="n">
        <f aca="false">MAX(L70-L73,0)</f>
        <v>37.4142857142857</v>
      </c>
      <c r="M74" s="25" t="n">
        <f aca="false">MAX(M70-M73,0)</f>
        <v>27.6857142857143</v>
      </c>
      <c r="N74" s="25" t="n">
        <f aca="false">MAX(N70-N73,0)</f>
        <v>17.9571428571429</v>
      </c>
    </row>
    <row r="75" customFormat="false" ht="15" hidden="false" customHeight="false" outlineLevel="0" collapsed="false">
      <c r="B75" s="24" t="s">
        <v>119</v>
      </c>
      <c r="C75" s="25" t="n">
        <f aca="false">C74</f>
        <v>0</v>
      </c>
      <c r="D75" s="25" t="n">
        <f aca="false">C75+D74</f>
        <v>0</v>
      </c>
      <c r="E75" s="25" t="n">
        <f aca="false">D75+E74</f>
        <v>0</v>
      </c>
      <c r="F75" s="25" t="n">
        <f aca="false">E75+F74</f>
        <v>0</v>
      </c>
      <c r="G75" s="25" t="n">
        <f aca="false">F75+G74</f>
        <v>0</v>
      </c>
      <c r="H75" s="25" t="n">
        <f aca="false">G75+H74</f>
        <v>0</v>
      </c>
      <c r="I75" s="25" t="n">
        <f aca="false">H75+I74</f>
        <v>6.76928571428572</v>
      </c>
      <c r="J75" s="25" t="n">
        <f aca="false">I75+J74</f>
        <v>24.7264285714286</v>
      </c>
      <c r="K75" s="25" t="n">
        <f aca="false">J75+K74</f>
        <v>52.4121428571429</v>
      </c>
      <c r="L75" s="25" t="n">
        <f aca="false">K75+L74</f>
        <v>89.8264285714286</v>
      </c>
      <c r="M75" s="25" t="n">
        <f aca="false">L75+M74</f>
        <v>117.512142857143</v>
      </c>
      <c r="N75" s="25" t="n">
        <f aca="false">M75+N74</f>
        <v>135.469285714286</v>
      </c>
    </row>
    <row r="76" customFormat="false" ht="15" hidden="false" customHeight="false" outlineLevel="0" collapsed="false">
      <c r="B76" s="16" t="s">
        <v>126</v>
      </c>
      <c r="C76" s="17"/>
      <c r="D76" s="17"/>
      <c r="E76" s="17"/>
      <c r="F76" s="17"/>
      <c r="G76" s="17"/>
      <c r="H76" s="17"/>
      <c r="I76" s="17"/>
      <c r="J76" s="17"/>
      <c r="K76" s="17"/>
      <c r="L76" s="17"/>
      <c r="M76" s="17"/>
      <c r="N76" s="17"/>
    </row>
    <row r="77" customFormat="false" ht="15" hidden="false" customHeight="false" outlineLevel="0" collapsed="false">
      <c r="B77" s="24" t="s">
        <v>111</v>
      </c>
      <c r="C77" s="25" t="n">
        <f aca="false">IF(COLUMN()-2=5,FoF_Size*Deploy_Y5*1,0)</f>
        <v>0</v>
      </c>
      <c r="D77" s="25" t="n">
        <f aca="false">IF(COLUMN()-2=5,FoF_Size*Deploy_Y5*1,0)</f>
        <v>0</v>
      </c>
      <c r="E77" s="25" t="n">
        <f aca="false">IF(COLUMN()-2=5,FoF_Size*Deploy_Y5*1,0)</f>
        <v>0</v>
      </c>
      <c r="F77" s="25" t="n">
        <f aca="false">IF(COLUMN()-2=5,FoF_Size*Deploy_Y5*1,0)</f>
        <v>0</v>
      </c>
      <c r="G77" s="25" t="n">
        <f aca="false">IF(COLUMN()-2=5,FoF_Size*Deploy_Y5*1,0)</f>
        <v>75</v>
      </c>
      <c r="H77" s="25" t="n">
        <f aca="false">IF(COLUMN()-2=5,FoF_Size*Deploy_Y5*1,0)</f>
        <v>0</v>
      </c>
      <c r="I77" s="25" t="n">
        <f aca="false">IF(COLUMN()-2=5,FoF_Size*Deploy_Y5*1,0)</f>
        <v>0</v>
      </c>
      <c r="J77" s="25" t="n">
        <f aca="false">IF(COLUMN()-2=5,FoF_Size*Deploy_Y5*1,0)</f>
        <v>0</v>
      </c>
      <c r="K77" s="25" t="n">
        <f aca="false">IF(COLUMN()-2=5,FoF_Size*Deploy_Y5*1,0)</f>
        <v>0</v>
      </c>
      <c r="L77" s="25" t="n">
        <f aca="false">IF(COLUMN()-2=5,FoF_Size*Deploy_Y5*1,0)</f>
        <v>0</v>
      </c>
      <c r="M77" s="25" t="n">
        <f aca="false">IF(COLUMN()-2=5,FoF_Size*Deploy_Y5*1,0)</f>
        <v>0</v>
      </c>
      <c r="N77" s="25" t="n">
        <f aca="false">IF(COLUMN()-2=5,FoF_Size*Deploy_Y5*1,0)</f>
        <v>0</v>
      </c>
    </row>
    <row r="78" customFormat="false" ht="15" hidden="false" customHeight="false" outlineLevel="0" collapsed="false">
      <c r="B78" s="24" t="s">
        <v>112</v>
      </c>
      <c r="C78" s="25" t="n">
        <f aca="false">IF(OR(COLUMN()-2&lt;5,COLUMN()-2-5+1&gt;UF_Invest_Period),0,IF(COLUMN()-2-5+1=1,SUM(C77:N77)*UF_Call_Y1,IF(COLUMN()-2-5+1=2,SUM(C77:N77)*UF_Call_Y2,IF(COLUMN()-2-5+1=3,SUM(C77:N77)*UF_Call_Y3,IF(COLUMN()-2-5+1=4,SUM(C77:N77)*UF_Call_Y4,IF(COLUMN()-2-5+1=5,SUM(C77:N77)*UF_Call_Y5,0))))))</f>
        <v>0</v>
      </c>
      <c r="D78" s="25" t="n">
        <f aca="false">IF(OR(COLUMN()-2&lt;5,COLUMN()-2-5+1&gt;UF_Invest_Period),0,IF(COLUMN()-2-5+1=1,SUM(C77:N77)*UF_Call_Y1,IF(COLUMN()-2-5+1=2,SUM(C77:N77)*UF_Call_Y2,IF(COLUMN()-2-5+1=3,SUM(C77:N77)*UF_Call_Y3,IF(COLUMN()-2-5+1=4,SUM(C77:N77)*UF_Call_Y4,IF(COLUMN()-2-5+1=5,SUM(C77:N77)*UF_Call_Y5,0))))))</f>
        <v>0</v>
      </c>
      <c r="E78" s="25" t="n">
        <f aca="false">IF(OR(COLUMN()-2&lt;5,COLUMN()-2-5+1&gt;UF_Invest_Period),0,IF(COLUMN()-2-5+1=1,SUM(C77:N77)*UF_Call_Y1,IF(COLUMN()-2-5+1=2,SUM(C77:N77)*UF_Call_Y2,IF(COLUMN()-2-5+1=3,SUM(C77:N77)*UF_Call_Y3,IF(COLUMN()-2-5+1=4,SUM(C77:N77)*UF_Call_Y4,IF(COLUMN()-2-5+1=5,SUM(C77:N77)*UF_Call_Y5,0))))))</f>
        <v>0</v>
      </c>
      <c r="F78" s="25" t="n">
        <f aca="false">IF(OR(COLUMN()-2&lt;5,COLUMN()-2-5+1&gt;UF_Invest_Period),0,IF(COLUMN()-2-5+1=1,SUM(C77:N77)*UF_Call_Y1,IF(COLUMN()-2-5+1=2,SUM(C77:N77)*UF_Call_Y2,IF(COLUMN()-2-5+1=3,SUM(C77:N77)*UF_Call_Y3,IF(COLUMN()-2-5+1=4,SUM(C77:N77)*UF_Call_Y4,IF(COLUMN()-2-5+1=5,SUM(C77:N77)*UF_Call_Y5,0))))))</f>
        <v>0</v>
      </c>
      <c r="G78" s="25" t="n">
        <f aca="false">IF(OR(COLUMN()-2&lt;5,COLUMN()-2-5+1&gt;UF_Invest_Period),0,IF(COLUMN()-2-5+1=1,SUM(C77:N77)*UF_Call_Y1,IF(COLUMN()-2-5+1=2,SUM(C77:N77)*UF_Call_Y2,IF(COLUMN()-2-5+1=3,SUM(C77:N77)*UF_Call_Y3,IF(COLUMN()-2-5+1=4,SUM(C77:N77)*UF_Call_Y4,IF(COLUMN()-2-5+1=5,SUM(C77:N77)*UF_Call_Y5,0))))))</f>
        <v>18.75</v>
      </c>
      <c r="H78" s="25" t="n">
        <f aca="false">IF(OR(COLUMN()-2&lt;5,COLUMN()-2-5+1&gt;UF_Invest_Period),0,IF(COLUMN()-2-5+1=1,SUM(C77:N77)*UF_Call_Y1,IF(COLUMN()-2-5+1=2,SUM(C77:N77)*UF_Call_Y2,IF(COLUMN()-2-5+1=3,SUM(C77:N77)*UF_Call_Y3,IF(COLUMN()-2-5+1=4,SUM(C77:N77)*UF_Call_Y4,IF(COLUMN()-2-5+1=5,SUM(C77:N77)*UF_Call_Y5,0))))))</f>
        <v>18.75</v>
      </c>
      <c r="I78" s="25" t="n">
        <f aca="false">IF(OR(COLUMN()-2&lt;5,COLUMN()-2-5+1&gt;UF_Invest_Period),0,IF(COLUMN()-2-5+1=1,SUM(C77:N77)*UF_Call_Y1,IF(COLUMN()-2-5+1=2,SUM(C77:N77)*UF_Call_Y2,IF(COLUMN()-2-5+1=3,SUM(C77:N77)*UF_Call_Y3,IF(COLUMN()-2-5+1=4,SUM(C77:N77)*UF_Call_Y4,IF(COLUMN()-2-5+1=5,SUM(C77:N77)*UF_Call_Y5,0))))))</f>
        <v>15</v>
      </c>
      <c r="J78" s="25" t="n">
        <f aca="false">IF(OR(COLUMN()-2&lt;5,COLUMN()-2-5+1&gt;UF_Invest_Period),0,IF(COLUMN()-2-5+1=1,SUM(C77:N77)*UF_Call_Y1,IF(COLUMN()-2-5+1=2,SUM(C77:N77)*UF_Call_Y2,IF(COLUMN()-2-5+1=3,SUM(C77:N77)*UF_Call_Y3,IF(COLUMN()-2-5+1=4,SUM(C77:N77)*UF_Call_Y4,IF(COLUMN()-2-5+1=5,SUM(C77:N77)*UF_Call_Y5,0))))))</f>
        <v>11.25</v>
      </c>
      <c r="K78" s="25" t="n">
        <f aca="false">IF(OR(COLUMN()-2&lt;5,COLUMN()-2-5+1&gt;UF_Invest_Period),0,IF(COLUMN()-2-5+1=1,SUM(C77:N77)*UF_Call_Y1,IF(COLUMN()-2-5+1=2,SUM(C77:N77)*UF_Call_Y2,IF(COLUMN()-2-5+1=3,SUM(C77:N77)*UF_Call_Y3,IF(COLUMN()-2-5+1=4,SUM(C77:N77)*UF_Call_Y4,IF(COLUMN()-2-5+1=5,SUM(C77:N77)*UF_Call_Y5,0))))))</f>
        <v>11.25</v>
      </c>
      <c r="L78" s="25" t="n">
        <f aca="false">IF(OR(COLUMN()-2&lt;5,COLUMN()-2-5+1&gt;UF_Invest_Period),0,IF(COLUMN()-2-5+1=1,SUM(C77:N77)*UF_Call_Y1,IF(COLUMN()-2-5+1=2,SUM(C77:N77)*UF_Call_Y2,IF(COLUMN()-2-5+1=3,SUM(C77:N77)*UF_Call_Y3,IF(COLUMN()-2-5+1=4,SUM(C77:N77)*UF_Call_Y4,IF(COLUMN()-2-5+1=5,SUM(C77:N77)*UF_Call_Y5,0))))))</f>
        <v>0</v>
      </c>
      <c r="M78" s="25" t="n">
        <f aca="false">IF(OR(COLUMN()-2&lt;5,COLUMN()-2-5+1&gt;UF_Invest_Period),0,IF(COLUMN()-2-5+1=1,SUM(C77:N77)*UF_Call_Y1,IF(COLUMN()-2-5+1=2,SUM(C77:N77)*UF_Call_Y2,IF(COLUMN()-2-5+1=3,SUM(C77:N77)*UF_Call_Y3,IF(COLUMN()-2-5+1=4,SUM(C77:N77)*UF_Call_Y4,IF(COLUMN()-2-5+1=5,SUM(C77:N77)*UF_Call_Y5,0))))))</f>
        <v>0</v>
      </c>
      <c r="N78" s="25" t="n">
        <f aca="false">IF(OR(COLUMN()-2&lt;5,COLUMN()-2-5+1&gt;UF_Invest_Period),0,IF(COLUMN()-2-5+1=1,SUM(C77:N77)*UF_Call_Y1,IF(COLUMN()-2-5+1=2,SUM(C77:N77)*UF_Call_Y2,IF(COLUMN()-2-5+1=3,SUM(C77:N77)*UF_Call_Y3,IF(COLUMN()-2-5+1=4,SUM(C77:N77)*UF_Call_Y4,IF(COLUMN()-2-5+1=5,SUM(C77:N77)*UF_Call_Y5,0))))))</f>
        <v>0</v>
      </c>
    </row>
    <row r="79" customFormat="false" ht="15" hidden="false" customHeight="false" outlineLevel="0" collapsed="false">
      <c r="B79" s="24" t="s">
        <v>113</v>
      </c>
      <c r="C79" s="25" t="n">
        <f aca="false">C78</f>
        <v>0</v>
      </c>
      <c r="D79" s="25" t="n">
        <f aca="false">C79+D78</f>
        <v>0</v>
      </c>
      <c r="E79" s="25" t="n">
        <f aca="false">D79+E78</f>
        <v>0</v>
      </c>
      <c r="F79" s="25" t="n">
        <f aca="false">E79+F78</f>
        <v>0</v>
      </c>
      <c r="G79" s="25" t="n">
        <f aca="false">F79+G78</f>
        <v>18.75</v>
      </c>
      <c r="H79" s="25" t="n">
        <f aca="false">G79+H78</f>
        <v>37.5</v>
      </c>
      <c r="I79" s="25" t="n">
        <f aca="false">H79+I78</f>
        <v>52.5</v>
      </c>
      <c r="J79" s="25" t="n">
        <f aca="false">I79+J78</f>
        <v>63.75</v>
      </c>
      <c r="K79" s="25" t="n">
        <f aca="false">J79+K78</f>
        <v>75</v>
      </c>
      <c r="L79" s="25" t="n">
        <f aca="false">K79+L78</f>
        <v>75</v>
      </c>
      <c r="M79" s="25" t="n">
        <f aca="false">L79+M78</f>
        <v>75</v>
      </c>
      <c r="N79" s="25" t="n">
        <f aca="false">M79+N78</f>
        <v>75</v>
      </c>
    </row>
    <row r="80" customFormat="false" ht="15" hidden="false" customHeight="false" outlineLevel="0" collapsed="false">
      <c r="B80" s="24" t="s">
        <v>114</v>
      </c>
      <c r="C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D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E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F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G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H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I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0</v>
      </c>
      <c r="J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9.10714285714286</v>
      </c>
      <c r="K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21.4285714285714</v>
      </c>
      <c r="L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32.1428571428571</v>
      </c>
      <c r="M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42.8571428571429</v>
      </c>
      <c r="N80" s="25" t="n">
        <f aca="false">IF(OR(COLUMN()-2&lt;5+UF_Dist_Start-1,COLUMN()-2&gt;5+UF_Dist_End-1),0,IF(COLUMN()-2&lt;=5+UF_Dist_Peak-1,INDEX($C$79:$N$79,1,COLUMN()-2)*UF_Gross_MOIC*2*(COLUMN()-2-5-UF_Dist_Start+2)/((UF_Dist_End-UF_Dist_Start+1)*(UF_Dist_Peak-UF_Dist_Start+1)),INDEX($C$79:$N$79,1,COLUMN()-2)*UF_Gross_MOIC*2*(5+UF_Dist_End-COLUMN()+2)/((UF_Dist_End-UF_Dist_Start+1)*(UF_Dist_End-UF_Dist_Peak+1))))</f>
        <v>32.1428571428571</v>
      </c>
    </row>
    <row r="81" customFormat="false" ht="15" hidden="false" customHeight="false" outlineLevel="0" collapsed="false">
      <c r="B81" s="24" t="s">
        <v>115</v>
      </c>
      <c r="C81" s="25" t="n">
        <f aca="false">C80</f>
        <v>0</v>
      </c>
      <c r="D81" s="25" t="n">
        <f aca="false">C81+D80</f>
        <v>0</v>
      </c>
      <c r="E81" s="25" t="n">
        <f aca="false">D81+E80</f>
        <v>0</v>
      </c>
      <c r="F81" s="25" t="n">
        <f aca="false">E81+F80</f>
        <v>0</v>
      </c>
      <c r="G81" s="25" t="n">
        <f aca="false">F81+G80</f>
        <v>0</v>
      </c>
      <c r="H81" s="25" t="n">
        <f aca="false">G81+H80</f>
        <v>0</v>
      </c>
      <c r="I81" s="25" t="n">
        <f aca="false">H81+I80</f>
        <v>0</v>
      </c>
      <c r="J81" s="25" t="n">
        <f aca="false">I81+J80</f>
        <v>9.10714285714286</v>
      </c>
      <c r="K81" s="25" t="n">
        <f aca="false">J81+K80</f>
        <v>30.5357142857143</v>
      </c>
      <c r="L81" s="25" t="n">
        <f aca="false">K81+L80</f>
        <v>62.6785714285714</v>
      </c>
      <c r="M81" s="25" t="n">
        <f aca="false">L81+M80</f>
        <v>105.535714285714</v>
      </c>
      <c r="N81" s="25" t="n">
        <f aca="false">M81+N80</f>
        <v>137.678571428571</v>
      </c>
    </row>
    <row r="82" customFormat="false" ht="15" hidden="false" customHeight="false" outlineLevel="0" collapsed="false">
      <c r="B82" s="24" t="s">
        <v>116</v>
      </c>
      <c r="C82" s="25" t="n">
        <f aca="false">MAX(C79*UF_Gross_MOIC-C81,0)</f>
        <v>0</v>
      </c>
      <c r="D82" s="25" t="n">
        <f aca="false">MAX(D79*UF_Gross_MOIC-D81,0)</f>
        <v>0</v>
      </c>
      <c r="E82" s="25" t="n">
        <f aca="false">MAX(E79*UF_Gross_MOIC-E81,0)</f>
        <v>0</v>
      </c>
      <c r="F82" s="25" t="n">
        <f aca="false">MAX(F79*UF_Gross_MOIC-F81,0)</f>
        <v>0</v>
      </c>
      <c r="G82" s="25" t="n">
        <f aca="false">MAX(G79*UF_Gross_MOIC-G81,0)</f>
        <v>37.5</v>
      </c>
      <c r="H82" s="25" t="n">
        <f aca="false">MAX(H79*UF_Gross_MOIC-H81,0)</f>
        <v>75</v>
      </c>
      <c r="I82" s="25" t="n">
        <f aca="false">MAX(I79*UF_Gross_MOIC-I81,0)</f>
        <v>105</v>
      </c>
      <c r="J82" s="25" t="n">
        <f aca="false">MAX(J79*UF_Gross_MOIC-J81,0)</f>
        <v>118.392857142857</v>
      </c>
      <c r="K82" s="25" t="n">
        <f aca="false">MAX(K79*UF_Gross_MOIC-K81,0)</f>
        <v>119.464285714286</v>
      </c>
      <c r="L82" s="25" t="n">
        <f aca="false">MAX(L79*UF_Gross_MOIC-L81,0)</f>
        <v>87.3214285714286</v>
      </c>
      <c r="M82" s="25" t="n">
        <f aca="false">MAX(M79*UF_Gross_MOIC-M81,0)</f>
        <v>44.4642857142857</v>
      </c>
      <c r="N82" s="25" t="n">
        <f aca="false">MAX(N79*UF_Gross_MOIC-N81,0)</f>
        <v>12.3214285714286</v>
      </c>
    </row>
    <row r="83" customFormat="false" ht="15" hidden="false" customHeight="false" outlineLevel="0" collapsed="false">
      <c r="B83" s="24" t="s">
        <v>117</v>
      </c>
      <c r="C83" s="25" t="n">
        <f aca="false">IF(COLUMN()-2&lt;5,0,IF(COLUMN()-2&lt;=5+UF_Fund_Life-1,SUM(C77:N77)*UF_Mgmt_Fee,0))+MAX(C80-C80/UF_Gross_MOIC*(1+UF_Hurdle),0)*UF_Carry_Pct</f>
        <v>0</v>
      </c>
      <c r="D83" s="25" t="n">
        <f aca="false">IF(COLUMN()-2&lt;5,0,IF(COLUMN()-2&lt;=5+UF_Fund_Life-1,SUM(C77:N77)*UF_Mgmt_Fee,0))+MAX(D80-D80/UF_Gross_MOIC*(1+UF_Hurdle),0)*UF_Carry_Pct</f>
        <v>0</v>
      </c>
      <c r="E83" s="25" t="n">
        <f aca="false">IF(COLUMN()-2&lt;5,0,IF(COLUMN()-2&lt;=5+UF_Fund_Life-1,SUM(C77:N77)*UF_Mgmt_Fee,0))+MAX(E80-E80/UF_Gross_MOIC*(1+UF_Hurdle),0)*UF_Carry_Pct</f>
        <v>0</v>
      </c>
      <c r="F83" s="25" t="n">
        <f aca="false">IF(COLUMN()-2&lt;5,0,IF(COLUMN()-2&lt;=5+UF_Fund_Life-1,SUM(C77:N77)*UF_Mgmt_Fee,0))+MAX(F80-F80/UF_Gross_MOIC*(1+UF_Hurdle),0)*UF_Carry_Pct</f>
        <v>0</v>
      </c>
      <c r="G83" s="25" t="n">
        <f aca="false">IF(COLUMN()-2&lt;5,0,IF(COLUMN()-2&lt;=5+UF_Fund_Life-1,SUM(C77:N77)*UF_Mgmt_Fee,0))+MAX(G80-G80/UF_Gross_MOIC*(1+UF_Hurdle),0)*UF_Carry_Pct</f>
        <v>1.5</v>
      </c>
      <c r="H83" s="25" t="n">
        <f aca="false">IF(COLUMN()-2&lt;5,0,IF(COLUMN()-2&lt;=5+UF_Fund_Life-1,SUM(C77:N77)*UF_Mgmt_Fee,0))+MAX(H80-H80/UF_Gross_MOIC*(1+UF_Hurdle),0)*UF_Carry_Pct</f>
        <v>1.5</v>
      </c>
      <c r="I83" s="25" t="n">
        <f aca="false">IF(COLUMN()-2&lt;5,0,IF(COLUMN()-2&lt;=5+UF_Fund_Life-1,SUM(C77:N77)*UF_Mgmt_Fee,0))+MAX(I80-I80/UF_Gross_MOIC*(1+UF_Hurdle),0)*UF_Carry_Pct</f>
        <v>1.5</v>
      </c>
      <c r="J83" s="25" t="n">
        <f aca="false">IF(COLUMN()-2&lt;5,0,IF(COLUMN()-2&lt;=5+UF_Fund_Life-1,SUM(C77:N77)*UF_Mgmt_Fee,0))+MAX(J80-J80/UF_Gross_MOIC*(1+UF_Hurdle),0)*UF_Carry_Pct</f>
        <v>2.33785714285714</v>
      </c>
      <c r="K83" s="25" t="n">
        <f aca="false">IF(COLUMN()-2&lt;5,0,IF(COLUMN()-2&lt;=5+UF_Fund_Life-1,SUM(C77:N77)*UF_Mgmt_Fee,0))+MAX(K80-K80/UF_Gross_MOIC*(1+UF_Hurdle),0)*UF_Carry_Pct</f>
        <v>3.47142857142857</v>
      </c>
      <c r="L83" s="25" t="n">
        <f aca="false">IF(COLUMN()-2&lt;5,0,IF(COLUMN()-2&lt;=5+UF_Fund_Life-1,SUM(C77:N77)*UF_Mgmt_Fee,0))+MAX(L80-L80/UF_Gross_MOIC*(1+UF_Hurdle),0)*UF_Carry_Pct</f>
        <v>4.45714285714286</v>
      </c>
      <c r="M83" s="25" t="n">
        <f aca="false">IF(COLUMN()-2&lt;5,0,IF(COLUMN()-2&lt;=5+UF_Fund_Life-1,SUM(C77:N77)*UF_Mgmt_Fee,0))+MAX(M80-M80/UF_Gross_MOIC*(1+UF_Hurdle),0)*UF_Carry_Pct</f>
        <v>5.44285714285714</v>
      </c>
      <c r="N83" s="25" t="n">
        <f aca="false">IF(COLUMN()-2&lt;5,0,IF(COLUMN()-2&lt;=5+UF_Fund_Life-1,SUM(C77:N77)*UF_Mgmt_Fee,0))+MAX(N80-N80/UF_Gross_MOIC*(1+UF_Hurdle),0)*UF_Carry_Pct</f>
        <v>4.45714285714286</v>
      </c>
    </row>
    <row r="84" customFormat="false" ht="15" hidden="false" customHeight="false" outlineLevel="0" collapsed="false">
      <c r="B84" s="24" t="s">
        <v>118</v>
      </c>
      <c r="C84" s="25" t="n">
        <f aca="false">MAX(C80-C83,0)</f>
        <v>0</v>
      </c>
      <c r="D84" s="25" t="n">
        <f aca="false">MAX(D80-D83,0)</f>
        <v>0</v>
      </c>
      <c r="E84" s="25" t="n">
        <f aca="false">MAX(E80-E83,0)</f>
        <v>0</v>
      </c>
      <c r="F84" s="25" t="n">
        <f aca="false">MAX(F80-F83,0)</f>
        <v>0</v>
      </c>
      <c r="G84" s="25" t="n">
        <f aca="false">MAX(G80-G83,0)</f>
        <v>0</v>
      </c>
      <c r="H84" s="25" t="n">
        <f aca="false">MAX(H80-H83,0)</f>
        <v>0</v>
      </c>
      <c r="I84" s="25" t="n">
        <f aca="false">MAX(I80-I83,0)</f>
        <v>0</v>
      </c>
      <c r="J84" s="25" t="n">
        <f aca="false">MAX(J80-J83,0)</f>
        <v>6.76928571428572</v>
      </c>
      <c r="K84" s="25" t="n">
        <f aca="false">MAX(K80-K83,0)</f>
        <v>17.9571428571429</v>
      </c>
      <c r="L84" s="25" t="n">
        <f aca="false">MAX(L80-L83,0)</f>
        <v>27.6857142857143</v>
      </c>
      <c r="M84" s="25" t="n">
        <f aca="false">MAX(M80-M83,0)</f>
        <v>37.4142857142857</v>
      </c>
      <c r="N84" s="25" t="n">
        <f aca="false">MAX(N80-N83,0)</f>
        <v>27.6857142857143</v>
      </c>
    </row>
    <row r="85" customFormat="false" ht="15" hidden="false" customHeight="false" outlineLevel="0" collapsed="false">
      <c r="B85" s="24" t="s">
        <v>119</v>
      </c>
      <c r="C85" s="25" t="n">
        <f aca="false">C84</f>
        <v>0</v>
      </c>
      <c r="D85" s="25" t="n">
        <f aca="false">C85+D84</f>
        <v>0</v>
      </c>
      <c r="E85" s="25" t="n">
        <f aca="false">D85+E84</f>
        <v>0</v>
      </c>
      <c r="F85" s="25" t="n">
        <f aca="false">E85+F84</f>
        <v>0</v>
      </c>
      <c r="G85" s="25" t="n">
        <f aca="false">F85+G84</f>
        <v>0</v>
      </c>
      <c r="H85" s="25" t="n">
        <f aca="false">G85+H84</f>
        <v>0</v>
      </c>
      <c r="I85" s="25" t="n">
        <f aca="false">H85+I84</f>
        <v>0</v>
      </c>
      <c r="J85" s="25" t="n">
        <f aca="false">I85+J84</f>
        <v>6.76928571428572</v>
      </c>
      <c r="K85" s="25" t="n">
        <f aca="false">J85+K84</f>
        <v>24.7264285714286</v>
      </c>
      <c r="L85" s="25" t="n">
        <f aca="false">K85+L84</f>
        <v>52.4121428571429</v>
      </c>
      <c r="M85" s="25" t="n">
        <f aca="false">L85+M84</f>
        <v>89.8264285714286</v>
      </c>
      <c r="N85" s="25" t="n">
        <f aca="false">M85+N84</f>
        <v>117.512142857143</v>
      </c>
    </row>
    <row r="86" customFormat="false" ht="15" hidden="false" customHeight="false" outlineLevel="0" collapsed="false">
      <c r="B86" s="16" t="s">
        <v>127</v>
      </c>
      <c r="C86" s="17"/>
      <c r="D86" s="17"/>
      <c r="E86" s="17"/>
      <c r="F86" s="17"/>
      <c r="G86" s="17"/>
      <c r="H86" s="17"/>
      <c r="I86" s="17"/>
      <c r="J86" s="17"/>
      <c r="K86" s="17"/>
      <c r="L86" s="17"/>
      <c r="M86" s="17"/>
      <c r="N86" s="17"/>
    </row>
    <row r="87" customFormat="false" ht="15" hidden="false" customHeight="false" outlineLevel="0" collapsed="false">
      <c r="B87" s="26" t="s">
        <v>128</v>
      </c>
      <c r="C87" s="27" t="n">
        <f aca="false">C8+C18+C28+C38+C48+C58+C68+C78</f>
        <v>31.25</v>
      </c>
      <c r="D87" s="27" t="n">
        <f aca="false">D8+D18+D28+D38+D48+D58+D68+D78</f>
        <v>62.5</v>
      </c>
      <c r="E87" s="27" t="n">
        <f aca="false">E8+E18+E28+E38+E48+E58+E68+E78</f>
        <v>81.25</v>
      </c>
      <c r="F87" s="27" t="n">
        <f aca="false">F8+F18+F28+F38+F48+F58+F68+F78</f>
        <v>87.5</v>
      </c>
      <c r="G87" s="27" t="n">
        <f aca="false">G8+G18+G28+G38+G48+G58+G68+G78</f>
        <v>95</v>
      </c>
      <c r="H87" s="27" t="n">
        <f aca="false">H8+H18+H28+H38+H48+H58+H68+H78</f>
        <v>67.5</v>
      </c>
      <c r="I87" s="27" t="n">
        <f aca="false">I8+I18+I28+I38+I48+I58+I68+I78</f>
        <v>41.25</v>
      </c>
      <c r="J87" s="27" t="n">
        <f aca="false">J8+J18+J28+J38+J48+J58+J68+J78</f>
        <v>22.5</v>
      </c>
      <c r="K87" s="27" t="n">
        <f aca="false">K8+K18+K28+K38+K48+K58+K68+K78</f>
        <v>11.25</v>
      </c>
      <c r="L87" s="27" t="n">
        <f aca="false">L8+L18+L28+L38+L48+L58+L68+L78</f>
        <v>0</v>
      </c>
      <c r="M87" s="27" t="n">
        <f aca="false">M8+M18+M28+M38+M48+M58+M68+M78</f>
        <v>0</v>
      </c>
      <c r="N87" s="27" t="n">
        <f aca="false">N8+N18+N28+N38+N48+N58+N68+N78</f>
        <v>0</v>
      </c>
    </row>
    <row r="88" customFormat="false" ht="15" hidden="false" customHeight="false" outlineLevel="0" collapsed="false">
      <c r="B88" s="26" t="s">
        <v>129</v>
      </c>
      <c r="C88" s="27" t="n">
        <f aca="false">C14+C24+C34+C44+C54+C64+C74+C84</f>
        <v>0</v>
      </c>
      <c r="D88" s="27" t="n">
        <f aca="false">D14+D24+D34+D44+D54+D64+D74+D84</f>
        <v>0</v>
      </c>
      <c r="E88" s="27" t="n">
        <f aca="false">E14+E24+E34+E44+E54+E64+E74+E84</f>
        <v>0</v>
      </c>
      <c r="F88" s="27" t="n">
        <f aca="false">F14+F24+F34+F44+F54+F64+F74+F84</f>
        <v>11.2821428571429</v>
      </c>
      <c r="G88" s="27" t="n">
        <f aca="false">G14+G24+G34+G44+G54+G64+G74+G84</f>
        <v>41.2107142857143</v>
      </c>
      <c r="H88" s="27" t="n">
        <f aca="false">H14+H24+H34+H44+H54+H64+H74+H84</f>
        <v>85.0971428571429</v>
      </c>
      <c r="I88" s="27" t="n">
        <f aca="false">I14+I24+I34+I44+I54+I64+I74+I84</f>
        <v>139.212142857143</v>
      </c>
      <c r="J88" s="27" t="n">
        <f aca="false">J14+J24+J34+J44+J54+J64+J74+J84</f>
        <v>170.140714285714</v>
      </c>
      <c r="K88" s="27" t="n">
        <f aca="false">K14+K24+K34+K44+K54+K64+K74+K84</f>
        <v>171.6</v>
      </c>
      <c r="L88" s="27" t="n">
        <f aca="false">L14+L24+L34+L44+L54+L64+L74+L84</f>
        <v>145.657142857143</v>
      </c>
      <c r="M88" s="27" t="n">
        <f aca="false">M14+M24+M34+M44+M54+M64+M74+M84</f>
        <v>102.757142857143</v>
      </c>
      <c r="N88" s="27" t="n">
        <f aca="false">N14+N24+N34+N44+N54+N64+N74+N84</f>
        <v>56.6142857142857</v>
      </c>
    </row>
    <row r="89" customFormat="false" ht="15" hidden="false" customHeight="false" outlineLevel="0" collapsed="false">
      <c r="B89" s="26" t="s">
        <v>130</v>
      </c>
      <c r="C89" s="27" t="n">
        <f aca="false">C12+C22+C32+C42+C52+C62+C72+C82</f>
        <v>62.5</v>
      </c>
      <c r="D89" s="27" t="n">
        <f aca="false">D12+D22+D32+D42+D52+D62+D72+D82</f>
        <v>187.5</v>
      </c>
      <c r="E89" s="27" t="n">
        <f aca="false">E12+E22+E32+E42+E52+E62+E72+E82</f>
        <v>350</v>
      </c>
      <c r="F89" s="27" t="n">
        <f aca="false">F12+F22+F32+F42+F52+F62+F72+F82</f>
        <v>509.821428571429</v>
      </c>
      <c r="G89" s="27" t="n">
        <f aca="false">G12+G22+G32+G42+G52+G62+G72+G82</f>
        <v>648.928571428571</v>
      </c>
      <c r="H89" s="27" t="n">
        <f aca="false">H12+H22+H32+H42+H52+H62+H72+H82</f>
        <v>682.5</v>
      </c>
      <c r="I89" s="27" t="n">
        <f aca="false">I12+I22+I32+I42+I52+I62+I72+I82</f>
        <v>602.321428571428</v>
      </c>
      <c r="J89" s="27" t="n">
        <f aca="false">J12+J22+J32+J42+J52+J62+J72+J82</f>
        <v>448.928571428571</v>
      </c>
      <c r="K89" s="27" t="n">
        <f aca="false">K12+K22+K32+K42+K52+K62+K72+K82</f>
        <v>286.607142857143</v>
      </c>
      <c r="L89" s="27" t="n">
        <f aca="false">L12+L22+L32+L42+L52+L62+L72+L82</f>
        <v>148.214285714286</v>
      </c>
      <c r="M89" s="27" t="n">
        <f aca="false">M12+M22+M32+M42+M52+M62+M72+M82</f>
        <v>56.7857142857143</v>
      </c>
      <c r="N89" s="27" t="n">
        <f aca="false">N12+N22+N32+N42+N52+N62+N72+N82</f>
        <v>12.3214285714286</v>
      </c>
    </row>
    <row r="90" customFormat="false" ht="15" hidden="false" customHeight="false" outlineLevel="0" collapsed="false">
      <c r="B90" s="26" t="s">
        <v>131</v>
      </c>
      <c r="C90" s="27" t="n">
        <f aca="false">C10+C20+C30+C40+C50+C60+C70+C80</f>
        <v>0</v>
      </c>
      <c r="D90" s="27" t="n">
        <f aca="false">D10+D20+D30+D40+D50+D60+D70+D80</f>
        <v>0</v>
      </c>
      <c r="E90" s="27" t="n">
        <f aca="false">E10+E20+E30+E40+E50+E60+E70+E80</f>
        <v>0</v>
      </c>
      <c r="F90" s="27" t="n">
        <f aca="false">F10+F20+F30+F40+F50+F60+F70+F80</f>
        <v>15.1785714285714</v>
      </c>
      <c r="G90" s="27" t="n">
        <f aca="false">G10+G20+G30+G40+G50+G60+G70+G80</f>
        <v>50.8928571428571</v>
      </c>
      <c r="H90" s="27" t="n">
        <f aca="false">H10+H20+H30+H40+H50+H60+H70+H80</f>
        <v>101.428571428571</v>
      </c>
      <c r="I90" s="27" t="n">
        <f aca="false">I10+I20+I30+I40+I50+I60+I70+I80</f>
        <v>162.678571428571</v>
      </c>
      <c r="J90" s="27" t="n">
        <f aca="false">J10+J20+J30+J40+J50+J60+J70+J80</f>
        <v>198.392857142857</v>
      </c>
      <c r="K90" s="27" t="n">
        <f aca="false">K10+K20+K30+K40+K50+K60+K70+K80</f>
        <v>200</v>
      </c>
      <c r="L90" s="27" t="n">
        <f aca="false">L10+L20+L30+L40+L50+L60+L70+L80</f>
        <v>171.428571428571</v>
      </c>
      <c r="M90" s="27" t="n">
        <f aca="false">M10+M20+M30+M40+M50+M60+M70+M80</f>
        <v>121.428571428571</v>
      </c>
      <c r="N90" s="27" t="n">
        <f aca="false">N10+N20+N30+N40+N50+N60+N70+N80</f>
        <v>67.8571428571429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4" min="3" style="0" width="14"/>
  </cols>
  <sheetData>
    <row r="1" customFormat="false" ht="15" hidden="false" customHeight="false" outlineLevel="0" collapsed="false">
      <c r="A1" s="1"/>
      <c r="B1" s="2"/>
      <c r="C1" s="2"/>
      <c r="D1" s="2"/>
      <c r="E1" s="2"/>
      <c r="F1" s="2"/>
      <c r="G1" s="2"/>
      <c r="H1" s="2"/>
      <c r="I1" s="2"/>
      <c r="J1" s="2"/>
      <c r="K1" s="2"/>
      <c r="L1" s="2"/>
      <c r="M1" s="2"/>
      <c r="N1" s="2"/>
      <c r="O1" s="1"/>
      <c r="P1" s="1"/>
      <c r="Q1" s="1"/>
      <c r="R1" s="1"/>
      <c r="S1" s="1"/>
      <c r="T1" s="1"/>
      <c r="U1" s="1"/>
      <c r="V1" s="1"/>
      <c r="W1" s="1"/>
      <c r="X1" s="1"/>
      <c r="Y1" s="1"/>
      <c r="Z1" s="1"/>
      <c r="AA1" s="1"/>
      <c r="AB1" s="1"/>
      <c r="AC1" s="1"/>
      <c r="AD1" s="1"/>
    </row>
    <row r="2" customFormat="false" ht="21.75" hidden="false" customHeight="true" outlineLevel="0" collapsed="false">
      <c r="A2" s="1"/>
      <c r="B2" s="3" t="s">
        <v>132</v>
      </c>
      <c r="C2" s="2"/>
      <c r="D2" s="2"/>
      <c r="E2" s="2"/>
      <c r="F2" s="2"/>
      <c r="G2" s="2"/>
      <c r="H2" s="2"/>
      <c r="I2" s="2"/>
      <c r="J2" s="2"/>
      <c r="K2" s="2"/>
      <c r="L2" s="2"/>
      <c r="M2" s="2"/>
      <c r="N2" s="2"/>
      <c r="O2" s="1"/>
      <c r="P2" s="1"/>
      <c r="Q2" s="1"/>
      <c r="R2" s="1"/>
      <c r="S2" s="1"/>
      <c r="T2" s="1"/>
      <c r="U2" s="1"/>
      <c r="V2" s="1"/>
      <c r="W2" s="1"/>
      <c r="X2" s="1"/>
      <c r="Y2" s="1"/>
      <c r="Z2" s="1"/>
      <c r="AA2" s="1"/>
      <c r="AB2" s="1"/>
      <c r="AC2" s="1"/>
      <c r="AD2" s="1"/>
    </row>
    <row r="3" customFormat="false" ht="15" hidden="false" customHeight="false" outlineLevel="0" collapsed="false">
      <c r="A3" s="1"/>
      <c r="B3" s="5" t="s">
        <v>133</v>
      </c>
      <c r="C3" s="2"/>
      <c r="D3" s="2"/>
      <c r="E3" s="2"/>
      <c r="F3" s="2"/>
      <c r="G3" s="2"/>
      <c r="H3" s="2"/>
      <c r="I3" s="2"/>
      <c r="J3" s="2"/>
      <c r="K3" s="2"/>
      <c r="L3" s="2"/>
      <c r="M3" s="2"/>
      <c r="N3" s="2"/>
      <c r="O3" s="1"/>
      <c r="P3" s="1"/>
      <c r="Q3" s="1"/>
      <c r="R3" s="1"/>
      <c r="S3" s="1"/>
      <c r="T3" s="1"/>
      <c r="U3" s="1"/>
      <c r="V3" s="1"/>
      <c r="W3" s="1"/>
      <c r="X3" s="1"/>
      <c r="Y3" s="1"/>
      <c r="Z3" s="1"/>
      <c r="AA3" s="1"/>
      <c r="AB3" s="1"/>
      <c r="AC3" s="1"/>
      <c r="AD3" s="1"/>
    </row>
    <row r="4" customFormat="false" ht="15" hidden="false" customHeight="false" outlineLevel="0" collapsed="false">
      <c r="B4" s="14" t="s">
        <v>109</v>
      </c>
      <c r="C4" s="23" t="n">
        <f aca="false">COLUMN()-2</f>
        <v>1</v>
      </c>
      <c r="D4" s="23" t="n">
        <f aca="false">COLUMN()-2</f>
        <v>2</v>
      </c>
      <c r="E4" s="23" t="n">
        <f aca="false">COLUMN()-2</f>
        <v>3</v>
      </c>
      <c r="F4" s="23" t="n">
        <f aca="false">COLUMN()-2</f>
        <v>4</v>
      </c>
      <c r="G4" s="23" t="n">
        <f aca="false">COLUMN()-2</f>
        <v>5</v>
      </c>
      <c r="H4" s="23" t="n">
        <f aca="false">COLUMN()-2</f>
        <v>6</v>
      </c>
      <c r="I4" s="23" t="n">
        <f aca="false">COLUMN()-2</f>
        <v>7</v>
      </c>
      <c r="J4" s="23" t="n">
        <f aca="false">COLUMN()-2</f>
        <v>8</v>
      </c>
      <c r="K4" s="23" t="n">
        <f aca="false">COLUMN()-2</f>
        <v>9</v>
      </c>
      <c r="L4" s="23" t="n">
        <f aca="false">COLUMN()-2</f>
        <v>10</v>
      </c>
      <c r="M4" s="23" t="n">
        <f aca="false">COLUMN()-2</f>
        <v>11</v>
      </c>
      <c r="N4" s="23" t="n">
        <f aca="false">COLUMN()-2</f>
        <v>12</v>
      </c>
    </row>
    <row r="5" customFormat="false" ht="15" hidden="false" customHeight="false" outlineLevel="0" collapsed="false">
      <c r="B5" s="8" t="s">
        <v>134</v>
      </c>
      <c r="C5" s="28" t="n">
        <f aca="false">COLUMN()-2</f>
        <v>1</v>
      </c>
      <c r="D5" s="28" t="n">
        <f aca="false">COLUMN()-2</f>
        <v>2</v>
      </c>
      <c r="E5" s="28" t="n">
        <f aca="false">COLUMN()-2</f>
        <v>3</v>
      </c>
      <c r="F5" s="28" t="n">
        <f aca="false">COLUMN()-2</f>
        <v>4</v>
      </c>
      <c r="G5" s="28" t="n">
        <f aca="false">COLUMN()-2</f>
        <v>5</v>
      </c>
      <c r="H5" s="28" t="n">
        <f aca="false">COLUMN()-2</f>
        <v>6</v>
      </c>
      <c r="I5" s="28" t="n">
        <f aca="false">COLUMN()-2</f>
        <v>7</v>
      </c>
      <c r="J5" s="28" t="n">
        <f aca="false">COLUMN()-2</f>
        <v>8</v>
      </c>
      <c r="K5" s="28" t="n">
        <f aca="false">COLUMN()-2</f>
        <v>9</v>
      </c>
      <c r="L5" s="28" t="n">
        <f aca="false">COLUMN()-2</f>
        <v>10</v>
      </c>
      <c r="M5" s="28" t="n">
        <f aca="false">COLUMN()-2</f>
        <v>11</v>
      </c>
      <c r="N5" s="28" t="n">
        <f aca="false">COLUMN()-2</f>
        <v>12</v>
      </c>
    </row>
    <row r="6" customFormat="false" ht="15" hidden="false" customHeight="false" outlineLevel="0" collapsed="false">
      <c r="B6" s="6"/>
      <c r="C6" s="6"/>
      <c r="D6" s="6"/>
      <c r="E6" s="6"/>
      <c r="F6" s="6"/>
      <c r="G6" s="6"/>
      <c r="H6" s="6"/>
      <c r="I6" s="6"/>
      <c r="J6" s="6"/>
      <c r="K6" s="6"/>
      <c r="L6" s="6"/>
      <c r="M6" s="6"/>
      <c r="N6" s="6"/>
    </row>
    <row r="7" customFormat="false" ht="15" hidden="false" customHeight="false" outlineLevel="0" collapsed="false">
      <c r="B7" s="16" t="s">
        <v>135</v>
      </c>
      <c r="C7" s="17"/>
      <c r="D7" s="17"/>
      <c r="E7" s="17"/>
      <c r="F7" s="17"/>
      <c r="G7" s="17"/>
      <c r="H7" s="17"/>
      <c r="I7" s="17"/>
      <c r="J7" s="17"/>
      <c r="K7" s="17"/>
      <c r="L7" s="17"/>
      <c r="M7" s="17"/>
      <c r="N7" s="17"/>
    </row>
    <row r="8" customFormat="false" ht="15" hidden="false" customHeight="false" outlineLevel="0" collapsed="false">
      <c r="B8" s="24" t="s">
        <v>136</v>
      </c>
      <c r="C8" s="25" t="n">
        <f aca="true">INDEX(UF_Total_Called,1,1)</f>
        <v>31.25</v>
      </c>
      <c r="D8" s="25" t="n">
        <f aca="true">INDEX(UF_Total_Called,1,2)</f>
        <v>62.5</v>
      </c>
      <c r="E8" s="25" t="n">
        <f aca="true">INDEX(UF_Total_Called,1,3)</f>
        <v>81.25</v>
      </c>
      <c r="F8" s="25" t="n">
        <f aca="true">INDEX(UF_Total_Called,1,4)</f>
        <v>87.5</v>
      </c>
      <c r="G8" s="25" t="n">
        <f aca="true">INDEX(UF_Total_Called,1,5)</f>
        <v>95</v>
      </c>
      <c r="H8" s="25" t="n">
        <f aca="true">INDEX(UF_Total_Called,1,6)</f>
        <v>67.5</v>
      </c>
      <c r="I8" s="25" t="n">
        <f aca="true">INDEX(UF_Total_Called,1,7)</f>
        <v>41.25</v>
      </c>
      <c r="J8" s="25" t="n">
        <f aca="true">INDEX(UF_Total_Called,1,8)</f>
        <v>22.5</v>
      </c>
      <c r="K8" s="25" t="n">
        <f aca="true">INDEX(UF_Total_Called,1,9)</f>
        <v>11.25</v>
      </c>
      <c r="L8" s="25" t="n">
        <f aca="true">INDEX(UF_Total_Called,1,10)</f>
        <v>0</v>
      </c>
      <c r="M8" s="25" t="n">
        <f aca="true">INDEX(UF_Total_Called,1,11)</f>
        <v>0</v>
      </c>
      <c r="N8" s="25" t="n">
        <f aca="true">INDEX(UF_Total_Called,1,12)</f>
        <v>0</v>
      </c>
    </row>
    <row r="9" customFormat="false" ht="15" hidden="false" customHeight="false" outlineLevel="0" collapsed="false">
      <c r="B9" s="24" t="s">
        <v>137</v>
      </c>
      <c r="C9" s="25" t="n">
        <f aca="true">INDEX(UF_Total_Net_Dist,1,1)</f>
        <v>0</v>
      </c>
      <c r="D9" s="25" t="n">
        <f aca="true">INDEX(UF_Total_Net_Dist,1,2)</f>
        <v>0</v>
      </c>
      <c r="E9" s="25" t="n">
        <f aca="true">INDEX(UF_Total_Net_Dist,1,3)</f>
        <v>0</v>
      </c>
      <c r="F9" s="25" t="n">
        <f aca="true">INDEX(UF_Total_Net_Dist,1,4)</f>
        <v>11.2821428571429</v>
      </c>
      <c r="G9" s="25" t="n">
        <f aca="true">INDEX(UF_Total_Net_Dist,1,5)</f>
        <v>41.2107142857143</v>
      </c>
      <c r="H9" s="25" t="n">
        <f aca="true">INDEX(UF_Total_Net_Dist,1,6)</f>
        <v>85.0971428571429</v>
      </c>
      <c r="I9" s="25" t="n">
        <f aca="true">INDEX(UF_Total_Net_Dist,1,7)</f>
        <v>139.212142857143</v>
      </c>
      <c r="J9" s="25" t="n">
        <f aca="true">INDEX(UF_Total_Net_Dist,1,8)</f>
        <v>170.140714285714</v>
      </c>
      <c r="K9" s="25" t="n">
        <f aca="true">INDEX(UF_Total_Net_Dist,1,9)</f>
        <v>171.6</v>
      </c>
      <c r="L9" s="25" t="n">
        <f aca="true">INDEX(UF_Total_Net_Dist,1,10)</f>
        <v>145.657142857143</v>
      </c>
      <c r="M9" s="25" t="n">
        <f aca="true">INDEX(UF_Total_Net_Dist,1,11)</f>
        <v>102.757142857143</v>
      </c>
      <c r="N9" s="25" t="n">
        <f aca="true">INDEX(UF_Total_Net_Dist,1,12)</f>
        <v>56.6142857142857</v>
      </c>
    </row>
    <row r="10" customFormat="false" ht="15" hidden="false" customHeight="false" outlineLevel="0" collapsed="false">
      <c r="B10" s="29" t="s">
        <v>138</v>
      </c>
      <c r="C10" s="30" t="n">
        <f aca="false">C9-C8</f>
        <v>-31.25</v>
      </c>
      <c r="D10" s="30" t="n">
        <f aca="false">D9-D8</f>
        <v>-62.5</v>
      </c>
      <c r="E10" s="30" t="n">
        <f aca="false">E9-E8</f>
        <v>-81.25</v>
      </c>
      <c r="F10" s="30" t="n">
        <f aca="false">F9-F8</f>
        <v>-76.2178571428571</v>
      </c>
      <c r="G10" s="30" t="n">
        <f aca="false">G9-G8</f>
        <v>-53.7892857142857</v>
      </c>
      <c r="H10" s="30" t="n">
        <f aca="false">H9-H8</f>
        <v>17.5971428571429</v>
      </c>
      <c r="I10" s="30" t="n">
        <f aca="false">I9-I8</f>
        <v>97.9621428571429</v>
      </c>
      <c r="J10" s="30" t="n">
        <f aca="false">J9-J8</f>
        <v>147.640714285714</v>
      </c>
      <c r="K10" s="30" t="n">
        <f aca="false">K9-K8</f>
        <v>160.35</v>
      </c>
      <c r="L10" s="30" t="n">
        <f aca="false">L9-L8</f>
        <v>145.657142857143</v>
      </c>
      <c r="M10" s="30" t="n">
        <f aca="false">M9-M8</f>
        <v>102.757142857143</v>
      </c>
      <c r="N10" s="30" t="n">
        <f aca="false">N9-N8</f>
        <v>56.6142857142857</v>
      </c>
    </row>
    <row r="11" customFormat="false" ht="15" hidden="false" customHeight="false" outlineLevel="0" collapsed="false">
      <c r="B11" s="6"/>
      <c r="C11" s="6"/>
      <c r="D11" s="6"/>
      <c r="E11" s="6"/>
      <c r="F11" s="6"/>
      <c r="G11" s="6"/>
      <c r="H11" s="6"/>
      <c r="I11" s="6"/>
      <c r="J11" s="6"/>
      <c r="K11" s="6"/>
      <c r="L11" s="6"/>
      <c r="M11" s="6"/>
      <c r="N11" s="6"/>
    </row>
    <row r="12" customFormat="false" ht="15" hidden="false" customHeight="false" outlineLevel="0" collapsed="false">
      <c r="B12" s="16" t="s">
        <v>46</v>
      </c>
      <c r="C12" s="17"/>
      <c r="D12" s="17"/>
      <c r="E12" s="17"/>
      <c r="F12" s="17"/>
      <c r="G12" s="17"/>
      <c r="H12" s="17"/>
      <c r="I12" s="17"/>
      <c r="J12" s="17"/>
      <c r="K12" s="17"/>
      <c r="L12" s="17"/>
      <c r="M12" s="17"/>
      <c r="N12" s="17"/>
    </row>
    <row r="13" customFormat="false" ht="15" hidden="false" customHeight="false" outlineLevel="0" collapsed="false">
      <c r="B13" s="24" t="s">
        <v>139</v>
      </c>
      <c r="C13" s="25" t="n">
        <f aca="true">IF(C5&lt;=Commit_Period,FoF_Size*FoF_Mgmt_Fee_Commit,INDEX(UF_Total_NAV,1,1)*FoF_Mgmt_Fee_NAV)</f>
        <v>3.75</v>
      </c>
      <c r="D13" s="25" t="n">
        <f aca="true">IF(D5&lt;=Commit_Period,FoF_Size*FoF_Mgmt_Fee_Commit,INDEX(UF_Total_NAV,1,2)*FoF_Mgmt_Fee_NAV)</f>
        <v>3.75</v>
      </c>
      <c r="E13" s="25" t="n">
        <f aca="true">IF(E5&lt;=Commit_Period,FoF_Size*FoF_Mgmt_Fee_Commit,INDEX(UF_Total_NAV,1,3)*FoF_Mgmt_Fee_NAV)</f>
        <v>3.75</v>
      </c>
      <c r="F13" s="25" t="n">
        <f aca="true">IF(F5&lt;=Commit_Period,FoF_Size*FoF_Mgmt_Fee_Commit,INDEX(UF_Total_NAV,1,4)*FoF_Mgmt_Fee_NAV)</f>
        <v>3.75</v>
      </c>
      <c r="G13" s="25" t="n">
        <f aca="true">IF(G5&lt;=Commit_Period,FoF_Size*FoF_Mgmt_Fee_Commit,INDEX(UF_Total_NAV,1,5)*FoF_Mgmt_Fee_NAV)</f>
        <v>3.75</v>
      </c>
      <c r="H13" s="25" t="n">
        <f aca="true">IF(H5&lt;=Commit_Period,FoF_Size*FoF_Mgmt_Fee_Commit,INDEX(UF_Total_NAV,1,6)*FoF_Mgmt_Fee_NAV)</f>
        <v>3.4125</v>
      </c>
      <c r="I13" s="25" t="n">
        <f aca="true">IF(I5&lt;=Commit_Period,FoF_Size*FoF_Mgmt_Fee_Commit,INDEX(UF_Total_NAV,1,7)*FoF_Mgmt_Fee_NAV)</f>
        <v>3.01160714285714</v>
      </c>
      <c r="J13" s="25" t="n">
        <f aca="true">IF(J5&lt;=Commit_Period,FoF_Size*FoF_Mgmt_Fee_Commit,INDEX(UF_Total_NAV,1,8)*FoF_Mgmt_Fee_NAV)</f>
        <v>2.24464285714286</v>
      </c>
      <c r="K13" s="25" t="n">
        <f aca="true">IF(K5&lt;=Commit_Period,FoF_Size*FoF_Mgmt_Fee_Commit,INDEX(UF_Total_NAV,1,9)*FoF_Mgmt_Fee_NAV)</f>
        <v>1.43303571428571</v>
      </c>
      <c r="L13" s="25" t="n">
        <f aca="true">IF(L5&lt;=Commit_Period,FoF_Size*FoF_Mgmt_Fee_Commit,INDEX(UF_Total_NAV,1,10)*FoF_Mgmt_Fee_NAV)</f>
        <v>0.741071428571429</v>
      </c>
      <c r="M13" s="25" t="n">
        <f aca="true">IF(M5&lt;=Commit_Period,FoF_Size*FoF_Mgmt_Fee_Commit,INDEX(UF_Total_NAV,1,11)*FoF_Mgmt_Fee_NAV)</f>
        <v>0.283928571428572</v>
      </c>
      <c r="N13" s="25" t="n">
        <f aca="true">IF(N5&lt;=Commit_Period,FoF_Size*FoF_Mgmt_Fee_Commit,INDEX(UF_Total_NAV,1,12)*FoF_Mgmt_Fee_NAV)</f>
        <v>0.0616071428571429</v>
      </c>
    </row>
    <row r="14" customFormat="false" ht="15" hidden="false" customHeight="false" outlineLevel="0" collapsed="false">
      <c r="B14" s="24" t="s">
        <v>51</v>
      </c>
      <c r="C14" s="25" t="n">
        <f aca="false">IF(C5=1,FoF_Size*FoF_Org_Cost_Pct,0)</f>
        <v>2.5</v>
      </c>
      <c r="D14" s="25" t="n">
        <f aca="false">IF(D5=1,FoF_Size*FoF_Org_Cost_Pct,0)</f>
        <v>0</v>
      </c>
      <c r="E14" s="25" t="n">
        <f aca="false">IF(E5=1,FoF_Size*FoF_Org_Cost_Pct,0)</f>
        <v>0</v>
      </c>
      <c r="F14" s="25" t="n">
        <f aca="false">IF(F5=1,FoF_Size*FoF_Org_Cost_Pct,0)</f>
        <v>0</v>
      </c>
      <c r="G14" s="25" t="n">
        <f aca="false">IF(G5=1,FoF_Size*FoF_Org_Cost_Pct,0)</f>
        <v>0</v>
      </c>
      <c r="H14" s="25" t="n">
        <f aca="false">IF(H5=1,FoF_Size*FoF_Org_Cost_Pct,0)</f>
        <v>0</v>
      </c>
      <c r="I14" s="25" t="n">
        <f aca="false">IF(I5=1,FoF_Size*FoF_Org_Cost_Pct,0)</f>
        <v>0</v>
      </c>
      <c r="J14" s="25" t="n">
        <f aca="false">IF(J5=1,FoF_Size*FoF_Org_Cost_Pct,0)</f>
        <v>0</v>
      </c>
      <c r="K14" s="25" t="n">
        <f aca="false">IF(K5=1,FoF_Size*FoF_Org_Cost_Pct,0)</f>
        <v>0</v>
      </c>
      <c r="L14" s="25" t="n">
        <f aca="false">IF(L5=1,FoF_Size*FoF_Org_Cost_Pct,0)</f>
        <v>0</v>
      </c>
      <c r="M14" s="25" t="n">
        <f aca="false">IF(M5=1,FoF_Size*FoF_Org_Cost_Pct,0)</f>
        <v>0</v>
      </c>
      <c r="N14" s="25" t="n">
        <f aca="false">IF(N5=1,FoF_Size*FoF_Org_Cost_Pct,0)</f>
        <v>0</v>
      </c>
    </row>
    <row r="15" customFormat="false" ht="15" hidden="false" customHeight="false" outlineLevel="0" collapsed="false">
      <c r="B15" s="29" t="s">
        <v>140</v>
      </c>
      <c r="C15" s="30" t="n">
        <f aca="false">C13+C14</f>
        <v>6.25</v>
      </c>
      <c r="D15" s="30" t="n">
        <f aca="false">D13+D14</f>
        <v>3.75</v>
      </c>
      <c r="E15" s="30" t="n">
        <f aca="false">E13+E14</f>
        <v>3.75</v>
      </c>
      <c r="F15" s="30" t="n">
        <f aca="false">F13+F14</f>
        <v>3.75</v>
      </c>
      <c r="G15" s="30" t="n">
        <f aca="false">G13+G14</f>
        <v>3.75</v>
      </c>
      <c r="H15" s="30" t="n">
        <f aca="false">H13+H14</f>
        <v>3.4125</v>
      </c>
      <c r="I15" s="30" t="n">
        <f aca="false">I13+I14</f>
        <v>3.01160714285714</v>
      </c>
      <c r="J15" s="30" t="n">
        <f aca="false">J13+J14</f>
        <v>2.24464285714286</v>
      </c>
      <c r="K15" s="30" t="n">
        <f aca="false">K13+K14</f>
        <v>1.43303571428571</v>
      </c>
      <c r="L15" s="30" t="n">
        <f aca="false">L13+L14</f>
        <v>0.741071428571429</v>
      </c>
      <c r="M15" s="30" t="n">
        <f aca="false">M13+M14</f>
        <v>0.283928571428572</v>
      </c>
      <c r="N15" s="30" t="n">
        <f aca="false">N13+N14</f>
        <v>0.0616071428571429</v>
      </c>
    </row>
    <row r="16" customFormat="false" ht="15" hidden="false" customHeight="false" outlineLevel="0" collapsed="false">
      <c r="B16" s="6"/>
      <c r="C16" s="6"/>
      <c r="D16" s="6"/>
      <c r="E16" s="6"/>
      <c r="F16" s="6"/>
      <c r="G16" s="6"/>
      <c r="H16" s="6"/>
      <c r="I16" s="6"/>
      <c r="J16" s="6"/>
      <c r="K16" s="6"/>
      <c r="L16" s="6"/>
      <c r="M16" s="6"/>
      <c r="N16" s="6"/>
    </row>
    <row r="17" customFormat="false" ht="15" hidden="false" customHeight="false" outlineLevel="0" collapsed="false">
      <c r="B17" s="16" t="s">
        <v>141</v>
      </c>
      <c r="C17" s="17"/>
      <c r="D17" s="17"/>
      <c r="E17" s="17"/>
      <c r="F17" s="17"/>
      <c r="G17" s="17"/>
      <c r="H17" s="17"/>
      <c r="I17" s="17"/>
      <c r="J17" s="17"/>
      <c r="K17" s="17"/>
      <c r="L17" s="17"/>
      <c r="M17" s="17"/>
      <c r="N17" s="17"/>
    </row>
    <row r="18" customFormat="false" ht="15" hidden="false" customHeight="false" outlineLevel="0" collapsed="false">
      <c r="B18" s="24" t="s">
        <v>142</v>
      </c>
      <c r="C18" s="25" t="n">
        <f aca="false">(C8+C15)*(1-GP_Commit_Pct)</f>
        <v>36.75</v>
      </c>
      <c r="D18" s="25" t="n">
        <f aca="false">(D8+D15)*(1-GP_Commit_Pct)</f>
        <v>64.925</v>
      </c>
      <c r="E18" s="25" t="n">
        <f aca="false">(E8+E15)*(1-GP_Commit_Pct)</f>
        <v>83.3</v>
      </c>
      <c r="F18" s="25" t="n">
        <f aca="false">(F8+F15)*(1-GP_Commit_Pct)</f>
        <v>89.425</v>
      </c>
      <c r="G18" s="25" t="n">
        <f aca="false">(G8+G15)*(1-GP_Commit_Pct)</f>
        <v>96.775</v>
      </c>
      <c r="H18" s="25" t="n">
        <f aca="false">(H8+H15)*(1-GP_Commit_Pct)</f>
        <v>69.49425</v>
      </c>
      <c r="I18" s="25" t="n">
        <f aca="false">(I8+I15)*(1-GP_Commit_Pct)</f>
        <v>43.376375</v>
      </c>
      <c r="J18" s="25" t="n">
        <f aca="false">(J8+J15)*(1-GP_Commit_Pct)</f>
        <v>24.24975</v>
      </c>
      <c r="K18" s="25" t="n">
        <f aca="false">(K8+K15)*(1-GP_Commit_Pct)</f>
        <v>12.429375</v>
      </c>
      <c r="L18" s="25" t="n">
        <f aca="false">(L8+L15)*(1-GP_Commit_Pct)</f>
        <v>0.72625</v>
      </c>
      <c r="M18" s="25" t="n">
        <f aca="false">(M8+M15)*(1-GP_Commit_Pct)</f>
        <v>0.27825</v>
      </c>
      <c r="N18" s="25" t="n">
        <f aca="false">(N8+N15)*(1-GP_Commit_Pct)</f>
        <v>0.0603750000000001</v>
      </c>
    </row>
    <row r="19" customFormat="false" ht="15" hidden="false" customHeight="false" outlineLevel="0" collapsed="false">
      <c r="B19" s="24" t="s">
        <v>143</v>
      </c>
      <c r="C19" s="25" t="n">
        <f aca="false">C18</f>
        <v>36.75</v>
      </c>
      <c r="D19" s="25" t="n">
        <f aca="false">C19+D18</f>
        <v>101.675</v>
      </c>
      <c r="E19" s="25" t="n">
        <f aca="false">D19+E18</f>
        <v>184.975</v>
      </c>
      <c r="F19" s="25" t="n">
        <f aca="false">E19+F18</f>
        <v>274.4</v>
      </c>
      <c r="G19" s="25" t="n">
        <f aca="false">F19+G18</f>
        <v>371.175</v>
      </c>
      <c r="H19" s="25" t="n">
        <f aca="false">G19+H18</f>
        <v>440.66925</v>
      </c>
      <c r="I19" s="25" t="n">
        <f aca="false">H19+I18</f>
        <v>484.045625</v>
      </c>
      <c r="J19" s="25" t="n">
        <f aca="false">I19+J18</f>
        <v>508.295375</v>
      </c>
      <c r="K19" s="25" t="n">
        <f aca="false">J19+K18</f>
        <v>520.72475</v>
      </c>
      <c r="L19" s="25" t="n">
        <f aca="false">K19+L18</f>
        <v>521.451</v>
      </c>
      <c r="M19" s="25" t="n">
        <f aca="false">L19+M18</f>
        <v>521.72925</v>
      </c>
      <c r="N19" s="25" t="n">
        <f aca="false">M19+N18</f>
        <v>521.789625</v>
      </c>
    </row>
    <row r="20" customFormat="false" ht="15" hidden="false" customHeight="false" outlineLevel="0" collapsed="false">
      <c r="B20" s="24" t="s">
        <v>144</v>
      </c>
      <c r="C20" s="25" t="n">
        <f aca="false">(C8+C15)*GP_Commit_Pct</f>
        <v>0.75</v>
      </c>
      <c r="D20" s="25" t="n">
        <f aca="false">(D8+D15)*GP_Commit_Pct</f>
        <v>1.325</v>
      </c>
      <c r="E20" s="25" t="n">
        <f aca="false">(E8+E15)*GP_Commit_Pct</f>
        <v>1.7</v>
      </c>
      <c r="F20" s="25" t="n">
        <f aca="false">(F8+F15)*GP_Commit_Pct</f>
        <v>1.825</v>
      </c>
      <c r="G20" s="25" t="n">
        <f aca="false">(G8+G15)*GP_Commit_Pct</f>
        <v>1.975</v>
      </c>
      <c r="H20" s="25" t="n">
        <f aca="false">(H8+H15)*GP_Commit_Pct</f>
        <v>1.41825</v>
      </c>
      <c r="I20" s="25" t="n">
        <f aca="false">(I8+I15)*GP_Commit_Pct</f>
        <v>0.885232142857143</v>
      </c>
      <c r="J20" s="25" t="n">
        <f aca="false">(J8+J15)*GP_Commit_Pct</f>
        <v>0.494892857142857</v>
      </c>
      <c r="K20" s="25" t="n">
        <f aca="false">(K8+K15)*GP_Commit_Pct</f>
        <v>0.253660714285714</v>
      </c>
      <c r="L20" s="25" t="n">
        <f aca="false">(L8+L15)*GP_Commit_Pct</f>
        <v>0.0148214285714286</v>
      </c>
      <c r="M20" s="25" t="n">
        <f aca="false">(M8+M15)*GP_Commit_Pct</f>
        <v>0.00567857142857143</v>
      </c>
      <c r="N20" s="25" t="n">
        <f aca="false">(N8+N15)*GP_Commit_Pct</f>
        <v>0.00123214285714286</v>
      </c>
    </row>
    <row r="21" customFormat="false" ht="15" hidden="false" customHeight="false" outlineLevel="0" collapsed="false">
      <c r="B21" s="24" t="s">
        <v>145</v>
      </c>
      <c r="C21" s="25" t="n">
        <f aca="false">C20</f>
        <v>0.75</v>
      </c>
      <c r="D21" s="25" t="n">
        <f aca="false">C21+D20</f>
        <v>2.075</v>
      </c>
      <c r="E21" s="25" t="n">
        <f aca="false">D21+E20</f>
        <v>3.775</v>
      </c>
      <c r="F21" s="25" t="n">
        <f aca="false">E21+F20</f>
        <v>5.6</v>
      </c>
      <c r="G21" s="25" t="n">
        <f aca="false">F21+G20</f>
        <v>7.575</v>
      </c>
      <c r="H21" s="25" t="n">
        <f aca="false">G21+H20</f>
        <v>8.99325</v>
      </c>
      <c r="I21" s="25" t="n">
        <f aca="false">H21+I20</f>
        <v>9.87848214285715</v>
      </c>
      <c r="J21" s="25" t="n">
        <f aca="false">I21+J20</f>
        <v>10.373375</v>
      </c>
      <c r="K21" s="25" t="n">
        <f aca="false">J21+K20</f>
        <v>10.6270357142857</v>
      </c>
      <c r="L21" s="25" t="n">
        <f aca="false">K21+L20</f>
        <v>10.6418571428571</v>
      </c>
      <c r="M21" s="25" t="n">
        <f aca="false">L21+M20</f>
        <v>10.6475357142857</v>
      </c>
      <c r="N21" s="25" t="n">
        <f aca="false">M21+N20</f>
        <v>10.6487678571429</v>
      </c>
    </row>
    <row r="22" customFormat="false" ht="15" hidden="false" customHeight="false" outlineLevel="0" collapsed="false">
      <c r="B22" s="29" t="s">
        <v>146</v>
      </c>
      <c r="C22" s="30" t="n">
        <f aca="false">C18+C20</f>
        <v>37.5</v>
      </c>
      <c r="D22" s="30" t="n">
        <f aca="false">D18+D20</f>
        <v>66.25</v>
      </c>
      <c r="E22" s="30" t="n">
        <f aca="false">E18+E20</f>
        <v>85</v>
      </c>
      <c r="F22" s="30" t="n">
        <f aca="false">F18+F20</f>
        <v>91.25</v>
      </c>
      <c r="G22" s="30" t="n">
        <f aca="false">G18+G20</f>
        <v>98.75</v>
      </c>
      <c r="H22" s="30" t="n">
        <f aca="false">H18+H20</f>
        <v>70.9125</v>
      </c>
      <c r="I22" s="30" t="n">
        <f aca="false">I18+I20</f>
        <v>44.2616071428571</v>
      </c>
      <c r="J22" s="30" t="n">
        <f aca="false">J18+J20</f>
        <v>24.7446428571429</v>
      </c>
      <c r="K22" s="30" t="n">
        <f aca="false">K18+K20</f>
        <v>12.6830357142857</v>
      </c>
      <c r="L22" s="30" t="n">
        <f aca="false">L18+L20</f>
        <v>0.741071428571429</v>
      </c>
      <c r="M22" s="30" t="n">
        <f aca="false">M18+M20</f>
        <v>0.283928571428572</v>
      </c>
      <c r="N22" s="30" t="n">
        <f aca="false">N18+N20</f>
        <v>0.0616071428571429</v>
      </c>
    </row>
    <row r="23" customFormat="false" ht="15" hidden="false" customHeight="false" outlineLevel="0" collapsed="false">
      <c r="B23" s="24" t="s">
        <v>147</v>
      </c>
      <c r="C23" s="25" t="n">
        <f aca="false">C22</f>
        <v>37.5</v>
      </c>
      <c r="D23" s="25" t="n">
        <f aca="false">C23+D22</f>
        <v>103.75</v>
      </c>
      <c r="E23" s="25" t="n">
        <f aca="false">D23+E22</f>
        <v>188.75</v>
      </c>
      <c r="F23" s="25" t="n">
        <f aca="false">E23+F22</f>
        <v>280</v>
      </c>
      <c r="G23" s="25" t="n">
        <f aca="false">F23+G22</f>
        <v>378.75</v>
      </c>
      <c r="H23" s="25" t="n">
        <f aca="false">G23+H22</f>
        <v>449.6625</v>
      </c>
      <c r="I23" s="25" t="n">
        <f aca="false">H23+I22</f>
        <v>493.924107142857</v>
      </c>
      <c r="J23" s="25" t="n">
        <f aca="false">I23+J22</f>
        <v>518.66875</v>
      </c>
      <c r="K23" s="25" t="n">
        <f aca="false">J23+K22</f>
        <v>531.351785714286</v>
      </c>
      <c r="L23" s="25" t="n">
        <f aca="false">K23+L22</f>
        <v>532.092857142857</v>
      </c>
      <c r="M23" s="25" t="n">
        <f aca="false">L23+M22</f>
        <v>532.376785714286</v>
      </c>
      <c r="N23" s="25" t="n">
        <f aca="false">M23+N22</f>
        <v>532.438392857143</v>
      </c>
    </row>
    <row r="24" customFormat="false" ht="15" hidden="false" customHeight="false" outlineLevel="0" collapsed="false">
      <c r="B24" s="24" t="s">
        <v>148</v>
      </c>
      <c r="C24" s="25" t="n">
        <f aca="false">MAX(FoF_Size-C23,0)</f>
        <v>462.5</v>
      </c>
      <c r="D24" s="25" t="n">
        <f aca="false">MAX(FoF_Size-D23,0)</f>
        <v>396.25</v>
      </c>
      <c r="E24" s="25" t="n">
        <f aca="false">MAX(FoF_Size-E23,0)</f>
        <v>311.25</v>
      </c>
      <c r="F24" s="25" t="n">
        <f aca="false">MAX(FoF_Size-F23,0)</f>
        <v>220</v>
      </c>
      <c r="G24" s="25" t="n">
        <f aca="false">MAX(FoF_Size-G23,0)</f>
        <v>121.25</v>
      </c>
      <c r="H24" s="25" t="n">
        <f aca="false">MAX(FoF_Size-H23,0)</f>
        <v>50.3375</v>
      </c>
      <c r="I24" s="25" t="n">
        <f aca="false">MAX(FoF_Size-I23,0)</f>
        <v>6.07589285714283</v>
      </c>
      <c r="J24" s="25" t="n">
        <f aca="false">MAX(FoF_Size-J23,0)</f>
        <v>0</v>
      </c>
      <c r="K24" s="25" t="n">
        <f aca="false">MAX(FoF_Size-K23,0)</f>
        <v>0</v>
      </c>
      <c r="L24" s="25" t="n">
        <f aca="false">MAX(FoF_Size-L23,0)</f>
        <v>0</v>
      </c>
      <c r="M24" s="25" t="n">
        <f aca="false">MAX(FoF_Size-M23,0)</f>
        <v>0</v>
      </c>
      <c r="N24" s="25" t="n">
        <f aca="false">MAX(FoF_Size-N23,0)</f>
        <v>0</v>
      </c>
    </row>
    <row r="25" customFormat="false" ht="15" hidden="false" customHeight="false" outlineLevel="0" collapsed="false">
      <c r="B25" s="6"/>
      <c r="C25" s="6"/>
      <c r="D25" s="6"/>
      <c r="E25" s="6"/>
      <c r="F25" s="6"/>
      <c r="G25" s="6"/>
      <c r="H25" s="6"/>
      <c r="I25" s="6"/>
      <c r="J25" s="6"/>
      <c r="K25" s="6"/>
      <c r="L25" s="6"/>
      <c r="M25" s="6"/>
      <c r="N25" s="6"/>
    </row>
    <row r="26" customFormat="false" ht="15" hidden="false" customHeight="false" outlineLevel="0" collapsed="false">
      <c r="B26" s="16" t="s">
        <v>149</v>
      </c>
      <c r="C26" s="17"/>
      <c r="D26" s="17"/>
      <c r="E26" s="17"/>
      <c r="F26" s="17"/>
      <c r="G26" s="17"/>
      <c r="H26" s="17"/>
      <c r="I26" s="17"/>
      <c r="J26" s="17"/>
      <c r="K26" s="17"/>
      <c r="L26" s="17"/>
      <c r="M26" s="17"/>
      <c r="N26" s="17"/>
    </row>
    <row r="27" customFormat="false" ht="15" hidden="false" customHeight="false" outlineLevel="0" collapsed="false">
      <c r="B27" s="24" t="s">
        <v>114</v>
      </c>
      <c r="C27" s="25" t="n">
        <f aca="false">C9</f>
        <v>0</v>
      </c>
      <c r="D27" s="25" t="n">
        <f aca="false">D9</f>
        <v>0</v>
      </c>
      <c r="E27" s="25" t="n">
        <f aca="false">E9</f>
        <v>0</v>
      </c>
      <c r="F27" s="25" t="n">
        <f aca="false">F9</f>
        <v>11.2821428571429</v>
      </c>
      <c r="G27" s="25" t="n">
        <f aca="false">G9</f>
        <v>41.2107142857143</v>
      </c>
      <c r="H27" s="25" t="n">
        <f aca="false">H9</f>
        <v>85.0971428571429</v>
      </c>
      <c r="I27" s="25" t="n">
        <f aca="false">I9</f>
        <v>139.212142857143</v>
      </c>
      <c r="J27" s="25" t="n">
        <f aca="false">J9</f>
        <v>170.140714285714</v>
      </c>
      <c r="K27" s="25" t="n">
        <f aca="false">K9</f>
        <v>171.6</v>
      </c>
      <c r="L27" s="25" t="n">
        <f aca="false">L9</f>
        <v>145.657142857143</v>
      </c>
      <c r="M27" s="25" t="n">
        <f aca="false">M9</f>
        <v>102.757142857143</v>
      </c>
      <c r="N27" s="25" t="n">
        <f aca="false">N9</f>
        <v>56.6142857142857</v>
      </c>
    </row>
    <row r="28" customFormat="false" ht="15" hidden="false" customHeight="false" outlineLevel="0" collapsed="false">
      <c r="B28" s="24" t="s">
        <v>115</v>
      </c>
      <c r="C28" s="25" t="n">
        <f aca="false">C27</f>
        <v>0</v>
      </c>
      <c r="D28" s="25" t="n">
        <f aca="false">C28+D27</f>
        <v>0</v>
      </c>
      <c r="E28" s="25" t="n">
        <f aca="false">D28+E27</f>
        <v>0</v>
      </c>
      <c r="F28" s="25" t="n">
        <f aca="false">E28+F27</f>
        <v>11.2821428571429</v>
      </c>
      <c r="G28" s="25" t="n">
        <f aca="false">F28+G27</f>
        <v>52.4928571428572</v>
      </c>
      <c r="H28" s="25" t="n">
        <f aca="false">G28+H27</f>
        <v>137.59</v>
      </c>
      <c r="I28" s="25" t="n">
        <f aca="false">H28+I27</f>
        <v>276.802142857143</v>
      </c>
      <c r="J28" s="25" t="n">
        <f aca="false">I28+J27</f>
        <v>446.942857142857</v>
      </c>
      <c r="K28" s="25" t="n">
        <f aca="false">J28+K27</f>
        <v>618.542857142857</v>
      </c>
      <c r="L28" s="25" t="n">
        <f aca="false">K28+L27</f>
        <v>764.2</v>
      </c>
      <c r="M28" s="25" t="n">
        <f aca="false">L28+M27</f>
        <v>866.957142857143</v>
      </c>
      <c r="N28" s="25" t="n">
        <f aca="false">M28+N27</f>
        <v>923.571428571429</v>
      </c>
    </row>
    <row r="29" customFormat="false" ht="15" hidden="false" customHeight="false" outlineLevel="0" collapsed="false">
      <c r="B29" s="6"/>
      <c r="C29" s="6"/>
      <c r="D29" s="6"/>
      <c r="E29" s="6"/>
      <c r="F29" s="6"/>
      <c r="G29" s="6"/>
      <c r="H29" s="6"/>
      <c r="I29" s="6"/>
      <c r="J29" s="6"/>
      <c r="K29" s="6"/>
      <c r="L29" s="6"/>
      <c r="M29" s="6"/>
      <c r="N29" s="6"/>
    </row>
    <row r="30" customFormat="false" ht="15" hidden="false" customHeight="false" outlineLevel="0" collapsed="false">
      <c r="B30" s="16" t="s">
        <v>150</v>
      </c>
      <c r="C30" s="17"/>
      <c r="D30" s="17"/>
      <c r="E30" s="17"/>
      <c r="F30" s="17"/>
      <c r="G30" s="17"/>
      <c r="H30" s="17"/>
      <c r="I30" s="17"/>
      <c r="J30" s="17"/>
      <c r="K30" s="17"/>
      <c r="L30" s="17"/>
      <c r="M30" s="17"/>
      <c r="N30" s="17"/>
    </row>
    <row r="31" customFormat="false" ht="15" hidden="false" customHeight="false" outlineLevel="0" collapsed="false">
      <c r="B31" s="24" t="s">
        <v>151</v>
      </c>
      <c r="C31" s="25" t="n">
        <f aca="true">INDEX(UF_Total_NAV,1,1)</f>
        <v>62.5</v>
      </c>
      <c r="D31" s="25" t="n">
        <f aca="true">INDEX(UF_Total_NAV,1,2)</f>
        <v>187.5</v>
      </c>
      <c r="E31" s="25" t="n">
        <f aca="true">INDEX(UF_Total_NAV,1,3)</f>
        <v>350</v>
      </c>
      <c r="F31" s="25" t="n">
        <f aca="true">INDEX(UF_Total_NAV,1,4)</f>
        <v>509.821428571429</v>
      </c>
      <c r="G31" s="25" t="n">
        <f aca="true">INDEX(UF_Total_NAV,1,5)</f>
        <v>648.928571428571</v>
      </c>
      <c r="H31" s="25" t="n">
        <f aca="true">INDEX(UF_Total_NAV,1,6)</f>
        <v>682.5</v>
      </c>
      <c r="I31" s="25" t="n">
        <f aca="true">INDEX(UF_Total_NAV,1,7)</f>
        <v>602.321428571428</v>
      </c>
      <c r="J31" s="25" t="n">
        <f aca="true">INDEX(UF_Total_NAV,1,8)</f>
        <v>448.928571428571</v>
      </c>
      <c r="K31" s="25" t="n">
        <f aca="true">INDEX(UF_Total_NAV,1,9)</f>
        <v>286.607142857143</v>
      </c>
      <c r="L31" s="25" t="n">
        <f aca="true">INDEX(UF_Total_NAV,1,10)</f>
        <v>148.214285714286</v>
      </c>
      <c r="M31" s="25" t="n">
        <f aca="true">INDEX(UF_Total_NAV,1,11)</f>
        <v>56.7857142857143</v>
      </c>
      <c r="N31" s="25" t="n">
        <f aca="true">INDEX(UF_Total_NAV,1,12)</f>
        <v>12.3214285714286</v>
      </c>
    </row>
    <row r="32" customFormat="false" ht="15" hidden="false" customHeight="false" outlineLevel="0" collapsed="false">
      <c r="B32" s="29" t="s">
        <v>152</v>
      </c>
      <c r="C32" s="30" t="n">
        <f aca="false">C28+C31</f>
        <v>62.5</v>
      </c>
      <c r="D32" s="30" t="n">
        <f aca="false">D28+D31</f>
        <v>187.5</v>
      </c>
      <c r="E32" s="30" t="n">
        <f aca="false">E28+E31</f>
        <v>350</v>
      </c>
      <c r="F32" s="30" t="n">
        <f aca="false">F28+F31</f>
        <v>521.103571428571</v>
      </c>
      <c r="G32" s="30" t="n">
        <f aca="false">G28+G31</f>
        <v>701.421428571429</v>
      </c>
      <c r="H32" s="30" t="n">
        <f aca="false">H28+H31</f>
        <v>820.09</v>
      </c>
      <c r="I32" s="30" t="n">
        <f aca="false">I28+I31</f>
        <v>879.123571428571</v>
      </c>
      <c r="J32" s="30" t="n">
        <f aca="false">J28+J31</f>
        <v>895.871428571429</v>
      </c>
      <c r="K32" s="30" t="n">
        <f aca="false">K28+K31</f>
        <v>905.15</v>
      </c>
      <c r="L32" s="30" t="n">
        <f aca="false">L28+L31</f>
        <v>912.414285714286</v>
      </c>
      <c r="M32" s="30" t="n">
        <f aca="false">M28+M31</f>
        <v>923.742857142857</v>
      </c>
      <c r="N32" s="30" t="n">
        <f aca="false">N28+N31</f>
        <v>935.892857142857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4" min="3" style="0" width="14"/>
  </cols>
  <sheetData>
    <row r="1" customFormat="false" ht="15" hidden="false" customHeight="false" outlineLevel="0" collapsed="false">
      <c r="A1" s="1"/>
      <c r="B1" s="2"/>
      <c r="C1" s="2"/>
      <c r="D1" s="2"/>
      <c r="E1" s="2"/>
      <c r="F1" s="2"/>
      <c r="G1" s="2"/>
      <c r="H1" s="2"/>
      <c r="I1" s="2"/>
      <c r="J1" s="2"/>
      <c r="K1" s="2"/>
      <c r="L1" s="2"/>
      <c r="M1" s="2"/>
      <c r="N1" s="2"/>
      <c r="O1" s="1"/>
      <c r="P1" s="1"/>
      <c r="Q1" s="1"/>
      <c r="R1" s="1"/>
      <c r="S1" s="1"/>
      <c r="T1" s="1"/>
      <c r="U1" s="1"/>
      <c r="V1" s="1"/>
      <c r="W1" s="1"/>
      <c r="X1" s="1"/>
      <c r="Y1" s="1"/>
      <c r="Z1" s="1"/>
      <c r="AA1" s="1"/>
      <c r="AB1" s="1"/>
      <c r="AC1" s="1"/>
      <c r="AD1" s="1"/>
    </row>
    <row r="2" customFormat="false" ht="21.75" hidden="false" customHeight="true" outlineLevel="0" collapsed="false">
      <c r="A2" s="1"/>
      <c r="B2" s="3" t="s">
        <v>153</v>
      </c>
      <c r="C2" s="2"/>
      <c r="D2" s="2"/>
      <c r="E2" s="2"/>
      <c r="F2" s="2"/>
      <c r="G2" s="2"/>
      <c r="H2" s="2"/>
      <c r="I2" s="2"/>
      <c r="J2" s="2"/>
      <c r="K2" s="2"/>
      <c r="L2" s="2"/>
      <c r="M2" s="2"/>
      <c r="N2" s="2"/>
      <c r="O2" s="1"/>
      <c r="P2" s="1"/>
      <c r="Q2" s="1"/>
      <c r="R2" s="1"/>
      <c r="S2" s="1"/>
      <c r="T2" s="1"/>
      <c r="U2" s="1"/>
      <c r="V2" s="1"/>
      <c r="W2" s="1"/>
      <c r="X2" s="1"/>
      <c r="Y2" s="1"/>
      <c r="Z2" s="1"/>
      <c r="AA2" s="1"/>
      <c r="AB2" s="1"/>
      <c r="AC2" s="1"/>
      <c r="AD2" s="1"/>
    </row>
    <row r="3" customFormat="false" ht="15" hidden="false" customHeight="false" outlineLevel="0" collapsed="false">
      <c r="A3" s="1"/>
      <c r="B3" s="5" t="s">
        <v>154</v>
      </c>
      <c r="C3" s="2"/>
      <c r="D3" s="2"/>
      <c r="E3" s="2"/>
      <c r="F3" s="2"/>
      <c r="G3" s="2"/>
      <c r="H3" s="2"/>
      <c r="I3" s="2"/>
      <c r="J3" s="2"/>
      <c r="K3" s="2"/>
      <c r="L3" s="2"/>
      <c r="M3" s="2"/>
      <c r="N3" s="2"/>
      <c r="O3" s="1"/>
      <c r="P3" s="1"/>
      <c r="Q3" s="1"/>
      <c r="R3" s="1"/>
      <c r="S3" s="1"/>
      <c r="T3" s="1"/>
      <c r="U3" s="1"/>
      <c r="V3" s="1"/>
      <c r="W3" s="1"/>
      <c r="X3" s="1"/>
      <c r="Y3" s="1"/>
      <c r="Z3" s="1"/>
      <c r="AA3" s="1"/>
      <c r="AB3" s="1"/>
      <c r="AC3" s="1"/>
      <c r="AD3" s="1"/>
    </row>
    <row r="4" customFormat="false" ht="15" hidden="false" customHeight="false" outlineLevel="0" collapsed="false">
      <c r="B4" s="14" t="s">
        <v>109</v>
      </c>
      <c r="C4" s="23" t="n">
        <f aca="false">COLUMN()-2</f>
        <v>1</v>
      </c>
      <c r="D4" s="23" t="n">
        <f aca="false">COLUMN()-2</f>
        <v>2</v>
      </c>
      <c r="E4" s="23" t="n">
        <f aca="false">COLUMN()-2</f>
        <v>3</v>
      </c>
      <c r="F4" s="23" t="n">
        <f aca="false">COLUMN()-2</f>
        <v>4</v>
      </c>
      <c r="G4" s="23" t="n">
        <f aca="false">COLUMN()-2</f>
        <v>5</v>
      </c>
      <c r="H4" s="23" t="n">
        <f aca="false">COLUMN()-2</f>
        <v>6</v>
      </c>
      <c r="I4" s="23" t="n">
        <f aca="false">COLUMN()-2</f>
        <v>7</v>
      </c>
      <c r="J4" s="23" t="n">
        <f aca="false">COLUMN()-2</f>
        <v>8</v>
      </c>
      <c r="K4" s="23" t="n">
        <f aca="false">COLUMN()-2</f>
        <v>9</v>
      </c>
      <c r="L4" s="23" t="n">
        <f aca="false">COLUMN()-2</f>
        <v>10</v>
      </c>
      <c r="M4" s="23" t="n">
        <f aca="false">COLUMN()-2</f>
        <v>11</v>
      </c>
      <c r="N4" s="23" t="n">
        <f aca="false">COLUMN()-2</f>
        <v>12</v>
      </c>
    </row>
    <row r="5" customFormat="false" ht="15" hidden="false" customHeight="false" outlineLevel="0" collapsed="false">
      <c r="B5" s="6"/>
      <c r="C5" s="6"/>
      <c r="D5" s="6"/>
      <c r="E5" s="6"/>
      <c r="F5" s="6"/>
      <c r="G5" s="6"/>
      <c r="H5" s="6"/>
      <c r="I5" s="6"/>
      <c r="J5" s="6"/>
      <c r="K5" s="6"/>
      <c r="L5" s="6"/>
      <c r="M5" s="6"/>
      <c r="N5" s="6"/>
    </row>
    <row r="6" customFormat="false" ht="15" hidden="false" customHeight="false" outlineLevel="0" collapsed="false">
      <c r="B6" s="16" t="s">
        <v>155</v>
      </c>
      <c r="C6" s="17"/>
      <c r="D6" s="17"/>
      <c r="E6" s="17"/>
      <c r="F6" s="17"/>
      <c r="G6" s="17"/>
      <c r="H6" s="17"/>
      <c r="I6" s="17"/>
      <c r="J6" s="17"/>
      <c r="K6" s="17"/>
      <c r="L6" s="17"/>
      <c r="M6" s="17"/>
      <c r="N6" s="17"/>
    </row>
    <row r="7" customFormat="false" ht="15" hidden="false" customHeight="false" outlineLevel="0" collapsed="false">
      <c r="B7" s="24" t="s">
        <v>156</v>
      </c>
      <c r="C7" s="25" t="n">
        <f aca="true">INDEX(CF_Gross_Dist,1,1)</f>
        <v>0</v>
      </c>
      <c r="D7" s="25" t="n">
        <f aca="true">INDEX(CF_Gross_Dist,1,2)</f>
        <v>0</v>
      </c>
      <c r="E7" s="25" t="n">
        <f aca="true">INDEX(CF_Gross_Dist,1,3)</f>
        <v>0</v>
      </c>
      <c r="F7" s="25" t="n">
        <f aca="true">INDEX(CF_Gross_Dist,1,4)</f>
        <v>11.2821428571429</v>
      </c>
      <c r="G7" s="25" t="n">
        <f aca="true">INDEX(CF_Gross_Dist,1,5)</f>
        <v>41.2107142857143</v>
      </c>
      <c r="H7" s="25" t="n">
        <f aca="true">INDEX(CF_Gross_Dist,1,6)</f>
        <v>85.0971428571429</v>
      </c>
      <c r="I7" s="25" t="n">
        <f aca="true">INDEX(CF_Gross_Dist,1,7)</f>
        <v>139.212142857143</v>
      </c>
      <c r="J7" s="25" t="n">
        <f aca="true">INDEX(CF_Gross_Dist,1,8)</f>
        <v>170.140714285714</v>
      </c>
      <c r="K7" s="25" t="n">
        <f aca="true">INDEX(CF_Gross_Dist,1,9)</f>
        <v>171.6</v>
      </c>
      <c r="L7" s="25" t="n">
        <f aca="true">INDEX(CF_Gross_Dist,1,10)</f>
        <v>145.657142857143</v>
      </c>
      <c r="M7" s="25" t="n">
        <f aca="true">INDEX(CF_Gross_Dist,1,11)</f>
        <v>102.757142857143</v>
      </c>
      <c r="N7" s="25" t="n">
        <f aca="true">INDEX(CF_Gross_Dist,1,12)</f>
        <v>56.6142857142857</v>
      </c>
    </row>
    <row r="8" customFormat="false" ht="15" hidden="false" customHeight="false" outlineLevel="0" collapsed="false">
      <c r="B8" s="24" t="s">
        <v>157</v>
      </c>
      <c r="C8" s="25" t="n">
        <f aca="false">C7</f>
        <v>0</v>
      </c>
      <c r="D8" s="25" t="n">
        <f aca="false">C8+D7</f>
        <v>0</v>
      </c>
      <c r="E8" s="25" t="n">
        <f aca="false">D8+E7</f>
        <v>0</v>
      </c>
      <c r="F8" s="25" t="n">
        <f aca="false">E8+F7</f>
        <v>11.2821428571429</v>
      </c>
      <c r="G8" s="25" t="n">
        <f aca="false">F8+G7</f>
        <v>52.4928571428572</v>
      </c>
      <c r="H8" s="25" t="n">
        <f aca="false">G8+H7</f>
        <v>137.59</v>
      </c>
      <c r="I8" s="25" t="n">
        <f aca="false">H8+I7</f>
        <v>276.802142857143</v>
      </c>
      <c r="J8" s="25" t="n">
        <f aca="false">I8+J7</f>
        <v>446.942857142857</v>
      </c>
      <c r="K8" s="25" t="n">
        <f aca="false">J8+K7</f>
        <v>618.542857142857</v>
      </c>
      <c r="L8" s="25" t="n">
        <f aca="false">K8+L7</f>
        <v>764.2</v>
      </c>
      <c r="M8" s="25" t="n">
        <f aca="false">L8+M7</f>
        <v>866.957142857143</v>
      </c>
      <c r="N8" s="25" t="n">
        <f aca="false">M8+N7</f>
        <v>923.571428571429</v>
      </c>
    </row>
    <row r="9" customFormat="false" ht="15" hidden="false" customHeight="false" outlineLevel="0" collapsed="false">
      <c r="B9" s="6"/>
      <c r="C9" s="6"/>
      <c r="D9" s="6"/>
      <c r="E9" s="6"/>
      <c r="F9" s="6"/>
      <c r="G9" s="6"/>
      <c r="H9" s="6"/>
      <c r="I9" s="6"/>
      <c r="J9" s="6"/>
      <c r="K9" s="6"/>
      <c r="L9" s="6"/>
      <c r="M9" s="6"/>
      <c r="N9" s="6"/>
    </row>
    <row r="10" customFormat="false" ht="15" hidden="false" customHeight="false" outlineLevel="0" collapsed="false">
      <c r="B10" s="16" t="s">
        <v>158</v>
      </c>
      <c r="C10" s="17"/>
      <c r="D10" s="17"/>
      <c r="E10" s="17"/>
      <c r="F10" s="17"/>
      <c r="G10" s="17"/>
      <c r="H10" s="17"/>
      <c r="I10" s="17"/>
      <c r="J10" s="17"/>
      <c r="K10" s="17"/>
      <c r="L10" s="17"/>
      <c r="M10" s="17"/>
      <c r="N10" s="17"/>
    </row>
    <row r="11" customFormat="false" ht="15" hidden="false" customHeight="false" outlineLevel="0" collapsed="false">
      <c r="B11" s="24" t="s">
        <v>159</v>
      </c>
      <c r="C11" s="25" t="n">
        <f aca="true">INDEX(CF_Cumul_Total_Called,1,1)</f>
        <v>37.5</v>
      </c>
      <c r="D11" s="25" t="n">
        <f aca="true">INDEX(CF_Cumul_Total_Called,1,2)</f>
        <v>103.75</v>
      </c>
      <c r="E11" s="25" t="n">
        <f aca="true">INDEX(CF_Cumul_Total_Called,1,3)</f>
        <v>188.75</v>
      </c>
      <c r="F11" s="25" t="n">
        <f aca="true">INDEX(CF_Cumul_Total_Called,1,4)</f>
        <v>280</v>
      </c>
      <c r="G11" s="25" t="n">
        <f aca="true">INDEX(CF_Cumul_Total_Called,1,5)</f>
        <v>378.75</v>
      </c>
      <c r="H11" s="25" t="n">
        <f aca="true">INDEX(CF_Cumul_Total_Called,1,6)</f>
        <v>449.6625</v>
      </c>
      <c r="I11" s="25" t="n">
        <f aca="true">INDEX(CF_Cumul_Total_Called,1,7)</f>
        <v>493.924107142857</v>
      </c>
      <c r="J11" s="25" t="n">
        <f aca="true">INDEX(CF_Cumul_Total_Called,1,8)</f>
        <v>518.66875</v>
      </c>
      <c r="K11" s="25" t="n">
        <f aca="true">INDEX(CF_Cumul_Total_Called,1,9)</f>
        <v>531.351785714286</v>
      </c>
      <c r="L11" s="25" t="n">
        <f aca="true">INDEX(CF_Cumul_Total_Called,1,10)</f>
        <v>532.092857142857</v>
      </c>
      <c r="M11" s="25" t="n">
        <f aca="true">INDEX(CF_Cumul_Total_Called,1,11)</f>
        <v>532.376785714286</v>
      </c>
      <c r="N11" s="25" t="n">
        <f aca="true">INDEX(CF_Cumul_Total_Called,1,12)</f>
        <v>532.438392857143</v>
      </c>
    </row>
    <row r="12" customFormat="false" ht="15" hidden="false" customHeight="false" outlineLevel="0" collapsed="false">
      <c r="B12" s="24" t="s">
        <v>160</v>
      </c>
      <c r="C12" s="25" t="n">
        <f aca="false">MIN(C8,C11)</f>
        <v>0</v>
      </c>
      <c r="D12" s="25" t="n">
        <f aca="false">MIN(D8,D11)</f>
        <v>0</v>
      </c>
      <c r="E12" s="25" t="n">
        <f aca="false">MIN(E8,E11)</f>
        <v>0</v>
      </c>
      <c r="F12" s="25" t="n">
        <f aca="false">MIN(F8,F11)</f>
        <v>11.2821428571429</v>
      </c>
      <c r="G12" s="25" t="n">
        <f aca="false">MIN(G8,G11)</f>
        <v>52.4928571428572</v>
      </c>
      <c r="H12" s="25" t="n">
        <f aca="false">MIN(H8,H11)</f>
        <v>137.59</v>
      </c>
      <c r="I12" s="25" t="n">
        <f aca="false">MIN(I8,I11)</f>
        <v>276.802142857143</v>
      </c>
      <c r="J12" s="25" t="n">
        <f aca="false">MIN(J8,J11)</f>
        <v>446.942857142857</v>
      </c>
      <c r="K12" s="25" t="n">
        <f aca="false">MIN(K8,K11)</f>
        <v>531.351785714286</v>
      </c>
      <c r="L12" s="25" t="n">
        <f aca="false">MIN(L8,L11)</f>
        <v>532.092857142857</v>
      </c>
      <c r="M12" s="25" t="n">
        <f aca="false">MIN(M8,M11)</f>
        <v>532.376785714286</v>
      </c>
      <c r="N12" s="25" t="n">
        <f aca="false">MIN(N8,N11)</f>
        <v>532.438392857143</v>
      </c>
    </row>
    <row r="13" customFormat="false" ht="15" hidden="false" customHeight="false" outlineLevel="0" collapsed="false">
      <c r="B13" s="29" t="s">
        <v>161</v>
      </c>
      <c r="C13" s="30" t="n">
        <f aca="false">C12</f>
        <v>0</v>
      </c>
      <c r="D13" s="30" t="n">
        <f aca="false">D12-C12</f>
        <v>0</v>
      </c>
      <c r="E13" s="30" t="n">
        <f aca="false">E12-D12</f>
        <v>0</v>
      </c>
      <c r="F13" s="30" t="n">
        <f aca="false">F12-E12</f>
        <v>11.2821428571429</v>
      </c>
      <c r="G13" s="30" t="n">
        <f aca="false">G12-F12</f>
        <v>41.2107142857143</v>
      </c>
      <c r="H13" s="30" t="n">
        <f aca="false">H12-G12</f>
        <v>85.0971428571429</v>
      </c>
      <c r="I13" s="30" t="n">
        <f aca="false">I12-H12</f>
        <v>139.212142857143</v>
      </c>
      <c r="J13" s="30" t="n">
        <f aca="false">J12-I12</f>
        <v>170.140714285714</v>
      </c>
      <c r="K13" s="30" t="n">
        <f aca="false">K12-J12</f>
        <v>84.4089285714286</v>
      </c>
      <c r="L13" s="30" t="n">
        <f aca="false">L12-K12</f>
        <v>0.741071428571445</v>
      </c>
      <c r="M13" s="30" t="n">
        <f aca="false">M12-L12</f>
        <v>0.283928571428532</v>
      </c>
      <c r="N13" s="30" t="n">
        <f aca="false">N12-M12</f>
        <v>0.0616071428571559</v>
      </c>
    </row>
    <row r="14" customFormat="false" ht="15" hidden="false" customHeight="false" outlineLevel="0" collapsed="false">
      <c r="B14" s="24" t="s">
        <v>162</v>
      </c>
      <c r="C14" s="25" t="n">
        <f aca="false">MAX(C8-C12,0)</f>
        <v>0</v>
      </c>
      <c r="D14" s="25" t="n">
        <f aca="false">MAX(D8-D12,0)</f>
        <v>0</v>
      </c>
      <c r="E14" s="25" t="n">
        <f aca="false">MAX(E8-E12,0)</f>
        <v>0</v>
      </c>
      <c r="F14" s="25" t="n">
        <f aca="false">MAX(F8-F12,0)</f>
        <v>0</v>
      </c>
      <c r="G14" s="25" t="n">
        <f aca="false">MAX(G8-G12,0)</f>
        <v>0</v>
      </c>
      <c r="H14" s="25" t="n">
        <f aca="false">MAX(H8-H12,0)</f>
        <v>0</v>
      </c>
      <c r="I14" s="25" t="n">
        <f aca="false">MAX(I8-I12,0)</f>
        <v>0</v>
      </c>
      <c r="J14" s="25" t="n">
        <f aca="false">MAX(J8-J12,0)</f>
        <v>0</v>
      </c>
      <c r="K14" s="25" t="n">
        <f aca="false">MAX(K8-K12,0)</f>
        <v>87.1910714285714</v>
      </c>
      <c r="L14" s="25" t="n">
        <f aca="false">MAX(L8-L12,0)</f>
        <v>232.107142857143</v>
      </c>
      <c r="M14" s="25" t="n">
        <f aca="false">MAX(M8-M12,0)</f>
        <v>334.580357142857</v>
      </c>
      <c r="N14" s="25" t="n">
        <f aca="false">MAX(N8-N12,0)</f>
        <v>391.133035714286</v>
      </c>
    </row>
    <row r="15" customFormat="false" ht="15" hidden="false" customHeight="false" outlineLevel="0" collapsed="false">
      <c r="B15" s="6"/>
      <c r="C15" s="6"/>
      <c r="D15" s="6"/>
      <c r="E15" s="6"/>
      <c r="F15" s="6"/>
      <c r="G15" s="6"/>
      <c r="H15" s="6"/>
      <c r="I15" s="6"/>
      <c r="J15" s="6"/>
      <c r="K15" s="6"/>
      <c r="L15" s="6"/>
      <c r="M15" s="6"/>
      <c r="N15" s="6"/>
    </row>
    <row r="16" customFormat="false" ht="15" hidden="false" customHeight="false" outlineLevel="0" collapsed="false">
      <c r="B16" s="16" t="s">
        <v>163</v>
      </c>
      <c r="C16" s="17"/>
      <c r="D16" s="17"/>
      <c r="E16" s="17"/>
      <c r="F16" s="17"/>
      <c r="G16" s="17"/>
      <c r="H16" s="17"/>
      <c r="I16" s="17"/>
      <c r="J16" s="17"/>
      <c r="K16" s="17"/>
      <c r="L16" s="17"/>
      <c r="M16" s="17"/>
      <c r="N16" s="17"/>
    </row>
    <row r="17" customFormat="false" ht="15" hidden="false" customHeight="false" outlineLevel="0" collapsed="false">
      <c r="B17" s="24" t="s">
        <v>164</v>
      </c>
      <c r="C17" s="25" t="n">
        <f aca="true">INDEX(CF_Total_Called,1,1)*WF_Hurdle_Rate</f>
        <v>2.25</v>
      </c>
      <c r="D17" s="25" t="n">
        <f aca="true">C17*(1+WF_Hurdle_Rate)+INDEX(CF_Total_Called,1,2)*WF_Hurdle_Rate</f>
        <v>6.36</v>
      </c>
      <c r="E17" s="25" t="n">
        <f aca="true">D17*(1+WF_Hurdle_Rate)+INDEX(CF_Total_Called,1,3)*WF_Hurdle_Rate</f>
        <v>11.8416</v>
      </c>
      <c r="F17" s="25" t="n">
        <f aca="true">E17*(1+WF_Hurdle_Rate)+INDEX(CF_Total_Called,1,4)*WF_Hurdle_Rate</f>
        <v>18.027096</v>
      </c>
      <c r="G17" s="25" t="n">
        <f aca="true">F17*(1+WF_Hurdle_Rate)+INDEX(CF_Total_Called,1,5)*WF_Hurdle_Rate</f>
        <v>25.03372176</v>
      </c>
      <c r="H17" s="25" t="n">
        <f aca="true">G17*(1+WF_Hurdle_Rate)+INDEX(CF_Total_Called,1,6)*WF_Hurdle_Rate</f>
        <v>30.7904950656</v>
      </c>
      <c r="I17" s="25" t="n">
        <f aca="true">H17*(1+WF_Hurdle_Rate)+INDEX(CF_Total_Called,1,7)*WF_Hurdle_Rate</f>
        <v>35.2936211981074</v>
      </c>
      <c r="J17" s="25" t="n">
        <f aca="true">I17*(1+WF_Hurdle_Rate)+INDEX(CF_Total_Called,1,8)*WF_Hurdle_Rate</f>
        <v>38.8959170414225</v>
      </c>
      <c r="K17" s="25" t="n">
        <f aca="true">J17*(1+WF_Hurdle_Rate)+INDEX(CF_Total_Called,1,9)*WF_Hurdle_Rate</f>
        <v>41.9906542067649</v>
      </c>
      <c r="L17" s="25" t="n">
        <f aca="true">K17*(1+WF_Hurdle_Rate)+INDEX(CF_Total_Called,1,10)*WF_Hurdle_Rate</f>
        <v>44.5545577448851</v>
      </c>
      <c r="M17" s="25" t="n">
        <f aca="true">L17*(1+WF_Hurdle_Rate)+INDEX(CF_Total_Called,1,11)*WF_Hurdle_Rate</f>
        <v>47.2448669238639</v>
      </c>
      <c r="N17" s="25" t="n">
        <f aca="true">M17*(1+WF_Hurdle_Rate)+INDEX(CF_Total_Called,1,12)*WF_Hurdle_Rate</f>
        <v>50.0832553678672</v>
      </c>
    </row>
    <row r="18" customFormat="false" ht="15" hidden="false" customHeight="false" outlineLevel="0" collapsed="false">
      <c r="B18" s="24" t="s">
        <v>165</v>
      </c>
      <c r="C18" s="25" t="n">
        <f aca="false">MIN(C14,C17)</f>
        <v>0</v>
      </c>
      <c r="D18" s="25" t="n">
        <f aca="false">MIN(D14,D17)</f>
        <v>0</v>
      </c>
      <c r="E18" s="25" t="n">
        <f aca="false">MIN(E14,E17)</f>
        <v>0</v>
      </c>
      <c r="F18" s="25" t="n">
        <f aca="false">MIN(F14,F17)</f>
        <v>0</v>
      </c>
      <c r="G18" s="25" t="n">
        <f aca="false">MIN(G14,G17)</f>
        <v>0</v>
      </c>
      <c r="H18" s="25" t="n">
        <f aca="false">MIN(H14,H17)</f>
        <v>0</v>
      </c>
      <c r="I18" s="25" t="n">
        <f aca="false">MIN(I14,I17)</f>
        <v>0</v>
      </c>
      <c r="J18" s="25" t="n">
        <f aca="false">MIN(J14,J17)</f>
        <v>0</v>
      </c>
      <c r="K18" s="25" t="n">
        <f aca="false">MIN(K14,K17)</f>
        <v>41.9906542067649</v>
      </c>
      <c r="L18" s="25" t="n">
        <f aca="false">MIN(L14,L17)</f>
        <v>44.5545577448851</v>
      </c>
      <c r="M18" s="25" t="n">
        <f aca="false">MIN(M14,M17)</f>
        <v>47.2448669238639</v>
      </c>
      <c r="N18" s="25" t="n">
        <f aca="false">MIN(N14,N17)</f>
        <v>50.0832553678672</v>
      </c>
    </row>
    <row r="19" customFormat="false" ht="15" hidden="false" customHeight="false" outlineLevel="0" collapsed="false">
      <c r="B19" s="29" t="s">
        <v>166</v>
      </c>
      <c r="C19" s="30" t="n">
        <f aca="false">C18</f>
        <v>0</v>
      </c>
      <c r="D19" s="30" t="n">
        <f aca="false">MAX(D18-C18,0)</f>
        <v>0</v>
      </c>
      <c r="E19" s="30" t="n">
        <f aca="false">MAX(E18-D18,0)</f>
        <v>0</v>
      </c>
      <c r="F19" s="30" t="n">
        <f aca="false">MAX(F18-E18,0)</f>
        <v>0</v>
      </c>
      <c r="G19" s="30" t="n">
        <f aca="false">MAX(G18-F18,0)</f>
        <v>0</v>
      </c>
      <c r="H19" s="30" t="n">
        <f aca="false">MAX(H18-G18,0)</f>
        <v>0</v>
      </c>
      <c r="I19" s="30" t="n">
        <f aca="false">MAX(I18-H18,0)</f>
        <v>0</v>
      </c>
      <c r="J19" s="30" t="n">
        <f aca="false">MAX(J18-I18,0)</f>
        <v>0</v>
      </c>
      <c r="K19" s="30" t="n">
        <f aca="false">MAX(K18-J18,0)</f>
        <v>41.9906542067649</v>
      </c>
      <c r="L19" s="30" t="n">
        <f aca="false">MAX(L18-K18,0)</f>
        <v>2.56390353812018</v>
      </c>
      <c r="M19" s="30" t="n">
        <f aca="false">MAX(M18-L18,0)</f>
        <v>2.69030917897882</v>
      </c>
      <c r="N19" s="30" t="n">
        <f aca="false">MAX(N18-M18,0)</f>
        <v>2.83838844400327</v>
      </c>
    </row>
    <row r="20" customFormat="false" ht="15" hidden="false" customHeight="false" outlineLevel="0" collapsed="false">
      <c r="B20" s="24" t="s">
        <v>167</v>
      </c>
      <c r="C20" s="25" t="n">
        <f aca="false">MAX(C14-C18,0)</f>
        <v>0</v>
      </c>
      <c r="D20" s="25" t="n">
        <f aca="false">MAX(D14-D18,0)</f>
        <v>0</v>
      </c>
      <c r="E20" s="25" t="n">
        <f aca="false">MAX(E14-E18,0)</f>
        <v>0</v>
      </c>
      <c r="F20" s="25" t="n">
        <f aca="false">MAX(F14-F18,0)</f>
        <v>0</v>
      </c>
      <c r="G20" s="25" t="n">
        <f aca="false">MAX(G14-G18,0)</f>
        <v>0</v>
      </c>
      <c r="H20" s="25" t="n">
        <f aca="false">MAX(H14-H18,0)</f>
        <v>0</v>
      </c>
      <c r="I20" s="25" t="n">
        <f aca="false">MAX(I14-I18,0)</f>
        <v>0</v>
      </c>
      <c r="J20" s="25" t="n">
        <f aca="false">MAX(J14-J18,0)</f>
        <v>0</v>
      </c>
      <c r="K20" s="25" t="n">
        <f aca="false">MAX(K14-K18,0)</f>
        <v>45.2004172218064</v>
      </c>
      <c r="L20" s="25" t="n">
        <f aca="false">MAX(L14-L18,0)</f>
        <v>187.552585112258</v>
      </c>
      <c r="M20" s="25" t="n">
        <f aca="false">MAX(M14-M18,0)</f>
        <v>287.335490218993</v>
      </c>
      <c r="N20" s="25" t="n">
        <f aca="false">MAX(N14-N18,0)</f>
        <v>341.049780346419</v>
      </c>
    </row>
    <row r="21" customFormat="false" ht="15" hidden="false" customHeight="false" outlineLevel="0" collapsed="false">
      <c r="B21" s="6"/>
      <c r="C21" s="6"/>
      <c r="D21" s="6"/>
      <c r="E21" s="6"/>
      <c r="F21" s="6"/>
      <c r="G21" s="6"/>
      <c r="H21" s="6"/>
      <c r="I21" s="6"/>
      <c r="J21" s="6"/>
      <c r="K21" s="6"/>
      <c r="L21" s="6"/>
      <c r="M21" s="6"/>
      <c r="N21" s="6"/>
    </row>
    <row r="22" customFormat="false" ht="15" hidden="false" customHeight="false" outlineLevel="0" collapsed="false">
      <c r="B22" s="16" t="s">
        <v>168</v>
      </c>
      <c r="C22" s="17"/>
      <c r="D22" s="17"/>
      <c r="E22" s="17"/>
      <c r="F22" s="17"/>
      <c r="G22" s="17"/>
      <c r="H22" s="17"/>
      <c r="I22" s="17"/>
      <c r="J22" s="17"/>
      <c r="K22" s="17"/>
      <c r="L22" s="17"/>
      <c r="M22" s="17"/>
      <c r="N22" s="17"/>
    </row>
    <row r="23" customFormat="false" ht="15" hidden="false" customHeight="false" outlineLevel="0" collapsed="false">
      <c r="B23" s="24" t="s">
        <v>169</v>
      </c>
      <c r="C23" s="25" t="n">
        <f aca="false">(WF_Carry_Pct/(1-WF_Carry_Pct))*C18</f>
        <v>0</v>
      </c>
      <c r="D23" s="25" t="n">
        <f aca="false">(WF_Carry_Pct/(1-WF_Carry_Pct))*D18</f>
        <v>0</v>
      </c>
      <c r="E23" s="25" t="n">
        <f aca="false">(WF_Carry_Pct/(1-WF_Carry_Pct))*E18</f>
        <v>0</v>
      </c>
      <c r="F23" s="25" t="n">
        <f aca="false">(WF_Carry_Pct/(1-WF_Carry_Pct))*F18</f>
        <v>0</v>
      </c>
      <c r="G23" s="25" t="n">
        <f aca="false">(WF_Carry_Pct/(1-WF_Carry_Pct))*G18</f>
        <v>0</v>
      </c>
      <c r="H23" s="25" t="n">
        <f aca="false">(WF_Carry_Pct/(1-WF_Carry_Pct))*H18</f>
        <v>0</v>
      </c>
      <c r="I23" s="25" t="n">
        <f aca="false">(WF_Carry_Pct/(1-WF_Carry_Pct))*I18</f>
        <v>0</v>
      </c>
      <c r="J23" s="25" t="n">
        <f aca="false">(WF_Carry_Pct/(1-WF_Carry_Pct))*J18</f>
        <v>0</v>
      </c>
      <c r="K23" s="25" t="n">
        <f aca="false">(WF_Carry_Pct/(1-WF_Carry_Pct))*K18</f>
        <v>4.66562824519611</v>
      </c>
      <c r="L23" s="25" t="n">
        <f aca="false">(WF_Carry_Pct/(1-WF_Carry_Pct))*L18</f>
        <v>4.95050641609835</v>
      </c>
      <c r="M23" s="25" t="n">
        <f aca="false">(WF_Carry_Pct/(1-WF_Carry_Pct))*M18</f>
        <v>5.24942965820711</v>
      </c>
      <c r="N23" s="25" t="n">
        <f aca="false">(WF_Carry_Pct/(1-WF_Carry_Pct))*N18</f>
        <v>5.56480615198525</v>
      </c>
    </row>
    <row r="24" customFormat="false" ht="15" hidden="false" customHeight="false" outlineLevel="0" collapsed="false">
      <c r="B24" s="24" t="s">
        <v>170</v>
      </c>
      <c r="C24" s="25" t="n">
        <f aca="false">MIN(C20,C23)*WF_Catchup_Pct</f>
        <v>0</v>
      </c>
      <c r="D24" s="25" t="n">
        <f aca="false">MIN(D20,D23)*WF_Catchup_Pct</f>
        <v>0</v>
      </c>
      <c r="E24" s="25" t="n">
        <f aca="false">MIN(E20,E23)*WF_Catchup_Pct</f>
        <v>0</v>
      </c>
      <c r="F24" s="25" t="n">
        <f aca="false">MIN(F20,F23)*WF_Catchup_Pct</f>
        <v>0</v>
      </c>
      <c r="G24" s="25" t="n">
        <f aca="false">MIN(G20,G23)*WF_Catchup_Pct</f>
        <v>0</v>
      </c>
      <c r="H24" s="25" t="n">
        <f aca="false">MIN(H20,H23)*WF_Catchup_Pct</f>
        <v>0</v>
      </c>
      <c r="I24" s="25" t="n">
        <f aca="false">MIN(I20,I23)*WF_Catchup_Pct</f>
        <v>0</v>
      </c>
      <c r="J24" s="25" t="n">
        <f aca="false">MIN(J20,J23)*WF_Catchup_Pct</f>
        <v>0</v>
      </c>
      <c r="K24" s="25" t="n">
        <f aca="false">MIN(K20,K23)*WF_Catchup_Pct</f>
        <v>4.66562824519611</v>
      </c>
      <c r="L24" s="25" t="n">
        <f aca="false">MIN(L20,L23)*WF_Catchup_Pct</f>
        <v>4.95050641609835</v>
      </c>
      <c r="M24" s="25" t="n">
        <f aca="false">MIN(M20,M23)*WF_Catchup_Pct</f>
        <v>5.24942965820711</v>
      </c>
      <c r="N24" s="25" t="n">
        <f aca="false">MIN(N20,N23)*WF_Catchup_Pct</f>
        <v>5.56480615198525</v>
      </c>
    </row>
    <row r="25" customFormat="false" ht="15" hidden="false" customHeight="false" outlineLevel="0" collapsed="false">
      <c r="B25" s="29" t="s">
        <v>171</v>
      </c>
      <c r="C25" s="30" t="n">
        <f aca="false">C24</f>
        <v>0</v>
      </c>
      <c r="D25" s="30" t="n">
        <f aca="false">MAX(D24-C24,0)</f>
        <v>0</v>
      </c>
      <c r="E25" s="30" t="n">
        <f aca="false">MAX(E24-D24,0)</f>
        <v>0</v>
      </c>
      <c r="F25" s="30" t="n">
        <f aca="false">MAX(F24-E24,0)</f>
        <v>0</v>
      </c>
      <c r="G25" s="30" t="n">
        <f aca="false">MAX(G24-F24,0)</f>
        <v>0</v>
      </c>
      <c r="H25" s="30" t="n">
        <f aca="false">MAX(H24-G24,0)</f>
        <v>0</v>
      </c>
      <c r="I25" s="30" t="n">
        <f aca="false">MAX(I24-H24,0)</f>
        <v>0</v>
      </c>
      <c r="J25" s="30" t="n">
        <f aca="false">MAX(J24-I24,0)</f>
        <v>0</v>
      </c>
      <c r="K25" s="30" t="n">
        <f aca="false">MAX(K24-J24,0)</f>
        <v>4.66562824519611</v>
      </c>
      <c r="L25" s="30" t="n">
        <f aca="false">MAX(L24-K24,0)</f>
        <v>0.284878170902243</v>
      </c>
      <c r="M25" s="30" t="n">
        <f aca="false">MAX(M24-L24,0)</f>
        <v>0.298923242108758</v>
      </c>
      <c r="N25" s="30" t="n">
        <f aca="false">MAX(N24-M24,0)</f>
        <v>0.315376493778141</v>
      </c>
    </row>
    <row r="26" customFormat="false" ht="15" hidden="false" customHeight="false" outlineLevel="0" collapsed="false">
      <c r="B26" s="24" t="s">
        <v>172</v>
      </c>
      <c r="C26" s="25" t="n">
        <f aca="false">MAX(C20-C24,0)</f>
        <v>0</v>
      </c>
      <c r="D26" s="25" t="n">
        <f aca="false">MAX(D20-D24,0)</f>
        <v>0</v>
      </c>
      <c r="E26" s="25" t="n">
        <f aca="false">MAX(E20-E24,0)</f>
        <v>0</v>
      </c>
      <c r="F26" s="25" t="n">
        <f aca="false">MAX(F20-F24,0)</f>
        <v>0</v>
      </c>
      <c r="G26" s="25" t="n">
        <f aca="false">MAX(G20-G24,0)</f>
        <v>0</v>
      </c>
      <c r="H26" s="25" t="n">
        <f aca="false">MAX(H20-H24,0)</f>
        <v>0</v>
      </c>
      <c r="I26" s="25" t="n">
        <f aca="false">MAX(I20-I24,0)</f>
        <v>0</v>
      </c>
      <c r="J26" s="25" t="n">
        <f aca="false">MAX(J20-J24,0)</f>
        <v>0</v>
      </c>
      <c r="K26" s="25" t="n">
        <f aca="false">MAX(K20-K24,0)</f>
        <v>40.5347889766103</v>
      </c>
      <c r="L26" s="25" t="n">
        <f aca="false">MAX(L20-L24,0)</f>
        <v>182.602078696159</v>
      </c>
      <c r="M26" s="25" t="n">
        <f aca="false">MAX(M20-M24,0)</f>
        <v>282.086060560786</v>
      </c>
      <c r="N26" s="25" t="n">
        <f aca="false">MAX(N20-N24,0)</f>
        <v>335.484974194433</v>
      </c>
    </row>
    <row r="27" customFormat="false" ht="15" hidden="false" customHeight="false" outlineLevel="0" collapsed="false">
      <c r="B27" s="6"/>
      <c r="C27" s="6"/>
      <c r="D27" s="6"/>
      <c r="E27" s="6"/>
      <c r="F27" s="6"/>
      <c r="G27" s="6"/>
      <c r="H27" s="6"/>
      <c r="I27" s="6"/>
      <c r="J27" s="6"/>
      <c r="K27" s="6"/>
      <c r="L27" s="6"/>
      <c r="M27" s="6"/>
      <c r="N27" s="6"/>
    </row>
    <row r="28" customFormat="false" ht="15" hidden="false" customHeight="false" outlineLevel="0" collapsed="false">
      <c r="B28" s="16" t="s">
        <v>173</v>
      </c>
      <c r="C28" s="17"/>
      <c r="D28" s="17"/>
      <c r="E28" s="17"/>
      <c r="F28" s="17"/>
      <c r="G28" s="17"/>
      <c r="H28" s="17"/>
      <c r="I28" s="17"/>
      <c r="J28" s="17"/>
      <c r="K28" s="17"/>
      <c r="L28" s="17"/>
      <c r="M28" s="17"/>
      <c r="N28" s="17"/>
    </row>
    <row r="29" customFormat="false" ht="15" hidden="false" customHeight="false" outlineLevel="0" collapsed="false">
      <c r="B29" s="24" t="s">
        <v>174</v>
      </c>
      <c r="C29" s="25" t="n">
        <f aca="false">C26*WF_Carry_Pct</f>
        <v>0</v>
      </c>
      <c r="D29" s="25" t="n">
        <f aca="false">D26*WF_Carry_Pct</f>
        <v>0</v>
      </c>
      <c r="E29" s="25" t="n">
        <f aca="false">E26*WF_Carry_Pct</f>
        <v>0</v>
      </c>
      <c r="F29" s="25" t="n">
        <f aca="false">F26*WF_Carry_Pct</f>
        <v>0</v>
      </c>
      <c r="G29" s="25" t="n">
        <f aca="false">G26*WF_Carry_Pct</f>
        <v>0</v>
      </c>
      <c r="H29" s="25" t="n">
        <f aca="false">H26*WF_Carry_Pct</f>
        <v>0</v>
      </c>
      <c r="I29" s="25" t="n">
        <f aca="false">I26*WF_Carry_Pct</f>
        <v>0</v>
      </c>
      <c r="J29" s="25" t="n">
        <f aca="false">J26*WF_Carry_Pct</f>
        <v>0</v>
      </c>
      <c r="K29" s="25" t="n">
        <f aca="false">K26*WF_Carry_Pct</f>
        <v>4.05347889766103</v>
      </c>
      <c r="L29" s="25" t="n">
        <f aca="false">L26*WF_Carry_Pct</f>
        <v>18.2602078696159</v>
      </c>
      <c r="M29" s="25" t="n">
        <f aca="false">M26*WF_Carry_Pct</f>
        <v>28.2086060560786</v>
      </c>
      <c r="N29" s="25" t="n">
        <f aca="false">N26*WF_Carry_Pct</f>
        <v>33.5484974194433</v>
      </c>
    </row>
    <row r="30" customFormat="false" ht="15" hidden="false" customHeight="false" outlineLevel="0" collapsed="false">
      <c r="B30" s="24" t="s">
        <v>175</v>
      </c>
      <c r="C30" s="25" t="n">
        <f aca="false">C29</f>
        <v>0</v>
      </c>
      <c r="D30" s="25" t="n">
        <f aca="false">MAX(D29-C29,0)</f>
        <v>0</v>
      </c>
      <c r="E30" s="25" t="n">
        <f aca="false">MAX(E29-D29,0)</f>
        <v>0</v>
      </c>
      <c r="F30" s="25" t="n">
        <f aca="false">MAX(F29-E29,0)</f>
        <v>0</v>
      </c>
      <c r="G30" s="25" t="n">
        <f aca="false">MAX(G29-F29,0)</f>
        <v>0</v>
      </c>
      <c r="H30" s="25" t="n">
        <f aca="false">MAX(H29-G29,0)</f>
        <v>0</v>
      </c>
      <c r="I30" s="25" t="n">
        <f aca="false">MAX(I29-H29,0)</f>
        <v>0</v>
      </c>
      <c r="J30" s="25" t="n">
        <f aca="false">MAX(J29-I29,0)</f>
        <v>0</v>
      </c>
      <c r="K30" s="25" t="n">
        <f aca="false">MAX(K29-J29,0)</f>
        <v>4.05347889766103</v>
      </c>
      <c r="L30" s="25" t="n">
        <f aca="false">MAX(L29-K29,0)</f>
        <v>14.2067289719549</v>
      </c>
      <c r="M30" s="25" t="n">
        <f aca="false">MAX(M29-L29,0)</f>
        <v>9.94839818646268</v>
      </c>
      <c r="N30" s="25" t="n">
        <f aca="false">MAX(N29-M29,0)</f>
        <v>5.33989136336472</v>
      </c>
    </row>
    <row r="31" customFormat="false" ht="15" hidden="false" customHeight="false" outlineLevel="0" collapsed="false">
      <c r="B31" s="24" t="s">
        <v>176</v>
      </c>
      <c r="C31" s="25" t="n">
        <f aca="false">C26*(1-WF_Carry_Pct)</f>
        <v>0</v>
      </c>
      <c r="D31" s="25" t="n">
        <f aca="false">D26*(1-WF_Carry_Pct)</f>
        <v>0</v>
      </c>
      <c r="E31" s="25" t="n">
        <f aca="false">E26*(1-WF_Carry_Pct)</f>
        <v>0</v>
      </c>
      <c r="F31" s="25" t="n">
        <f aca="false">F26*(1-WF_Carry_Pct)</f>
        <v>0</v>
      </c>
      <c r="G31" s="25" t="n">
        <f aca="false">G26*(1-WF_Carry_Pct)</f>
        <v>0</v>
      </c>
      <c r="H31" s="25" t="n">
        <f aca="false">H26*(1-WF_Carry_Pct)</f>
        <v>0</v>
      </c>
      <c r="I31" s="25" t="n">
        <f aca="false">I26*(1-WF_Carry_Pct)</f>
        <v>0</v>
      </c>
      <c r="J31" s="25" t="n">
        <f aca="false">J26*(1-WF_Carry_Pct)</f>
        <v>0</v>
      </c>
      <c r="K31" s="25" t="n">
        <f aca="false">K26*(1-WF_Carry_Pct)</f>
        <v>36.4813100789493</v>
      </c>
      <c r="L31" s="25" t="n">
        <f aca="false">L26*(1-WF_Carry_Pct)</f>
        <v>164.341870826543</v>
      </c>
      <c r="M31" s="25" t="n">
        <f aca="false">M26*(1-WF_Carry_Pct)</f>
        <v>253.877454504708</v>
      </c>
      <c r="N31" s="25" t="n">
        <f aca="false">N26*(1-WF_Carry_Pct)</f>
        <v>301.93647677499</v>
      </c>
    </row>
    <row r="32" customFormat="false" ht="15" hidden="false" customHeight="false" outlineLevel="0" collapsed="false">
      <c r="B32" s="24" t="s">
        <v>177</v>
      </c>
      <c r="C32" s="25" t="n">
        <f aca="false">C31</f>
        <v>0</v>
      </c>
      <c r="D32" s="25" t="n">
        <f aca="false">MAX(D31-C31,0)</f>
        <v>0</v>
      </c>
      <c r="E32" s="25" t="n">
        <f aca="false">MAX(E31-D31,0)</f>
        <v>0</v>
      </c>
      <c r="F32" s="25" t="n">
        <f aca="false">MAX(F31-E31,0)</f>
        <v>0</v>
      </c>
      <c r="G32" s="25" t="n">
        <f aca="false">MAX(G31-F31,0)</f>
        <v>0</v>
      </c>
      <c r="H32" s="25" t="n">
        <f aca="false">MAX(H31-G31,0)</f>
        <v>0</v>
      </c>
      <c r="I32" s="25" t="n">
        <f aca="false">MAX(I31-H31,0)</f>
        <v>0</v>
      </c>
      <c r="J32" s="25" t="n">
        <f aca="false">MAX(J31-I31,0)</f>
        <v>0</v>
      </c>
      <c r="K32" s="25" t="n">
        <f aca="false">MAX(K31-J31,0)</f>
        <v>36.4813100789493</v>
      </c>
      <c r="L32" s="25" t="n">
        <f aca="false">MAX(L31-K31,0)</f>
        <v>127.860560747594</v>
      </c>
      <c r="M32" s="25" t="n">
        <f aca="false">MAX(M31-L31,0)</f>
        <v>89.5355836781641</v>
      </c>
      <c r="N32" s="25" t="n">
        <f aca="false">MAX(N31-M31,0)</f>
        <v>48.0590222702824</v>
      </c>
    </row>
    <row r="33" customFormat="false" ht="15" hidden="false" customHeight="false" outlineLevel="0" collapsed="false">
      <c r="B33" s="6"/>
      <c r="C33" s="6"/>
      <c r="D33" s="6"/>
      <c r="E33" s="6"/>
      <c r="F33" s="6"/>
      <c r="G33" s="6"/>
      <c r="H33" s="6"/>
      <c r="I33" s="6"/>
      <c r="J33" s="6"/>
      <c r="K33" s="6"/>
      <c r="L33" s="6"/>
      <c r="M33" s="6"/>
      <c r="N33" s="6"/>
    </row>
    <row r="34" customFormat="false" ht="15" hidden="false" customHeight="false" outlineLevel="0" collapsed="false">
      <c r="B34" s="16" t="s">
        <v>178</v>
      </c>
      <c r="C34" s="17"/>
      <c r="D34" s="17"/>
      <c r="E34" s="17"/>
      <c r="F34" s="17"/>
      <c r="G34" s="17"/>
      <c r="H34" s="17"/>
      <c r="I34" s="17"/>
      <c r="J34" s="17"/>
      <c r="K34" s="17"/>
      <c r="L34" s="17"/>
      <c r="M34" s="17"/>
      <c r="N34" s="17"/>
    </row>
    <row r="35" customFormat="false" ht="15" hidden="false" customHeight="false" outlineLevel="0" collapsed="false">
      <c r="B35" s="24" t="s">
        <v>179</v>
      </c>
      <c r="C35" s="25" t="n">
        <f aca="false">MAX(C25+C30,0)</f>
        <v>0</v>
      </c>
      <c r="D35" s="25" t="n">
        <f aca="false">MAX(D25+D30,0)</f>
        <v>0</v>
      </c>
      <c r="E35" s="25" t="n">
        <f aca="false">MAX(E25+E30,0)</f>
        <v>0</v>
      </c>
      <c r="F35" s="25" t="n">
        <f aca="false">MAX(F25+F30,0)</f>
        <v>0</v>
      </c>
      <c r="G35" s="25" t="n">
        <f aca="false">MAX(G25+G30,0)</f>
        <v>0</v>
      </c>
      <c r="H35" s="25" t="n">
        <f aca="false">MAX(H25+H30,0)</f>
        <v>0</v>
      </c>
      <c r="I35" s="25" t="n">
        <f aca="false">MAX(I25+I30,0)</f>
        <v>0</v>
      </c>
      <c r="J35" s="25" t="n">
        <f aca="false">MAX(J25+J30,0)</f>
        <v>0</v>
      </c>
      <c r="K35" s="25" t="n">
        <f aca="false">MAX(K25+K30,0)</f>
        <v>8.71910714285714</v>
      </c>
      <c r="L35" s="25" t="n">
        <f aca="false">MAX(L25+L30,0)</f>
        <v>14.4916071428571</v>
      </c>
      <c r="M35" s="25" t="n">
        <f aca="false">MAX(M25+M30,0)</f>
        <v>10.2473214285714</v>
      </c>
      <c r="N35" s="25" t="n">
        <f aca="false">MAX(N25+N30,0)</f>
        <v>5.65526785714286</v>
      </c>
    </row>
    <row r="36" customFormat="false" ht="15" hidden="false" customHeight="false" outlineLevel="0" collapsed="false">
      <c r="B36" s="24" t="s">
        <v>180</v>
      </c>
      <c r="C36" s="25" t="n">
        <f aca="false">MAX(C13+C19+C32,0)</f>
        <v>0</v>
      </c>
      <c r="D36" s="25" t="n">
        <f aca="false">MAX(D13+D19+D32,0)</f>
        <v>0</v>
      </c>
      <c r="E36" s="25" t="n">
        <f aca="false">MAX(E13+E19+E32,0)</f>
        <v>0</v>
      </c>
      <c r="F36" s="25" t="n">
        <f aca="false">MAX(F13+F19+F32,0)</f>
        <v>11.2821428571429</v>
      </c>
      <c r="G36" s="25" t="n">
        <f aca="false">MAX(G13+G19+G32,0)</f>
        <v>41.2107142857143</v>
      </c>
      <c r="H36" s="25" t="n">
        <f aca="false">MAX(H13+H19+H32,0)</f>
        <v>85.0971428571429</v>
      </c>
      <c r="I36" s="25" t="n">
        <f aca="false">MAX(I13+I19+I32,0)</f>
        <v>139.212142857143</v>
      </c>
      <c r="J36" s="25" t="n">
        <f aca="false">MAX(J13+J19+J32,0)</f>
        <v>170.140714285714</v>
      </c>
      <c r="K36" s="25" t="n">
        <f aca="false">MAX(K13+K19+K32,0)</f>
        <v>162.880892857143</v>
      </c>
      <c r="L36" s="25" t="n">
        <f aca="false">MAX(L13+L19+L32,0)</f>
        <v>131.165535714286</v>
      </c>
      <c r="M36" s="25" t="n">
        <f aca="false">MAX(M13+M19+M32,0)</f>
        <v>92.5098214285715</v>
      </c>
      <c r="N36" s="25" t="n">
        <f aca="false">MAX(N13+N19+N32,0)</f>
        <v>50.9590178571429</v>
      </c>
    </row>
    <row r="37" customFormat="false" ht="15" hidden="false" customHeight="false" outlineLevel="0" collapsed="false">
      <c r="B37" s="26" t="s">
        <v>181</v>
      </c>
      <c r="C37" s="27" t="n">
        <f aca="false">C35+C36</f>
        <v>0</v>
      </c>
      <c r="D37" s="27" t="n">
        <f aca="false">D35+D36</f>
        <v>0</v>
      </c>
      <c r="E37" s="27" t="n">
        <f aca="false">E35+E36</f>
        <v>0</v>
      </c>
      <c r="F37" s="27" t="n">
        <f aca="false">F35+F36</f>
        <v>11.2821428571429</v>
      </c>
      <c r="G37" s="27" t="n">
        <f aca="false">G35+G36</f>
        <v>41.2107142857143</v>
      </c>
      <c r="H37" s="27" t="n">
        <f aca="false">H35+H36</f>
        <v>85.0971428571429</v>
      </c>
      <c r="I37" s="27" t="n">
        <f aca="false">I35+I36</f>
        <v>139.212142857143</v>
      </c>
      <c r="J37" s="27" t="n">
        <f aca="false">J35+J36</f>
        <v>170.140714285714</v>
      </c>
      <c r="K37" s="27" t="n">
        <f aca="false">K35+K36</f>
        <v>171.6</v>
      </c>
      <c r="L37" s="27" t="n">
        <f aca="false">L35+L36</f>
        <v>145.657142857143</v>
      </c>
      <c r="M37" s="27" t="n">
        <f aca="false">M35+M36</f>
        <v>102.757142857143</v>
      </c>
      <c r="N37" s="27" t="n">
        <f aca="false">N35+N36</f>
        <v>56.6142857142857</v>
      </c>
    </row>
    <row r="38" customFormat="false" ht="15" hidden="false" customHeight="false" outlineLevel="0" collapsed="false">
      <c r="B38" s="24" t="s">
        <v>182</v>
      </c>
      <c r="C38" s="31" t="n">
        <f aca="false">C37-C7</f>
        <v>0</v>
      </c>
      <c r="D38" s="31" t="n">
        <f aca="false">D37-D7</f>
        <v>0</v>
      </c>
      <c r="E38" s="31" t="n">
        <f aca="false">E37-E7</f>
        <v>0</v>
      </c>
      <c r="F38" s="31" t="n">
        <f aca="false">F37-F7</f>
        <v>0</v>
      </c>
      <c r="G38" s="31" t="n">
        <f aca="false">G37-G7</f>
        <v>0</v>
      </c>
      <c r="H38" s="31" t="n">
        <f aca="false">H37-H7</f>
        <v>0</v>
      </c>
      <c r="I38" s="31" t="n">
        <f aca="false">I37-I7</f>
        <v>0</v>
      </c>
      <c r="J38" s="31" t="n">
        <f aca="false">J37-J7</f>
        <v>0</v>
      </c>
      <c r="K38" s="31" t="n">
        <f aca="false">K37-K7</f>
        <v>0</v>
      </c>
      <c r="L38" s="31" t="n">
        <f aca="false">L37-L7</f>
        <v>0</v>
      </c>
      <c r="M38" s="31" t="n">
        <f aca="false">M37-M7</f>
        <v>0</v>
      </c>
      <c r="N38" s="31" t="n">
        <f aca="false">N37-N7</f>
        <v>0</v>
      </c>
    </row>
    <row r="39" customFormat="false" ht="15" hidden="false" customHeight="false" outlineLevel="0" collapsed="false">
      <c r="B39" s="6"/>
      <c r="C39" s="6"/>
      <c r="D39" s="6"/>
      <c r="E39" s="6"/>
      <c r="F39" s="6"/>
      <c r="G39" s="6"/>
      <c r="H39" s="6"/>
      <c r="I39" s="6"/>
      <c r="J39" s="6"/>
      <c r="K39" s="6"/>
      <c r="L39" s="6"/>
      <c r="M39" s="6"/>
      <c r="N39" s="6"/>
    </row>
    <row r="40" customFormat="false" ht="15" hidden="false" customHeight="false" outlineLevel="0" collapsed="false">
      <c r="B40" s="16" t="s">
        <v>183</v>
      </c>
      <c r="C40" s="17"/>
      <c r="D40" s="17"/>
      <c r="E40" s="17"/>
      <c r="F40" s="17"/>
      <c r="G40" s="17"/>
      <c r="H40" s="17"/>
      <c r="I40" s="17"/>
      <c r="J40" s="17"/>
      <c r="K40" s="17"/>
      <c r="L40" s="17"/>
      <c r="M40" s="17"/>
      <c r="N40" s="17"/>
    </row>
    <row r="41" customFormat="false" ht="15" hidden="false" customHeight="false" outlineLevel="0" collapsed="false">
      <c r="B41" s="24" t="s">
        <v>184</v>
      </c>
      <c r="C41" s="25" t="n">
        <f aca="false">C35</f>
        <v>0</v>
      </c>
      <c r="D41" s="25" t="n">
        <f aca="false">C41+D35</f>
        <v>0</v>
      </c>
      <c r="E41" s="25" t="n">
        <f aca="false">D41+E35</f>
        <v>0</v>
      </c>
      <c r="F41" s="25" t="n">
        <f aca="false">E41+F35</f>
        <v>0</v>
      </c>
      <c r="G41" s="25" t="n">
        <f aca="false">F41+G35</f>
        <v>0</v>
      </c>
      <c r="H41" s="25" t="n">
        <f aca="false">G41+H35</f>
        <v>0</v>
      </c>
      <c r="I41" s="25" t="n">
        <f aca="false">H41+I35</f>
        <v>0</v>
      </c>
      <c r="J41" s="25" t="n">
        <f aca="false">I41+J35</f>
        <v>0</v>
      </c>
      <c r="K41" s="25" t="n">
        <f aca="false">J41+K35</f>
        <v>8.71910714285714</v>
      </c>
      <c r="L41" s="25" t="n">
        <f aca="false">K41+L35</f>
        <v>23.2107142857143</v>
      </c>
      <c r="M41" s="25" t="n">
        <f aca="false">L41+M35</f>
        <v>33.4580357142857</v>
      </c>
      <c r="N41" s="25" t="n">
        <f aca="false">M41+N35</f>
        <v>39.1133035714286</v>
      </c>
    </row>
    <row r="42" customFormat="false" ht="15" hidden="false" customHeight="false" outlineLevel="0" collapsed="false">
      <c r="B42" s="24" t="s">
        <v>185</v>
      </c>
      <c r="C42" s="25" t="n">
        <f aca="false">C36</f>
        <v>0</v>
      </c>
      <c r="D42" s="25" t="n">
        <f aca="false">C42+D36</f>
        <v>0</v>
      </c>
      <c r="E42" s="25" t="n">
        <f aca="false">D42+E36</f>
        <v>0</v>
      </c>
      <c r="F42" s="25" t="n">
        <f aca="false">E42+F36</f>
        <v>11.2821428571429</v>
      </c>
      <c r="G42" s="25" t="n">
        <f aca="false">F42+G36</f>
        <v>52.4928571428572</v>
      </c>
      <c r="H42" s="25" t="n">
        <f aca="false">G42+H36</f>
        <v>137.59</v>
      </c>
      <c r="I42" s="25" t="n">
        <f aca="false">H42+I36</f>
        <v>276.802142857143</v>
      </c>
      <c r="J42" s="25" t="n">
        <f aca="false">I42+J36</f>
        <v>446.942857142857</v>
      </c>
      <c r="K42" s="25" t="n">
        <f aca="false">J42+K36</f>
        <v>609.82375</v>
      </c>
      <c r="L42" s="25" t="n">
        <f aca="false">K42+L36</f>
        <v>740.989285714286</v>
      </c>
      <c r="M42" s="25" t="n">
        <f aca="false">L42+M36</f>
        <v>833.499107142857</v>
      </c>
      <c r="N42" s="25" t="n">
        <f aca="false">M42+N36</f>
        <v>884.458125</v>
      </c>
    </row>
    <row r="43" customFormat="false" ht="15" hidden="false" customHeight="false" outlineLevel="0" collapsed="false">
      <c r="B43" s="29" t="s">
        <v>186</v>
      </c>
      <c r="C43" s="30" t="n">
        <f aca="false">C37</f>
        <v>0</v>
      </c>
      <c r="D43" s="30" t="n">
        <f aca="false">C43+D37</f>
        <v>0</v>
      </c>
      <c r="E43" s="30" t="n">
        <f aca="false">D43+E37</f>
        <v>0</v>
      </c>
      <c r="F43" s="30" t="n">
        <f aca="false">E43+F37</f>
        <v>11.2821428571429</v>
      </c>
      <c r="G43" s="30" t="n">
        <f aca="false">F43+G37</f>
        <v>52.4928571428572</v>
      </c>
      <c r="H43" s="30" t="n">
        <f aca="false">G43+H37</f>
        <v>137.59</v>
      </c>
      <c r="I43" s="30" t="n">
        <f aca="false">H43+I37</f>
        <v>276.802142857143</v>
      </c>
      <c r="J43" s="30" t="n">
        <f aca="false">I43+J37</f>
        <v>446.942857142857</v>
      </c>
      <c r="K43" s="30" t="n">
        <f aca="false">J43+K37</f>
        <v>618.542857142857</v>
      </c>
      <c r="L43" s="30" t="n">
        <f aca="false">K43+L37</f>
        <v>764.2</v>
      </c>
      <c r="M43" s="30" t="n">
        <f aca="false">L43+M37</f>
        <v>866.957142857143</v>
      </c>
      <c r="N43" s="30" t="n">
        <f aca="false">M43+N37</f>
        <v>923.571428571429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4" min="3" style="0" width="14"/>
  </cols>
  <sheetData>
    <row r="1" customFormat="false" ht="15" hidden="false" customHeight="false" outlineLevel="0" collapsed="false">
      <c r="A1" s="1"/>
      <c r="B1" s="2"/>
      <c r="C1" s="2"/>
      <c r="D1" s="2"/>
      <c r="E1" s="2"/>
      <c r="F1" s="2"/>
      <c r="G1" s="2"/>
      <c r="H1" s="2"/>
      <c r="I1" s="2"/>
      <c r="J1" s="2"/>
      <c r="K1" s="2"/>
      <c r="L1" s="2"/>
      <c r="M1" s="2"/>
      <c r="N1" s="2"/>
      <c r="O1" s="1"/>
      <c r="P1" s="1"/>
      <c r="Q1" s="1"/>
      <c r="R1" s="1"/>
      <c r="S1" s="1"/>
      <c r="T1" s="1"/>
      <c r="U1" s="1"/>
      <c r="V1" s="1"/>
      <c r="W1" s="1"/>
      <c r="X1" s="1"/>
      <c r="Y1" s="1"/>
      <c r="Z1" s="1"/>
      <c r="AA1" s="1"/>
      <c r="AB1" s="1"/>
      <c r="AC1" s="1"/>
      <c r="AD1" s="1"/>
    </row>
    <row r="2" customFormat="false" ht="21.75" hidden="false" customHeight="true" outlineLevel="0" collapsed="false">
      <c r="A2" s="1"/>
      <c r="B2" s="3" t="s">
        <v>20</v>
      </c>
      <c r="C2" s="2"/>
      <c r="D2" s="2"/>
      <c r="E2" s="2"/>
      <c r="F2" s="2"/>
      <c r="G2" s="2"/>
      <c r="H2" s="2"/>
      <c r="I2" s="2"/>
      <c r="J2" s="2"/>
      <c r="K2" s="2"/>
      <c r="L2" s="2"/>
      <c r="M2" s="2"/>
      <c r="N2" s="2"/>
      <c r="O2" s="1"/>
      <c r="P2" s="1"/>
      <c r="Q2" s="1"/>
      <c r="R2" s="1"/>
      <c r="S2" s="1"/>
      <c r="T2" s="1"/>
      <c r="U2" s="1"/>
      <c r="V2" s="1"/>
      <c r="W2" s="1"/>
      <c r="X2" s="1"/>
      <c r="Y2" s="1"/>
      <c r="Z2" s="1"/>
      <c r="AA2" s="1"/>
      <c r="AB2" s="1"/>
      <c r="AC2" s="1"/>
      <c r="AD2" s="1"/>
    </row>
    <row r="3" customFormat="false" ht="15" hidden="false" customHeight="false" outlineLevel="0" collapsed="false">
      <c r="A3" s="1"/>
      <c r="B3" s="5" t="s">
        <v>187</v>
      </c>
      <c r="C3" s="2"/>
      <c r="D3" s="2"/>
      <c r="E3" s="2"/>
      <c r="F3" s="2"/>
      <c r="G3" s="2"/>
      <c r="H3" s="2"/>
      <c r="I3" s="2"/>
      <c r="J3" s="2"/>
      <c r="K3" s="2"/>
      <c r="L3" s="2"/>
      <c r="M3" s="2"/>
      <c r="N3" s="2"/>
      <c r="O3" s="1"/>
      <c r="P3" s="1"/>
      <c r="Q3" s="1"/>
      <c r="R3" s="1"/>
      <c r="S3" s="1"/>
      <c r="T3" s="1"/>
      <c r="U3" s="1"/>
      <c r="V3" s="1"/>
      <c r="W3" s="1"/>
      <c r="X3" s="1"/>
      <c r="Y3" s="1"/>
      <c r="Z3" s="1"/>
      <c r="AA3" s="1"/>
      <c r="AB3" s="1"/>
      <c r="AC3" s="1"/>
      <c r="AD3" s="1"/>
    </row>
    <row r="4" customFormat="false" ht="15" hidden="false" customHeight="false" outlineLevel="0" collapsed="false">
      <c r="B4" s="14" t="s">
        <v>109</v>
      </c>
      <c r="C4" s="23" t="n">
        <f aca="false">COLUMN()-2</f>
        <v>1</v>
      </c>
      <c r="D4" s="23" t="n">
        <f aca="false">COLUMN()-2</f>
        <v>2</v>
      </c>
      <c r="E4" s="23" t="n">
        <f aca="false">COLUMN()-2</f>
        <v>3</v>
      </c>
      <c r="F4" s="23" t="n">
        <f aca="false">COLUMN()-2</f>
        <v>4</v>
      </c>
      <c r="G4" s="23" t="n">
        <f aca="false">COLUMN()-2</f>
        <v>5</v>
      </c>
      <c r="H4" s="23" t="n">
        <f aca="false">COLUMN()-2</f>
        <v>6</v>
      </c>
      <c r="I4" s="23" t="n">
        <f aca="false">COLUMN()-2</f>
        <v>7</v>
      </c>
      <c r="J4" s="23" t="n">
        <f aca="false">COLUMN()-2</f>
        <v>8</v>
      </c>
      <c r="K4" s="23" t="n">
        <f aca="false">COLUMN()-2</f>
        <v>9</v>
      </c>
      <c r="L4" s="23" t="n">
        <f aca="false">COLUMN()-2</f>
        <v>10</v>
      </c>
      <c r="M4" s="23" t="n">
        <f aca="false">COLUMN()-2</f>
        <v>11</v>
      </c>
      <c r="N4" s="23" t="n">
        <f aca="false">COLUMN()-2</f>
        <v>12</v>
      </c>
    </row>
    <row r="5" customFormat="false" ht="15" hidden="false" customHeight="false" outlineLevel="0" collapsed="false">
      <c r="B5" s="6"/>
      <c r="C5" s="6"/>
      <c r="D5" s="6"/>
      <c r="E5" s="6"/>
      <c r="F5" s="6"/>
      <c r="G5" s="6"/>
      <c r="H5" s="6"/>
      <c r="I5" s="6"/>
      <c r="J5" s="6"/>
      <c r="K5" s="6"/>
      <c r="L5" s="6"/>
      <c r="M5" s="6"/>
      <c r="N5" s="6"/>
    </row>
    <row r="6" customFormat="false" ht="15" hidden="false" customHeight="false" outlineLevel="0" collapsed="false">
      <c r="B6" s="16" t="s">
        <v>188</v>
      </c>
      <c r="C6" s="17"/>
      <c r="D6" s="17"/>
      <c r="E6" s="17"/>
      <c r="F6" s="17"/>
      <c r="G6" s="17"/>
      <c r="H6" s="17"/>
      <c r="I6" s="17"/>
      <c r="J6" s="17"/>
      <c r="K6" s="17"/>
      <c r="L6" s="17"/>
      <c r="M6" s="17"/>
      <c r="N6" s="17"/>
    </row>
    <row r="7" customFormat="false" ht="15" hidden="false" customHeight="false" outlineLevel="0" collapsed="false">
      <c r="B7" s="24" t="s">
        <v>189</v>
      </c>
      <c r="C7" s="32" t="n">
        <f aca="true">IFERROR((INDEX(W_Cumul_Total_Dist,1,1)+INDEX(CF_NAV_UF,1,1))/INDEX(CF_Cumul_Total_Called,1,1),0)</f>
        <v>1.66666666666667</v>
      </c>
      <c r="D7" s="32" t="n">
        <f aca="true">IFERROR((INDEX(W_Cumul_Total_Dist,1,2)+INDEX(CF_NAV_UF,1,2))/INDEX(CF_Cumul_Total_Called,1,2),0)</f>
        <v>1.80722891566265</v>
      </c>
      <c r="E7" s="32" t="n">
        <f aca="true">IFERROR((INDEX(W_Cumul_Total_Dist,1,3)+INDEX(CF_NAV_UF,1,3))/INDEX(CF_Cumul_Total_Called,1,3),0)</f>
        <v>1.85430463576159</v>
      </c>
      <c r="F7" s="32" t="n">
        <f aca="true">IFERROR((INDEX(W_Cumul_Total_Dist,1,4)+INDEX(CF_NAV_UF,1,4))/INDEX(CF_Cumul_Total_Called,1,4),0)</f>
        <v>1.86108418367347</v>
      </c>
      <c r="G7" s="32" t="n">
        <f aca="true">IFERROR((INDEX(W_Cumul_Total_Dist,1,5)+INDEX(CF_NAV_UF,1,5))/INDEX(CF_Cumul_Total_Called,1,5),0)</f>
        <v>1.85193776520509</v>
      </c>
      <c r="H7" s="32" t="n">
        <f aca="true">IFERROR((INDEX(W_Cumul_Total_Dist,1,6)+INDEX(CF_NAV_UF,1,6))/INDEX(CF_Cumul_Total_Called,1,6),0)</f>
        <v>1.8237900647708</v>
      </c>
      <c r="I7" s="32" t="n">
        <f aca="true">IFERROR((INDEX(W_Cumul_Total_Dist,1,7)+INDEX(CF_NAV_UF,1,7))/INDEX(CF_Cumul_Total_Called,1,7),0)</f>
        <v>1.77987581232658</v>
      </c>
      <c r="J7" s="32" t="n">
        <f aca="true">IFERROR((INDEX(W_Cumul_Total_Dist,1,8)+INDEX(CF_NAV_UF,1,8))/INDEX(CF_Cumul_Total_Called,1,8),0)</f>
        <v>1.72725160050886</v>
      </c>
      <c r="K7" s="32" t="n">
        <f aca="true">IFERROR((INDEX(W_Cumul_Total_Dist,1,9)+INDEX(CF_NAV_UF,1,9))/INDEX(CF_Cumul_Total_Called,1,9),0)</f>
        <v>1.70348538263257</v>
      </c>
      <c r="L7" s="32" t="n">
        <f aca="true">IFERROR((INDEX(W_Cumul_Total_Dist,1,10)+INDEX(CF_NAV_UF,1,10))/INDEX(CF_Cumul_Total_Called,1,10),0)</f>
        <v>1.71476514571839</v>
      </c>
      <c r="M7" s="32" t="n">
        <f aca="true">IFERROR((INDEX(W_Cumul_Total_Dist,1,11)+INDEX(CF_NAV_UF,1,11))/INDEX(CF_Cumul_Total_Called,1,11),0)</f>
        <v>1.73512985902171</v>
      </c>
      <c r="N7" s="32" t="n">
        <f aca="true">IFERROR((INDEX(W_Cumul_Total_Dist,1,12)+INDEX(CF_NAV_UF,1,12))/INDEX(CF_Cumul_Total_Called,1,12),0)</f>
        <v>1.75774863289012</v>
      </c>
    </row>
    <row r="8" customFormat="false" ht="15" hidden="false" customHeight="false" outlineLevel="0" collapsed="false">
      <c r="B8" s="24" t="s">
        <v>190</v>
      </c>
      <c r="C8" s="32" t="n">
        <f aca="true">IFERROR(INDEX(W_Cumul_Total_Dist,1,1)/INDEX(CF_Cumul_Total_Called,1,1),0)</f>
        <v>0</v>
      </c>
      <c r="D8" s="32" t="n">
        <f aca="true">IFERROR(INDEX(W_Cumul_Total_Dist,1,2)/INDEX(CF_Cumul_Total_Called,1,2),0)</f>
        <v>0</v>
      </c>
      <c r="E8" s="32" t="n">
        <f aca="true">IFERROR(INDEX(W_Cumul_Total_Dist,1,3)/INDEX(CF_Cumul_Total_Called,1,3),0)</f>
        <v>0</v>
      </c>
      <c r="F8" s="32" t="n">
        <f aca="true">IFERROR(INDEX(W_Cumul_Total_Dist,1,4)/INDEX(CF_Cumul_Total_Called,1,4),0)</f>
        <v>0.0402933673469388</v>
      </c>
      <c r="G8" s="32" t="n">
        <f aca="true">IFERROR(INDEX(W_Cumul_Total_Dist,1,5)/INDEX(CF_Cumul_Total_Called,1,5),0)</f>
        <v>0.138595002357379</v>
      </c>
      <c r="H8" s="32" t="n">
        <f aca="true">IFERROR(INDEX(W_Cumul_Total_Dist,1,6)/INDEX(CF_Cumul_Total_Called,1,6),0)</f>
        <v>0.30598504433881</v>
      </c>
      <c r="I8" s="32" t="n">
        <f aca="true">IFERROR(INDEX(W_Cumul_Total_Dist,1,7)/INDEX(CF_Cumul_Total_Called,1,7),0)</f>
        <v>0.560414320447582</v>
      </c>
      <c r="J8" s="32" t="n">
        <f aca="true">IFERROR(INDEX(W_Cumul_Total_Dist,1,8)/INDEX(CF_Cumul_Total_Called,1,8),0)</f>
        <v>0.861711558953296</v>
      </c>
      <c r="K8" s="32" t="n">
        <f aca="true">IFERROR(INDEX(W_Cumul_Total_Dist,1,9)/INDEX(CF_Cumul_Total_Called,1,9),0)</f>
        <v>1.16409293009407</v>
      </c>
      <c r="L8" s="32" t="n">
        <f aca="true">IFERROR(INDEX(W_Cumul_Total_Dist,1,10)/INDEX(CF_Cumul_Total_Called,1,10),0)</f>
        <v>1.436215483334</v>
      </c>
      <c r="M8" s="32" t="n">
        <f aca="true">IFERROR(INDEX(W_Cumul_Total_Dist,1,11)/INDEX(CF_Cumul_Total_Called,1,11),0)</f>
        <v>1.62846533906236</v>
      </c>
      <c r="N8" s="32" t="n">
        <f aca="true">IFERROR(INDEX(W_Cumul_Total_Dist,1,12)/INDEX(CF_Cumul_Total_Called,1,12),0)</f>
        <v>1.73460712255442</v>
      </c>
    </row>
    <row r="9" customFormat="false" ht="15" hidden="false" customHeight="false" outlineLevel="0" collapsed="false">
      <c r="B9" s="24" t="s">
        <v>191</v>
      </c>
      <c r="C9" s="32" t="n">
        <f aca="true">IFERROR(INDEX(CF_NAV_UF,1,1)/INDEX(CF_Cumul_Total_Called,1,1),0)</f>
        <v>1.66666666666667</v>
      </c>
      <c r="D9" s="32" t="n">
        <f aca="true">IFERROR(INDEX(CF_NAV_UF,1,2)/INDEX(CF_Cumul_Total_Called,1,2),0)</f>
        <v>1.80722891566265</v>
      </c>
      <c r="E9" s="32" t="n">
        <f aca="true">IFERROR(INDEX(CF_NAV_UF,1,3)/INDEX(CF_Cumul_Total_Called,1,3),0)</f>
        <v>1.85430463576159</v>
      </c>
      <c r="F9" s="32" t="n">
        <f aca="true">IFERROR(INDEX(CF_NAV_UF,1,4)/INDEX(CF_Cumul_Total_Called,1,4),0)</f>
        <v>1.82079081632653</v>
      </c>
      <c r="G9" s="32" t="n">
        <f aca="true">IFERROR(INDEX(CF_NAV_UF,1,5)/INDEX(CF_Cumul_Total_Called,1,5),0)</f>
        <v>1.71334276284771</v>
      </c>
      <c r="H9" s="32" t="n">
        <f aca="true">IFERROR(INDEX(CF_NAV_UF,1,6)/INDEX(CF_Cumul_Total_Called,1,6),0)</f>
        <v>1.51780502043199</v>
      </c>
      <c r="I9" s="32" t="n">
        <f aca="true">IFERROR(INDEX(CF_NAV_UF,1,7)/INDEX(CF_Cumul_Total_Called,1,7),0)</f>
        <v>1.21946149187899</v>
      </c>
      <c r="J9" s="32" t="n">
        <f aca="true">IFERROR(INDEX(CF_NAV_UF,1,8)/INDEX(CF_Cumul_Total_Called,1,8),0)</f>
        <v>0.865540041555562</v>
      </c>
      <c r="K9" s="32" t="n">
        <f aca="true">IFERROR(INDEX(CF_NAV_UF,1,9)/INDEX(CF_Cumul_Total_Called,1,9),0)</f>
        <v>0.539392452538505</v>
      </c>
      <c r="L9" s="32" t="n">
        <f aca="true">IFERROR(INDEX(CF_NAV_UF,1,10)/INDEX(CF_Cumul_Total_Called,1,10),0)</f>
        <v>0.278549662384385</v>
      </c>
      <c r="M9" s="32" t="n">
        <f aca="true">IFERROR(INDEX(CF_NAV_UF,1,11)/INDEX(CF_Cumul_Total_Called,1,11),0)</f>
        <v>0.106664519959347</v>
      </c>
      <c r="N9" s="32" t="n">
        <f aca="true">IFERROR(INDEX(CF_NAV_UF,1,12)/INDEX(CF_Cumul_Total_Called,1,12),0)</f>
        <v>0.0231415103357028</v>
      </c>
    </row>
    <row r="10" customFormat="false" ht="15" hidden="false" customHeight="false" outlineLevel="0" collapsed="false">
      <c r="B10" s="24" t="s">
        <v>192</v>
      </c>
      <c r="C10" s="31" t="n">
        <f aca="false">C7-C8-C9</f>
        <v>0</v>
      </c>
      <c r="D10" s="31" t="n">
        <f aca="false">D7-D8-D9</f>
        <v>0</v>
      </c>
      <c r="E10" s="31" t="n">
        <f aca="false">E7-E8-E9</f>
        <v>0</v>
      </c>
      <c r="F10" s="31" t="n">
        <f aca="false">F7-F8-F9</f>
        <v>0</v>
      </c>
      <c r="G10" s="31" t="n">
        <f aca="false">G7-G8-G9</f>
        <v>0</v>
      </c>
      <c r="H10" s="31" t="n">
        <f aca="false">H7-H8-H9</f>
        <v>0</v>
      </c>
      <c r="I10" s="31" t="n">
        <f aca="false">I7-I8-I9</f>
        <v>0</v>
      </c>
      <c r="J10" s="31" t="n">
        <f aca="false">J7-J8-J9</f>
        <v>0</v>
      </c>
      <c r="K10" s="31" t="n">
        <f aca="false">K7-K8-K9</f>
        <v>0</v>
      </c>
      <c r="L10" s="31" t="n">
        <f aca="false">L7-L8-L9</f>
        <v>0</v>
      </c>
      <c r="M10" s="31" t="n">
        <f aca="false">M7-M8-M9</f>
        <v>0</v>
      </c>
      <c r="N10" s="31" t="n">
        <f aca="false">N7-N8-N9</f>
        <v>-1.80411241501588E-016</v>
      </c>
    </row>
    <row r="11" customFormat="false" ht="15" hidden="false" customHeight="false" outlineLevel="0" collapsed="false">
      <c r="B11" s="6"/>
      <c r="C11" s="6"/>
      <c r="D11" s="6"/>
      <c r="E11" s="6"/>
      <c r="F11" s="6"/>
      <c r="G11" s="6"/>
      <c r="H11" s="6"/>
      <c r="I11" s="6"/>
      <c r="J11" s="6"/>
      <c r="K11" s="6"/>
      <c r="L11" s="6"/>
      <c r="M11" s="6"/>
      <c r="N11" s="6"/>
    </row>
    <row r="12" customFormat="false" ht="15" hidden="false" customHeight="false" outlineLevel="0" collapsed="false">
      <c r="B12" s="16" t="s">
        <v>193</v>
      </c>
      <c r="C12" s="17"/>
      <c r="D12" s="17"/>
      <c r="E12" s="17"/>
      <c r="F12" s="17"/>
      <c r="G12" s="17"/>
      <c r="H12" s="17"/>
      <c r="I12" s="17"/>
      <c r="J12" s="17"/>
      <c r="K12" s="17"/>
      <c r="L12" s="17"/>
      <c r="M12" s="17"/>
      <c r="N12" s="17"/>
    </row>
    <row r="13" customFormat="false" ht="15" hidden="false" customHeight="false" outlineLevel="0" collapsed="false">
      <c r="B13" s="24" t="s">
        <v>194</v>
      </c>
      <c r="C13" s="25" t="n">
        <f aca="true">INDEX(W_LP_Dist,1,1)-INDEX(CF_LP_Call,1,1)</f>
        <v>-36.75</v>
      </c>
      <c r="D13" s="25" t="n">
        <f aca="true">INDEX(W_LP_Dist,1,2)-INDEX(CF_LP_Call,1,2)</f>
        <v>-64.925</v>
      </c>
      <c r="E13" s="25" t="n">
        <f aca="true">INDEX(W_LP_Dist,1,3)-INDEX(CF_LP_Call,1,3)</f>
        <v>-83.3</v>
      </c>
      <c r="F13" s="25" t="n">
        <f aca="true">INDEX(W_LP_Dist,1,4)-INDEX(CF_LP_Call,1,4)</f>
        <v>-78.1428571428571</v>
      </c>
      <c r="G13" s="25" t="n">
        <f aca="true">INDEX(W_LP_Dist,1,5)-INDEX(CF_LP_Call,1,5)</f>
        <v>-55.5642857142857</v>
      </c>
      <c r="H13" s="25" t="n">
        <f aca="true">INDEX(W_LP_Dist,1,6)-INDEX(CF_LP_Call,1,6)</f>
        <v>15.6028928571429</v>
      </c>
      <c r="I13" s="25" t="n">
        <f aca="true">INDEX(W_LP_Dist,1,7)-INDEX(CF_LP_Call,1,7)</f>
        <v>95.8357678571428</v>
      </c>
      <c r="J13" s="25" t="n">
        <f aca="true">INDEX(W_LP_Dist,1,8)-INDEX(CF_LP_Call,1,8)</f>
        <v>145.890964285714</v>
      </c>
      <c r="K13" s="25" t="n">
        <f aca="true">INDEX(W_LP_Dist,1,9)-INDEX(CF_LP_Call,1,9)</f>
        <v>150.451517857143</v>
      </c>
      <c r="L13" s="25" t="n">
        <f aca="true">INDEX(W_LP_Dist,1,10)-INDEX(CF_LP_Call,1,10)</f>
        <v>130.439285714286</v>
      </c>
      <c r="M13" s="25" t="n">
        <f aca="true">INDEX(W_LP_Dist,1,11)-INDEX(CF_LP_Call,1,11)</f>
        <v>92.2315714285715</v>
      </c>
      <c r="N13" s="25" t="n">
        <f aca="true">INDEX(W_LP_Dist,1,12)-INDEX(CF_LP_Call,1,12)</f>
        <v>50.8986428571429</v>
      </c>
    </row>
    <row r="14" customFormat="false" ht="15" hidden="false" customHeight="false" outlineLevel="0" collapsed="false">
      <c r="B14" s="24" t="s">
        <v>195</v>
      </c>
      <c r="C14" s="32" t="n">
        <f aca="true">IFERROR(INDEX(W_Cumul_LP_Dist,1,1)/INDEX(CF_Cumul_LP_Called,1,1),0)</f>
        <v>0</v>
      </c>
      <c r="D14" s="32" t="n">
        <f aca="true">IFERROR(INDEX(W_Cumul_LP_Dist,1,2)/INDEX(CF_Cumul_LP_Called,1,2),0)</f>
        <v>0</v>
      </c>
      <c r="E14" s="32" t="n">
        <f aca="true">IFERROR(INDEX(W_Cumul_LP_Dist,1,3)/INDEX(CF_Cumul_LP_Called,1,3),0)</f>
        <v>0</v>
      </c>
      <c r="F14" s="32" t="n">
        <f aca="true">IFERROR(INDEX(W_Cumul_LP_Dist,1,4)/INDEX(CF_Cumul_LP_Called,1,4),0)</f>
        <v>0.0411156809662641</v>
      </c>
      <c r="G14" s="32" t="n">
        <f aca="true">IFERROR(INDEX(W_Cumul_LP_Dist,1,5)/INDEX(CF_Cumul_LP_Called,1,5),0)</f>
        <v>0.141423471793244</v>
      </c>
      <c r="H14" s="32" t="n">
        <f aca="true">IFERROR(INDEX(W_Cumul_LP_Dist,1,6)/INDEX(CF_Cumul_LP_Called,1,6),0)</f>
        <v>0.312229637080418</v>
      </c>
      <c r="I14" s="32" t="n">
        <f aca="true">IFERROR(INDEX(W_Cumul_LP_Dist,1,7)/INDEX(CF_Cumul_LP_Called,1,7),0)</f>
        <v>0.571851347395492</v>
      </c>
      <c r="J14" s="32" t="n">
        <f aca="true">IFERROR(INDEX(W_Cumul_LP_Dist,1,8)/INDEX(CF_Cumul_LP_Called,1,8),0)</f>
        <v>0.879297509136016</v>
      </c>
      <c r="K14" s="32" t="n">
        <f aca="true">IFERROR(INDEX(W_Cumul_LP_Dist,1,9)/INDEX(CF_Cumul_LP_Called,1,9),0)</f>
        <v>1.1711057521272</v>
      </c>
      <c r="L14" s="32" t="n">
        <f aca="true">IFERROR(INDEX(W_Cumul_LP_Dist,1,10)/INDEX(CF_Cumul_LP_Called,1,10),0)</f>
        <v>1.42101421938837</v>
      </c>
      <c r="M14" s="32" t="n">
        <f aca="true">IFERROR(INDEX(W_Cumul_LP_Dist,1,11)/INDEX(CF_Cumul_LP_Called,1,11),0)</f>
        <v>1.59757020934298</v>
      </c>
      <c r="N14" s="32" t="n">
        <f aca="true">IFERROR(INDEX(W_Cumul_LP_Dist,1,12)/INDEX(CF_Cumul_LP_Called,1,12),0)</f>
        <v>1.69504735744794</v>
      </c>
    </row>
    <row r="15" customFormat="false" ht="15" hidden="false" customHeight="false" outlineLevel="0" collapsed="false">
      <c r="B15" s="24" t="s">
        <v>196</v>
      </c>
      <c r="C15" s="33" t="n">
        <f aca="false">IFERROR(IRR(C13),0)</f>
        <v>0</v>
      </c>
      <c r="D15" s="33" t="n">
        <f aca="false">IFERROR(IRR(C13:D13),0)</f>
        <v>0</v>
      </c>
      <c r="E15" s="33" t="n">
        <f aca="false">IFERROR(IRR(C13:E13),0)</f>
        <v>0</v>
      </c>
      <c r="F15" s="33" t="n">
        <f aca="false">IFERROR(IRR(C13:F13),0)</f>
        <v>0</v>
      </c>
      <c r="G15" s="33" t="n">
        <f aca="false">IFERROR(IRR(C13:G13),0)</f>
        <v>0</v>
      </c>
      <c r="H15" s="33" t="n">
        <f aca="false">IFERROR(IRR(C13:H13),0)</f>
        <v>0</v>
      </c>
      <c r="I15" s="33" t="n">
        <f aca="false">IFERROR(IRR(C13:I13),0)</f>
        <v>0</v>
      </c>
      <c r="J15" s="33" t="n">
        <f aca="false">IFERROR(IRR(C13:J13),0)</f>
        <v>-0.0483289532918155</v>
      </c>
      <c r="K15" s="33" t="n">
        <f aca="false">IFERROR(IRR(C13:K13),0)</f>
        <v>0.0514008824613552</v>
      </c>
      <c r="L15" s="33" t="n">
        <f aca="false">IFERROR(IRR(C13:L13),0)</f>
        <v>0.102235196670236</v>
      </c>
      <c r="M15" s="33" t="n">
        <f aca="false">IFERROR(IRR(C13:M13),0)</f>
        <v>0.126793652266855</v>
      </c>
      <c r="N15" s="33" t="n">
        <f aca="false">IFERROR(IRR(C13:N13),0)</f>
        <v>0.13711115647279</v>
      </c>
    </row>
    <row r="16" customFormat="false" ht="15" hidden="false" customHeight="false" outlineLevel="0" collapsed="false">
      <c r="B16" s="24" t="s">
        <v>197</v>
      </c>
      <c r="C16" s="32" t="n">
        <f aca="false">C14-Target_Net_Multiple</f>
        <v>-1.5</v>
      </c>
      <c r="D16" s="32" t="n">
        <f aca="false">D14-Target_Net_Multiple</f>
        <v>-1.5</v>
      </c>
      <c r="E16" s="32" t="n">
        <f aca="false">E14-Target_Net_Multiple</f>
        <v>-1.5</v>
      </c>
      <c r="F16" s="32" t="n">
        <f aca="false">F14-Target_Net_Multiple</f>
        <v>-1.45888431903374</v>
      </c>
      <c r="G16" s="32" t="n">
        <f aca="false">G14-Target_Net_Multiple</f>
        <v>-1.35857652820676</v>
      </c>
      <c r="H16" s="32" t="n">
        <f aca="false">H14-Target_Net_Multiple</f>
        <v>-1.18777036291958</v>
      </c>
      <c r="I16" s="32" t="n">
        <f aca="false">I14-Target_Net_Multiple</f>
        <v>-0.928148652604508</v>
      </c>
      <c r="J16" s="32" t="n">
        <f aca="false">J14-Target_Net_Multiple</f>
        <v>-0.620702490863984</v>
      </c>
      <c r="K16" s="32" t="n">
        <f aca="false">K14-Target_Net_Multiple</f>
        <v>-0.328894247872797</v>
      </c>
      <c r="L16" s="32" t="n">
        <f aca="false">L14-Target_Net_Multiple</f>
        <v>-0.0789857806116285</v>
      </c>
      <c r="M16" s="32" t="n">
        <f aca="false">M14-Target_Net_Multiple</f>
        <v>0.0975702093429827</v>
      </c>
      <c r="N16" s="32" t="n">
        <f aca="false">N14-Target_Net_Multiple</f>
        <v>0.195047357447937</v>
      </c>
    </row>
    <row r="17" customFormat="false" ht="15" hidden="false" customHeight="false" outlineLevel="0" collapsed="false">
      <c r="B17" s="24" t="s">
        <v>198</v>
      </c>
      <c r="C17" s="33" t="n">
        <f aca="false">C15-Target_Net_IRR</f>
        <v>-0.1</v>
      </c>
      <c r="D17" s="33" t="n">
        <f aca="false">D15-Target_Net_IRR</f>
        <v>-0.1</v>
      </c>
      <c r="E17" s="33" t="n">
        <f aca="false">E15-Target_Net_IRR</f>
        <v>-0.1</v>
      </c>
      <c r="F17" s="33" t="n">
        <f aca="false">F15-Target_Net_IRR</f>
        <v>-0.1</v>
      </c>
      <c r="G17" s="33" t="n">
        <f aca="false">G15-Target_Net_IRR</f>
        <v>-0.1</v>
      </c>
      <c r="H17" s="33" t="n">
        <f aca="false">H15-Target_Net_IRR</f>
        <v>-0.1</v>
      </c>
      <c r="I17" s="33" t="n">
        <f aca="false">I15-Target_Net_IRR</f>
        <v>-0.1</v>
      </c>
      <c r="J17" s="33" t="n">
        <f aca="false">J15-Target_Net_IRR</f>
        <v>-0.148328953291816</v>
      </c>
      <c r="K17" s="33" t="n">
        <f aca="false">K15-Target_Net_IRR</f>
        <v>-0.0485991175386448</v>
      </c>
      <c r="L17" s="33" t="n">
        <f aca="false">L15-Target_Net_IRR</f>
        <v>0.00223519667023576</v>
      </c>
      <c r="M17" s="33" t="n">
        <f aca="false">M15-Target_Net_IRR</f>
        <v>0.0267936522668553</v>
      </c>
      <c r="N17" s="33" t="n">
        <f aca="false">N15-Target_Net_IRR</f>
        <v>0.0371111564727899</v>
      </c>
    </row>
    <row r="18" customFormat="false" ht="15" hidden="false" customHeight="false" outlineLevel="0" collapsed="false">
      <c r="B18" s="6"/>
      <c r="C18" s="6"/>
      <c r="D18" s="6"/>
      <c r="E18" s="6"/>
      <c r="F18" s="6"/>
      <c r="G18" s="6"/>
      <c r="H18" s="6"/>
      <c r="I18" s="6"/>
      <c r="J18" s="6"/>
      <c r="K18" s="6"/>
      <c r="L18" s="6"/>
      <c r="M18" s="6"/>
      <c r="N18" s="6"/>
    </row>
    <row r="19" customFormat="false" ht="15" hidden="false" customHeight="false" outlineLevel="0" collapsed="false">
      <c r="B19" s="16" t="s">
        <v>199</v>
      </c>
      <c r="C19" s="17"/>
      <c r="D19" s="17"/>
      <c r="E19" s="17"/>
      <c r="F19" s="17"/>
      <c r="G19" s="17"/>
      <c r="H19" s="17"/>
      <c r="I19" s="17"/>
      <c r="J19" s="17"/>
      <c r="K19" s="17"/>
      <c r="L19" s="17"/>
      <c r="M19" s="17"/>
      <c r="N19" s="17"/>
    </row>
    <row r="20" customFormat="false" ht="15" hidden="false" customHeight="false" outlineLevel="0" collapsed="false">
      <c r="B20" s="24" t="s">
        <v>200</v>
      </c>
      <c r="C20" s="25" t="n">
        <f aca="true">INDEX(CF_Total_FOF_Fee,1,1)</f>
        <v>6.25</v>
      </c>
      <c r="D20" s="25" t="n">
        <f aca="true">C20+INDEX(CF_Total_FOF_Fee,1,2)</f>
        <v>10</v>
      </c>
      <c r="E20" s="25" t="n">
        <f aca="true">D20+INDEX(CF_Total_FOF_Fee,1,3)</f>
        <v>13.75</v>
      </c>
      <c r="F20" s="25" t="n">
        <f aca="true">E20+INDEX(CF_Total_FOF_Fee,1,4)</f>
        <v>17.5</v>
      </c>
      <c r="G20" s="25" t="n">
        <f aca="true">F20+INDEX(CF_Total_FOF_Fee,1,5)</f>
        <v>21.25</v>
      </c>
      <c r="H20" s="25" t="n">
        <f aca="true">G20+INDEX(CF_Total_FOF_Fee,1,6)</f>
        <v>24.6625</v>
      </c>
      <c r="I20" s="25" t="n">
        <f aca="true">H20+INDEX(CF_Total_FOF_Fee,1,7)</f>
        <v>27.6741071428571</v>
      </c>
      <c r="J20" s="25" t="n">
        <f aca="true">I20+INDEX(CF_Total_FOF_Fee,1,8)</f>
        <v>29.91875</v>
      </c>
      <c r="K20" s="25" t="n">
        <f aca="true">J20+INDEX(CF_Total_FOF_Fee,1,9)</f>
        <v>31.3517857142857</v>
      </c>
      <c r="L20" s="25" t="n">
        <f aca="true">K20+INDEX(CF_Total_FOF_Fee,1,10)</f>
        <v>32.0928571428571</v>
      </c>
      <c r="M20" s="25" t="n">
        <f aca="true">L20+INDEX(CF_Total_FOF_Fee,1,11)</f>
        <v>32.3767857142857</v>
      </c>
      <c r="N20" s="25" t="n">
        <f aca="true">M20+INDEX(CF_Total_FOF_Fee,1,12)</f>
        <v>32.4383928571429</v>
      </c>
    </row>
    <row r="21" customFormat="false" ht="15" hidden="false" customHeight="false" outlineLevel="0" collapsed="false">
      <c r="B21" s="24" t="s">
        <v>201</v>
      </c>
      <c r="C21" s="25" t="n">
        <f aca="true">INDEX(W_Cumul_GP_Dist,1,1)</f>
        <v>0</v>
      </c>
      <c r="D21" s="25" t="n">
        <f aca="true">INDEX(W_Cumul_GP_Dist,1,2)</f>
        <v>0</v>
      </c>
      <c r="E21" s="25" t="n">
        <f aca="true">INDEX(W_Cumul_GP_Dist,1,3)</f>
        <v>0</v>
      </c>
      <c r="F21" s="25" t="n">
        <f aca="true">INDEX(W_Cumul_GP_Dist,1,4)</f>
        <v>0</v>
      </c>
      <c r="G21" s="25" t="n">
        <f aca="true">INDEX(W_Cumul_GP_Dist,1,5)</f>
        <v>0</v>
      </c>
      <c r="H21" s="25" t="n">
        <f aca="true">INDEX(W_Cumul_GP_Dist,1,6)</f>
        <v>0</v>
      </c>
      <c r="I21" s="25" t="n">
        <f aca="true">INDEX(W_Cumul_GP_Dist,1,7)</f>
        <v>0</v>
      </c>
      <c r="J21" s="25" t="n">
        <f aca="true">INDEX(W_Cumul_GP_Dist,1,8)</f>
        <v>0</v>
      </c>
      <c r="K21" s="25" t="n">
        <f aca="true">INDEX(W_Cumul_GP_Dist,1,9)</f>
        <v>8.71910714285714</v>
      </c>
      <c r="L21" s="25" t="n">
        <f aca="true">INDEX(W_Cumul_GP_Dist,1,10)</f>
        <v>23.2107142857143</v>
      </c>
      <c r="M21" s="25" t="n">
        <f aca="true">INDEX(W_Cumul_GP_Dist,1,11)</f>
        <v>33.4580357142857</v>
      </c>
      <c r="N21" s="25" t="n">
        <f aca="true">INDEX(W_Cumul_GP_Dist,1,12)</f>
        <v>39.1133035714286</v>
      </c>
    </row>
    <row r="22" customFormat="false" ht="15" hidden="false" customHeight="false" outlineLevel="0" collapsed="false">
      <c r="B22" s="24" t="s">
        <v>202</v>
      </c>
      <c r="C22" s="25" t="n">
        <f aca="true">INDEX(CF_Cumul_GP_Called,1,1)*C14</f>
        <v>0</v>
      </c>
      <c r="D22" s="25" t="n">
        <f aca="true">INDEX(CF_Cumul_GP_Called,1,2)*D14</f>
        <v>0</v>
      </c>
      <c r="E22" s="25" t="n">
        <f aca="true">INDEX(CF_Cumul_GP_Called,1,3)*E14</f>
        <v>0</v>
      </c>
      <c r="F22" s="25" t="n">
        <f aca="true">INDEX(CF_Cumul_GP_Called,1,4)*F14</f>
        <v>0.230247813411079</v>
      </c>
      <c r="G22" s="25" t="n">
        <f aca="true">INDEX(CF_Cumul_GP_Called,1,5)*G14</f>
        <v>1.07128279883382</v>
      </c>
      <c r="H22" s="25" t="n">
        <f aca="true">INDEX(CF_Cumul_GP_Called,1,6)*H14</f>
        <v>2.80795918367347</v>
      </c>
      <c r="I22" s="25" t="n">
        <f aca="true">INDEX(CF_Cumul_GP_Called,1,7)*I14</f>
        <v>5.64902332361516</v>
      </c>
      <c r="J22" s="25" t="n">
        <f aca="true">INDEX(CF_Cumul_GP_Called,1,8)*J14</f>
        <v>9.12128279883382</v>
      </c>
      <c r="K22" s="25" t="n">
        <f aca="true">INDEX(CF_Cumul_GP_Called,1,9)*K14</f>
        <v>12.4453826530612</v>
      </c>
      <c r="L22" s="25" t="n">
        <f aca="true">INDEX(CF_Cumul_GP_Called,1,10)*L14</f>
        <v>15.1222303206997</v>
      </c>
      <c r="M22" s="25" t="n">
        <f aca="true">INDEX(CF_Cumul_GP_Called,1,11)*M14</f>
        <v>17.0101858600583</v>
      </c>
      <c r="N22" s="25" t="n">
        <f aca="true">INDEX(CF_Cumul_GP_Called,1,12)*N14</f>
        <v>18.0501658163265</v>
      </c>
    </row>
    <row r="23" customFormat="false" ht="15" hidden="false" customHeight="false" outlineLevel="0" collapsed="false">
      <c r="B23" s="26" t="s">
        <v>203</v>
      </c>
      <c r="C23" s="27" t="n">
        <f aca="false">C20+C21+C22</f>
        <v>6.25</v>
      </c>
      <c r="D23" s="27" t="n">
        <f aca="false">D20+D21+D22</f>
        <v>10</v>
      </c>
      <c r="E23" s="27" t="n">
        <f aca="false">E20+E21+E22</f>
        <v>13.75</v>
      </c>
      <c r="F23" s="27" t="n">
        <f aca="false">F20+F21+F22</f>
        <v>17.7302478134111</v>
      </c>
      <c r="G23" s="27" t="n">
        <f aca="false">G20+G21+G22</f>
        <v>22.3212827988338</v>
      </c>
      <c r="H23" s="27" t="n">
        <f aca="false">H20+H21+H22</f>
        <v>27.4704591836735</v>
      </c>
      <c r="I23" s="27" t="n">
        <f aca="false">I20+I21+I22</f>
        <v>33.3231304664723</v>
      </c>
      <c r="J23" s="27" t="n">
        <f aca="false">J20+J21+J22</f>
        <v>39.0400327988338</v>
      </c>
      <c r="K23" s="27" t="n">
        <f aca="false">K20+K21+K22</f>
        <v>52.5162755102041</v>
      </c>
      <c r="L23" s="27" t="n">
        <f aca="false">L20+L21+L22</f>
        <v>70.4258017492711</v>
      </c>
      <c r="M23" s="27" t="n">
        <f aca="false">M20+M21+M22</f>
        <v>82.8450072886297</v>
      </c>
      <c r="N23" s="27" t="n">
        <f aca="false">N20+N21+N22</f>
        <v>89.601862244898</v>
      </c>
    </row>
    <row r="24" customFormat="false" ht="15" hidden="false" customHeight="false" outlineLevel="0" collapsed="false">
      <c r="B24" s="6"/>
      <c r="C24" s="6"/>
      <c r="D24" s="6"/>
      <c r="E24" s="6"/>
      <c r="F24" s="6"/>
      <c r="G24" s="6"/>
      <c r="H24" s="6"/>
      <c r="I24" s="6"/>
      <c r="J24" s="6"/>
      <c r="K24" s="6"/>
      <c r="L24" s="6"/>
      <c r="M24" s="6"/>
      <c r="N24" s="6"/>
    </row>
    <row r="25" customFormat="false" ht="15" hidden="false" customHeight="false" outlineLevel="0" collapsed="false">
      <c r="B25" s="16" t="s">
        <v>204</v>
      </c>
      <c r="C25" s="17"/>
      <c r="D25" s="17"/>
      <c r="E25" s="17"/>
      <c r="F25" s="17"/>
      <c r="G25" s="17"/>
      <c r="H25" s="17"/>
      <c r="I25" s="17"/>
      <c r="J25" s="17"/>
      <c r="K25" s="17"/>
      <c r="L25" s="17"/>
      <c r="M25" s="17"/>
      <c r="N25" s="17"/>
    </row>
    <row r="26" customFormat="false" ht="15" hidden="false" customHeight="false" outlineLevel="0" collapsed="false">
      <c r="B26" s="24" t="s">
        <v>205</v>
      </c>
      <c r="C26" s="25" t="n">
        <f aca="true">-INDEX(CF_Total_Called,1,1)</f>
        <v>-37.5</v>
      </c>
      <c r="D26" s="25" t="n">
        <f aca="true">-INDEX(CF_Total_Called,1,2)</f>
        <v>-66.25</v>
      </c>
      <c r="E26" s="25" t="n">
        <f aca="true">-INDEX(CF_Total_Called,1,3)</f>
        <v>-85</v>
      </c>
      <c r="F26" s="25" t="n">
        <f aca="true">-INDEX(CF_Total_Called,1,4)</f>
        <v>-91.25</v>
      </c>
      <c r="G26" s="25" t="n">
        <f aca="true">-INDEX(CF_Total_Called,1,5)</f>
        <v>-98.75</v>
      </c>
      <c r="H26" s="25" t="n">
        <f aca="true">-INDEX(CF_Total_Called,1,6)</f>
        <v>-70.9125</v>
      </c>
      <c r="I26" s="25" t="n">
        <f aca="true">-INDEX(CF_Total_Called,1,7)</f>
        <v>-44.2616071428571</v>
      </c>
      <c r="J26" s="25" t="n">
        <f aca="true">-INDEX(CF_Total_Called,1,8)</f>
        <v>-24.7446428571429</v>
      </c>
      <c r="K26" s="25" t="n">
        <f aca="true">-INDEX(CF_Total_Called,1,9)</f>
        <v>-12.6830357142857</v>
      </c>
      <c r="L26" s="25" t="n">
        <f aca="true">-INDEX(CF_Total_Called,1,10)</f>
        <v>-0.741071428571429</v>
      </c>
      <c r="M26" s="25" t="n">
        <f aca="true">-INDEX(CF_Total_Called,1,11)</f>
        <v>-0.283928571428572</v>
      </c>
      <c r="N26" s="25" t="n">
        <f aca="true">-INDEX(CF_Total_Called,1,12)</f>
        <v>-0.0616071428571429</v>
      </c>
    </row>
    <row r="27" customFormat="false" ht="15" hidden="false" customHeight="false" outlineLevel="0" collapsed="false">
      <c r="B27" s="24" t="s">
        <v>206</v>
      </c>
      <c r="C27" s="25" t="n">
        <f aca="true">INDEX(W_Total_Dist,1,1)</f>
        <v>0</v>
      </c>
      <c r="D27" s="25" t="n">
        <f aca="true">INDEX(W_Total_Dist,1,2)</f>
        <v>0</v>
      </c>
      <c r="E27" s="25" t="n">
        <f aca="true">INDEX(W_Total_Dist,1,3)</f>
        <v>0</v>
      </c>
      <c r="F27" s="25" t="n">
        <f aca="true">INDEX(W_Total_Dist,1,4)</f>
        <v>11.2821428571429</v>
      </c>
      <c r="G27" s="25" t="n">
        <f aca="true">INDEX(W_Total_Dist,1,5)</f>
        <v>41.2107142857143</v>
      </c>
      <c r="H27" s="25" t="n">
        <f aca="true">INDEX(W_Total_Dist,1,6)</f>
        <v>85.0971428571429</v>
      </c>
      <c r="I27" s="25" t="n">
        <f aca="true">INDEX(W_Total_Dist,1,7)</f>
        <v>139.212142857143</v>
      </c>
      <c r="J27" s="25" t="n">
        <f aca="true">INDEX(W_Total_Dist,1,8)</f>
        <v>170.140714285714</v>
      </c>
      <c r="K27" s="25" t="n">
        <f aca="true">INDEX(W_Total_Dist,1,9)</f>
        <v>171.6</v>
      </c>
      <c r="L27" s="25" t="n">
        <f aca="true">INDEX(W_Total_Dist,1,10)</f>
        <v>145.657142857143</v>
      </c>
      <c r="M27" s="25" t="n">
        <f aca="true">INDEX(W_Total_Dist,1,11)</f>
        <v>102.757142857143</v>
      </c>
      <c r="N27" s="25" t="n">
        <f aca="true">INDEX(W_Total_Dist,1,12)</f>
        <v>56.6142857142857</v>
      </c>
    </row>
    <row r="28" customFormat="false" ht="15" hidden="false" customHeight="false" outlineLevel="0" collapsed="false">
      <c r="B28" s="29" t="s">
        <v>207</v>
      </c>
      <c r="C28" s="30" t="n">
        <f aca="false">C26+C27</f>
        <v>-37.5</v>
      </c>
      <c r="D28" s="30" t="n">
        <f aca="false">D26+D27</f>
        <v>-66.25</v>
      </c>
      <c r="E28" s="30" t="n">
        <f aca="false">E26+E27</f>
        <v>-85</v>
      </c>
      <c r="F28" s="30" t="n">
        <f aca="false">F26+F27</f>
        <v>-79.9678571428571</v>
      </c>
      <c r="G28" s="30" t="n">
        <f aca="false">G26+G27</f>
        <v>-57.5392857142857</v>
      </c>
      <c r="H28" s="30" t="n">
        <f aca="false">H26+H27</f>
        <v>14.1846428571429</v>
      </c>
      <c r="I28" s="30" t="n">
        <f aca="false">I26+I27</f>
        <v>94.9505357142857</v>
      </c>
      <c r="J28" s="30" t="n">
        <f aca="false">J26+J27</f>
        <v>145.396071428571</v>
      </c>
      <c r="K28" s="30" t="n">
        <f aca="false">K26+K27</f>
        <v>158.916964285714</v>
      </c>
      <c r="L28" s="30" t="n">
        <f aca="false">L26+L27</f>
        <v>144.916071428571</v>
      </c>
      <c r="M28" s="30" t="n">
        <f aca="false">M26+M27</f>
        <v>102.473214285714</v>
      </c>
      <c r="N28" s="30" t="n">
        <f aca="false">N26+N27</f>
        <v>56.5526785714286</v>
      </c>
    </row>
    <row r="29" customFormat="false" ht="15" hidden="false" customHeight="false" outlineLevel="0" collapsed="false">
      <c r="B29" s="24" t="s">
        <v>208</v>
      </c>
      <c r="C29" s="33" t="n">
        <f aca="false">IFERROR(IRR(C28),0)</f>
        <v>0</v>
      </c>
      <c r="D29" s="33" t="n">
        <f aca="false">IFERROR(IRR(C28:D28),0)</f>
        <v>0</v>
      </c>
      <c r="E29" s="33" t="n">
        <f aca="false">IFERROR(IRR(C28:E28),0)</f>
        <v>0</v>
      </c>
      <c r="F29" s="33" t="n">
        <f aca="false">IFERROR(IRR(C28:F28),0)</f>
        <v>0</v>
      </c>
      <c r="G29" s="33" t="n">
        <f aca="false">IFERROR(IRR(C28:G28),0)</f>
        <v>0</v>
      </c>
      <c r="H29" s="33" t="n">
        <f aca="false">IFERROR(IRR(C28:H28),0)</f>
        <v>0</v>
      </c>
      <c r="I29" s="33" t="n">
        <f aca="false">IFERROR(IRR(C28:I28),0)</f>
        <v>0</v>
      </c>
      <c r="J29" s="33" t="n">
        <f aca="false">IFERROR(IRR(C28:J28),0)</f>
        <v>-0.055905353866325</v>
      </c>
      <c r="K29" s="33" t="n">
        <f aca="false">IFERROR(IRR(C28:K28),0)</f>
        <v>0.0490986645532951</v>
      </c>
      <c r="L29" s="33" t="n">
        <f aca="false">IFERROR(IRR(C28:L28),0)</f>
        <v>0.10393546535255</v>
      </c>
      <c r="M29" s="33" t="n">
        <f aca="false">IFERROR(IRR(C28:M28),0)</f>
        <v>0.129927279193879</v>
      </c>
      <c r="N29" s="33" t="n">
        <f aca="false">IFERROR(IRR(C28:N28),0)</f>
        <v>0.140741812367137</v>
      </c>
    </row>
    <row r="30" customFormat="false" ht="15" hidden="false" customHeight="false" outlineLevel="0" collapsed="false">
      <c r="B30" s="6"/>
      <c r="C30" s="6"/>
      <c r="D30" s="6"/>
      <c r="E30" s="6"/>
      <c r="F30" s="6"/>
      <c r="G30" s="6"/>
      <c r="H30" s="6"/>
      <c r="I30" s="6"/>
      <c r="J30" s="6"/>
      <c r="K30" s="6"/>
      <c r="L30" s="6"/>
      <c r="M30" s="6"/>
      <c r="N30" s="6"/>
    </row>
    <row r="31" customFormat="false" ht="15" hidden="false" customHeight="false" outlineLevel="0" collapsed="false">
      <c r="B31" s="16" t="s">
        <v>209</v>
      </c>
      <c r="C31" s="17"/>
      <c r="D31" s="17"/>
      <c r="E31" s="17"/>
      <c r="F31" s="17"/>
      <c r="G31" s="17"/>
      <c r="H31" s="17"/>
      <c r="I31" s="17"/>
      <c r="J31" s="17"/>
      <c r="K31" s="17"/>
      <c r="L31" s="17"/>
      <c r="M31" s="17"/>
      <c r="N31" s="17"/>
    </row>
    <row r="32" customFormat="false" ht="15" hidden="false" customHeight="false" outlineLevel="0" collapsed="false">
      <c r="B32" s="24" t="s">
        <v>210</v>
      </c>
      <c r="C32" s="28" t="n">
        <f aca="false">MAX(FoF_Life-(1),0)</f>
        <v>11</v>
      </c>
      <c r="D32" s="28" t="n">
        <f aca="false">MAX(FoF_Life-(2),0)</f>
        <v>10</v>
      </c>
      <c r="E32" s="28" t="n">
        <f aca="false">MAX(FoF_Life-(3),0)</f>
        <v>9</v>
      </c>
      <c r="F32" s="28" t="n">
        <f aca="false">MAX(FoF_Life-(4),0)</f>
        <v>8</v>
      </c>
      <c r="G32" s="28" t="n">
        <f aca="false">MAX(FoF_Life-(5),0)</f>
        <v>7</v>
      </c>
      <c r="H32" s="28" t="n">
        <f aca="false">MAX(FoF_Life-(6),0)</f>
        <v>6</v>
      </c>
      <c r="I32" s="28" t="n">
        <f aca="false">MAX(FoF_Life-(7),0)</f>
        <v>5</v>
      </c>
      <c r="J32" s="28" t="n">
        <f aca="false">MAX(FoF_Life-(8),0)</f>
        <v>4</v>
      </c>
      <c r="K32" s="28" t="n">
        <f aca="false">MAX(FoF_Life-(9),0)</f>
        <v>3</v>
      </c>
      <c r="L32" s="28" t="n">
        <f aca="false">MAX(FoF_Life-(10),0)</f>
        <v>2</v>
      </c>
      <c r="M32" s="28" t="n">
        <f aca="false">MAX(FoF_Life-(11),0)</f>
        <v>1</v>
      </c>
      <c r="N32" s="28" t="n">
        <f aca="false">MAX(FoF_Life-(12),0)</f>
        <v>0</v>
      </c>
    </row>
    <row r="33" customFormat="false" ht="15" hidden="false" customHeight="false" outlineLevel="0" collapsed="false">
      <c r="B33" s="6"/>
      <c r="C33" s="6"/>
      <c r="D33" s="6"/>
      <c r="E33" s="6"/>
      <c r="F33" s="6"/>
      <c r="G33" s="6"/>
      <c r="H33" s="6"/>
      <c r="I33" s="6"/>
      <c r="J33" s="6"/>
      <c r="K33" s="6"/>
      <c r="L33" s="6"/>
      <c r="M33" s="6"/>
      <c r="N33" s="6"/>
    </row>
    <row r="34" customFormat="false" ht="15" hidden="false" customHeight="false" outlineLevel="0" collapsed="false">
      <c r="B34" s="16" t="s">
        <v>211</v>
      </c>
      <c r="C34" s="17"/>
      <c r="D34" s="17"/>
      <c r="E34" s="17"/>
      <c r="F34" s="17"/>
      <c r="G34" s="17"/>
      <c r="H34" s="17"/>
      <c r="I34" s="17"/>
      <c r="J34" s="17"/>
      <c r="K34" s="17"/>
      <c r="L34" s="17"/>
      <c r="M34" s="17"/>
      <c r="N34" s="17"/>
    </row>
    <row r="35" customFormat="false" ht="15" hidden="false" customHeight="false" outlineLevel="0" collapsed="false">
      <c r="B35" s="24" t="s">
        <v>212</v>
      </c>
      <c r="C35" s="33" t="n">
        <f aca="true">IFERROR(C20/INDEX(CF_Cumul_Total_Called,1,1),0)</f>
        <v>0.166666666666667</v>
      </c>
      <c r="D35" s="33" t="n">
        <f aca="true">IFERROR(D20/INDEX(CF_Cumul_Total_Called,1,2),0)</f>
        <v>0.0963855421686747</v>
      </c>
      <c r="E35" s="33" t="n">
        <f aca="true">IFERROR(E20/INDEX(CF_Cumul_Total_Called,1,3),0)</f>
        <v>0.0728476821192053</v>
      </c>
      <c r="F35" s="33" t="n">
        <f aca="true">IFERROR(F20/INDEX(CF_Cumul_Total_Called,1,4),0)</f>
        <v>0.0625</v>
      </c>
      <c r="G35" s="33" t="n">
        <f aca="true">IFERROR(G20/INDEX(CF_Cumul_Total_Called,1,5),0)</f>
        <v>0.0561056105610561</v>
      </c>
      <c r="H35" s="33" t="n">
        <f aca="true">IFERROR(H20/INDEX(CF_Cumul_Total_Called,1,6),0)</f>
        <v>0.0548466905734857</v>
      </c>
      <c r="I35" s="33" t="n">
        <f aca="true">IFERROR(I20/INDEX(CF_Cumul_Total_Called,1,7),0)</f>
        <v>0.0560290675078408</v>
      </c>
      <c r="J35" s="33" t="n">
        <f aca="true">IFERROR(J20/INDEX(CF_Cumul_Total_Called,1,8),0)</f>
        <v>0.0576837335968284</v>
      </c>
      <c r="K35" s="33" t="n">
        <f aca="true">IFERROR(K20/INDEX(CF_Cumul_Total_Called,1,9),0)</f>
        <v>0.0590038211166264</v>
      </c>
      <c r="L35" s="33" t="n">
        <f aca="true">IFERROR(L20/INDEX(CF_Cumul_Total_Called,1,10),0)</f>
        <v>0.0603143919562912</v>
      </c>
      <c r="M35" s="33" t="n">
        <f aca="true">IFERROR(M20/INDEX(CF_Cumul_Total_Called,1,11),0)</f>
        <v>0.0608155475277647</v>
      </c>
      <c r="N35" s="33" t="n">
        <f aca="true">IFERROR(N20/INDEX(CF_Cumul_Total_Called,1,12),0)</f>
        <v>0.0609242182613347</v>
      </c>
    </row>
    <row r="36" customFormat="false" ht="15" hidden="false" customHeight="false" outlineLevel="0" collapsed="false">
      <c r="B36" s="24" t="s">
        <v>213</v>
      </c>
      <c r="C36" s="32" t="n">
        <f aca="true">IFERROR(INDEX(UF_Total_Gross_Dist,1,1)/INDEX(CF_Cumul_Total_Called,1,1),0)-C8</f>
        <v>0</v>
      </c>
      <c r="D36" s="32" t="n">
        <f aca="true">IFERROR(INDEX(UF_Total_Gross_Dist,1,2)/INDEX(CF_Cumul_Total_Called,1,2),0)-D8</f>
        <v>0</v>
      </c>
      <c r="E36" s="32" t="n">
        <f aca="true">IFERROR(INDEX(UF_Total_Gross_Dist,1,3)/INDEX(CF_Cumul_Total_Called,1,3),0)-E8</f>
        <v>0</v>
      </c>
      <c r="F36" s="32" t="n">
        <f aca="true">IFERROR(INDEX(UF_Total_Gross_Dist,1,4)/INDEX(CF_Cumul_Total_Called,1,4),0)-F8</f>
        <v>0.0139158163265306</v>
      </c>
      <c r="G36" s="32" t="n">
        <f aca="true">IFERROR(INDEX(UF_Total_Gross_Dist,1,5)/INDEX(CF_Cumul_Total_Called,1,5),0)-G8</f>
        <v>-0.00422442244224422</v>
      </c>
      <c r="H36" s="32" t="n">
        <f aca="true">IFERROR(INDEX(UF_Total_Gross_Dist,1,6)/INDEX(CF_Cumul_Total_Called,1,6),0)-H8</f>
        <v>-0.0804190444420617</v>
      </c>
      <c r="I36" s="32" t="n">
        <f aca="true">IFERROR(INDEX(UF_Total_Gross_Dist,1,7)/INDEX(CF_Cumul_Total_Called,1,7),0)-I8</f>
        <v>-0.231054872151773</v>
      </c>
      <c r="J36" s="32" t="n">
        <f aca="true">IFERROR(INDEX(UF_Total_Gross_Dist,1,8)/INDEX(CF_Cumul_Total_Called,1,8),0)-J8</f>
        <v>-0.479207586730452</v>
      </c>
      <c r="K36" s="32" t="n">
        <f aca="true">IFERROR(INDEX(UF_Total_Gross_Dist,1,9)/INDEX(CF_Cumul_Total_Called,1,9),0)-K8</f>
        <v>-0.787694458540717</v>
      </c>
      <c r="L36" s="32" t="n">
        <f aca="true">IFERROR(INDEX(UF_Total_Gross_Dist,1,10)/INDEX(CF_Cumul_Total_Called,1,10),0)-L8</f>
        <v>-1.11403756057616</v>
      </c>
      <c r="M36" s="32" t="n">
        <f aca="true">IFERROR(INDEX(UF_Total_Gross_Dist,1,11)/INDEX(CF_Cumul_Total_Called,1,11),0)-M8</f>
        <v>-1.4003776863191</v>
      </c>
      <c r="N36" s="32" t="n">
        <f aca="true">IFERROR(INDEX(UF_Total_Gross_Dist,1,12)/INDEX(CF_Cumul_Total_Called,1,12),0)-N8</f>
        <v>-1.60716112360417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4" t="s">
        <v>214</v>
      </c>
    </row>
    <row r="3" customFormat="false" ht="3.75" hidden="false" customHeight="true" outlineLevel="0" collapsed="false">
      <c r="B3" s="35"/>
    </row>
    <row r="5" customFormat="false" ht="19.5" hidden="false" customHeight="true" outlineLevel="0" collapsed="false">
      <c r="B5" s="36" t="s">
        <v>215</v>
      </c>
    </row>
    <row r="6" customFormat="false" ht="48" hidden="false" customHeight="true" outlineLevel="0" collapsed="false">
      <c r="B6" s="37" t="s">
        <v>216</v>
      </c>
    </row>
    <row r="8" customFormat="false" ht="19.5" hidden="false" customHeight="true" outlineLevel="0" collapsed="false">
      <c r="B8" s="36" t="s">
        <v>217</v>
      </c>
    </row>
    <row r="9" customFormat="false" ht="61.5" hidden="false" customHeight="true" outlineLevel="0" collapsed="false">
      <c r="B9" s="37" t="s">
        <v>218</v>
      </c>
    </row>
    <row r="11" customFormat="false" ht="19.5" hidden="false" customHeight="true" outlineLevel="0" collapsed="false">
      <c r="B11" s="36" t="s">
        <v>219</v>
      </c>
    </row>
    <row r="12" customFormat="false" ht="75.75" hidden="false" customHeight="true" outlineLevel="0" collapsed="false">
      <c r="B12" s="37" t="s">
        <v>220</v>
      </c>
    </row>
    <row r="14" customFormat="false" ht="19.5" hidden="false" customHeight="true" outlineLevel="0" collapsed="false">
      <c r="B14" s="36" t="s">
        <v>221</v>
      </c>
    </row>
    <row r="15" customFormat="false" ht="61.5" hidden="false" customHeight="true" outlineLevel="0" collapsed="false">
      <c r="B15" s="37" t="s">
        <v>222</v>
      </c>
    </row>
    <row r="17" customFormat="false" ht="19.5" hidden="false" customHeight="true" outlineLevel="0" collapsed="false">
      <c r="B17" s="36" t="s">
        <v>223</v>
      </c>
    </row>
    <row r="18" customFormat="false" ht="33.75" hidden="false" customHeight="true" outlineLevel="0" collapsed="false">
      <c r="B18" s="37" t="s">
        <v>224</v>
      </c>
    </row>
    <row r="20" customFormat="false" ht="19.5" hidden="false" customHeight="true" outlineLevel="0" collapsed="false">
      <c r="B20" s="36" t="s">
        <v>225</v>
      </c>
    </row>
    <row r="21" customFormat="false" ht="33.75" hidden="false" customHeight="true" outlineLevel="0" collapsed="false">
      <c r="B21" s="37" t="s">
        <v>226</v>
      </c>
    </row>
    <row r="23" customFormat="false" ht="21.75" hidden="false" customHeight="true" outlineLevel="0" collapsed="false">
      <c r="B23" s="38" t="s">
        <v>227</v>
      </c>
    </row>
    <row r="25" customFormat="false" ht="18" hidden="false" customHeight="true" outlineLevel="0" collapsed="false">
      <c r="B25" s="39" t="s">
        <v>228</v>
      </c>
    </row>
    <row r="26" customFormat="false" ht="201.75" hidden="false" customHeight="true" outlineLevel="0" collapsed="false">
      <c r="B26" s="40" t="s">
        <v>229</v>
      </c>
    </row>
    <row r="28" customFormat="false" ht="18" hidden="false" customHeight="true" outlineLevel="0" collapsed="false">
      <c r="B28" s="41" t="s">
        <v>230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2026-05-15T18:53:15Z</dcterms:created>
  <dc:creator>openpyxl</dc:creator>
  <dc:description/>
  <dc:language>en-GB</dc:language>
  <cp:lastModifiedBy/>
  <dcterms:modified xsi:type="dcterms:W3CDTF">2026-05-15T18:53:15Z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