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Disclaimer" sheetId="3" state="visible" r:id="rId5"/>
    <sheet name="Pair_Returns" sheetId="4" state="visible" r:id="rId6"/>
    <sheet name="Roll_Yield" sheetId="5" state="visible" r:id="rId7"/>
    <sheet name="Capex_Depreciation" sheetId="6" state="visible" r:id="rId8"/>
    <sheet name="Fee_Income" sheetId="7" state="visible" r:id="rId9"/>
    <sheet name="Income_Statement" sheetId="8" state="visible" r:id="rId10"/>
    <sheet name="Balance_Sheet" sheetId="9" state="visible" r:id="rId11"/>
    <sheet name="Cash_Flow" sheetId="10" state="visible" r:id="rId12"/>
    <sheet name="Returns" sheetId="11" state="visible" r:id="rId13"/>
    <sheet name="Checks" sheetId="12" state="visible" r:id="rId14"/>
  </sheets>
  <definedNames>
    <definedName function="false" hidden="false" name="Annual_Capex" vbProcedure="false">Assumptions!$C$78</definedName>
    <definedName function="false" hidden="false" name="Base_Capital" vbProcedure="false">Assumptions!$C$7</definedName>
    <definedName function="false" hidden="false" name="BS_Cash" vbProcedure="false">Balance_Sheet!$C$6</definedName>
    <definedName function="false" hidden="false" name="BS_Closing_Eq_Y1" vbProcedure="false">Balance_Sheet!$C$17</definedName>
    <definedName function="false" hidden="false" name="BS_Closing_Eq_Y2" vbProcedure="false">Balance_Sheet!$D$17</definedName>
    <definedName function="false" hidden="false" name="BS_Closing_Eq_Y3" vbProcedure="false">Balance_Sheet!$E$17</definedName>
    <definedName function="false" hidden="false" name="BS_Closing_Eq_Y4" vbProcedure="false">Balance_Sheet!$F$17</definedName>
    <definedName function="false" hidden="false" name="BS_Closing_Eq_Y5" vbProcedure="false">Balance_Sheet!$G$17</definedName>
    <definedName function="false" hidden="false" name="BS_Margin" vbProcedure="false">Balance_Sheet!$C$7</definedName>
    <definedName function="false" hidden="false" name="BS_PPE_Net" vbProcedure="false">Balance_Sheet!$C$8</definedName>
    <definedName function="false" hidden="false" name="BS_Total_Assets" vbProcedure="false">Balance_Sheet!$C$9</definedName>
    <definedName function="false" hidden="false" name="BS_Total_LE" vbProcedure="false">Balance_Sheet!$C$18</definedName>
    <definedName function="false" hidden="false" name="BS_Total_Liab" vbProcedure="false">Balance_Sheet!$C$11</definedName>
    <definedName function="false" hidden="false" name="Carry_Adj_Rate" vbProcedure="false">Assumptions!$C$27</definedName>
    <definedName function="false" hidden="false" name="CD_Annual_Depr" vbProcedure="false">Capex_Depreciation!$C$8</definedName>
    <definedName function="false" hidden="false" name="CD_Capex" vbProcedure="false">Capex_Depreciation!$C$5</definedName>
    <definedName function="false" hidden="false" name="CD_PPE_Net" vbProcedure="false">Capex_Depreciation!$C$11</definedName>
    <definedName function="false" hidden="false" name="CF_Closing_Cash" vbProcedure="false">Cash_Flow!$C$18</definedName>
    <definedName function="false" hidden="false" name="CF_Closing_Cash_Y1" vbProcedure="false">Cash_Flow!$C$18</definedName>
    <definedName function="false" hidden="false" name="CF_Closing_Cash_Y2" vbProcedure="false">Cash_Flow!$D$18</definedName>
    <definedName function="false" hidden="false" name="CF_Closing_Cash_Y3" vbProcedure="false">Cash_Flow!$E$18</definedName>
    <definedName function="false" hidden="false" name="CF_Closing_Cash_Y4" vbProcedure="false">Cash_Flow!$F$18</definedName>
    <definedName function="false" hidden="false" name="CF_Closing_Cash_Y5" vbProcedure="false">Cash_Flow!$G$18</definedName>
    <definedName function="false" hidden="false" name="Distribution_Rate" vbProcedure="false">Assumptions!$C$12</definedName>
    <definedName function="false" hidden="false" name="Financing_Rate" vbProcedure="false">Assumptions!$C$70</definedName>
    <definedName function="false" hidden="false" name="FI_Mgmt_Fee" vbProcedure="false">Fee_Income!$C$6</definedName>
    <definedName function="false" hidden="false" name="FI_Open_Eq_Y1" vbProcedure="false">Fee_Income!$C$5</definedName>
    <definedName function="false" hidden="false" name="FI_Open_Eq_Y2" vbProcedure="false">Fee_Income!$D$5</definedName>
    <definedName function="false" hidden="false" name="FI_Open_Eq_Y3" vbProcedure="false">Fee_Income!$E$5</definedName>
    <definedName function="false" hidden="false" name="FI_Open_Eq_Y4" vbProcedure="false">Fee_Income!$F$5</definedName>
    <definedName function="false" hidden="false" name="FI_Open_Eq_Y5" vbProcedure="false">Fee_Income!$G$5</definedName>
    <definedName function="false" hidden="false" name="FI_Peak_NAV" vbProcedure="false">Fee_Income!$C$13</definedName>
    <definedName function="false" hidden="false" name="FI_Perf_Fee" vbProcedure="false">Fee_Income!$C$15</definedName>
    <definedName function="false" hidden="false" name="IRR_Opening" vbProcedure="false">Returns!$B$6</definedName>
    <definedName function="false" hidden="false" name="IR_Diff_AUDUSD" vbProcedure="false">Assumptions!$C$24</definedName>
    <definedName function="false" hidden="false" name="IR_Diff_EURUSD" vbProcedure="false">Assumptions!$C$21</definedName>
    <definedName function="false" hidden="false" name="IR_Diff_GBPUSD" vbProcedure="false">Assumptions!$C$23</definedName>
    <definedName function="false" hidden="false" name="IR_Diff_USDBRL" vbProcedure="false">Assumptions!$C$26</definedName>
    <definedName function="false" hidden="false" name="IR_Diff_USDJPY" vbProcedure="false">Assumptions!$C$22</definedName>
    <definedName function="false" hidden="false" name="IR_Diff_USDMXN" vbProcedure="false">Assumptions!$C$25</definedName>
    <definedName function="false" hidden="false" name="IS_EBITDA" vbProcedure="false">Income_Statement!$C$20</definedName>
    <definedName function="false" hidden="false" name="IS_Gross_Revenue" vbProcedure="false">Income_Statement!$C$8</definedName>
    <definedName function="false" hidden="false" name="IS_Net_Income" vbProcedure="false">Income_Statement!$C$26</definedName>
    <definedName function="false" hidden="false" name="Leverage_Multiple" vbProcedure="false">Assumptions!$C$8</definedName>
    <definedName function="false" hidden="false" name="Margin_Rate" vbProcedure="false">Assumptions!$C$10</definedName>
    <definedName function="false" hidden="false" name="Mgmt_Fee_Rate" vbProcedure="false">Assumptions!$C$67</definedName>
    <definedName function="false" hidden="false" name="Min_Cash_Buffer" vbProcedure="false">Assumptions!$C$81</definedName>
    <definedName function="false" hidden="false" name="Opex_Admin" vbProcedure="false">Assumptions!$C$74</definedName>
    <definedName function="false" hidden="false" name="Opex_Compliance" vbProcedure="false">Assumptions!$C$73</definedName>
    <definedName function="false" hidden="false" name="Opex_Growth_Rate" vbProcedure="false">Assumptions!$C$75</definedName>
    <definedName function="false" hidden="false" name="Opex_Staff" vbProcedure="false">Assumptions!$C$71</definedName>
    <definedName function="false" hidden="false" name="Opex_Tech" vbProcedure="false">Assumptions!$C$72</definedName>
    <definedName function="false" hidden="false" name="Perf_Fee_Rate" vbProcedure="false">Assumptions!$C$68</definedName>
    <definedName function="false" hidden="false" name="PN_EURUSD" vbProcedure="false">Pair_Returns!$C$5</definedName>
    <definedName function="false" hidden="false" name="PR_Total_Carry" vbProcedure="false">Pair_Returns!$C$18</definedName>
    <definedName function="false" hidden="false" name="PR_Total_Spot" vbProcedure="false">Pair_Returns!$C$26</definedName>
    <definedName function="false" hidden="false" name="Returns_IRR" vbProcedure="false">Returns!$C$7</definedName>
    <definedName function="false" hidden="false" name="Returns_MOIC" vbProcedure="false">Returns!$C$9</definedName>
    <definedName function="false" hidden="false" name="Returns_TermEq" vbProcedure="false">Returns!$C$11</definedName>
    <definedName function="false" hidden="false" name="Returns_TotalDist" vbProcedure="false">Returns!$C$10</definedName>
    <definedName function="false" hidden="false" name="Roll_AUDUSD" vbProcedure="false">Assumptions!$C$32</definedName>
    <definedName function="false" hidden="false" name="Roll_EURUSD" vbProcedure="false">Assumptions!$C$29</definedName>
    <definedName function="false" hidden="false" name="Roll_GBPUSD" vbProcedure="false">Assumptions!$C$31</definedName>
    <definedName function="false" hidden="false" name="Roll_USDBRL" vbProcedure="false">Assumptions!$C$34</definedName>
    <definedName function="false" hidden="false" name="Roll_USDJPY" vbProcedure="false">Assumptions!$C$30</definedName>
    <definedName function="false" hidden="false" name="Roll_USDMXN" vbProcedure="false">Assumptions!$C$33</definedName>
    <definedName function="false" hidden="false" name="RY_Total_Roll" vbProcedure="false">Roll_Yield!$C$11</definedName>
    <definedName function="false" hidden="false" name="Spot_AUDUSD_Y1" vbProcedure="false">Assumptions!$C$51</definedName>
    <definedName function="false" hidden="false" name="Spot_AUDUSD_Y2" vbProcedure="false">Assumptions!$C$52</definedName>
    <definedName function="false" hidden="false" name="Spot_AUDUSD_Y3" vbProcedure="false">Assumptions!$C$53</definedName>
    <definedName function="false" hidden="false" name="Spot_AUDUSD_Y4" vbProcedure="false">Assumptions!$C$54</definedName>
    <definedName function="false" hidden="false" name="Spot_AUDUSD_Y5" vbProcedure="false">Assumptions!$C$55</definedName>
    <definedName function="false" hidden="false" name="Spot_EURUSD_Y1" vbProcedure="false">Assumptions!$C$36</definedName>
    <definedName function="false" hidden="false" name="Spot_EURUSD_Y2" vbProcedure="false">Assumptions!$C$37</definedName>
    <definedName function="false" hidden="false" name="Spot_EURUSD_Y3" vbProcedure="false">Assumptions!$C$38</definedName>
    <definedName function="false" hidden="false" name="Spot_EURUSD_Y4" vbProcedure="false">Assumptions!$C$39</definedName>
    <definedName function="false" hidden="false" name="Spot_EURUSD_Y5" vbProcedure="false">Assumptions!$C$40</definedName>
    <definedName function="false" hidden="false" name="Spot_GBPUSD_Y1" vbProcedure="false">Assumptions!$C$46</definedName>
    <definedName function="false" hidden="false" name="Spot_GBPUSD_Y2" vbProcedure="false">Assumptions!$C$47</definedName>
    <definedName function="false" hidden="false" name="Spot_GBPUSD_Y3" vbProcedure="false">Assumptions!$C$48</definedName>
    <definedName function="false" hidden="false" name="Spot_GBPUSD_Y4" vbProcedure="false">Assumptions!$C$49</definedName>
    <definedName function="false" hidden="false" name="Spot_GBPUSD_Y5" vbProcedure="false">Assumptions!$C$50</definedName>
    <definedName function="false" hidden="false" name="Spot_USDBRL_Y1" vbProcedure="false">Assumptions!$C$61</definedName>
    <definedName function="false" hidden="false" name="Spot_USDBRL_Y2" vbProcedure="false">Assumptions!$C$62</definedName>
    <definedName function="false" hidden="false" name="Spot_USDBRL_Y3" vbProcedure="false">Assumptions!$C$63</definedName>
    <definedName function="false" hidden="false" name="Spot_USDBRL_Y4" vbProcedure="false">Assumptions!$C$64</definedName>
    <definedName function="false" hidden="false" name="Spot_USDBRL_Y5" vbProcedure="false">Assumptions!$C$65</definedName>
    <definedName function="false" hidden="false" name="Spot_USDJPY_Y1" vbProcedure="false">Assumptions!$C$41</definedName>
    <definedName function="false" hidden="false" name="Spot_USDJPY_Y2" vbProcedure="false">Assumptions!$C$42</definedName>
    <definedName function="false" hidden="false" name="Spot_USDJPY_Y3" vbProcedure="false">Assumptions!$C$43</definedName>
    <definedName function="false" hidden="false" name="Spot_USDJPY_Y4" vbProcedure="false">Assumptions!$C$44</definedName>
    <definedName function="false" hidden="false" name="Spot_USDJPY_Y5" vbProcedure="false">Assumptions!$C$45</definedName>
    <definedName function="false" hidden="false" name="Spot_USDMXN_Y1" vbProcedure="false">Assumptions!$C$56</definedName>
    <definedName function="false" hidden="false" name="Spot_USDMXN_Y2" vbProcedure="false">Assumptions!$C$57</definedName>
    <definedName function="false" hidden="false" name="Spot_USDMXN_Y3" vbProcedure="false">Assumptions!$C$58</definedName>
    <definedName function="false" hidden="false" name="Spot_USDMXN_Y4" vbProcedure="false">Assumptions!$C$59</definedName>
    <definedName function="false" hidden="false" name="Spot_USDMXN_Y5" vbProcedure="false">Assumptions!$C$60</definedName>
    <definedName function="false" hidden="false" name="Tax_Rate" vbProcedure="false">Assumptions!$C$76</definedName>
    <definedName function="false" hidden="false" name="Total_Notional" vbProcedure="false">Assumptions!$C$9</definedName>
    <definedName function="false" hidden="false" name="Useful_Life" vbProcedure="false">Assumptions!$C$79</definedName>
    <definedName function="false" hidden="false" name="Weight_AUDUSD" vbProcedure="false">Assumptions!$C$17</definedName>
    <definedName function="false" hidden="false" name="Weight_EURUSD" vbProcedure="false">Assumptions!$C$14</definedName>
    <definedName function="false" hidden="false" name="Weight_GBPUSD" vbProcedure="false">Assumptions!$C$16</definedName>
    <definedName function="false" hidden="false" name="Weight_USDBRL" vbProcedure="false">Assumptions!$C$19</definedName>
    <definedName function="false" hidden="false" name="Weight_USDJPY" vbProcedure="false">Assumptions!$C$15</definedName>
    <definedName function="false" hidden="false" name="Weight_USDMXN" vbProcedure="false">Assumptions!$C$18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<sst xmlns="http://schemas.openxmlformats.org/spreadsheetml/2006/main" count="326" uniqueCount="288">
  <si>
    <t xml:space="preserve">FX Portfolio Model</t>
  </si>
  <si>
    <t xml:space="preserve">FINAMODEL.com</t>
  </si>
  <si>
    <t xml:space="preserve">5-Year Projected Returns | Multi-Currency Book</t>
  </si>
  <si>
    <t xml:space="preserve">Base Capital:</t>
  </si>
  <si>
    <t xml:space="preserve">Leverage:</t>
  </si>
  <si>
    <t xml:space="preserve">Total Notional:</t>
  </si>
  <si>
    <t xml:space="preserve">Model IRR:</t>
  </si>
  <si>
    <t xml:space="preserve">Equity Multiple:</t>
  </si>
  <si>
    <t xml:space="preserve">Total Distributions:</t>
  </si>
  <si>
    <t xml:space="preserve">Prepared:</t>
  </si>
  <si>
    <t xml:space="preserve">2025-04-17</t>
  </si>
  <si>
    <t xml:space="preserve">Sign convention:</t>
  </si>
  <si>
    <t xml:space="preserve">Costs positive in build schedules; subtracted on IS. IRR Y0 = negative outflow.</t>
  </si>
  <si>
    <t xml:space="preserve">About this model</t>
  </si>
  <si>
    <t xml:space="preserve">This portfolio model values and stress-tests a leveraged FX trading book across six currency pairs, forecasting annual returns from carry income, spot price appreciation, and roll yield to compute IRR and equity multiples. Position each pair, apply interest rate differentials (positive carry on USD/JPY, USD/MXN; negative carry on EUR/USD), and model spot price moves declining toward baseline by Year 5 (mean reversion).
The workbook consolidates three income streams: carry (IR differential Ã notional per pair), spot P&amp;L (directional exchange rate moves treated as fully realised cash), and roll yield (income from rolling forward contracts capturing forward premium decay). Financing cost deducted on leverage: at 3Ã leverage with 6.8% borrowing rate, financing consumes ~13.6% of equity annually. Management fee 1.5%, performance fee 15% above HWM. Output: equity cash flows array (distributions to LPs + terminal equity), Project IRR and MOIC.
Used by macro hedge funds, family offices deploying capital in systematic FX strategies, and infrastructure funds hedging currency exposures on global assets. Critical mechanics: HWM roll-forward (no performance fee charged in years when NAV is underwater), spot P&amp;L treated as cash (not as unrealised gains on the balance sheet), and independent per-year spot return assumptions reflecting mean-reversion profile. Benchmarks: Deutsche Bank FX Carry Index 4â8% p.a., spot volatility Â±15â25% in active years.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</si>
  <si>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</si>
  <si>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</si>
  <si>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</si>
  <si>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</si>
  <si>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</si>
  <si>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All hardcoded inputs - blue text on yellow</t>
  </si>
  <si>
    <t xml:space="preserve">Parameter</t>
  </si>
  <si>
    <t xml:space="preserve">Value</t>
  </si>
  <si>
    <t xml:space="preserve">Notes</t>
  </si>
  <si>
    <t xml:space="preserve">A - Capital &amp; Leverage</t>
  </si>
  <si>
    <t xml:space="preserve">Base Capital</t>
  </si>
  <si>
    <t xml:space="preserve">Initial LP equity</t>
  </si>
  <si>
    <t xml:space="preserve">Leverage Multiple</t>
  </si>
  <si>
    <t xml:space="preserve">Total notional = equity x leverage</t>
  </si>
  <si>
    <t xml:space="preserve">Total Notional</t>
  </si>
  <si>
    <t xml:space="preserve">Calculated</t>
  </si>
  <si>
    <t xml:space="preserve">Margin Rate</t>
  </si>
  <si>
    <t xml:space="preserve">Initial margin % of notional</t>
  </si>
  <si>
    <t xml:space="preserve">Annual Contributions</t>
  </si>
  <si>
    <t xml:space="preserve">Distribution Rate</t>
  </si>
  <si>
    <t xml:space="preserve">% of positive NI distributed</t>
  </si>
  <si>
    <t xml:space="preserve">B - Pair Weights (must sum to 1.0)</t>
  </si>
  <si>
    <t xml:space="preserve">Weight EUR/USD</t>
  </si>
  <si>
    <t xml:space="preserve">Weight USD/JPY</t>
  </si>
  <si>
    <t xml:space="preserve">Weight GBP/USD</t>
  </si>
  <si>
    <t xml:space="preserve">Weight AUD/USD</t>
  </si>
  <si>
    <t xml:space="preserve">Weight USD/MXN</t>
  </si>
  <si>
    <t xml:space="preserve">Weight USD/BRL</t>
  </si>
  <si>
    <t xml:space="preserve">C - IR Differentials / Carry Rates</t>
  </si>
  <si>
    <t xml:space="preserve">IR Diff EUR/USD</t>
  </si>
  <si>
    <t xml:space="preserve">Negative carry pair</t>
  </si>
  <si>
    <t xml:space="preserve">IR Diff USD/JPY</t>
  </si>
  <si>
    <t xml:space="preserve">IR Diff GBP/USD</t>
  </si>
  <si>
    <t xml:space="preserve">IR Diff AUD/USD</t>
  </si>
  <si>
    <t xml:space="preserve">IR Diff USD/MXN</t>
  </si>
  <si>
    <t xml:space="preserve">Hold MXN long</t>
  </si>
  <si>
    <t xml:space="preserve">IR Diff USD/BRL</t>
  </si>
  <si>
    <t xml:space="preserve">Hold BRL long</t>
  </si>
  <si>
    <t xml:space="preserve">Carry Adj Rate</t>
  </si>
  <si>
    <t xml:space="preserve">Annual drift in carry differentials</t>
  </si>
  <si>
    <t xml:space="preserve">D - Roll Yield Rates</t>
  </si>
  <si>
    <t xml:space="preserve">Roll Yield EUR/USD</t>
  </si>
  <si>
    <t xml:space="preserve">Roll Yield USD/JPY</t>
  </si>
  <si>
    <t xml:space="preserve">Roll Yield GBP/USD</t>
  </si>
  <si>
    <t xml:space="preserve">Roll Yield AUD/USD</t>
  </si>
  <si>
    <t xml:space="preserve">Roll Yield USD/MXN</t>
  </si>
  <si>
    <t xml:space="preserve">Roll Yield USD/BRL</t>
  </si>
  <si>
    <t xml:space="preserve">E - Spot Return Assumptions (year-specific per pair)</t>
  </si>
  <si>
    <t xml:space="preserve">EUR/USD Spot Y1</t>
  </si>
  <si>
    <t xml:space="preserve">EUR/USD Spot Y2</t>
  </si>
  <si>
    <t xml:space="preserve">EUR/USD Spot Y3</t>
  </si>
  <si>
    <t xml:space="preserve">EUR/USD Spot Y4</t>
  </si>
  <si>
    <t xml:space="preserve">EUR/USD Spot Y5</t>
  </si>
  <si>
    <t xml:space="preserve">USD/JPY Spot Y1</t>
  </si>
  <si>
    <t xml:space="preserve">USD/JPY Spot Y2</t>
  </si>
  <si>
    <t xml:space="preserve">USD/JPY Spot Y3</t>
  </si>
  <si>
    <t xml:space="preserve">USD/JPY Spot Y4</t>
  </si>
  <si>
    <t xml:space="preserve">USD/JPY Spot Y5</t>
  </si>
  <si>
    <t xml:space="preserve">GBP/USD Spot Y1</t>
  </si>
  <si>
    <t xml:space="preserve">GBP/USD Spot Y2</t>
  </si>
  <si>
    <t xml:space="preserve">GBP/USD Spot Y3</t>
  </si>
  <si>
    <t xml:space="preserve">GBP/USD Spot Y4</t>
  </si>
  <si>
    <t xml:space="preserve">GBP/USD Spot Y5</t>
  </si>
  <si>
    <t xml:space="preserve">AUD/USD Spot Y1</t>
  </si>
  <si>
    <t xml:space="preserve">AUD/USD Spot Y2</t>
  </si>
  <si>
    <t xml:space="preserve">AUD/USD Spot Y3</t>
  </si>
  <si>
    <t xml:space="preserve">AUD/USD Spot Y4</t>
  </si>
  <si>
    <t xml:space="preserve">AUD/USD Spot Y5</t>
  </si>
  <si>
    <t xml:space="preserve">USD/MXN Spot Y1</t>
  </si>
  <si>
    <t xml:space="preserve">USD/MXN Spot Y2</t>
  </si>
  <si>
    <t xml:space="preserve">USD/MXN Spot Y3</t>
  </si>
  <si>
    <t xml:space="preserve">USD/MXN Spot Y4</t>
  </si>
  <si>
    <t xml:space="preserve">USD/MXN Spot Y5</t>
  </si>
  <si>
    <t xml:space="preserve">USD/BRL Spot Y1</t>
  </si>
  <si>
    <t xml:space="preserve">USD/BRL Spot Y2</t>
  </si>
  <si>
    <t xml:space="preserve">USD/BRL Spot Y3</t>
  </si>
  <si>
    <t xml:space="preserve">USD/BRL Spot Y4</t>
  </si>
  <si>
    <t xml:space="preserve">USD/BRL Spot Y5</t>
  </si>
  <si>
    <t xml:space="preserve">F - Fee Rates</t>
  </si>
  <si>
    <t xml:space="preserve">Management Fee Rate</t>
  </si>
  <si>
    <t xml:space="preserve">Performance Fee Rate</t>
  </si>
  <si>
    <t xml:space="preserve">G - Financing &amp; Opex</t>
  </si>
  <si>
    <t xml:space="preserve">Financing Rate</t>
  </si>
  <si>
    <t xml:space="preserve">SOFR 5.3% + 1.5% spread</t>
  </si>
  <si>
    <t xml:space="preserve">Opex Staff</t>
  </si>
  <si>
    <t xml:space="preserve">Base year</t>
  </si>
  <si>
    <t xml:space="preserve">Opex Tech</t>
  </si>
  <si>
    <t xml:space="preserve">Opex Compliance</t>
  </si>
  <si>
    <t xml:space="preserve">Opex Admin</t>
  </si>
  <si>
    <t xml:space="preserve">Opex Growth Rate</t>
  </si>
  <si>
    <t xml:space="preserve">Annual inflation escalation</t>
  </si>
  <si>
    <t xml:space="preserve">Tax Rate</t>
  </si>
  <si>
    <t xml:space="preserve">H - Capex &amp; Depreciation</t>
  </si>
  <si>
    <t xml:space="preserve">Annual Capex</t>
  </si>
  <si>
    <t xml:space="preserve">Useful Life (yrs)</t>
  </si>
  <si>
    <t xml:space="preserve">Straight-line</t>
  </si>
  <si>
    <t xml:space="preserve">I - Cash Buffer</t>
  </si>
  <si>
    <t xml:space="preserve">Min Cash Buffer</t>
  </si>
  <si>
    <t xml:space="preserve">6 months fixed opex</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</si>
  <si>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</si>
  <si>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</si>
  <si>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</si>
  <si>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</si>
  <si>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</si>
  <si>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</si>
  <si>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</si>
  <si>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</si>
  <si>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</si>
  <si>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</si>
  <si>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</si>
  <si>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</si>
  <si>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</si>
  <si>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</si>
  <si>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</si>
  <si>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</si>
  <si>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</si>
  <si>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Pair Returns</t>
  </si>
  <si>
    <t xml:space="preserve">Carry Income and Spot P&amp;L per currency pair</t>
  </si>
  <si>
    <t xml:space="preserve">Year 1</t>
  </si>
  <si>
    <t xml:space="preserve">Year 2</t>
  </si>
  <si>
    <t xml:space="preserve">Year 3</t>
  </si>
  <si>
    <t xml:space="preserve">Year 4</t>
  </si>
  <si>
    <t xml:space="preserve">Year 5</t>
  </si>
  <si>
    <t xml:space="preserve">Pair Notionals (Calculated)</t>
  </si>
  <si>
    <t xml:space="preserve">EUR/USD Notional</t>
  </si>
  <si>
    <t xml:space="preserve">USD/JPY Notional</t>
  </si>
  <si>
    <t xml:space="preserve">GBP/USD Notional</t>
  </si>
  <si>
    <t xml:space="preserve">AUD/USD Notional</t>
  </si>
  <si>
    <t xml:space="preserve">USD/MXN Notional</t>
  </si>
  <si>
    <t xml:space="preserve">USD/BRL Notional</t>
  </si>
  <si>
    <t xml:space="preserve">Carry Income per Pair</t>
  </si>
  <si>
    <t xml:space="preserve">  EUR/USD Carry</t>
  </si>
  <si>
    <t xml:space="preserve">  USD/JPY Carry</t>
  </si>
  <si>
    <t xml:space="preserve">  GBP/USD Carry</t>
  </si>
  <si>
    <t xml:space="preserve">  AUD/USD Carry</t>
  </si>
  <si>
    <t xml:space="preserve">  USD/MXN Carry</t>
  </si>
  <si>
    <t xml:space="preserve">  USD/BRL Carry</t>
  </si>
  <si>
    <t xml:space="preserve">Total Carry Income</t>
  </si>
  <si>
    <t xml:space="preserve">Spot P&amp;L per Pair (Fully Realised)</t>
  </si>
  <si>
    <t xml:space="preserve">  EUR/USD Spot P&amp;L</t>
  </si>
  <si>
    <t xml:space="preserve">  USD/JPY Spot P&amp;L</t>
  </si>
  <si>
    <t xml:space="preserve">  GBP/USD Spot P&amp;L</t>
  </si>
  <si>
    <t xml:space="preserve">  AUD/USD Spot P&amp;L</t>
  </si>
  <si>
    <t xml:space="preserve">  USD/MXN Spot P&amp;L</t>
  </si>
  <si>
    <t xml:space="preserve">  USD/BRL Spot P&amp;L</t>
  </si>
  <si>
    <t xml:space="preserve">Total Spot P&amp;L</t>
  </si>
  <si>
    <t xml:space="preserve">Roll Yield</t>
  </si>
  <si>
    <t xml:space="preserve">Annual roll yield income per currency pair</t>
  </si>
  <si>
    <t xml:space="preserve">Roll Yield per Pair (flat across years)</t>
  </si>
  <si>
    <t xml:space="preserve">  EUR/USD Roll</t>
  </si>
  <si>
    <t xml:space="preserve">  USD/JPY Roll</t>
  </si>
  <si>
    <t xml:space="preserve">  GBP/USD Roll</t>
  </si>
  <si>
    <t xml:space="preserve">  AUD/USD Roll</t>
  </si>
  <si>
    <t xml:space="preserve">  USD/MXN Roll</t>
  </si>
  <si>
    <t xml:space="preserve">  USD/BRL Roll</t>
  </si>
  <si>
    <t xml:space="preserve">Total Roll Yield</t>
  </si>
  <si>
    <t xml:space="preserve">Capex &amp; Depreciation</t>
  </si>
  <si>
    <t xml:space="preserve">3-year straight-line schedule</t>
  </si>
  <si>
    <t xml:space="preserve">PP&amp;E Schedule</t>
  </si>
  <si>
    <t xml:space="preserve">Capex</t>
  </si>
  <si>
    <t xml:space="preserve">PP&amp;E Gross Opening</t>
  </si>
  <si>
    <t xml:space="preserve">PP&amp;E Gross Closing</t>
  </si>
  <si>
    <t xml:space="preserve">Annual Depreciation</t>
  </si>
  <si>
    <t xml:space="preserve">Accum Depr Opening</t>
  </si>
  <si>
    <t xml:space="preserve">Accum Depr Closing</t>
  </si>
  <si>
    <t xml:space="preserve">PP&amp;E Net</t>
  </si>
  <si>
    <t xml:space="preserve">Fee Income</t>
  </si>
  <si>
    <t xml:space="preserve">Management fees, performance fees, high-water mark</t>
  </si>
  <si>
    <t xml:space="preserve">AUM Base</t>
  </si>
  <si>
    <t xml:space="preserve">Opening Equity</t>
  </si>
  <si>
    <t xml:space="preserve">Pre-Performance-Fee Calculations (HWM Helper)</t>
  </si>
  <si>
    <t xml:space="preserve">  Gross Revenue (ref)</t>
  </si>
  <si>
    <t xml:space="preserve">  Financing Cost (ref)</t>
  </si>
  <si>
    <t xml:space="preserve">  Total Opex</t>
  </si>
  <si>
    <t xml:space="preserve">  Pre-Perf Net Income</t>
  </si>
  <si>
    <t xml:space="preserve">High-Water Mark Roll-Forward</t>
  </si>
  <si>
    <t xml:space="preserve">Peak NAV Prior</t>
  </si>
  <si>
    <t xml:space="preserve">Peak NAV (HWM)</t>
  </si>
  <si>
    <t xml:space="preserve">Performance Fee</t>
  </si>
  <si>
    <t xml:space="preserve">Income Statement</t>
  </si>
  <si>
    <t xml:space="preserve">No unrealised gains - all spot P&amp;L is fully realised</t>
  </si>
  <si>
    <t xml:space="preserve">Revenue</t>
  </si>
  <si>
    <t xml:space="preserve">  Carry Income</t>
  </si>
  <si>
    <t xml:space="preserve">  Spot P&amp;L</t>
  </si>
  <si>
    <t xml:space="preserve">  Roll Yield</t>
  </si>
  <si>
    <t xml:space="preserve">GROSS REVENUE</t>
  </si>
  <si>
    <t xml:space="preserve">Costs</t>
  </si>
  <si>
    <t xml:space="preserve">  Financing Cost</t>
  </si>
  <si>
    <t xml:space="preserve">  Management Fee</t>
  </si>
  <si>
    <t xml:space="preserve">  Performance Fee</t>
  </si>
  <si>
    <t xml:space="preserve">Operating Expenses</t>
  </si>
  <si>
    <t xml:space="preserve">  Staff &amp; Comp</t>
  </si>
  <si>
    <t xml:space="preserve">  Technology</t>
  </si>
  <si>
    <t xml:space="preserve">  Compliance</t>
  </si>
  <si>
    <t xml:space="preserve">  Admin &amp; Office</t>
  </si>
  <si>
    <t xml:space="preserve">Total Opex</t>
  </si>
  <si>
    <t xml:space="preserve">Earnings</t>
  </si>
  <si>
    <t xml:space="preserve">EBITDA</t>
  </si>
  <si>
    <t xml:space="preserve">  Depreciation</t>
  </si>
  <si>
    <t xml:space="preserve">EBIT</t>
  </si>
  <si>
    <t xml:space="preserve">Tax</t>
  </si>
  <si>
    <t xml:space="preserve">  Pre-Tax Income</t>
  </si>
  <si>
    <t xml:space="preserve">  Income Tax</t>
  </si>
  <si>
    <t xml:space="preserve">NET INCOME</t>
  </si>
  <si>
    <t xml:space="preserve">Balance Sheet</t>
  </si>
  <si>
    <t xml:space="preserve">Assets = Cash + Margin + PP&amp;E (no unrealised gains)</t>
  </si>
  <si>
    <t xml:space="preserve">Assets</t>
  </si>
  <si>
    <t xml:space="preserve">Cash Opening</t>
  </si>
  <si>
    <t xml:space="preserve">Cash Closing</t>
  </si>
  <si>
    <t xml:space="preserve">  Margin Deposits</t>
  </si>
  <si>
    <t xml:space="preserve">  PP&amp;E Net</t>
  </si>
  <si>
    <t xml:space="preserve">TOTAL ASSETS</t>
  </si>
  <si>
    <t xml:space="preserve">Liabilities</t>
  </si>
  <si>
    <t xml:space="preserve">TOTAL LIABILITIES</t>
  </si>
  <si>
    <t xml:space="preserve">Equity Roll-Forward</t>
  </si>
  <si>
    <t xml:space="preserve">  + Net Income</t>
  </si>
  <si>
    <t xml:space="preserve">  - Distributions</t>
  </si>
  <si>
    <t xml:space="preserve">  + Contributions</t>
  </si>
  <si>
    <t xml:space="preserve">CLOSING EQUITY</t>
  </si>
  <si>
    <t xml:space="preserve">TOTAL LIAB + EQUITY</t>
  </si>
  <si>
    <t xml:space="preserve">Cash Flow Statement</t>
  </si>
  <si>
    <t xml:space="preserve">No non-cash unrealised FX adjustment - spot P&amp;L is cash</t>
  </si>
  <si>
    <t xml:space="preserve">Operating Cash Flow</t>
  </si>
  <si>
    <t xml:space="preserve">  Net Income</t>
  </si>
  <si>
    <t xml:space="preserve">  + Depreciation</t>
  </si>
  <si>
    <t xml:space="preserve">Investing Cash Flow</t>
  </si>
  <si>
    <t xml:space="preserve">  Capex</t>
  </si>
  <si>
    <t xml:space="preserve">Financing Cash Flow</t>
  </si>
  <si>
    <t xml:space="preserve">Cash Roll-Forward</t>
  </si>
  <si>
    <t xml:space="preserve">Opening Cash</t>
  </si>
  <si>
    <t xml:space="preserve">Net Cash Flow</t>
  </si>
  <si>
    <t xml:space="preserve">CLOSING CASH</t>
  </si>
  <si>
    <t xml:space="preserve">Returns</t>
  </si>
  <si>
    <t xml:space="preserve">IRR, MOIC, Total Distributions, Terminal Equity</t>
  </si>
  <si>
    <t xml:space="preserve">IRR Cash Flow Stream</t>
  </si>
  <si>
    <t xml:space="preserve">Y0</t>
  </si>
  <si>
    <t xml:space="preserve">Y1</t>
  </si>
  <si>
    <t xml:space="preserve">Y2</t>
  </si>
  <si>
    <t xml:space="preserve">Y3</t>
  </si>
  <si>
    <t xml:space="preserve">Y4</t>
  </si>
  <si>
    <t xml:space="preserve">Y5</t>
  </si>
  <si>
    <t xml:space="preserve">IRR</t>
  </si>
  <si>
    <t xml:space="preserve">Fund Metrics</t>
  </si>
  <si>
    <t xml:space="preserve">Equity Multiple (MOIC)</t>
  </si>
  <si>
    <t xml:space="preserve">Total Distributions</t>
  </si>
  <si>
    <t xml:space="preserve">Terminal Equity (Y5)</t>
  </si>
  <si>
    <t xml:space="preserve">Total Value to Investor</t>
  </si>
  <si>
    <t xml:space="preserve">Net Return ($)</t>
  </si>
  <si>
    <t xml:space="preserve">Model Checks</t>
  </si>
  <si>
    <t xml:space="preserve">All checks must read PASS before submitting model</t>
  </si>
  <si>
    <t xml:space="preserve">Check</t>
  </si>
  <si>
    <t xml:space="preserve">Formula Result</t>
  </si>
  <si>
    <t xml:space="preserve">Status</t>
  </si>
  <si>
    <t xml:space="preserve">BS Balance (all years)</t>
  </si>
  <si>
    <t xml:space="preserve">Assets must equal L+E every year</t>
  </si>
  <si>
    <t xml:space="preserve">Equity Positive (all years)</t>
  </si>
  <si>
    <t xml:space="preserve">Closing equity must not go negative</t>
  </si>
  <si>
    <t xml:space="preserve">Cash &gt;= Buffer (all years)</t>
  </si>
  <si>
    <t xml:space="preserve">Closing cash must exceed minimum buffer</t>
  </si>
  <si>
    <t xml:space="preserve">IRR Sign Change</t>
  </si>
  <si>
    <t xml:space="preserve">Y0 must be negative, Y1-Y5 must have at least one positive</t>
  </si>
  <si>
    <t xml:space="preserve">Pair Weights Sum = 1</t>
  </si>
  <si>
    <t xml:space="preserve">All six pair weights must sum to 1.0</t>
  </si>
  <si>
    <t xml:space="preserve">Peak NAV Non-Declining</t>
  </si>
  <si>
    <t xml:space="preserve">High-water mark can only move up</t>
  </si>
  <si>
    <t xml:space="preserve">Perf Fee = 0 in Loss Years</t>
  </si>
  <si>
    <t xml:space="preserve">No performance fee when NAV is below prior peak</t>
  </si>
  <si>
    <t xml:space="preserve">Margin Utilisation &lt;= 100%</t>
  </si>
  <si>
    <t xml:space="preserve">At 3x leverage, 5% margin = 15% utilisation</t>
  </si>
  <si>
    <t xml:space="preserve">PP&amp;E Net Non-Negative</t>
  </si>
  <si>
    <t xml:space="preserve">Net PP&amp;E must never go negative</t>
  </si>
  <si>
    <t xml:space="preserve">Distributions &lt;= Net Income</t>
  </si>
  <si>
    <t xml:space="preserve">Cannot distribute more than net income</t>
  </si>
</sst>
</file>

<file path=xl/styles.xml><?xml version="1.0" encoding="utf-8"?>
<styleSheet xmlns="http://schemas.openxmlformats.org/spreadsheetml/2006/main">
  <numFmts count="7">
    <numFmt numFmtId="164" formatCode="General"/>
    <numFmt numFmtId="165" formatCode="\$#,##0.00"/>
    <numFmt numFmtId="166" formatCode="0.00\x"/>
    <numFmt numFmtId="167" formatCode="0.00%"/>
    <numFmt numFmtId="168" formatCode="@"/>
    <numFmt numFmtId="169" formatCode="0.0"/>
    <numFmt numFmtId="170" formatCode="0"/>
  </numFmts>
  <fonts count="26">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2"/>
      <color theme="0"/>
      <name val="Arial"/>
      <family val="0"/>
      <charset val="1"/>
    </font>
    <font>
      <sz val="11"/>
      <color theme="1"/>
      <name val="Arial"/>
      <family val="0"/>
      <charset val="1"/>
    </font>
    <font>
      <sz val="10"/>
      <color rgb="FF00000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0"/>
      <color rgb="FF000000"/>
      <name val="Arial"/>
      <family val="0"/>
      <charset val="1"/>
    </font>
    <font>
      <b val="true"/>
      <sz val="10"/>
      <color theme="0"/>
      <name val="Arial"/>
      <family val="0"/>
      <charset val="1"/>
    </font>
    <font>
      <sz val="10"/>
      <color theme="3"/>
      <name val="Arial"/>
      <family val="0"/>
      <charset val="1"/>
    </font>
    <font>
      <i val="true"/>
      <sz val="9"/>
      <color rgb="FF80808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i val="true"/>
      <sz val="12"/>
      <color rgb="FF808080"/>
      <name val="Arial"/>
      <family val="0"/>
      <charset val="1"/>
    </font>
    <font>
      <b val="true"/>
      <sz val="10"/>
      <color rgb="FFFFFFFF"/>
      <name val="Arial"/>
      <family val="0"/>
      <charset val="1"/>
    </font>
  </fonts>
  <fills count="9">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theme="3" tint="0.8"/>
        <bgColor rgb="FFD6E4F0"/>
      </patternFill>
    </fill>
    <fill>
      <patternFill patternType="solid">
        <fgColor rgb="FFFFF2CC"/>
        <bgColor rgb="FFF2F2F2"/>
      </patternFill>
    </fill>
    <fill>
      <patternFill patternType="solid">
        <fgColor rgb="FF1F4E79"/>
        <bgColor rgb="FF1F497D"/>
      </patternFill>
    </fill>
    <fill>
      <patternFill patternType="solid">
        <fgColor rgb="FFF2F2F2"/>
        <bgColor rgb="FFFFFFFF"/>
      </patternFill>
    </fill>
    <fill>
      <patternFill patternType="solid">
        <fgColor rgb="FF2E75B6"/>
        <bgColor rgb="FF0066CC"/>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5" fontId="9" fillId="0" borderId="0" xfId="0" applyFont="true" applyBorder="false" applyAlignment="true" applyProtection="false">
      <alignment horizontal="left" vertical="center" textRotation="0" wrapText="false" indent="0" shrinkToFit="false"/>
      <protection locked="true" hidden="false"/>
    </xf>
    <xf numFmtId="166" fontId="9" fillId="0" borderId="0" xfId="0" applyFont="true" applyBorder="false" applyAlignment="true" applyProtection="false">
      <alignment horizontal="left" vertical="center" textRotation="0" wrapText="false" indent="0" shrinkToFit="false"/>
      <protection locked="true" hidden="false"/>
    </xf>
    <xf numFmtId="167" fontId="9" fillId="0" borderId="0" xfId="0" applyFont="true" applyBorder="false" applyAlignment="true" applyProtection="false">
      <alignment horizontal="left" vertical="center" textRotation="0" wrapText="false" indent="0" shrinkToFit="false"/>
      <protection locked="true" hidden="false"/>
    </xf>
    <xf numFmtId="168" fontId="9" fillId="0" borderId="0" xfId="0" applyFont="true" applyBorder="false" applyAlignment="true" applyProtection="false">
      <alignment horizontal="left" vertical="center" textRotation="0" wrapText="false" indent="0" shrinkToFit="false"/>
      <protection locked="true" hidden="false"/>
    </xf>
    <xf numFmtId="164" fontId="10" fillId="3" borderId="0" xfId="0" applyFont="true" applyBorder="false" applyAlignment="true" applyProtection="false">
      <alignment horizontal="left" vertical="center"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left" vertical="top" textRotation="0" wrapText="tru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4" fillId="4" borderId="0" xfId="0" applyFont="true" applyBorder="false" applyAlignment="true" applyProtection="false">
      <alignment horizontal="left" vertical="center" textRotation="0" wrapText="false" indent="0" shrinkToFit="false"/>
      <protection locked="true" hidden="false"/>
    </xf>
    <xf numFmtId="164" fontId="15"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5" fontId="16" fillId="5" borderId="0" xfId="0" applyFont="true" applyBorder="false" applyAlignment="true" applyProtection="false">
      <alignment horizontal="righ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9" fontId="16" fillId="5" borderId="0" xfId="0" applyFont="true" applyBorder="false" applyAlignment="true" applyProtection="false">
      <alignment horizontal="right" vertical="center"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7" fontId="16" fillId="5" borderId="0" xfId="0" applyFont="true" applyBorder="false" applyAlignment="true" applyProtection="false">
      <alignment horizontal="right" vertical="center" textRotation="0" wrapText="false" indent="0" shrinkToFit="false"/>
      <protection locked="true" hidden="false"/>
    </xf>
    <xf numFmtId="170" fontId="16" fillId="5" borderId="0" xfId="0" applyFont="true" applyBorder="false" applyAlignment="true" applyProtection="false">
      <alignment horizontal="righ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9" fillId="6" borderId="0" xfId="0" applyFont="true" applyBorder="false" applyAlignment="true" applyProtection="false">
      <alignment horizontal="left" vertical="center" textRotation="0" wrapText="false" indent="1" shrinkToFit="false"/>
      <protection locked="true" hidden="false"/>
    </xf>
    <xf numFmtId="164" fontId="20" fillId="0" borderId="0" xfId="0" applyFont="true" applyBorder="false" applyAlignment="true" applyProtection="false">
      <alignment horizontal="left" vertical="top" textRotation="0" wrapText="tru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xf numFmtId="164" fontId="10" fillId="0" borderId="0" xfId="0" applyFont="true" applyBorder="false" applyAlignment="true" applyProtection="false">
      <alignment horizontal="left" vertical="center" textRotation="0" wrapText="false" indent="1" shrinkToFit="false"/>
      <protection locked="true" hidden="false"/>
    </xf>
    <xf numFmtId="164" fontId="22" fillId="7"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4" fillId="3" borderId="0" xfId="0" applyFont="true" applyBorder="false" applyAlignment="true" applyProtection="false">
      <alignment horizontal="center" vertical="center" textRotation="0" wrapText="false" indent="0" shrinkToFit="false"/>
      <protection locked="true" hidden="false"/>
    </xf>
    <xf numFmtId="164" fontId="25" fillId="8" borderId="0" xfId="0" applyFont="true" applyBorder="false" applyAlignment="true" applyProtection="false">
      <alignment horizontal="left" vertical="center" textRotation="0" wrapText="false" indent="0" shrinkToFit="false"/>
      <protection locked="true" hidden="false"/>
    </xf>
    <xf numFmtId="170" fontId="14" fillId="8" borderId="0" xfId="0" applyFont="true" applyBorder="false" applyAlignment="true" applyProtection="false">
      <alignment horizontal="center"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4" fillId="0" borderId="2" xfId="0" applyFont="true" applyBorder="true" applyAlignment="true" applyProtection="false">
      <alignment horizontal="left" vertical="center" textRotation="0" wrapText="false" indent="0" shrinkToFit="false"/>
      <protection locked="true" hidden="false"/>
    </xf>
    <xf numFmtId="165" fontId="14" fillId="0" borderId="2" xfId="0" applyFont="true" applyBorder="true" applyAlignment="true" applyProtection="false">
      <alignment horizontal="right" vertical="center" textRotation="0" wrapText="false" indent="0" shrinkToFit="false"/>
      <protection locked="true" hidden="false"/>
    </xf>
    <xf numFmtId="165" fontId="9" fillId="8" borderId="0" xfId="0" applyFont="true" applyBorder="false" applyAlignment="true" applyProtection="false">
      <alignment horizontal="right" vertical="center" textRotation="0" wrapText="false" indent="0" shrinkToFit="false"/>
      <protection locked="true" hidden="false"/>
    </xf>
    <xf numFmtId="164" fontId="25" fillId="8" borderId="2" xfId="0" applyFont="true" applyBorder="true" applyAlignment="true" applyProtection="false">
      <alignment horizontal="left" vertical="center" textRotation="0" wrapText="false" indent="0" shrinkToFit="false"/>
      <protection locked="true" hidden="false"/>
    </xf>
    <xf numFmtId="165" fontId="14" fillId="8" borderId="2" xfId="0" applyFont="true" applyBorder="true" applyAlignment="true" applyProtection="false">
      <alignment horizontal="righ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5" fontId="14" fillId="0" borderId="0" xfId="0" applyFont="true" applyBorder="false" applyAlignment="true" applyProtection="false">
      <alignment horizontal="right" vertical="center" textRotation="0" wrapText="false" indent="0" shrinkToFit="false"/>
      <protection locked="true" hidden="false"/>
    </xf>
    <xf numFmtId="164" fontId="14" fillId="0" borderId="3" xfId="0" applyFont="true" applyBorder="true" applyAlignment="true" applyProtection="false">
      <alignment horizontal="left" vertical="center" textRotation="0" wrapText="false" indent="0" shrinkToFit="false"/>
      <protection locked="true" hidden="false"/>
    </xf>
    <xf numFmtId="165" fontId="14" fillId="0" borderId="3" xfId="0" applyFont="true" applyBorder="true" applyAlignment="true" applyProtection="false">
      <alignment horizontal="right" vertical="center" textRotation="0" wrapText="false" indent="0" shrinkToFit="false"/>
      <protection locked="true" hidden="false"/>
    </xf>
    <xf numFmtId="167" fontId="14" fillId="0" borderId="2" xfId="0" applyFont="true" applyBorder="true" applyAlignment="true" applyProtection="false">
      <alignment horizontal="right" vertical="center" textRotation="0" wrapText="fals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4" fontId="14" fillId="3"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2CC"/>
      <rgbColor rgb="FFD6E4F0"/>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2E75B6"/>
      <rgbColor rgb="FF33CCCC"/>
      <rgbColor rgb="FF99CC00"/>
      <rgbColor rgb="FFFFCC00"/>
      <rgbColor rgb="FFFF9900"/>
      <rgbColor rgb="FFC55A11"/>
      <rgbColor rgb="FF595959"/>
      <rgbColor rgb="FF969696"/>
      <rgbColor rgb="FF1F4E79"/>
      <rgbColor rgb="FF339966"/>
      <rgbColor rgb="FF375623"/>
      <rgbColor rgb="FF404040"/>
      <rgbColor rgb="FF833C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7" t="n">
        <f aca="false">Base_Capital</f>
        <v>5000000</v>
      </c>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6" t="s">
        <v>4</v>
      </c>
      <c r="C6" s="8" t="n">
        <f aca="false">Leverage_Multiple</f>
        <v>3</v>
      </c>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6" t="s">
        <v>5</v>
      </c>
      <c r="C7" s="7" t="n">
        <f aca="false">Total_Notional</f>
        <v>15000000</v>
      </c>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6" t="s">
        <v>6</v>
      </c>
      <c r="C9" s="9" t="n">
        <f aca="false">Returns_IRR</f>
        <v>-0.184343230653012</v>
      </c>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6" t="s">
        <v>7</v>
      </c>
      <c r="C10" s="8" t="n">
        <f aca="false">Returns_MOIC</f>
        <v>0.361024956474406</v>
      </c>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6" t="s">
        <v>8</v>
      </c>
      <c r="C11" s="7" t="n">
        <f aca="false">Returns_TotalDist</f>
        <v>0</v>
      </c>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6" t="s">
        <v>9</v>
      </c>
      <c r="C13" s="10" t="s">
        <v>10</v>
      </c>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6" t="s">
        <v>11</v>
      </c>
      <c r="C14" s="10" t="s">
        <v>12</v>
      </c>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9.5" hidden="false" customHeight="true" outlineLevel="0" collapsed="false">
      <c r="A17" s="5"/>
      <c r="B17" s="11" t="s">
        <v>13</v>
      </c>
      <c r="C17" s="12"/>
      <c r="D17" s="12"/>
      <c r="E17" s="12"/>
      <c r="F17" s="12"/>
      <c r="G17" s="12"/>
      <c r="H17" s="5"/>
      <c r="I17" s="5"/>
      <c r="J17" s="5"/>
      <c r="K17" s="5"/>
      <c r="L17" s="5"/>
      <c r="M17" s="5"/>
      <c r="N17" s="5"/>
      <c r="O17" s="5"/>
      <c r="P17" s="5"/>
      <c r="Q17" s="5"/>
      <c r="R17" s="5"/>
      <c r="S17" s="5"/>
      <c r="T17" s="5"/>
      <c r="U17" s="5"/>
      <c r="V17" s="5"/>
      <c r="W17" s="5"/>
      <c r="X17" s="5"/>
      <c r="Y17" s="5"/>
      <c r="Z17" s="5"/>
      <c r="AA17" s="5"/>
      <c r="AB17" s="5"/>
      <c r="AC17" s="5"/>
      <c r="AD17" s="5"/>
    </row>
    <row r="18" customFormat="false" ht="208.5" hidden="false" customHeight="true" outlineLevel="0" collapsed="false">
      <c r="A18" s="5"/>
      <c r="B18" s="13" t="s">
        <v>14</v>
      </c>
      <c r="C18" s="13"/>
      <c r="D18" s="13"/>
      <c r="E18" s="13"/>
      <c r="F18" s="13"/>
      <c r="G18" s="13"/>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9.5" hidden="false" customHeight="true" outlineLevel="0" collapsed="false">
      <c r="A20" s="5"/>
      <c r="B20" s="11" t="s">
        <v>15</v>
      </c>
      <c r="C20" s="12"/>
      <c r="D20" s="12"/>
      <c r="E20" s="12"/>
      <c r="F20" s="12"/>
      <c r="G20" s="12"/>
      <c r="H20" s="5"/>
      <c r="I20" s="5"/>
      <c r="J20" s="5"/>
      <c r="K20" s="5"/>
      <c r="L20" s="5"/>
      <c r="M20" s="5"/>
      <c r="N20" s="5"/>
      <c r="O20" s="5"/>
      <c r="P20" s="5"/>
      <c r="Q20" s="5"/>
      <c r="R20" s="5"/>
      <c r="S20" s="5"/>
      <c r="T20" s="5"/>
      <c r="U20" s="5"/>
      <c r="V20" s="5"/>
      <c r="W20" s="5"/>
      <c r="X20" s="5"/>
      <c r="Y20" s="5"/>
      <c r="Z20" s="5"/>
      <c r="AA20" s="5"/>
      <c r="AB20" s="5"/>
      <c r="AC20" s="5"/>
      <c r="AD20" s="5"/>
    </row>
    <row r="21" customFormat="false" ht="57" hidden="false" customHeight="true" outlineLevel="0" collapsed="false">
      <c r="A21" s="5"/>
      <c r="B21" s="13" t="s">
        <v>16</v>
      </c>
      <c r="C21" s="13"/>
      <c r="D21" s="13"/>
      <c r="E21" s="13"/>
      <c r="F21" s="13"/>
      <c r="G21" s="13"/>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14" t="s">
        <v>17</v>
      </c>
      <c r="C22" s="14"/>
      <c r="D22" s="14"/>
      <c r="E22" s="14"/>
      <c r="F22" s="14"/>
      <c r="G22" s="14"/>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15" t="s">
        <v>18</v>
      </c>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sheetData>
  <mergeCells count="3">
    <mergeCell ref="B18:G18"/>
    <mergeCell ref="B21:G21"/>
    <mergeCell ref="B22:G22"/>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55A11"/>
    <pageSetUpPr fitToPage="false"/>
  </sheetPr>
  <dimension ref="A1:G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3" t="s">
        <v>235</v>
      </c>
      <c r="C2" s="5"/>
      <c r="D2" s="5"/>
      <c r="E2" s="5"/>
      <c r="F2" s="5"/>
      <c r="G2" s="5"/>
    </row>
    <row r="3" customFormat="false" ht="15" hidden="false" customHeight="false" outlineLevel="0" collapsed="false">
      <c r="A3" s="5"/>
      <c r="B3" s="34" t="s">
        <v>236</v>
      </c>
      <c r="C3" s="35" t="s">
        <v>133</v>
      </c>
      <c r="D3" s="35" t="s">
        <v>134</v>
      </c>
      <c r="E3" s="35" t="s">
        <v>135</v>
      </c>
      <c r="F3" s="35" t="s">
        <v>136</v>
      </c>
      <c r="G3" s="35" t="s">
        <v>137</v>
      </c>
    </row>
    <row r="4" customFormat="false" ht="15" hidden="false" customHeight="false" outlineLevel="0" collapsed="false">
      <c r="A4" s="5"/>
      <c r="B4" s="36" t="s">
        <v>237</v>
      </c>
      <c r="C4" s="37" t="n">
        <v>1</v>
      </c>
      <c r="D4" s="37" t="n">
        <v>2</v>
      </c>
      <c r="E4" s="37" t="n">
        <v>3</v>
      </c>
      <c r="F4" s="37" t="n">
        <v>4</v>
      </c>
      <c r="G4" s="37" t="n">
        <v>5</v>
      </c>
    </row>
    <row r="5" customFormat="false" ht="15" hidden="false" customHeight="false" outlineLevel="0" collapsed="false">
      <c r="A5" s="5"/>
      <c r="B5" s="6" t="s">
        <v>238</v>
      </c>
      <c r="C5" s="22" t="n">
        <f aca="false">Income_Statement!C26</f>
        <v>-474750</v>
      </c>
      <c r="D5" s="22" t="n">
        <f aca="false">Income_Statement!D26</f>
        <v>-573628.75</v>
      </c>
      <c r="E5" s="22" t="n">
        <f aca="false">Income_Statement!E26</f>
        <v>-653654.31875</v>
      </c>
      <c r="F5" s="22" t="n">
        <f aca="false">Income_Statement!F26</f>
        <v>-724128.40396875</v>
      </c>
      <c r="G5" s="22" t="n">
        <f aca="false">Income_Statement!G26</f>
        <v>-768713.744909219</v>
      </c>
    </row>
    <row r="6" customFormat="false" ht="15" hidden="false" customHeight="false" outlineLevel="0" collapsed="false">
      <c r="A6" s="5"/>
      <c r="B6" s="6" t="s">
        <v>239</v>
      </c>
      <c r="C6" s="22" t="n">
        <f aca="false">Capex_Depreciation!C8</f>
        <v>0</v>
      </c>
      <c r="D6" s="22" t="n">
        <f aca="false">Capex_Depreciation!D8</f>
        <v>10000</v>
      </c>
      <c r="E6" s="22" t="n">
        <f aca="false">Capex_Depreciation!E8</f>
        <v>20000</v>
      </c>
      <c r="F6" s="22" t="n">
        <f aca="false">Capex_Depreciation!F8</f>
        <v>30000</v>
      </c>
      <c r="G6" s="22" t="n">
        <f aca="false">Capex_Depreciation!G8</f>
        <v>40000</v>
      </c>
    </row>
    <row r="7" customFormat="false" ht="15" hidden="false" customHeight="false" outlineLevel="0" collapsed="false">
      <c r="A7" s="5"/>
      <c r="B7" s="39" t="s">
        <v>237</v>
      </c>
      <c r="C7" s="40" t="n">
        <f aca="false">C5+C6</f>
        <v>-474750</v>
      </c>
      <c r="D7" s="40" t="n">
        <f aca="false">D5+D6</f>
        <v>-563628.75</v>
      </c>
      <c r="E7" s="40" t="n">
        <f aca="false">E5+E6</f>
        <v>-633654.31875</v>
      </c>
      <c r="F7" s="40" t="n">
        <f aca="false">F5+F6</f>
        <v>-694128.40396875</v>
      </c>
      <c r="G7" s="40" t="n">
        <f aca="false">G5+G6</f>
        <v>-728713.744909219</v>
      </c>
    </row>
    <row r="8" customFormat="false" ht="15" hidden="false" customHeight="false" outlineLevel="0" collapsed="false">
      <c r="A8" s="5"/>
      <c r="B8" s="36" t="s">
        <v>240</v>
      </c>
      <c r="C8" s="38"/>
      <c r="D8" s="38"/>
      <c r="E8" s="38"/>
      <c r="F8" s="38"/>
      <c r="G8" s="38"/>
    </row>
    <row r="9" customFormat="false" ht="15" hidden="false" customHeight="false" outlineLevel="0" collapsed="false">
      <c r="A9" s="5"/>
      <c r="B9" s="6" t="s">
        <v>241</v>
      </c>
      <c r="C9" s="22" t="n">
        <f aca="false">-Annual_Capex</f>
        <v>-30000</v>
      </c>
      <c r="D9" s="22" t="n">
        <f aca="false">-Annual_Capex</f>
        <v>-30000</v>
      </c>
      <c r="E9" s="22" t="n">
        <f aca="false">-Annual_Capex</f>
        <v>-30000</v>
      </c>
      <c r="F9" s="22" t="n">
        <f aca="false">-Annual_Capex</f>
        <v>-30000</v>
      </c>
      <c r="G9" s="22" t="n">
        <f aca="false">-Annual_Capex</f>
        <v>-30000</v>
      </c>
    </row>
    <row r="10" customFormat="false" ht="15" hidden="false" customHeight="false" outlineLevel="0" collapsed="false">
      <c r="A10" s="5"/>
      <c r="B10" s="39" t="s">
        <v>240</v>
      </c>
      <c r="C10" s="40" t="n">
        <f aca="false">C9</f>
        <v>-30000</v>
      </c>
      <c r="D10" s="40" t="n">
        <f aca="false">D9</f>
        <v>-30000</v>
      </c>
      <c r="E10" s="40" t="n">
        <f aca="false">E9</f>
        <v>-30000</v>
      </c>
      <c r="F10" s="40" t="n">
        <f aca="false">F9</f>
        <v>-30000</v>
      </c>
      <c r="G10" s="40" t="n">
        <f aca="false">G9</f>
        <v>-30000</v>
      </c>
    </row>
    <row r="11" customFormat="false" ht="15" hidden="false" customHeight="false" outlineLevel="0" collapsed="false">
      <c r="A11" s="5"/>
      <c r="B11" s="36" t="s">
        <v>242</v>
      </c>
      <c r="C11" s="38"/>
      <c r="D11" s="38"/>
      <c r="E11" s="38"/>
      <c r="F11" s="38"/>
      <c r="G11" s="38"/>
    </row>
    <row r="12" customFormat="false" ht="15" hidden="false" customHeight="false" outlineLevel="0" collapsed="false">
      <c r="A12" s="5"/>
      <c r="B12" s="6" t="s">
        <v>232</v>
      </c>
      <c r="C12" s="22" t="n">
        <f aca="false">Assumptions!C11</f>
        <v>0</v>
      </c>
      <c r="D12" s="22" t="n">
        <f aca="false">Assumptions!D11</f>
        <v>0</v>
      </c>
      <c r="E12" s="22" t="n">
        <f aca="false">Assumptions!E11</f>
        <v>0</v>
      </c>
      <c r="F12" s="22" t="n">
        <f aca="false">Assumptions!F11</f>
        <v>0</v>
      </c>
      <c r="G12" s="22" t="n">
        <f aca="false">Assumptions!G11</f>
        <v>0</v>
      </c>
    </row>
    <row r="13" customFormat="false" ht="15" hidden="false" customHeight="false" outlineLevel="0" collapsed="false">
      <c r="A13" s="5"/>
      <c r="B13" s="6" t="s">
        <v>231</v>
      </c>
      <c r="C13" s="22" t="n">
        <f aca="false">-MAX(0,Income_Statement!C26)*Distribution_Rate</f>
        <v>-0</v>
      </c>
      <c r="D13" s="22" t="n">
        <f aca="false">-MAX(0,Income_Statement!D26)*Distribution_Rate</f>
        <v>-0</v>
      </c>
      <c r="E13" s="22" t="n">
        <f aca="false">-MAX(0,Income_Statement!E26)*Distribution_Rate</f>
        <v>-0</v>
      </c>
      <c r="F13" s="22" t="n">
        <f aca="false">-MAX(0,Income_Statement!F26)*Distribution_Rate</f>
        <v>-0</v>
      </c>
      <c r="G13" s="22" t="n">
        <f aca="false">-MAX(0,Income_Statement!G26)*Distribution_Rate</f>
        <v>-0</v>
      </c>
    </row>
    <row r="14" customFormat="false" ht="15" hidden="false" customHeight="false" outlineLevel="0" collapsed="false">
      <c r="A14" s="5"/>
      <c r="B14" s="39" t="s">
        <v>242</v>
      </c>
      <c r="C14" s="40" t="n">
        <f aca="false">C12+C13</f>
        <v>0</v>
      </c>
      <c r="D14" s="40" t="n">
        <f aca="false">D12+D13</f>
        <v>0</v>
      </c>
      <c r="E14" s="40" t="n">
        <f aca="false">E12+E13</f>
        <v>0</v>
      </c>
      <c r="F14" s="40" t="n">
        <f aca="false">F12+F13</f>
        <v>0</v>
      </c>
      <c r="G14" s="40" t="n">
        <f aca="false">G12+G13</f>
        <v>0</v>
      </c>
    </row>
    <row r="15" customFormat="false" ht="15" hidden="false" customHeight="false" outlineLevel="0" collapsed="false">
      <c r="A15" s="5"/>
      <c r="B15" s="36" t="s">
        <v>243</v>
      </c>
      <c r="C15" s="38"/>
      <c r="D15" s="38"/>
      <c r="E15" s="38"/>
      <c r="F15" s="38"/>
      <c r="G15" s="38"/>
    </row>
    <row r="16" customFormat="false" ht="15" hidden="false" customHeight="false" outlineLevel="0" collapsed="false">
      <c r="A16" s="5"/>
      <c r="B16" s="6" t="s">
        <v>244</v>
      </c>
      <c r="C16" s="22" t="n">
        <f aca="false">Base_Capital-Total_Notional*Margin_Rate</f>
        <v>4250000</v>
      </c>
      <c r="D16" s="22" t="n">
        <f aca="false">C18</f>
        <v>3745250</v>
      </c>
      <c r="E16" s="22" t="n">
        <f aca="false">D18</f>
        <v>3151621.25</v>
      </c>
      <c r="F16" s="22" t="n">
        <f aca="false">E18</f>
        <v>2487966.93125</v>
      </c>
      <c r="G16" s="22" t="n">
        <f aca="false">F18</f>
        <v>1763838.52728125</v>
      </c>
    </row>
    <row r="17" customFormat="false" ht="15" hidden="false" customHeight="false" outlineLevel="0" collapsed="false">
      <c r="A17" s="5"/>
      <c r="B17" s="6" t="s">
        <v>245</v>
      </c>
      <c r="C17" s="22" t="n">
        <f aca="false">C7+C10+C14</f>
        <v>-504750</v>
      </c>
      <c r="D17" s="22" t="n">
        <f aca="false">D7+D10+D14</f>
        <v>-593628.75</v>
      </c>
      <c r="E17" s="22" t="n">
        <f aca="false">E7+E10+E14</f>
        <v>-663654.31875</v>
      </c>
      <c r="F17" s="22" t="n">
        <f aca="false">F7+F10+F14</f>
        <v>-724128.40396875</v>
      </c>
      <c r="G17" s="22" t="n">
        <f aca="false">G7+G10+G14</f>
        <v>-758713.744909219</v>
      </c>
    </row>
    <row r="18" customFormat="false" ht="15" hidden="false" customHeight="false" outlineLevel="0" collapsed="false">
      <c r="A18" s="5"/>
      <c r="B18" s="46" t="s">
        <v>246</v>
      </c>
      <c r="C18" s="47" t="n">
        <f aca="false">C16+C17</f>
        <v>3745250</v>
      </c>
      <c r="D18" s="47" t="n">
        <f aca="false">D16+D17</f>
        <v>3151621.25</v>
      </c>
      <c r="E18" s="47" t="n">
        <f aca="false">E16+E17</f>
        <v>2487966.93125</v>
      </c>
      <c r="F18" s="47" t="n">
        <f aca="false">F16+F17</f>
        <v>1763838.52728125</v>
      </c>
      <c r="G18" s="47" t="n">
        <f aca="false">G16+G17</f>
        <v>1005124.78237203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G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3" t="s">
        <v>247</v>
      </c>
      <c r="C2" s="5"/>
      <c r="D2" s="5"/>
      <c r="E2" s="5"/>
      <c r="F2" s="5"/>
      <c r="G2" s="5"/>
    </row>
    <row r="3" customFormat="false" ht="15" hidden="false" customHeight="false" outlineLevel="0" collapsed="false">
      <c r="A3" s="5"/>
      <c r="B3" s="34" t="s">
        <v>248</v>
      </c>
      <c r="C3" s="5"/>
      <c r="D3" s="5"/>
      <c r="E3" s="5"/>
      <c r="F3" s="5"/>
      <c r="G3" s="5"/>
    </row>
    <row r="4" customFormat="false" ht="15" hidden="false" customHeight="false" outlineLevel="0" collapsed="false">
      <c r="A4" s="5"/>
      <c r="B4" s="36" t="s">
        <v>249</v>
      </c>
      <c r="C4" s="38"/>
      <c r="D4" s="38"/>
      <c r="E4" s="38"/>
      <c r="F4" s="38"/>
      <c r="G4" s="38"/>
    </row>
    <row r="5" customFormat="false" ht="15" hidden="false" customHeight="false" outlineLevel="0" collapsed="false">
      <c r="A5" s="5"/>
      <c r="B5" s="35" t="s">
        <v>250</v>
      </c>
      <c r="C5" s="35" t="s">
        <v>251</v>
      </c>
      <c r="D5" s="35" t="s">
        <v>252</v>
      </c>
      <c r="E5" s="35" t="s">
        <v>253</v>
      </c>
      <c r="F5" s="35" t="s">
        <v>254</v>
      </c>
      <c r="G5" s="35" t="s">
        <v>255</v>
      </c>
    </row>
    <row r="6" customFormat="false" ht="15" hidden="false" customHeight="false" outlineLevel="0" collapsed="false">
      <c r="A6" s="5"/>
      <c r="B6" s="22" t="n">
        <f aca="false">-Base_Capital</f>
        <v>-5000000</v>
      </c>
      <c r="C6" s="22" t="n">
        <f aca="false">MAX(0,Income_Statement!C26)*Distribution_Rate</f>
        <v>0</v>
      </c>
      <c r="D6" s="22" t="n">
        <f aca="false">MAX(0,Income_Statement!D26)*Distribution_Rate</f>
        <v>0</v>
      </c>
      <c r="E6" s="22" t="n">
        <f aca="false">MAX(0,Income_Statement!E26)*Distribution_Rate</f>
        <v>0</v>
      </c>
      <c r="F6" s="22" t="n">
        <f aca="false">MAX(0,Income_Statement!F26)*Distribution_Rate</f>
        <v>0</v>
      </c>
      <c r="G6" s="22" t="n">
        <f aca="false">MAX(0,Income_Statement!G26)*Distribution_Rate+BS_Closing_Eq_Y5</f>
        <v>1805124.78237203</v>
      </c>
    </row>
    <row r="7" customFormat="false" ht="15" hidden="false" customHeight="false" outlineLevel="0" collapsed="false">
      <c r="A7" s="5"/>
      <c r="B7" s="39" t="s">
        <v>256</v>
      </c>
      <c r="C7" s="48" t="n">
        <f aca="false">IFERROR(IRR(B6:G6),"N/A - No sign change")</f>
        <v>-0.184343230653012</v>
      </c>
      <c r="D7" s="49"/>
      <c r="E7" s="49"/>
      <c r="F7" s="49"/>
      <c r="G7" s="49"/>
    </row>
    <row r="8" customFormat="false" ht="15" hidden="false" customHeight="false" outlineLevel="0" collapsed="false">
      <c r="A8" s="5"/>
      <c r="B8" s="36" t="s">
        <v>257</v>
      </c>
      <c r="C8" s="38"/>
      <c r="D8" s="38"/>
      <c r="E8" s="38"/>
      <c r="F8" s="38"/>
      <c r="G8" s="38"/>
    </row>
    <row r="9" customFormat="false" ht="15" hidden="false" customHeight="false" outlineLevel="0" collapsed="false">
      <c r="A9" s="5"/>
      <c r="B9" s="6" t="s">
        <v>258</v>
      </c>
      <c r="C9" s="50" t="n">
        <f aca="false">IFERROR(SUM(C6:G6)/Base_Capital,0)</f>
        <v>0.361024956474406</v>
      </c>
      <c r="D9" s="5"/>
      <c r="E9" s="5"/>
      <c r="F9" s="5"/>
      <c r="G9" s="5"/>
    </row>
    <row r="10" customFormat="false" ht="15" hidden="false" customHeight="false" outlineLevel="0" collapsed="false">
      <c r="A10" s="5"/>
      <c r="B10" s="6" t="s">
        <v>259</v>
      </c>
      <c r="C10" s="22" t="n">
        <f aca="false">SUM(C6:F6)+MAX(0,Income_Statement!G26)*Distribution_Rate</f>
        <v>0</v>
      </c>
      <c r="D10" s="5"/>
      <c r="E10" s="5"/>
      <c r="F10" s="5"/>
      <c r="G10" s="5"/>
    </row>
    <row r="11" customFormat="false" ht="15" hidden="false" customHeight="false" outlineLevel="0" collapsed="false">
      <c r="A11" s="5"/>
      <c r="B11" s="6" t="s">
        <v>260</v>
      </c>
      <c r="C11" s="22" t="n">
        <f aca="false">BS_Closing_Eq_Y5</f>
        <v>1805124.78237203</v>
      </c>
      <c r="D11" s="5"/>
      <c r="E11" s="5"/>
      <c r="F11" s="5"/>
      <c r="G11" s="5"/>
    </row>
    <row r="12" customFormat="false" ht="15" hidden="false" customHeight="false" outlineLevel="0" collapsed="false">
      <c r="A12" s="5"/>
      <c r="B12" s="6" t="s">
        <v>261</v>
      </c>
      <c r="C12" s="22" t="n">
        <f aca="false">C10+C11</f>
        <v>1805124.78237203</v>
      </c>
      <c r="D12" s="5"/>
      <c r="E12" s="5"/>
      <c r="F12" s="5"/>
      <c r="G12" s="5"/>
    </row>
    <row r="13" customFormat="false" ht="15" hidden="false" customHeight="false" outlineLevel="0" collapsed="false">
      <c r="A13" s="5"/>
      <c r="B13" s="6" t="s">
        <v>262</v>
      </c>
      <c r="C13" s="22" t="n">
        <f aca="false">C12-Base_Capital</f>
        <v>-3194875.21762797</v>
      </c>
      <c r="D13" s="5"/>
      <c r="E13" s="5"/>
      <c r="F13" s="5"/>
      <c r="G13"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E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4" min="3" style="0" width="10"/>
    <col collapsed="false" customWidth="true" hidden="false" outlineLevel="0" max="5" min="5" style="0" width="52"/>
    <col collapsed="false" customWidth="true" hidden="false" outlineLevel="0" max="7" min="6" style="0" width="10"/>
  </cols>
  <sheetData>
    <row r="1" customFormat="false" ht="15" hidden="false" customHeight="false" outlineLevel="0" collapsed="false">
      <c r="A1" s="5"/>
      <c r="B1" s="5"/>
      <c r="C1" s="5"/>
      <c r="D1" s="5"/>
      <c r="E1" s="5"/>
    </row>
    <row r="2" customFormat="false" ht="22.05" hidden="false" customHeight="false" outlineLevel="0" collapsed="false">
      <c r="A2" s="5"/>
      <c r="B2" s="33" t="s">
        <v>263</v>
      </c>
      <c r="C2" s="5"/>
      <c r="D2" s="5"/>
      <c r="E2" s="5"/>
    </row>
    <row r="3" customFormat="false" ht="15" hidden="false" customHeight="false" outlineLevel="0" collapsed="false">
      <c r="A3" s="5"/>
      <c r="B3" s="34" t="s">
        <v>264</v>
      </c>
      <c r="C3" s="5"/>
      <c r="D3" s="5"/>
      <c r="E3" s="5"/>
    </row>
    <row r="4" customFormat="false" ht="15" hidden="false" customHeight="false" outlineLevel="0" collapsed="false">
      <c r="A4" s="5"/>
      <c r="B4" s="51" t="s">
        <v>265</v>
      </c>
      <c r="C4" s="51" t="s">
        <v>266</v>
      </c>
      <c r="D4" s="51" t="s">
        <v>267</v>
      </c>
      <c r="E4" s="51" t="s">
        <v>23</v>
      </c>
    </row>
    <row r="5" customFormat="false" ht="15" hidden="false" customHeight="false" outlineLevel="0" collapsed="false">
      <c r="A5" s="5"/>
      <c r="B5" s="6" t="s">
        <v>268</v>
      </c>
      <c r="C5" s="52" t="b">
        <f aca="false">AND(ABS(Balance_Sheet!C9-Balance_Sheet!C18)&lt;1,ABS(Balance_Sheet!D9-Balance_Sheet!D18)&lt;1,ABS(Balance_Sheet!E9-Balance_Sheet!E18)&lt;1,ABS(Balance_Sheet!F9-Balance_Sheet!F18)&lt;1,ABS(Balance_Sheet!G9-Balance_Sheet!G18)&lt;1)</f>
        <v>1</v>
      </c>
      <c r="D5" s="53" t="str">
        <f aca="false">IF(C5,"PASS","FAIL")</f>
        <v>PASS</v>
      </c>
      <c r="E5" s="20" t="s">
        <v>269</v>
      </c>
    </row>
    <row r="6" customFormat="false" ht="15" hidden="false" customHeight="false" outlineLevel="0" collapsed="false">
      <c r="A6" s="5"/>
      <c r="B6" s="6" t="s">
        <v>270</v>
      </c>
      <c r="C6" s="52" t="b">
        <f aca="false">MIN(Balance_Sheet!C17,Balance_Sheet!D17,Balance_Sheet!E17,Balance_Sheet!F17,Balance_Sheet!G17)&gt;=0</f>
        <v>1</v>
      </c>
      <c r="D6" s="53" t="str">
        <f aca="false">IF(C6,"PASS","FAIL")</f>
        <v>PASS</v>
      </c>
      <c r="E6" s="20" t="s">
        <v>271</v>
      </c>
    </row>
    <row r="7" customFormat="false" ht="15" hidden="false" customHeight="false" outlineLevel="0" collapsed="false">
      <c r="A7" s="5"/>
      <c r="B7" s="6" t="s">
        <v>272</v>
      </c>
      <c r="C7" s="52" t="b">
        <f aca="false">MIN(Cash_Flow!C18,Cash_Flow!D18,Cash_Flow!E18,Cash_Flow!F18,Cash_Flow!G18)&gt;=Min_Cash_Buffer</f>
        <v>1</v>
      </c>
      <c r="D7" s="53" t="str">
        <f aca="false">IF(C7,"PASS","FAIL")</f>
        <v>PASS</v>
      </c>
      <c r="E7" s="20" t="s">
        <v>273</v>
      </c>
    </row>
    <row r="8" customFormat="false" ht="15" hidden="false" customHeight="false" outlineLevel="0" collapsed="false">
      <c r="A8" s="5"/>
      <c r="B8" s="6" t="s">
        <v>274</v>
      </c>
      <c r="C8" s="52" t="b">
        <f aca="false">AND(Returns!B6&lt;0,MAX(Returns!C6,Returns!D6,Returns!E6,Returns!F6,Returns!G6)&gt;0)</f>
        <v>1</v>
      </c>
      <c r="D8" s="53" t="str">
        <f aca="false">IF(C8,"PASS","FAIL")</f>
        <v>PASS</v>
      </c>
      <c r="E8" s="20" t="s">
        <v>275</v>
      </c>
    </row>
    <row r="9" customFormat="false" ht="15" hidden="false" customHeight="false" outlineLevel="0" collapsed="false">
      <c r="A9" s="5"/>
      <c r="B9" s="6" t="s">
        <v>276</v>
      </c>
      <c r="C9" s="52" t="b">
        <f aca="false">ABS(Weight_EURUSD+Weight_USDJPY+Weight_GBPUSD+Weight_AUDUSD+Weight_USDMXN+Weight_USDBRL-1)&lt;0.0001</f>
        <v>1</v>
      </c>
      <c r="D9" s="53" t="str">
        <f aca="false">IF(C9,"PASS","FAIL")</f>
        <v>PASS</v>
      </c>
      <c r="E9" s="20" t="s">
        <v>277</v>
      </c>
    </row>
    <row r="10" customFormat="false" ht="15" hidden="false" customHeight="false" outlineLevel="0" collapsed="false">
      <c r="A10" s="5"/>
      <c r="B10" s="6" t="s">
        <v>278</v>
      </c>
      <c r="C10" s="52" t="b">
        <f aca="false">AND(Fee_Income!D13&gt;=Fee_Income!C13,Fee_Income!E13&gt;=Fee_Income!D13,Fee_Income!F13&gt;=Fee_Income!E13,Fee_Income!G13&gt;=Fee_Income!F13)</f>
        <v>1</v>
      </c>
      <c r="D10" s="53" t="str">
        <f aca="false">IF(C10,"PASS","FAIL")</f>
        <v>PASS</v>
      </c>
      <c r="E10" s="20" t="s">
        <v>279</v>
      </c>
    </row>
    <row r="11" customFormat="false" ht="15" hidden="false" customHeight="false" outlineLevel="0" collapsed="false">
      <c r="A11" s="5"/>
      <c r="B11" s="6" t="s">
        <v>280</v>
      </c>
      <c r="C11" s="52" t="b">
        <f aca="false">AND(IF(Fee_Income!C11&lt;=Fee_Income!C12,Fee_Income!C15=0,TRUE()),IF(Fee_Income!D11&lt;=Fee_Income!D12,Fee_Income!D15=0,TRUE()),IF(Fee_Income!E11&lt;=Fee_Income!E12,Fee_Income!E15=0,TRUE()),IF(Fee_Income!F11&lt;=Fee_Income!F12,Fee_Income!F15=0,TRUE()),IF(Fee_Income!G11&lt;=Fee_Income!G12,Fee_Income!G15=0,TRUE()))</f>
        <v>1</v>
      </c>
      <c r="D11" s="53" t="str">
        <f aca="false">IF(C11,"PASS","FAIL")</f>
        <v>PASS</v>
      </c>
      <c r="E11" s="20" t="s">
        <v>281</v>
      </c>
    </row>
    <row r="12" customFormat="false" ht="15" hidden="false" customHeight="false" outlineLevel="0" collapsed="false">
      <c r="A12" s="5"/>
      <c r="B12" s="6" t="s">
        <v>282</v>
      </c>
      <c r="C12" s="52" t="b">
        <f aca="false">Leverage_Multiple*Margin_Rate&lt;=1</f>
        <v>1</v>
      </c>
      <c r="D12" s="53" t="str">
        <f aca="false">IF(C12,"PASS","FAIL")</f>
        <v>PASS</v>
      </c>
      <c r="E12" s="20" t="s">
        <v>283</v>
      </c>
    </row>
    <row r="13" customFormat="false" ht="15" hidden="false" customHeight="false" outlineLevel="0" collapsed="false">
      <c r="A13" s="5"/>
      <c r="B13" s="6" t="s">
        <v>284</v>
      </c>
      <c r="C13" s="52" t="b">
        <f aca="false">MIN(Capex_Depreciation!C11,Capex_Depreciation!D11,Capex_Depreciation!E11,Capex_Depreciation!F11,Capex_Depreciation!G11)&gt;=0</f>
        <v>1</v>
      </c>
      <c r="D13" s="53" t="str">
        <f aca="false">IF(C13,"PASS","FAIL")</f>
        <v>PASS</v>
      </c>
      <c r="E13" s="20" t="s">
        <v>285</v>
      </c>
    </row>
    <row r="14" customFormat="false" ht="15" hidden="false" customHeight="false" outlineLevel="0" collapsed="false">
      <c r="A14" s="5"/>
      <c r="B14" s="6" t="s">
        <v>286</v>
      </c>
      <c r="C14" s="52" t="b">
        <f aca="false">AND(Balance_Sheet!C15&lt;=MAX(0,Income_Statement!C26),Balance_Sheet!D15&lt;=MAX(0,Income_Statement!D26),Balance_Sheet!E15&lt;=MAX(0,Income_Statement!E26),Balance_Sheet!F15&lt;=MAX(0,Income_Statement!F26),Balance_Sheet!G15&lt;=MAX(0,Income_Statement!G26))</f>
        <v>1</v>
      </c>
      <c r="D14" s="53" t="str">
        <f aca="false">IF(C14,"PASS","FAIL")</f>
        <v>PASS</v>
      </c>
      <c r="E14" s="20" t="s">
        <v>287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8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7" min="3" style="0" width="18"/>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19</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20</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16" t="s">
        <v>21</v>
      </c>
      <c r="C4" s="16" t="s">
        <v>22</v>
      </c>
      <c r="D4" s="16" t="s">
        <v>23</v>
      </c>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17" t="s">
        <v>24</v>
      </c>
      <c r="C6" s="18"/>
      <c r="D6" s="18"/>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6" t="s">
        <v>25</v>
      </c>
      <c r="C7" s="19" t="n">
        <v>5000000</v>
      </c>
      <c r="D7" s="20" t="s">
        <v>26</v>
      </c>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6" t="s">
        <v>27</v>
      </c>
      <c r="C8" s="21" t="n">
        <v>3</v>
      </c>
      <c r="D8" s="20" t="s">
        <v>28</v>
      </c>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6" t="s">
        <v>29</v>
      </c>
      <c r="C9" s="22" t="n">
        <f aca="false">Base_Capital*Leverage_Multiple</f>
        <v>15000000</v>
      </c>
      <c r="D9" s="20" t="s">
        <v>30</v>
      </c>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6" t="s">
        <v>31</v>
      </c>
      <c r="C10" s="23" t="n">
        <v>0.05</v>
      </c>
      <c r="D10" s="20" t="s">
        <v>32</v>
      </c>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6" t="s">
        <v>33</v>
      </c>
      <c r="C11" s="19" t="n">
        <v>0</v>
      </c>
      <c r="D11" s="19" t="n">
        <v>0</v>
      </c>
      <c r="E11" s="19" t="n">
        <v>0</v>
      </c>
      <c r="F11" s="19" t="n">
        <v>0</v>
      </c>
      <c r="G11" s="19" t="n">
        <v>0</v>
      </c>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6" t="s">
        <v>34</v>
      </c>
      <c r="C12" s="23" t="n">
        <v>0.8</v>
      </c>
      <c r="D12" s="20" t="s">
        <v>35</v>
      </c>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17" t="s">
        <v>36</v>
      </c>
      <c r="C13" s="18"/>
      <c r="D13" s="18"/>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6" t="s">
        <v>37</v>
      </c>
      <c r="C14" s="23" t="n">
        <v>0.2</v>
      </c>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6" t="s">
        <v>38</v>
      </c>
      <c r="C15" s="23" t="n">
        <v>0.2</v>
      </c>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6" t="s">
        <v>39</v>
      </c>
      <c r="C16" s="23" t="n">
        <v>0.15</v>
      </c>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6" t="s">
        <v>40</v>
      </c>
      <c r="C17" s="23" t="n">
        <v>0.15</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6" t="s">
        <v>41</v>
      </c>
      <c r="C18" s="23" t="n">
        <v>0.15</v>
      </c>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6" t="s">
        <v>42</v>
      </c>
      <c r="C19" s="23" t="n">
        <v>0.15</v>
      </c>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17" t="s">
        <v>43</v>
      </c>
      <c r="C20" s="18"/>
      <c r="D20" s="18"/>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6" t="s">
        <v>44</v>
      </c>
      <c r="C21" s="23" t="n">
        <v>-0.018</v>
      </c>
      <c r="D21" s="20" t="s">
        <v>45</v>
      </c>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6" t="s">
        <v>46</v>
      </c>
      <c r="C22" s="23" t="n">
        <v>0.052</v>
      </c>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6" t="s">
        <v>47</v>
      </c>
      <c r="C23" s="23" t="n">
        <v>-0.001</v>
      </c>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6" t="s">
        <v>48</v>
      </c>
      <c r="C24" s="23" t="n">
        <v>-0.0095</v>
      </c>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6" t="s">
        <v>49</v>
      </c>
      <c r="C25" s="23" t="n">
        <v>0.057</v>
      </c>
      <c r="D25" s="20" t="s">
        <v>50</v>
      </c>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6" t="s">
        <v>51</v>
      </c>
      <c r="C26" s="23" t="n">
        <v>0.0545</v>
      </c>
      <c r="D26" s="20" t="s">
        <v>52</v>
      </c>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6" t="s">
        <v>53</v>
      </c>
      <c r="C27" s="23" t="n">
        <v>0</v>
      </c>
      <c r="D27" s="20" t="s">
        <v>54</v>
      </c>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17" t="s">
        <v>55</v>
      </c>
      <c r="C28" s="18"/>
      <c r="D28" s="18"/>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6" t="s">
        <v>56</v>
      </c>
      <c r="C29" s="23" t="n">
        <v>0.009</v>
      </c>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6" t="s">
        <v>57</v>
      </c>
      <c r="C30" s="23" t="n">
        <v>0.026</v>
      </c>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6" t="s">
        <v>58</v>
      </c>
      <c r="C31" s="23" t="n">
        <v>0.001</v>
      </c>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6" t="s">
        <v>59</v>
      </c>
      <c r="C32" s="23" t="n">
        <v>0.005</v>
      </c>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6" t="s">
        <v>60</v>
      </c>
      <c r="C33" s="23" t="n">
        <v>0.028</v>
      </c>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6" t="s">
        <v>61</v>
      </c>
      <c r="C34" s="23" t="n">
        <v>0.027</v>
      </c>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17" t="s">
        <v>62</v>
      </c>
      <c r="C35" s="18"/>
      <c r="D35" s="18"/>
      <c r="E35" s="5"/>
      <c r="F35" s="5"/>
      <c r="G35" s="5"/>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6" t="s">
        <v>63</v>
      </c>
      <c r="C36" s="23" t="n">
        <v>0.02</v>
      </c>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customFormat="false" ht="15" hidden="false" customHeight="false" outlineLevel="0" collapsed="false">
      <c r="A37" s="5"/>
      <c r="B37" s="6" t="s">
        <v>64</v>
      </c>
      <c r="C37" s="23" t="n">
        <v>0.015</v>
      </c>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customFormat="false" ht="15" hidden="false" customHeight="false" outlineLevel="0" collapsed="false">
      <c r="A38" s="5"/>
      <c r="B38" s="6" t="s">
        <v>65</v>
      </c>
      <c r="C38" s="23" t="n">
        <v>0.01</v>
      </c>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customFormat="false" ht="15" hidden="false" customHeight="false" outlineLevel="0" collapsed="false">
      <c r="A39" s="5"/>
      <c r="B39" s="6" t="s">
        <v>66</v>
      </c>
      <c r="C39" s="23" t="n">
        <v>0.008</v>
      </c>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customFormat="false" ht="15" hidden="false" customHeight="false" outlineLevel="0" collapsed="false">
      <c r="A40" s="5"/>
      <c r="B40" s="6" t="s">
        <v>67</v>
      </c>
      <c r="C40" s="23" t="n">
        <v>0.008</v>
      </c>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customFormat="false" ht="15" hidden="false" customHeight="false" outlineLevel="0" collapsed="false">
      <c r="A41" s="5"/>
      <c r="B41" s="6" t="s">
        <v>68</v>
      </c>
      <c r="C41" s="23" t="n">
        <v>0.03</v>
      </c>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customFormat="false" ht="15" hidden="false" customHeight="false" outlineLevel="0" collapsed="false">
      <c r="A42" s="5"/>
      <c r="B42" s="6" t="s">
        <v>69</v>
      </c>
      <c r="C42" s="23" t="n">
        <v>0.025</v>
      </c>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customFormat="false" ht="15" hidden="false" customHeight="false" outlineLevel="0" collapsed="false">
      <c r="A43" s="5"/>
      <c r="B43" s="6" t="s">
        <v>70</v>
      </c>
      <c r="C43" s="23" t="n">
        <v>0.02</v>
      </c>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customFormat="false" ht="15" hidden="false" customHeight="false" outlineLevel="0" collapsed="false">
      <c r="A44" s="5"/>
      <c r="B44" s="6" t="s">
        <v>71</v>
      </c>
      <c r="C44" s="23" t="n">
        <v>0.015</v>
      </c>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customFormat="false" ht="15" hidden="false" customHeight="false" outlineLevel="0" collapsed="false">
      <c r="A45" s="5"/>
      <c r="B45" s="6" t="s">
        <v>72</v>
      </c>
      <c r="C45" s="23" t="n">
        <v>0.015</v>
      </c>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customFormat="false" ht="15" hidden="false" customHeight="false" outlineLevel="0" collapsed="false">
      <c r="A46" s="5"/>
      <c r="B46" s="6" t="s">
        <v>73</v>
      </c>
      <c r="C46" s="23" t="n">
        <v>0.015</v>
      </c>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customFormat="false" ht="15" hidden="false" customHeight="false" outlineLevel="0" collapsed="false">
      <c r="A47" s="5"/>
      <c r="B47" s="6" t="s">
        <v>74</v>
      </c>
      <c r="C47" s="23" t="n">
        <v>0.012</v>
      </c>
      <c r="D47" s="5"/>
      <c r="E47" s="5"/>
      <c r="F47" s="5"/>
      <c r="G47" s="5"/>
      <c r="H47" s="5"/>
      <c r="I47" s="5"/>
      <c r="J47" s="5"/>
      <c r="K47" s="5"/>
      <c r="L47" s="5"/>
      <c r="M47" s="5"/>
      <c r="N47" s="5"/>
      <c r="O47" s="5"/>
      <c r="P47" s="5"/>
      <c r="Q47" s="5"/>
      <c r="R47" s="5"/>
      <c r="S47" s="5"/>
      <c r="T47" s="5"/>
      <c r="U47" s="5"/>
      <c r="V47" s="5"/>
      <c r="W47" s="5"/>
      <c r="X47" s="5"/>
      <c r="Y47" s="5"/>
      <c r="Z47" s="5"/>
      <c r="AA47" s="5"/>
      <c r="AB47" s="5"/>
      <c r="AC47" s="5"/>
      <c r="AD47" s="5"/>
    </row>
    <row r="48" customFormat="false" ht="15" hidden="false" customHeight="false" outlineLevel="0" collapsed="false">
      <c r="A48" s="5"/>
      <c r="B48" s="6" t="s">
        <v>75</v>
      </c>
      <c r="C48" s="23" t="n">
        <v>0.01</v>
      </c>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customFormat="false" ht="15" hidden="false" customHeight="false" outlineLevel="0" collapsed="false">
      <c r="A49" s="5"/>
      <c r="B49" s="6" t="s">
        <v>76</v>
      </c>
      <c r="C49" s="23" t="n">
        <v>0.008</v>
      </c>
      <c r="D49" s="5"/>
      <c r="E49" s="5"/>
      <c r="F49" s="5"/>
      <c r="G49" s="5"/>
      <c r="H49" s="5"/>
      <c r="I49" s="5"/>
      <c r="J49" s="5"/>
      <c r="K49" s="5"/>
      <c r="L49" s="5"/>
      <c r="M49" s="5"/>
      <c r="N49" s="5"/>
      <c r="O49" s="5"/>
      <c r="P49" s="5"/>
      <c r="Q49" s="5"/>
      <c r="R49" s="5"/>
      <c r="S49" s="5"/>
      <c r="T49" s="5"/>
      <c r="U49" s="5"/>
      <c r="V49" s="5"/>
      <c r="W49" s="5"/>
      <c r="X49" s="5"/>
      <c r="Y49" s="5"/>
      <c r="Z49" s="5"/>
      <c r="AA49" s="5"/>
      <c r="AB49" s="5"/>
      <c r="AC49" s="5"/>
      <c r="AD49" s="5"/>
    </row>
    <row r="50" customFormat="false" ht="15" hidden="false" customHeight="false" outlineLevel="0" collapsed="false">
      <c r="A50" s="5"/>
      <c r="B50" s="6" t="s">
        <v>77</v>
      </c>
      <c r="C50" s="23" t="n">
        <v>0.008</v>
      </c>
      <c r="D50" s="5"/>
      <c r="E50" s="5"/>
      <c r="F50" s="5"/>
      <c r="G50" s="5"/>
      <c r="H50" s="5"/>
      <c r="I50" s="5"/>
      <c r="J50" s="5"/>
      <c r="K50" s="5"/>
      <c r="L50" s="5"/>
      <c r="M50" s="5"/>
      <c r="N50" s="5"/>
      <c r="O50" s="5"/>
      <c r="P50" s="5"/>
      <c r="Q50" s="5"/>
      <c r="R50" s="5"/>
      <c r="S50" s="5"/>
      <c r="T50" s="5"/>
      <c r="U50" s="5"/>
      <c r="V50" s="5"/>
      <c r="W50" s="5"/>
      <c r="X50" s="5"/>
      <c r="Y50" s="5"/>
      <c r="Z50" s="5"/>
      <c r="AA50" s="5"/>
      <c r="AB50" s="5"/>
      <c r="AC50" s="5"/>
      <c r="AD50" s="5"/>
    </row>
    <row r="51" customFormat="false" ht="15" hidden="false" customHeight="false" outlineLevel="0" collapsed="false">
      <c r="A51" s="5"/>
      <c r="B51" s="6" t="s">
        <v>78</v>
      </c>
      <c r="C51" s="23" t="n">
        <v>0.01</v>
      </c>
      <c r="D51" s="5"/>
      <c r="E51" s="5"/>
      <c r="F51" s="5"/>
      <c r="G51" s="5"/>
      <c r="H51" s="5"/>
      <c r="I51" s="5"/>
      <c r="J51" s="5"/>
      <c r="K51" s="5"/>
      <c r="L51" s="5"/>
      <c r="M51" s="5"/>
      <c r="N51" s="5"/>
      <c r="O51" s="5"/>
      <c r="P51" s="5"/>
      <c r="Q51" s="5"/>
      <c r="R51" s="5"/>
      <c r="S51" s="5"/>
      <c r="T51" s="5"/>
      <c r="U51" s="5"/>
      <c r="V51" s="5"/>
      <c r="W51" s="5"/>
      <c r="X51" s="5"/>
      <c r="Y51" s="5"/>
      <c r="Z51" s="5"/>
      <c r="AA51" s="5"/>
      <c r="AB51" s="5"/>
      <c r="AC51" s="5"/>
      <c r="AD51" s="5"/>
    </row>
    <row r="52" customFormat="false" ht="15" hidden="false" customHeight="false" outlineLevel="0" collapsed="false">
      <c r="A52" s="5"/>
      <c r="B52" s="6" t="s">
        <v>79</v>
      </c>
      <c r="C52" s="23" t="n">
        <v>0.008</v>
      </c>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customFormat="false" ht="15" hidden="false" customHeight="false" outlineLevel="0" collapsed="false">
      <c r="A53" s="5"/>
      <c r="B53" s="6" t="s">
        <v>80</v>
      </c>
      <c r="C53" s="23" t="n">
        <v>0.008</v>
      </c>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customFormat="false" ht="15" hidden="false" customHeight="false" outlineLevel="0" collapsed="false">
      <c r="A54" s="5"/>
      <c r="B54" s="6" t="s">
        <v>81</v>
      </c>
      <c r="C54" s="23" t="n">
        <v>0.008</v>
      </c>
      <c r="D54" s="5"/>
      <c r="E54" s="5"/>
      <c r="F54" s="5"/>
      <c r="G54" s="5"/>
      <c r="H54" s="5"/>
      <c r="I54" s="5"/>
      <c r="J54" s="5"/>
      <c r="K54" s="5"/>
      <c r="L54" s="5"/>
      <c r="M54" s="5"/>
      <c r="N54" s="5"/>
      <c r="O54" s="5"/>
      <c r="P54" s="5"/>
      <c r="Q54" s="5"/>
      <c r="R54" s="5"/>
      <c r="S54" s="5"/>
      <c r="T54" s="5"/>
      <c r="U54" s="5"/>
      <c r="V54" s="5"/>
      <c r="W54" s="5"/>
      <c r="X54" s="5"/>
      <c r="Y54" s="5"/>
      <c r="Z54" s="5"/>
      <c r="AA54" s="5"/>
      <c r="AB54" s="5"/>
      <c r="AC54" s="5"/>
      <c r="AD54" s="5"/>
    </row>
    <row r="55" customFormat="false" ht="15" hidden="false" customHeight="false" outlineLevel="0" collapsed="false">
      <c r="A55" s="5"/>
      <c r="B55" s="6" t="s">
        <v>82</v>
      </c>
      <c r="C55" s="23" t="n">
        <v>0.008</v>
      </c>
      <c r="D55" s="5"/>
      <c r="E55" s="5"/>
      <c r="F55" s="5"/>
      <c r="G55" s="5"/>
      <c r="H55" s="5"/>
      <c r="I55" s="5"/>
      <c r="J55" s="5"/>
      <c r="K55" s="5"/>
      <c r="L55" s="5"/>
      <c r="M55" s="5"/>
      <c r="N55" s="5"/>
      <c r="O55" s="5"/>
      <c r="P55" s="5"/>
      <c r="Q55" s="5"/>
      <c r="R55" s="5"/>
      <c r="S55" s="5"/>
      <c r="T55" s="5"/>
      <c r="U55" s="5"/>
      <c r="V55" s="5"/>
      <c r="W55" s="5"/>
      <c r="X55" s="5"/>
      <c r="Y55" s="5"/>
      <c r="Z55" s="5"/>
      <c r="AA55" s="5"/>
      <c r="AB55" s="5"/>
      <c r="AC55" s="5"/>
      <c r="AD55" s="5"/>
    </row>
    <row r="56" customFormat="false" ht="15" hidden="false" customHeight="false" outlineLevel="0" collapsed="false">
      <c r="A56" s="5"/>
      <c r="B56" s="6" t="s">
        <v>83</v>
      </c>
      <c r="C56" s="23" t="n">
        <v>0.04</v>
      </c>
      <c r="D56" s="5"/>
      <c r="E56" s="5"/>
      <c r="F56" s="5"/>
      <c r="G56" s="5"/>
      <c r="H56" s="5"/>
      <c r="I56" s="5"/>
      <c r="J56" s="5"/>
      <c r="K56" s="5"/>
      <c r="L56" s="5"/>
      <c r="M56" s="5"/>
      <c r="N56" s="5"/>
      <c r="O56" s="5"/>
      <c r="P56" s="5"/>
      <c r="Q56" s="5"/>
      <c r="R56" s="5"/>
      <c r="S56" s="5"/>
      <c r="T56" s="5"/>
      <c r="U56" s="5"/>
      <c r="V56" s="5"/>
      <c r="W56" s="5"/>
      <c r="X56" s="5"/>
      <c r="Y56" s="5"/>
      <c r="Z56" s="5"/>
      <c r="AA56" s="5"/>
      <c r="AB56" s="5"/>
      <c r="AC56" s="5"/>
      <c r="AD56" s="5"/>
    </row>
    <row r="57" customFormat="false" ht="15" hidden="false" customHeight="false" outlineLevel="0" collapsed="false">
      <c r="A57" s="5"/>
      <c r="B57" s="6" t="s">
        <v>84</v>
      </c>
      <c r="C57" s="23" t="n">
        <v>0.035</v>
      </c>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customFormat="false" ht="15" hidden="false" customHeight="false" outlineLevel="0" collapsed="false">
      <c r="A58" s="5"/>
      <c r="B58" s="6" t="s">
        <v>85</v>
      </c>
      <c r="C58" s="23" t="n">
        <v>0.03</v>
      </c>
      <c r="D58" s="5"/>
      <c r="E58" s="5"/>
      <c r="F58" s="5"/>
      <c r="G58" s="5"/>
      <c r="H58" s="5"/>
      <c r="I58" s="5"/>
      <c r="J58" s="5"/>
      <c r="K58" s="5"/>
      <c r="L58" s="5"/>
      <c r="M58" s="5"/>
      <c r="N58" s="5"/>
      <c r="O58" s="5"/>
      <c r="P58" s="5"/>
      <c r="Q58" s="5"/>
      <c r="R58" s="5"/>
      <c r="S58" s="5"/>
      <c r="T58" s="5"/>
      <c r="U58" s="5"/>
      <c r="V58" s="5"/>
      <c r="W58" s="5"/>
      <c r="X58" s="5"/>
      <c r="Y58" s="5"/>
      <c r="Z58" s="5"/>
      <c r="AA58" s="5"/>
      <c r="AB58" s="5"/>
      <c r="AC58" s="5"/>
      <c r="AD58" s="5"/>
    </row>
    <row r="59" customFormat="false" ht="15" hidden="false" customHeight="false" outlineLevel="0" collapsed="false">
      <c r="A59" s="5"/>
      <c r="B59" s="6" t="s">
        <v>86</v>
      </c>
      <c r="C59" s="23" t="n">
        <v>0.025</v>
      </c>
      <c r="D59" s="5"/>
      <c r="E59" s="5"/>
      <c r="F59" s="5"/>
      <c r="G59" s="5"/>
      <c r="H59" s="5"/>
      <c r="I59" s="5"/>
      <c r="J59" s="5"/>
      <c r="K59" s="5"/>
      <c r="L59" s="5"/>
      <c r="M59" s="5"/>
      <c r="N59" s="5"/>
      <c r="O59" s="5"/>
      <c r="P59" s="5"/>
      <c r="Q59" s="5"/>
      <c r="R59" s="5"/>
      <c r="S59" s="5"/>
      <c r="T59" s="5"/>
      <c r="U59" s="5"/>
      <c r="V59" s="5"/>
      <c r="W59" s="5"/>
      <c r="X59" s="5"/>
      <c r="Y59" s="5"/>
      <c r="Z59" s="5"/>
      <c r="AA59" s="5"/>
      <c r="AB59" s="5"/>
      <c r="AC59" s="5"/>
      <c r="AD59" s="5"/>
    </row>
    <row r="60" customFormat="false" ht="15" hidden="false" customHeight="false" outlineLevel="0" collapsed="false">
      <c r="A60" s="5"/>
      <c r="B60" s="6" t="s">
        <v>87</v>
      </c>
      <c r="C60" s="23" t="n">
        <v>0.02</v>
      </c>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customFormat="false" ht="15" hidden="false" customHeight="false" outlineLevel="0" collapsed="false">
      <c r="A61" s="5"/>
      <c r="B61" s="6" t="s">
        <v>88</v>
      </c>
      <c r="C61" s="23" t="n">
        <v>0.05</v>
      </c>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customFormat="false" ht="15" hidden="false" customHeight="false" outlineLevel="0" collapsed="false">
      <c r="A62" s="5"/>
      <c r="B62" s="6" t="s">
        <v>89</v>
      </c>
      <c r="C62" s="23" t="n">
        <v>0.04</v>
      </c>
      <c r="D62" s="5"/>
      <c r="E62" s="5"/>
      <c r="F62" s="5"/>
      <c r="G62" s="5"/>
      <c r="H62" s="5"/>
      <c r="I62" s="5"/>
      <c r="J62" s="5"/>
      <c r="K62" s="5"/>
      <c r="L62" s="5"/>
      <c r="M62" s="5"/>
      <c r="N62" s="5"/>
      <c r="O62" s="5"/>
      <c r="P62" s="5"/>
      <c r="Q62" s="5"/>
      <c r="R62" s="5"/>
      <c r="S62" s="5"/>
      <c r="T62" s="5"/>
      <c r="U62" s="5"/>
      <c r="V62" s="5"/>
      <c r="W62" s="5"/>
      <c r="X62" s="5"/>
      <c r="Y62" s="5"/>
      <c r="Z62" s="5"/>
      <c r="AA62" s="5"/>
      <c r="AB62" s="5"/>
      <c r="AC62" s="5"/>
      <c r="AD62" s="5"/>
    </row>
    <row r="63" customFormat="false" ht="15" hidden="false" customHeight="false" outlineLevel="0" collapsed="false">
      <c r="A63" s="5"/>
      <c r="B63" s="6" t="s">
        <v>90</v>
      </c>
      <c r="C63" s="23" t="n">
        <v>0.035</v>
      </c>
      <c r="D63" s="5"/>
      <c r="E63" s="5"/>
      <c r="F63" s="5"/>
      <c r="G63" s="5"/>
      <c r="H63" s="5"/>
      <c r="I63" s="5"/>
      <c r="J63" s="5"/>
      <c r="K63" s="5"/>
      <c r="L63" s="5"/>
      <c r="M63" s="5"/>
      <c r="N63" s="5"/>
      <c r="O63" s="5"/>
      <c r="P63" s="5"/>
      <c r="Q63" s="5"/>
      <c r="R63" s="5"/>
      <c r="S63" s="5"/>
      <c r="T63" s="5"/>
      <c r="U63" s="5"/>
      <c r="V63" s="5"/>
      <c r="W63" s="5"/>
      <c r="X63" s="5"/>
      <c r="Y63" s="5"/>
      <c r="Z63" s="5"/>
      <c r="AA63" s="5"/>
      <c r="AB63" s="5"/>
      <c r="AC63" s="5"/>
      <c r="AD63" s="5"/>
    </row>
    <row r="64" customFormat="false" ht="15" hidden="false" customHeight="false" outlineLevel="0" collapsed="false">
      <c r="A64" s="5"/>
      <c r="B64" s="6" t="s">
        <v>91</v>
      </c>
      <c r="C64" s="23" t="n">
        <v>0.03</v>
      </c>
      <c r="D64" s="5"/>
      <c r="E64" s="5"/>
      <c r="F64" s="5"/>
      <c r="G64" s="5"/>
      <c r="H64" s="5"/>
      <c r="I64" s="5"/>
      <c r="J64" s="5"/>
      <c r="K64" s="5"/>
      <c r="L64" s="5"/>
      <c r="M64" s="5"/>
      <c r="N64" s="5"/>
      <c r="O64" s="5"/>
      <c r="P64" s="5"/>
      <c r="Q64" s="5"/>
      <c r="R64" s="5"/>
      <c r="S64" s="5"/>
      <c r="T64" s="5"/>
      <c r="U64" s="5"/>
      <c r="V64" s="5"/>
      <c r="W64" s="5"/>
      <c r="X64" s="5"/>
      <c r="Y64" s="5"/>
      <c r="Z64" s="5"/>
      <c r="AA64" s="5"/>
      <c r="AB64" s="5"/>
      <c r="AC64" s="5"/>
      <c r="AD64" s="5"/>
    </row>
    <row r="65" customFormat="false" ht="15" hidden="false" customHeight="false" outlineLevel="0" collapsed="false">
      <c r="A65" s="5"/>
      <c r="B65" s="6" t="s">
        <v>92</v>
      </c>
      <c r="C65" s="23" t="n">
        <v>0.025</v>
      </c>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customFormat="false" ht="15" hidden="false" customHeight="false" outlineLevel="0" collapsed="false">
      <c r="A66" s="5"/>
      <c r="B66" s="17" t="s">
        <v>93</v>
      </c>
      <c r="C66" s="18"/>
      <c r="D66" s="18"/>
      <c r="E66" s="5"/>
      <c r="F66" s="5"/>
      <c r="G66" s="5"/>
      <c r="H66" s="5"/>
      <c r="I66" s="5"/>
      <c r="J66" s="5"/>
      <c r="K66" s="5"/>
      <c r="L66" s="5"/>
      <c r="M66" s="5"/>
      <c r="N66" s="5"/>
      <c r="O66" s="5"/>
      <c r="P66" s="5"/>
      <c r="Q66" s="5"/>
      <c r="R66" s="5"/>
      <c r="S66" s="5"/>
      <c r="T66" s="5"/>
      <c r="U66" s="5"/>
      <c r="V66" s="5"/>
      <c r="W66" s="5"/>
      <c r="X66" s="5"/>
      <c r="Y66" s="5"/>
      <c r="Z66" s="5"/>
      <c r="AA66" s="5"/>
      <c r="AB66" s="5"/>
      <c r="AC66" s="5"/>
      <c r="AD66" s="5"/>
    </row>
    <row r="67" customFormat="false" ht="15" hidden="false" customHeight="false" outlineLevel="0" collapsed="false">
      <c r="A67" s="5"/>
      <c r="B67" s="6" t="s">
        <v>94</v>
      </c>
      <c r="C67" s="23" t="n">
        <v>0.015</v>
      </c>
      <c r="D67" s="5"/>
      <c r="E67" s="5"/>
      <c r="F67" s="5"/>
      <c r="G67" s="5"/>
      <c r="H67" s="5"/>
      <c r="I67" s="5"/>
      <c r="J67" s="5"/>
      <c r="K67" s="5"/>
      <c r="L67" s="5"/>
      <c r="M67" s="5"/>
      <c r="N67" s="5"/>
      <c r="O67" s="5"/>
      <c r="P67" s="5"/>
      <c r="Q67" s="5"/>
      <c r="R67" s="5"/>
      <c r="S67" s="5"/>
      <c r="T67" s="5"/>
      <c r="U67" s="5"/>
      <c r="V67" s="5"/>
      <c r="W67" s="5"/>
      <c r="X67" s="5"/>
      <c r="Y67" s="5"/>
      <c r="Z67" s="5"/>
      <c r="AA67" s="5"/>
      <c r="AB67" s="5"/>
      <c r="AC67" s="5"/>
      <c r="AD67" s="5"/>
    </row>
    <row r="68" customFormat="false" ht="15" hidden="false" customHeight="false" outlineLevel="0" collapsed="false">
      <c r="A68" s="5"/>
      <c r="B68" s="6" t="s">
        <v>95</v>
      </c>
      <c r="C68" s="23" t="n">
        <v>0.15</v>
      </c>
      <c r="D68" s="5"/>
      <c r="E68" s="5"/>
      <c r="F68" s="5"/>
      <c r="G68" s="5"/>
      <c r="H68" s="5"/>
      <c r="I68" s="5"/>
      <c r="J68" s="5"/>
      <c r="K68" s="5"/>
      <c r="L68" s="5"/>
      <c r="M68" s="5"/>
      <c r="N68" s="5"/>
      <c r="O68" s="5"/>
      <c r="P68" s="5"/>
      <c r="Q68" s="5"/>
      <c r="R68" s="5"/>
      <c r="S68" s="5"/>
      <c r="T68" s="5"/>
      <c r="U68" s="5"/>
      <c r="V68" s="5"/>
      <c r="W68" s="5"/>
      <c r="X68" s="5"/>
      <c r="Y68" s="5"/>
      <c r="Z68" s="5"/>
      <c r="AA68" s="5"/>
      <c r="AB68" s="5"/>
      <c r="AC68" s="5"/>
      <c r="AD68" s="5"/>
    </row>
    <row r="69" customFormat="false" ht="15" hidden="false" customHeight="false" outlineLevel="0" collapsed="false">
      <c r="A69" s="5"/>
      <c r="B69" s="17" t="s">
        <v>96</v>
      </c>
      <c r="C69" s="18"/>
      <c r="D69" s="18"/>
      <c r="E69" s="5"/>
      <c r="F69" s="5"/>
      <c r="G69" s="5"/>
      <c r="H69" s="5"/>
      <c r="I69" s="5"/>
      <c r="J69" s="5"/>
      <c r="K69" s="5"/>
      <c r="L69" s="5"/>
      <c r="M69" s="5"/>
      <c r="N69" s="5"/>
      <c r="O69" s="5"/>
      <c r="P69" s="5"/>
      <c r="Q69" s="5"/>
      <c r="R69" s="5"/>
      <c r="S69" s="5"/>
      <c r="T69" s="5"/>
      <c r="U69" s="5"/>
      <c r="V69" s="5"/>
      <c r="W69" s="5"/>
      <c r="X69" s="5"/>
      <c r="Y69" s="5"/>
      <c r="Z69" s="5"/>
      <c r="AA69" s="5"/>
      <c r="AB69" s="5"/>
      <c r="AC69" s="5"/>
      <c r="AD69" s="5"/>
    </row>
    <row r="70" customFormat="false" ht="15" hidden="false" customHeight="false" outlineLevel="0" collapsed="false">
      <c r="A70" s="5"/>
      <c r="B70" s="6" t="s">
        <v>97</v>
      </c>
      <c r="C70" s="23" t="n">
        <v>0.068</v>
      </c>
      <c r="D70" s="20" t="s">
        <v>98</v>
      </c>
      <c r="E70" s="5"/>
      <c r="F70" s="5"/>
      <c r="G70" s="5"/>
      <c r="H70" s="5"/>
      <c r="I70" s="5"/>
      <c r="J70" s="5"/>
      <c r="K70" s="5"/>
      <c r="L70" s="5"/>
      <c r="M70" s="5"/>
      <c r="N70" s="5"/>
      <c r="O70" s="5"/>
      <c r="P70" s="5"/>
      <c r="Q70" s="5"/>
      <c r="R70" s="5"/>
      <c r="S70" s="5"/>
      <c r="T70" s="5"/>
      <c r="U70" s="5"/>
      <c r="V70" s="5"/>
      <c r="W70" s="5"/>
      <c r="X70" s="5"/>
      <c r="Y70" s="5"/>
      <c r="Z70" s="5"/>
      <c r="AA70" s="5"/>
      <c r="AB70" s="5"/>
      <c r="AC70" s="5"/>
      <c r="AD70" s="5"/>
    </row>
    <row r="71" customFormat="false" ht="15" hidden="false" customHeight="false" outlineLevel="0" collapsed="false">
      <c r="A71" s="5"/>
      <c r="B71" s="6" t="s">
        <v>99</v>
      </c>
      <c r="C71" s="19" t="n">
        <v>450000</v>
      </c>
      <c r="D71" s="20" t="s">
        <v>100</v>
      </c>
      <c r="E71" s="5"/>
      <c r="F71" s="5"/>
      <c r="G71" s="5"/>
      <c r="H71" s="5"/>
      <c r="I71" s="5"/>
      <c r="J71" s="5"/>
      <c r="K71" s="5"/>
      <c r="L71" s="5"/>
      <c r="M71" s="5"/>
      <c r="N71" s="5"/>
      <c r="O71" s="5"/>
      <c r="P71" s="5"/>
      <c r="Q71" s="5"/>
      <c r="R71" s="5"/>
      <c r="S71" s="5"/>
      <c r="T71" s="5"/>
      <c r="U71" s="5"/>
      <c r="V71" s="5"/>
      <c r="W71" s="5"/>
      <c r="X71" s="5"/>
      <c r="Y71" s="5"/>
      <c r="Z71" s="5"/>
      <c r="AA71" s="5"/>
      <c r="AB71" s="5"/>
      <c r="AC71" s="5"/>
      <c r="AD71" s="5"/>
    </row>
    <row r="72" customFormat="false" ht="15" hidden="false" customHeight="false" outlineLevel="0" collapsed="false">
      <c r="A72" s="5"/>
      <c r="B72" s="6" t="s">
        <v>101</v>
      </c>
      <c r="C72" s="19" t="n">
        <v>120000</v>
      </c>
      <c r="D72" s="5"/>
      <c r="E72" s="5"/>
      <c r="F72" s="5"/>
      <c r="G72" s="5"/>
      <c r="H72" s="5"/>
      <c r="I72" s="5"/>
      <c r="J72" s="5"/>
      <c r="K72" s="5"/>
      <c r="L72" s="5"/>
      <c r="M72" s="5"/>
      <c r="N72" s="5"/>
      <c r="O72" s="5"/>
      <c r="P72" s="5"/>
      <c r="Q72" s="5"/>
      <c r="R72" s="5"/>
      <c r="S72" s="5"/>
      <c r="T72" s="5"/>
      <c r="U72" s="5"/>
      <c r="V72" s="5"/>
      <c r="W72" s="5"/>
      <c r="X72" s="5"/>
      <c r="Y72" s="5"/>
      <c r="Z72" s="5"/>
      <c r="AA72" s="5"/>
      <c r="AB72" s="5"/>
      <c r="AC72" s="5"/>
      <c r="AD72" s="5"/>
    </row>
    <row r="73" customFormat="false" ht="15" hidden="false" customHeight="false" outlineLevel="0" collapsed="false">
      <c r="A73" s="5"/>
      <c r="B73" s="6" t="s">
        <v>102</v>
      </c>
      <c r="C73" s="19" t="n">
        <v>80000</v>
      </c>
      <c r="D73" s="5"/>
      <c r="E73" s="5"/>
      <c r="F73" s="5"/>
      <c r="G73" s="5"/>
      <c r="H73" s="5"/>
      <c r="I73" s="5"/>
      <c r="J73" s="5"/>
      <c r="K73" s="5"/>
      <c r="L73" s="5"/>
      <c r="M73" s="5"/>
      <c r="N73" s="5"/>
      <c r="O73" s="5"/>
      <c r="P73" s="5"/>
      <c r="Q73" s="5"/>
      <c r="R73" s="5"/>
      <c r="S73" s="5"/>
      <c r="T73" s="5"/>
      <c r="U73" s="5"/>
      <c r="V73" s="5"/>
      <c r="W73" s="5"/>
      <c r="X73" s="5"/>
      <c r="Y73" s="5"/>
      <c r="Z73" s="5"/>
      <c r="AA73" s="5"/>
      <c r="AB73" s="5"/>
      <c r="AC73" s="5"/>
      <c r="AD73" s="5"/>
    </row>
    <row r="74" customFormat="false" ht="15" hidden="false" customHeight="false" outlineLevel="0" collapsed="false">
      <c r="A74" s="5"/>
      <c r="B74" s="6" t="s">
        <v>103</v>
      </c>
      <c r="C74" s="19" t="n">
        <v>50000</v>
      </c>
      <c r="D74" s="5"/>
      <c r="E74" s="5"/>
      <c r="F74" s="5"/>
      <c r="G74" s="5"/>
      <c r="H74" s="5"/>
      <c r="I74" s="5"/>
      <c r="J74" s="5"/>
      <c r="K74" s="5"/>
      <c r="L74" s="5"/>
      <c r="M74" s="5"/>
      <c r="N74" s="5"/>
      <c r="O74" s="5"/>
      <c r="P74" s="5"/>
      <c r="Q74" s="5"/>
      <c r="R74" s="5"/>
      <c r="S74" s="5"/>
      <c r="T74" s="5"/>
      <c r="U74" s="5"/>
      <c r="V74" s="5"/>
      <c r="W74" s="5"/>
      <c r="X74" s="5"/>
      <c r="Y74" s="5"/>
      <c r="Z74" s="5"/>
      <c r="AA74" s="5"/>
      <c r="AB74" s="5"/>
      <c r="AC74" s="5"/>
      <c r="AD74" s="5"/>
    </row>
    <row r="75" customFormat="false" ht="15" hidden="false" customHeight="false" outlineLevel="0" collapsed="false">
      <c r="A75" s="5"/>
      <c r="B75" s="6" t="s">
        <v>104</v>
      </c>
      <c r="C75" s="23" t="n">
        <v>0.03</v>
      </c>
      <c r="D75" s="20" t="s">
        <v>105</v>
      </c>
      <c r="E75" s="5"/>
      <c r="F75" s="5"/>
      <c r="G75" s="5"/>
      <c r="H75" s="5"/>
      <c r="I75" s="5"/>
      <c r="J75" s="5"/>
      <c r="K75" s="5"/>
      <c r="L75" s="5"/>
      <c r="M75" s="5"/>
      <c r="N75" s="5"/>
      <c r="O75" s="5"/>
      <c r="P75" s="5"/>
      <c r="Q75" s="5"/>
      <c r="R75" s="5"/>
      <c r="S75" s="5"/>
      <c r="T75" s="5"/>
      <c r="U75" s="5"/>
      <c r="V75" s="5"/>
      <c r="W75" s="5"/>
      <c r="X75" s="5"/>
      <c r="Y75" s="5"/>
      <c r="Z75" s="5"/>
      <c r="AA75" s="5"/>
      <c r="AB75" s="5"/>
      <c r="AC75" s="5"/>
      <c r="AD75" s="5"/>
    </row>
    <row r="76" customFormat="false" ht="15" hidden="false" customHeight="false" outlineLevel="0" collapsed="false">
      <c r="A76" s="5"/>
      <c r="B76" s="6" t="s">
        <v>106</v>
      </c>
      <c r="C76" s="23" t="n">
        <v>0.25</v>
      </c>
      <c r="D76" s="5"/>
      <c r="E76" s="5"/>
      <c r="F76" s="5"/>
      <c r="G76" s="5"/>
      <c r="H76" s="5"/>
      <c r="I76" s="5"/>
      <c r="J76" s="5"/>
      <c r="K76" s="5"/>
      <c r="L76" s="5"/>
      <c r="M76" s="5"/>
      <c r="N76" s="5"/>
      <c r="O76" s="5"/>
      <c r="P76" s="5"/>
      <c r="Q76" s="5"/>
      <c r="R76" s="5"/>
      <c r="S76" s="5"/>
      <c r="T76" s="5"/>
      <c r="U76" s="5"/>
      <c r="V76" s="5"/>
      <c r="W76" s="5"/>
      <c r="X76" s="5"/>
      <c r="Y76" s="5"/>
      <c r="Z76" s="5"/>
      <c r="AA76" s="5"/>
      <c r="AB76" s="5"/>
      <c r="AC76" s="5"/>
      <c r="AD76" s="5"/>
    </row>
    <row r="77" customFormat="false" ht="15" hidden="false" customHeight="false" outlineLevel="0" collapsed="false">
      <c r="A77" s="5"/>
      <c r="B77" s="17" t="s">
        <v>107</v>
      </c>
      <c r="C77" s="18"/>
      <c r="D77" s="18"/>
      <c r="E77" s="5"/>
      <c r="F77" s="5"/>
      <c r="G77" s="5"/>
      <c r="H77" s="5"/>
      <c r="I77" s="5"/>
      <c r="J77" s="5"/>
      <c r="K77" s="5"/>
      <c r="L77" s="5"/>
      <c r="M77" s="5"/>
      <c r="N77" s="5"/>
      <c r="O77" s="5"/>
      <c r="P77" s="5"/>
      <c r="Q77" s="5"/>
      <c r="R77" s="5"/>
      <c r="S77" s="5"/>
      <c r="T77" s="5"/>
      <c r="U77" s="5"/>
      <c r="V77" s="5"/>
      <c r="W77" s="5"/>
      <c r="X77" s="5"/>
      <c r="Y77" s="5"/>
      <c r="Z77" s="5"/>
      <c r="AA77" s="5"/>
      <c r="AB77" s="5"/>
      <c r="AC77" s="5"/>
      <c r="AD77" s="5"/>
    </row>
    <row r="78" customFormat="false" ht="15" hidden="false" customHeight="false" outlineLevel="0" collapsed="false">
      <c r="A78" s="5"/>
      <c r="B78" s="6" t="s">
        <v>108</v>
      </c>
      <c r="C78" s="19" t="n">
        <v>30000</v>
      </c>
      <c r="D78" s="5"/>
      <c r="E78" s="5"/>
      <c r="F78" s="5"/>
      <c r="G78" s="5"/>
      <c r="H78" s="5"/>
      <c r="I78" s="5"/>
      <c r="J78" s="5"/>
      <c r="K78" s="5"/>
      <c r="L78" s="5"/>
      <c r="M78" s="5"/>
      <c r="N78" s="5"/>
      <c r="O78" s="5"/>
      <c r="P78" s="5"/>
      <c r="Q78" s="5"/>
      <c r="R78" s="5"/>
      <c r="S78" s="5"/>
      <c r="T78" s="5"/>
      <c r="U78" s="5"/>
      <c r="V78" s="5"/>
      <c r="W78" s="5"/>
      <c r="X78" s="5"/>
      <c r="Y78" s="5"/>
      <c r="Z78" s="5"/>
      <c r="AA78" s="5"/>
      <c r="AB78" s="5"/>
      <c r="AC78" s="5"/>
      <c r="AD78" s="5"/>
    </row>
    <row r="79" customFormat="false" ht="15" hidden="false" customHeight="false" outlineLevel="0" collapsed="false">
      <c r="A79" s="5"/>
      <c r="B79" s="6" t="s">
        <v>109</v>
      </c>
      <c r="C79" s="24" t="n">
        <v>3</v>
      </c>
      <c r="D79" s="20" t="s">
        <v>110</v>
      </c>
      <c r="E79" s="5"/>
      <c r="F79" s="5"/>
      <c r="G79" s="5"/>
      <c r="H79" s="5"/>
      <c r="I79" s="5"/>
      <c r="J79" s="5"/>
      <c r="K79" s="5"/>
      <c r="L79" s="5"/>
      <c r="M79" s="5"/>
      <c r="N79" s="5"/>
      <c r="O79" s="5"/>
      <c r="P79" s="5"/>
      <c r="Q79" s="5"/>
      <c r="R79" s="5"/>
      <c r="S79" s="5"/>
      <c r="T79" s="5"/>
      <c r="U79" s="5"/>
      <c r="V79" s="5"/>
      <c r="W79" s="5"/>
      <c r="X79" s="5"/>
      <c r="Y79" s="5"/>
      <c r="Z79" s="5"/>
      <c r="AA79" s="5"/>
      <c r="AB79" s="5"/>
      <c r="AC79" s="5"/>
      <c r="AD79" s="5"/>
    </row>
    <row r="80" customFormat="false" ht="15" hidden="false" customHeight="false" outlineLevel="0" collapsed="false">
      <c r="A80" s="5"/>
      <c r="B80" s="17" t="s">
        <v>111</v>
      </c>
      <c r="C80" s="18"/>
      <c r="D80" s="18"/>
      <c r="E80" s="5"/>
      <c r="F80" s="5"/>
      <c r="G80" s="5"/>
      <c r="H80" s="5"/>
      <c r="I80" s="5"/>
      <c r="J80" s="5"/>
      <c r="K80" s="5"/>
      <c r="L80" s="5"/>
      <c r="M80" s="5"/>
      <c r="N80" s="5"/>
      <c r="O80" s="5"/>
      <c r="P80" s="5"/>
      <c r="Q80" s="5"/>
      <c r="R80" s="5"/>
      <c r="S80" s="5"/>
      <c r="T80" s="5"/>
      <c r="U80" s="5"/>
      <c r="V80" s="5"/>
      <c r="W80" s="5"/>
      <c r="X80" s="5"/>
      <c r="Y80" s="5"/>
      <c r="Z80" s="5"/>
      <c r="AA80" s="5"/>
      <c r="AB80" s="5"/>
      <c r="AC80" s="5"/>
      <c r="AD80" s="5"/>
    </row>
    <row r="81" customFormat="false" ht="15" hidden="false" customHeight="false" outlineLevel="0" collapsed="false">
      <c r="A81" s="5"/>
      <c r="B81" s="6" t="s">
        <v>112</v>
      </c>
      <c r="C81" s="19" t="n">
        <v>350000</v>
      </c>
      <c r="D81" s="20" t="s">
        <v>113</v>
      </c>
      <c r="E81" s="5"/>
      <c r="F81" s="5"/>
      <c r="G81" s="5"/>
      <c r="H81" s="5"/>
      <c r="I81" s="5"/>
      <c r="J81" s="5"/>
      <c r="K81" s="5"/>
      <c r="L81" s="5"/>
      <c r="M81" s="5"/>
      <c r="N81" s="5"/>
      <c r="O81" s="5"/>
      <c r="P81" s="5"/>
      <c r="Q81" s="5"/>
      <c r="R81" s="5"/>
      <c r="S81" s="5"/>
      <c r="T81" s="5"/>
      <c r="U81" s="5"/>
      <c r="V81" s="5"/>
      <c r="W81" s="5"/>
      <c r="X81" s="5"/>
      <c r="Y81" s="5"/>
      <c r="Z81" s="5"/>
      <c r="AA81" s="5"/>
      <c r="AB81" s="5"/>
      <c r="AC81" s="5"/>
      <c r="AD81"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5" t="s">
        <v>114</v>
      </c>
    </row>
    <row r="3" customFormat="false" ht="3.75" hidden="false" customHeight="true" outlineLevel="0" collapsed="false">
      <c r="A3" s="5"/>
      <c r="B3" s="26"/>
    </row>
    <row r="4" customFormat="false" ht="15" hidden="false" customHeight="false" outlineLevel="0" collapsed="false">
      <c r="A4" s="5"/>
      <c r="B4" s="5"/>
    </row>
    <row r="5" customFormat="false" ht="19.5" hidden="false" customHeight="true" outlineLevel="0" collapsed="false">
      <c r="A5" s="5"/>
      <c r="B5" s="27" t="s">
        <v>115</v>
      </c>
    </row>
    <row r="6" customFormat="false" ht="48" hidden="false" customHeight="true" outlineLevel="0" collapsed="false">
      <c r="A6" s="5"/>
      <c r="B6" s="28" t="s">
        <v>116</v>
      </c>
    </row>
    <row r="7" customFormat="false" ht="15" hidden="false" customHeight="false" outlineLevel="0" collapsed="false">
      <c r="A7" s="5"/>
      <c r="B7" s="5"/>
    </row>
    <row r="8" customFormat="false" ht="19.5" hidden="false" customHeight="true" outlineLevel="0" collapsed="false">
      <c r="A8" s="5"/>
      <c r="B8" s="27" t="s">
        <v>117</v>
      </c>
    </row>
    <row r="9" customFormat="false" ht="61.5" hidden="false" customHeight="true" outlineLevel="0" collapsed="false">
      <c r="A9" s="5"/>
      <c r="B9" s="28" t="s">
        <v>118</v>
      </c>
    </row>
    <row r="10" customFormat="false" ht="15" hidden="false" customHeight="false" outlineLevel="0" collapsed="false">
      <c r="A10" s="5"/>
      <c r="B10" s="5"/>
    </row>
    <row r="11" customFormat="false" ht="19.5" hidden="false" customHeight="true" outlineLevel="0" collapsed="false">
      <c r="A11" s="5"/>
      <c r="B11" s="27" t="s">
        <v>119</v>
      </c>
    </row>
    <row r="12" customFormat="false" ht="75.75" hidden="false" customHeight="true" outlineLevel="0" collapsed="false">
      <c r="A12" s="5"/>
      <c r="B12" s="28" t="s">
        <v>120</v>
      </c>
    </row>
    <row r="13" customFormat="false" ht="15" hidden="false" customHeight="false" outlineLevel="0" collapsed="false">
      <c r="A13" s="5"/>
      <c r="B13" s="5"/>
    </row>
    <row r="14" customFormat="false" ht="19.5" hidden="false" customHeight="true" outlineLevel="0" collapsed="false">
      <c r="A14" s="5"/>
      <c r="B14" s="27" t="s">
        <v>121</v>
      </c>
    </row>
    <row r="15" customFormat="false" ht="61.5" hidden="false" customHeight="true" outlineLevel="0" collapsed="false">
      <c r="A15" s="5"/>
      <c r="B15" s="28" t="s">
        <v>122</v>
      </c>
    </row>
    <row r="16" customFormat="false" ht="15" hidden="false" customHeight="false" outlineLevel="0" collapsed="false">
      <c r="A16" s="5"/>
      <c r="B16" s="5"/>
    </row>
    <row r="17" customFormat="false" ht="19.5" hidden="false" customHeight="true" outlineLevel="0" collapsed="false">
      <c r="A17" s="5"/>
      <c r="B17" s="27" t="s">
        <v>123</v>
      </c>
    </row>
    <row r="18" customFormat="false" ht="33.75" hidden="false" customHeight="true" outlineLevel="0" collapsed="false">
      <c r="A18" s="5"/>
      <c r="B18" s="28" t="s">
        <v>124</v>
      </c>
    </row>
    <row r="19" customFormat="false" ht="15" hidden="false" customHeight="false" outlineLevel="0" collapsed="false">
      <c r="A19" s="5"/>
      <c r="B19" s="5"/>
    </row>
    <row r="20" customFormat="false" ht="19.5" hidden="false" customHeight="true" outlineLevel="0" collapsed="false">
      <c r="A20" s="5"/>
      <c r="B20" s="27" t="s">
        <v>125</v>
      </c>
    </row>
    <row r="21" customFormat="false" ht="33.75" hidden="false" customHeight="true" outlineLevel="0" collapsed="false">
      <c r="A21" s="5"/>
      <c r="B21" s="28" t="s">
        <v>126</v>
      </c>
    </row>
    <row r="22" customFormat="false" ht="15" hidden="false" customHeight="false" outlineLevel="0" collapsed="false">
      <c r="A22" s="5"/>
      <c r="B22" s="5"/>
    </row>
    <row r="23" customFormat="false" ht="21.75" hidden="false" customHeight="true" outlineLevel="0" collapsed="false">
      <c r="A23" s="5"/>
      <c r="B23" s="29" t="s">
        <v>127</v>
      </c>
    </row>
    <row r="24" customFormat="false" ht="15" hidden="false" customHeight="false" outlineLevel="0" collapsed="false">
      <c r="A24" s="5"/>
      <c r="B24" s="5"/>
    </row>
    <row r="25" customFormat="false" ht="18" hidden="false" customHeight="true" outlineLevel="0" collapsed="false">
      <c r="A25" s="5"/>
      <c r="B25" s="30" t="s">
        <v>128</v>
      </c>
    </row>
    <row r="26" customFormat="false" ht="201.75" hidden="false" customHeight="true" outlineLevel="0" collapsed="false">
      <c r="A26" s="5"/>
      <c r="B26" s="31" t="s">
        <v>129</v>
      </c>
    </row>
    <row r="27" customFormat="false" ht="15" hidden="false" customHeight="false" outlineLevel="0" collapsed="false">
      <c r="A27" s="5"/>
      <c r="B27" s="5"/>
    </row>
    <row r="28" customFormat="false" ht="18" hidden="false" customHeight="true" outlineLevel="0" collapsed="false">
      <c r="A28" s="5"/>
      <c r="B28" s="32" t="s">
        <v>130</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5623"/>
    <pageSetUpPr fitToPage="false"/>
  </sheetPr>
  <dimension ref="A1:G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3" t="s">
        <v>131</v>
      </c>
      <c r="C2" s="5"/>
      <c r="D2" s="5"/>
      <c r="E2" s="5"/>
      <c r="F2" s="5"/>
      <c r="G2" s="5"/>
    </row>
    <row r="3" customFormat="false" ht="15" hidden="false" customHeight="false" outlineLevel="0" collapsed="false">
      <c r="A3" s="5"/>
      <c r="B3" s="34" t="s">
        <v>132</v>
      </c>
      <c r="C3" s="35" t="s">
        <v>133</v>
      </c>
      <c r="D3" s="35" t="s">
        <v>134</v>
      </c>
      <c r="E3" s="35" t="s">
        <v>135</v>
      </c>
      <c r="F3" s="35" t="s">
        <v>136</v>
      </c>
      <c r="G3" s="35" t="s">
        <v>137</v>
      </c>
    </row>
    <row r="4" customFormat="false" ht="15" hidden="false" customHeight="false" outlineLevel="0" collapsed="false">
      <c r="A4" s="5"/>
      <c r="B4" s="36" t="s">
        <v>138</v>
      </c>
      <c r="C4" s="37" t="n">
        <v>1</v>
      </c>
      <c r="D4" s="37" t="n">
        <v>2</v>
      </c>
      <c r="E4" s="37" t="n">
        <v>3</v>
      </c>
      <c r="F4" s="37" t="n">
        <v>4</v>
      </c>
      <c r="G4" s="37" t="n">
        <v>5</v>
      </c>
    </row>
    <row r="5" customFormat="false" ht="15" hidden="false" customHeight="false" outlineLevel="0" collapsed="false">
      <c r="A5" s="5"/>
      <c r="B5" s="6" t="s">
        <v>139</v>
      </c>
      <c r="C5" s="22" t="n">
        <f aca="false">Total_Notional*Weight_EURUSD</f>
        <v>3000000</v>
      </c>
      <c r="D5" s="22" t="n">
        <f aca="false">Total_Notional*Weight_EURUSD</f>
        <v>3000000</v>
      </c>
      <c r="E5" s="22" t="n">
        <f aca="false">Total_Notional*Weight_EURUSD</f>
        <v>3000000</v>
      </c>
      <c r="F5" s="22" t="n">
        <f aca="false">Total_Notional*Weight_EURUSD</f>
        <v>3000000</v>
      </c>
      <c r="G5" s="22" t="n">
        <f aca="false">Total_Notional*Weight_EURUSD</f>
        <v>3000000</v>
      </c>
    </row>
    <row r="6" customFormat="false" ht="15" hidden="false" customHeight="false" outlineLevel="0" collapsed="false">
      <c r="A6" s="5"/>
      <c r="B6" s="6" t="s">
        <v>140</v>
      </c>
      <c r="C6" s="22" t="n">
        <f aca="false">Total_Notional*Weight_USDJPY</f>
        <v>3000000</v>
      </c>
      <c r="D6" s="22" t="n">
        <f aca="false">Total_Notional*Weight_USDJPY</f>
        <v>3000000</v>
      </c>
      <c r="E6" s="22" t="n">
        <f aca="false">Total_Notional*Weight_USDJPY</f>
        <v>3000000</v>
      </c>
      <c r="F6" s="22" t="n">
        <f aca="false">Total_Notional*Weight_USDJPY</f>
        <v>3000000</v>
      </c>
      <c r="G6" s="22" t="n">
        <f aca="false">Total_Notional*Weight_USDJPY</f>
        <v>3000000</v>
      </c>
    </row>
    <row r="7" customFormat="false" ht="15" hidden="false" customHeight="false" outlineLevel="0" collapsed="false">
      <c r="A7" s="5"/>
      <c r="B7" s="6" t="s">
        <v>141</v>
      </c>
      <c r="C7" s="22" t="n">
        <f aca="false">Total_Notional*Weight_GBPUSD</f>
        <v>2250000</v>
      </c>
      <c r="D7" s="22" t="n">
        <f aca="false">Total_Notional*Weight_GBPUSD</f>
        <v>2250000</v>
      </c>
      <c r="E7" s="22" t="n">
        <f aca="false">Total_Notional*Weight_GBPUSD</f>
        <v>2250000</v>
      </c>
      <c r="F7" s="22" t="n">
        <f aca="false">Total_Notional*Weight_GBPUSD</f>
        <v>2250000</v>
      </c>
      <c r="G7" s="22" t="n">
        <f aca="false">Total_Notional*Weight_GBPUSD</f>
        <v>2250000</v>
      </c>
    </row>
    <row r="8" customFormat="false" ht="15" hidden="false" customHeight="false" outlineLevel="0" collapsed="false">
      <c r="A8" s="5"/>
      <c r="B8" s="6" t="s">
        <v>142</v>
      </c>
      <c r="C8" s="22" t="n">
        <f aca="false">Total_Notional*Weight_AUDUSD</f>
        <v>2250000</v>
      </c>
      <c r="D8" s="22" t="n">
        <f aca="false">Total_Notional*Weight_AUDUSD</f>
        <v>2250000</v>
      </c>
      <c r="E8" s="22" t="n">
        <f aca="false">Total_Notional*Weight_AUDUSD</f>
        <v>2250000</v>
      </c>
      <c r="F8" s="22" t="n">
        <f aca="false">Total_Notional*Weight_AUDUSD</f>
        <v>2250000</v>
      </c>
      <c r="G8" s="22" t="n">
        <f aca="false">Total_Notional*Weight_AUDUSD</f>
        <v>2250000</v>
      </c>
    </row>
    <row r="9" customFormat="false" ht="15" hidden="false" customHeight="false" outlineLevel="0" collapsed="false">
      <c r="A9" s="5"/>
      <c r="B9" s="6" t="s">
        <v>143</v>
      </c>
      <c r="C9" s="22" t="n">
        <f aca="false">Total_Notional*Weight_USDMXN</f>
        <v>2250000</v>
      </c>
      <c r="D9" s="22" t="n">
        <f aca="false">Total_Notional*Weight_USDMXN</f>
        <v>2250000</v>
      </c>
      <c r="E9" s="22" t="n">
        <f aca="false">Total_Notional*Weight_USDMXN</f>
        <v>2250000</v>
      </c>
      <c r="F9" s="22" t="n">
        <f aca="false">Total_Notional*Weight_USDMXN</f>
        <v>2250000</v>
      </c>
      <c r="G9" s="22" t="n">
        <f aca="false">Total_Notional*Weight_USDMXN</f>
        <v>2250000</v>
      </c>
    </row>
    <row r="10" customFormat="false" ht="15" hidden="false" customHeight="false" outlineLevel="0" collapsed="false">
      <c r="A10" s="5"/>
      <c r="B10" s="6" t="s">
        <v>144</v>
      </c>
      <c r="C10" s="22" t="n">
        <f aca="false">Total_Notional*Weight_USDBRL</f>
        <v>2250000</v>
      </c>
      <c r="D10" s="22" t="n">
        <f aca="false">Total_Notional*Weight_USDBRL</f>
        <v>2250000</v>
      </c>
      <c r="E10" s="22" t="n">
        <f aca="false">Total_Notional*Weight_USDBRL</f>
        <v>2250000</v>
      </c>
      <c r="F10" s="22" t="n">
        <f aca="false">Total_Notional*Weight_USDBRL</f>
        <v>2250000</v>
      </c>
      <c r="G10" s="22" t="n">
        <f aca="false">Total_Notional*Weight_USDBRL</f>
        <v>2250000</v>
      </c>
    </row>
    <row r="11" customFormat="false" ht="15" hidden="false" customHeight="false" outlineLevel="0" collapsed="false">
      <c r="A11" s="5"/>
      <c r="B11" s="36" t="s">
        <v>145</v>
      </c>
      <c r="C11" s="38"/>
      <c r="D11" s="38"/>
      <c r="E11" s="38"/>
      <c r="F11" s="38"/>
      <c r="G11" s="38"/>
    </row>
    <row r="12" customFormat="false" ht="15" hidden="false" customHeight="false" outlineLevel="0" collapsed="false">
      <c r="A12" s="5"/>
      <c r="B12" s="6" t="s">
        <v>146</v>
      </c>
      <c r="C12" s="22" t="n">
        <f aca="false">C5*IR_Diff_EURUSD</f>
        <v>-54000</v>
      </c>
      <c r="D12" s="22" t="n">
        <f aca="false">D5*IR_Diff_EURUSD*(1+Carry_Adj_Rate)^1</f>
        <v>-54000</v>
      </c>
      <c r="E12" s="22" t="n">
        <f aca="false">E5*IR_Diff_EURUSD*(1+Carry_Adj_Rate)^2</f>
        <v>-54000</v>
      </c>
      <c r="F12" s="22" t="n">
        <f aca="false">F5*IR_Diff_EURUSD*(1+Carry_Adj_Rate)^3</f>
        <v>-54000</v>
      </c>
      <c r="G12" s="22" t="n">
        <f aca="false">G5*IR_Diff_EURUSD*(1+Carry_Adj_Rate)^4</f>
        <v>-54000</v>
      </c>
    </row>
    <row r="13" customFormat="false" ht="15" hidden="false" customHeight="false" outlineLevel="0" collapsed="false">
      <c r="A13" s="5"/>
      <c r="B13" s="6" t="s">
        <v>147</v>
      </c>
      <c r="C13" s="22" t="n">
        <f aca="false">C6*IR_Diff_USDJPY</f>
        <v>156000</v>
      </c>
      <c r="D13" s="22" t="n">
        <f aca="false">D6*IR_Diff_USDJPY*(1+Carry_Adj_Rate)^1</f>
        <v>156000</v>
      </c>
      <c r="E13" s="22" t="n">
        <f aca="false">E6*IR_Diff_USDJPY*(1+Carry_Adj_Rate)^2</f>
        <v>156000</v>
      </c>
      <c r="F13" s="22" t="n">
        <f aca="false">F6*IR_Diff_USDJPY*(1+Carry_Adj_Rate)^3</f>
        <v>156000</v>
      </c>
      <c r="G13" s="22" t="n">
        <f aca="false">G6*IR_Diff_USDJPY*(1+Carry_Adj_Rate)^4</f>
        <v>156000</v>
      </c>
    </row>
    <row r="14" customFormat="false" ht="15" hidden="false" customHeight="false" outlineLevel="0" collapsed="false">
      <c r="A14" s="5"/>
      <c r="B14" s="6" t="s">
        <v>148</v>
      </c>
      <c r="C14" s="22" t="n">
        <f aca="false">C7*IR_Diff_GBPUSD</f>
        <v>-2250</v>
      </c>
      <c r="D14" s="22" t="n">
        <f aca="false">D7*IR_Diff_GBPUSD*(1+Carry_Adj_Rate)^1</f>
        <v>-2250</v>
      </c>
      <c r="E14" s="22" t="n">
        <f aca="false">E7*IR_Diff_GBPUSD*(1+Carry_Adj_Rate)^2</f>
        <v>-2250</v>
      </c>
      <c r="F14" s="22" t="n">
        <f aca="false">F7*IR_Diff_GBPUSD*(1+Carry_Adj_Rate)^3</f>
        <v>-2250</v>
      </c>
      <c r="G14" s="22" t="n">
        <f aca="false">G7*IR_Diff_GBPUSD*(1+Carry_Adj_Rate)^4</f>
        <v>-2250</v>
      </c>
    </row>
    <row r="15" customFormat="false" ht="15" hidden="false" customHeight="false" outlineLevel="0" collapsed="false">
      <c r="A15" s="5"/>
      <c r="B15" s="6" t="s">
        <v>149</v>
      </c>
      <c r="C15" s="22" t="n">
        <f aca="false">C8*IR_Diff_AUDUSD</f>
        <v>-21375</v>
      </c>
      <c r="D15" s="22" t="n">
        <f aca="false">D8*IR_Diff_AUDUSD*(1+Carry_Adj_Rate)^1</f>
        <v>-21375</v>
      </c>
      <c r="E15" s="22" t="n">
        <f aca="false">E8*IR_Diff_AUDUSD*(1+Carry_Adj_Rate)^2</f>
        <v>-21375</v>
      </c>
      <c r="F15" s="22" t="n">
        <f aca="false">F8*IR_Diff_AUDUSD*(1+Carry_Adj_Rate)^3</f>
        <v>-21375</v>
      </c>
      <c r="G15" s="22" t="n">
        <f aca="false">G8*IR_Diff_AUDUSD*(1+Carry_Adj_Rate)^4</f>
        <v>-21375</v>
      </c>
    </row>
    <row r="16" customFormat="false" ht="15" hidden="false" customHeight="false" outlineLevel="0" collapsed="false">
      <c r="A16" s="5"/>
      <c r="B16" s="6" t="s">
        <v>150</v>
      </c>
      <c r="C16" s="22" t="n">
        <f aca="false">C9*IR_Diff_USDMXN</f>
        <v>128250</v>
      </c>
      <c r="D16" s="22" t="n">
        <f aca="false">D9*IR_Diff_USDMXN*(1+Carry_Adj_Rate)^1</f>
        <v>128250</v>
      </c>
      <c r="E16" s="22" t="n">
        <f aca="false">E9*IR_Diff_USDMXN*(1+Carry_Adj_Rate)^2</f>
        <v>128250</v>
      </c>
      <c r="F16" s="22" t="n">
        <f aca="false">F9*IR_Diff_USDMXN*(1+Carry_Adj_Rate)^3</f>
        <v>128250</v>
      </c>
      <c r="G16" s="22" t="n">
        <f aca="false">G9*IR_Diff_USDMXN*(1+Carry_Adj_Rate)^4</f>
        <v>128250</v>
      </c>
    </row>
    <row r="17" customFormat="false" ht="15" hidden="false" customHeight="false" outlineLevel="0" collapsed="false">
      <c r="A17" s="5"/>
      <c r="B17" s="6" t="s">
        <v>151</v>
      </c>
      <c r="C17" s="22" t="n">
        <f aca="false">C10*IR_Diff_USDBRL</f>
        <v>122625</v>
      </c>
      <c r="D17" s="22" t="n">
        <f aca="false">D10*IR_Diff_USDBRL*(1+Carry_Adj_Rate)^1</f>
        <v>122625</v>
      </c>
      <c r="E17" s="22" t="n">
        <f aca="false">E10*IR_Diff_USDBRL*(1+Carry_Adj_Rate)^2</f>
        <v>122625</v>
      </c>
      <c r="F17" s="22" t="n">
        <f aca="false">F10*IR_Diff_USDBRL*(1+Carry_Adj_Rate)^3</f>
        <v>122625</v>
      </c>
      <c r="G17" s="22" t="n">
        <f aca="false">G10*IR_Diff_USDBRL*(1+Carry_Adj_Rate)^4</f>
        <v>122625</v>
      </c>
    </row>
    <row r="18" customFormat="false" ht="15" hidden="false" customHeight="false" outlineLevel="0" collapsed="false">
      <c r="A18" s="5"/>
      <c r="B18" s="39" t="s">
        <v>152</v>
      </c>
      <c r="C18" s="40" t="n">
        <f aca="false">SUM(C12:C17)</f>
        <v>329250</v>
      </c>
      <c r="D18" s="40" t="n">
        <f aca="false">SUM(D12:D17)</f>
        <v>329250</v>
      </c>
      <c r="E18" s="40" t="n">
        <f aca="false">SUM(E12:E17)</f>
        <v>329250</v>
      </c>
      <c r="F18" s="40" t="n">
        <f aca="false">SUM(F12:F17)</f>
        <v>329250</v>
      </c>
      <c r="G18" s="40" t="n">
        <f aca="false">SUM(G12:G17)</f>
        <v>329250</v>
      </c>
    </row>
    <row r="19" customFormat="false" ht="15" hidden="false" customHeight="false" outlineLevel="0" collapsed="false">
      <c r="A19" s="5"/>
      <c r="B19" s="36" t="s">
        <v>153</v>
      </c>
      <c r="C19" s="38"/>
      <c r="D19" s="38"/>
      <c r="E19" s="38"/>
      <c r="F19" s="38"/>
      <c r="G19" s="38"/>
    </row>
    <row r="20" customFormat="false" ht="15" hidden="false" customHeight="false" outlineLevel="0" collapsed="false">
      <c r="A20" s="5"/>
      <c r="B20" s="6" t="s">
        <v>154</v>
      </c>
      <c r="C20" s="22" t="n">
        <f aca="false">C5*Spot_EURUSD_Y1</f>
        <v>60000</v>
      </c>
      <c r="D20" s="22" t="n">
        <f aca="false">D5*Spot_EURUSD_Y2</f>
        <v>45000</v>
      </c>
      <c r="E20" s="22" t="n">
        <f aca="false">E5*Spot_EURUSD_Y3</f>
        <v>30000</v>
      </c>
      <c r="F20" s="22" t="n">
        <f aca="false">F5*Spot_EURUSD_Y4</f>
        <v>24000</v>
      </c>
      <c r="G20" s="22" t="n">
        <f aca="false">G5*Spot_EURUSD_Y5</f>
        <v>24000</v>
      </c>
    </row>
    <row r="21" customFormat="false" ht="15" hidden="false" customHeight="false" outlineLevel="0" collapsed="false">
      <c r="A21" s="5"/>
      <c r="B21" s="6" t="s">
        <v>155</v>
      </c>
      <c r="C21" s="22" t="n">
        <f aca="false">C6*Spot_USDJPY_Y1</f>
        <v>90000</v>
      </c>
      <c r="D21" s="22" t="n">
        <f aca="false">D6*Spot_USDJPY_Y2</f>
        <v>75000</v>
      </c>
      <c r="E21" s="22" t="n">
        <f aca="false">E6*Spot_USDJPY_Y3</f>
        <v>60000</v>
      </c>
      <c r="F21" s="22" t="n">
        <f aca="false">F6*Spot_USDJPY_Y4</f>
        <v>45000</v>
      </c>
      <c r="G21" s="22" t="n">
        <f aca="false">G6*Spot_USDJPY_Y5</f>
        <v>45000</v>
      </c>
    </row>
    <row r="22" customFormat="false" ht="15" hidden="false" customHeight="false" outlineLevel="0" collapsed="false">
      <c r="A22" s="5"/>
      <c r="B22" s="6" t="s">
        <v>156</v>
      </c>
      <c r="C22" s="22" t="n">
        <f aca="false">C7*Spot_GBPUSD_Y1</f>
        <v>33750</v>
      </c>
      <c r="D22" s="22" t="n">
        <f aca="false">D7*Spot_GBPUSD_Y2</f>
        <v>27000</v>
      </c>
      <c r="E22" s="22" t="n">
        <f aca="false">E7*Spot_GBPUSD_Y3</f>
        <v>22500</v>
      </c>
      <c r="F22" s="22" t="n">
        <f aca="false">F7*Spot_GBPUSD_Y4</f>
        <v>18000</v>
      </c>
      <c r="G22" s="22" t="n">
        <f aca="false">G7*Spot_GBPUSD_Y5</f>
        <v>18000</v>
      </c>
    </row>
    <row r="23" customFormat="false" ht="15" hidden="false" customHeight="false" outlineLevel="0" collapsed="false">
      <c r="A23" s="5"/>
      <c r="B23" s="6" t="s">
        <v>157</v>
      </c>
      <c r="C23" s="22" t="n">
        <f aca="false">C8*Spot_AUDUSD_Y1</f>
        <v>22500</v>
      </c>
      <c r="D23" s="22" t="n">
        <f aca="false">D8*Spot_AUDUSD_Y2</f>
        <v>18000</v>
      </c>
      <c r="E23" s="22" t="n">
        <f aca="false">E8*Spot_AUDUSD_Y3</f>
        <v>18000</v>
      </c>
      <c r="F23" s="22" t="n">
        <f aca="false">F8*Spot_AUDUSD_Y4</f>
        <v>18000</v>
      </c>
      <c r="G23" s="22" t="n">
        <f aca="false">G8*Spot_AUDUSD_Y5</f>
        <v>18000</v>
      </c>
    </row>
    <row r="24" customFormat="false" ht="15" hidden="false" customHeight="false" outlineLevel="0" collapsed="false">
      <c r="A24" s="5"/>
      <c r="B24" s="6" t="s">
        <v>158</v>
      </c>
      <c r="C24" s="22" t="n">
        <f aca="false">C9*Spot_USDMXN_Y1</f>
        <v>90000</v>
      </c>
      <c r="D24" s="22" t="n">
        <f aca="false">D9*Spot_USDMXN_Y2</f>
        <v>78750</v>
      </c>
      <c r="E24" s="22" t="n">
        <f aca="false">E9*Spot_USDMXN_Y3</f>
        <v>67500</v>
      </c>
      <c r="F24" s="22" t="n">
        <f aca="false">F9*Spot_USDMXN_Y4</f>
        <v>56250</v>
      </c>
      <c r="G24" s="22" t="n">
        <f aca="false">G9*Spot_USDMXN_Y5</f>
        <v>45000</v>
      </c>
    </row>
    <row r="25" customFormat="false" ht="15" hidden="false" customHeight="false" outlineLevel="0" collapsed="false">
      <c r="A25" s="5"/>
      <c r="B25" s="6" t="s">
        <v>159</v>
      </c>
      <c r="C25" s="22" t="n">
        <f aca="false">C10*Spot_USDBRL_Y1</f>
        <v>112500</v>
      </c>
      <c r="D25" s="22" t="n">
        <f aca="false">D10*Spot_USDBRL_Y2</f>
        <v>90000</v>
      </c>
      <c r="E25" s="22" t="n">
        <f aca="false">E10*Spot_USDBRL_Y3</f>
        <v>78750</v>
      </c>
      <c r="F25" s="22" t="n">
        <f aca="false">F10*Spot_USDBRL_Y4</f>
        <v>67500</v>
      </c>
      <c r="G25" s="22" t="n">
        <f aca="false">G10*Spot_USDBRL_Y5</f>
        <v>56250</v>
      </c>
    </row>
    <row r="26" customFormat="false" ht="15" hidden="false" customHeight="false" outlineLevel="0" collapsed="false">
      <c r="A26" s="5"/>
      <c r="B26" s="39" t="s">
        <v>160</v>
      </c>
      <c r="C26" s="40" t="n">
        <f aca="false">SUM(C20:C25)</f>
        <v>408750</v>
      </c>
      <c r="D26" s="40" t="n">
        <f aca="false">SUM(D20:D25)</f>
        <v>333750</v>
      </c>
      <c r="E26" s="40" t="n">
        <f aca="false">SUM(E20:E25)</f>
        <v>276750</v>
      </c>
      <c r="F26" s="40" t="n">
        <f aca="false">SUM(F20:F25)</f>
        <v>228750</v>
      </c>
      <c r="G26" s="40" t="n">
        <f aca="false">SUM(G20:G25)</f>
        <v>206250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5623"/>
    <pageSetUpPr fitToPage="false"/>
  </sheetPr>
  <dimension ref="A1:G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3" t="s">
        <v>161</v>
      </c>
      <c r="C2" s="5"/>
      <c r="D2" s="5"/>
      <c r="E2" s="5"/>
      <c r="F2" s="5"/>
      <c r="G2" s="5"/>
    </row>
    <row r="3" customFormat="false" ht="15" hidden="false" customHeight="false" outlineLevel="0" collapsed="false">
      <c r="A3" s="5"/>
      <c r="B3" s="34" t="s">
        <v>162</v>
      </c>
      <c r="C3" s="35" t="s">
        <v>133</v>
      </c>
      <c r="D3" s="35" t="s">
        <v>134</v>
      </c>
      <c r="E3" s="35" t="s">
        <v>135</v>
      </c>
      <c r="F3" s="35" t="s">
        <v>136</v>
      </c>
      <c r="G3" s="35" t="s">
        <v>137</v>
      </c>
    </row>
    <row r="4" customFormat="false" ht="15" hidden="false" customHeight="false" outlineLevel="0" collapsed="false">
      <c r="A4" s="5"/>
      <c r="B4" s="36" t="s">
        <v>163</v>
      </c>
      <c r="C4" s="37" t="n">
        <v>1</v>
      </c>
      <c r="D4" s="37" t="n">
        <v>2</v>
      </c>
      <c r="E4" s="37" t="n">
        <v>3</v>
      </c>
      <c r="F4" s="37" t="n">
        <v>4</v>
      </c>
      <c r="G4" s="37" t="n">
        <v>5</v>
      </c>
    </row>
    <row r="5" customFormat="false" ht="15" hidden="false" customHeight="false" outlineLevel="0" collapsed="false">
      <c r="A5" s="5"/>
      <c r="B5" s="6" t="s">
        <v>164</v>
      </c>
      <c r="C5" s="22" t="n">
        <f aca="false">Total_Notional*Weight_EURUSD*Roll_EURUSD</f>
        <v>27000</v>
      </c>
      <c r="D5" s="22" t="n">
        <f aca="false">Total_Notional*Weight_EURUSD*Roll_EURUSD</f>
        <v>27000</v>
      </c>
      <c r="E5" s="22" t="n">
        <f aca="false">Total_Notional*Weight_EURUSD*Roll_EURUSD</f>
        <v>27000</v>
      </c>
      <c r="F5" s="22" t="n">
        <f aca="false">Total_Notional*Weight_EURUSD*Roll_EURUSD</f>
        <v>27000</v>
      </c>
      <c r="G5" s="22" t="n">
        <f aca="false">Total_Notional*Weight_EURUSD*Roll_EURUSD</f>
        <v>27000</v>
      </c>
    </row>
    <row r="6" customFormat="false" ht="15" hidden="false" customHeight="false" outlineLevel="0" collapsed="false">
      <c r="A6" s="5"/>
      <c r="B6" s="6" t="s">
        <v>165</v>
      </c>
      <c r="C6" s="22" t="n">
        <f aca="false">Total_Notional*Weight_USDJPY*Roll_USDJPY</f>
        <v>78000</v>
      </c>
      <c r="D6" s="22" t="n">
        <f aca="false">Total_Notional*Weight_USDJPY*Roll_USDJPY</f>
        <v>78000</v>
      </c>
      <c r="E6" s="22" t="n">
        <f aca="false">Total_Notional*Weight_USDJPY*Roll_USDJPY</f>
        <v>78000</v>
      </c>
      <c r="F6" s="22" t="n">
        <f aca="false">Total_Notional*Weight_USDJPY*Roll_USDJPY</f>
        <v>78000</v>
      </c>
      <c r="G6" s="22" t="n">
        <f aca="false">Total_Notional*Weight_USDJPY*Roll_USDJPY</f>
        <v>78000</v>
      </c>
    </row>
    <row r="7" customFormat="false" ht="15" hidden="false" customHeight="false" outlineLevel="0" collapsed="false">
      <c r="A7" s="5"/>
      <c r="B7" s="6" t="s">
        <v>166</v>
      </c>
      <c r="C7" s="22" t="n">
        <f aca="false">Total_Notional*Weight_GBPUSD*Roll_GBPUSD</f>
        <v>2250</v>
      </c>
      <c r="D7" s="22" t="n">
        <f aca="false">Total_Notional*Weight_GBPUSD*Roll_GBPUSD</f>
        <v>2250</v>
      </c>
      <c r="E7" s="22" t="n">
        <f aca="false">Total_Notional*Weight_GBPUSD*Roll_GBPUSD</f>
        <v>2250</v>
      </c>
      <c r="F7" s="22" t="n">
        <f aca="false">Total_Notional*Weight_GBPUSD*Roll_GBPUSD</f>
        <v>2250</v>
      </c>
      <c r="G7" s="22" t="n">
        <f aca="false">Total_Notional*Weight_GBPUSD*Roll_GBPUSD</f>
        <v>2250</v>
      </c>
    </row>
    <row r="8" customFormat="false" ht="15" hidden="false" customHeight="false" outlineLevel="0" collapsed="false">
      <c r="A8" s="5"/>
      <c r="B8" s="6" t="s">
        <v>167</v>
      </c>
      <c r="C8" s="22" t="n">
        <f aca="false">Total_Notional*Weight_AUDUSD*Roll_AUDUSD</f>
        <v>11250</v>
      </c>
      <c r="D8" s="22" t="n">
        <f aca="false">Total_Notional*Weight_AUDUSD*Roll_AUDUSD</f>
        <v>11250</v>
      </c>
      <c r="E8" s="22" t="n">
        <f aca="false">Total_Notional*Weight_AUDUSD*Roll_AUDUSD</f>
        <v>11250</v>
      </c>
      <c r="F8" s="22" t="n">
        <f aca="false">Total_Notional*Weight_AUDUSD*Roll_AUDUSD</f>
        <v>11250</v>
      </c>
      <c r="G8" s="22" t="n">
        <f aca="false">Total_Notional*Weight_AUDUSD*Roll_AUDUSD</f>
        <v>11250</v>
      </c>
    </row>
    <row r="9" customFormat="false" ht="15" hidden="false" customHeight="false" outlineLevel="0" collapsed="false">
      <c r="A9" s="5"/>
      <c r="B9" s="6" t="s">
        <v>168</v>
      </c>
      <c r="C9" s="22" t="n">
        <f aca="false">Total_Notional*Weight_USDMXN*Roll_USDMXN</f>
        <v>63000</v>
      </c>
      <c r="D9" s="22" t="n">
        <f aca="false">Total_Notional*Weight_USDMXN*Roll_USDMXN</f>
        <v>63000</v>
      </c>
      <c r="E9" s="22" t="n">
        <f aca="false">Total_Notional*Weight_USDMXN*Roll_USDMXN</f>
        <v>63000</v>
      </c>
      <c r="F9" s="22" t="n">
        <f aca="false">Total_Notional*Weight_USDMXN*Roll_USDMXN</f>
        <v>63000</v>
      </c>
      <c r="G9" s="22" t="n">
        <f aca="false">Total_Notional*Weight_USDMXN*Roll_USDMXN</f>
        <v>63000</v>
      </c>
    </row>
    <row r="10" customFormat="false" ht="15" hidden="false" customHeight="false" outlineLevel="0" collapsed="false">
      <c r="A10" s="5"/>
      <c r="B10" s="6" t="s">
        <v>169</v>
      </c>
      <c r="C10" s="22" t="n">
        <f aca="false">Total_Notional*Weight_USDBRL*Roll_USDBRL</f>
        <v>60750</v>
      </c>
      <c r="D10" s="22" t="n">
        <f aca="false">Total_Notional*Weight_USDBRL*Roll_USDBRL</f>
        <v>60750</v>
      </c>
      <c r="E10" s="22" t="n">
        <f aca="false">Total_Notional*Weight_USDBRL*Roll_USDBRL</f>
        <v>60750</v>
      </c>
      <c r="F10" s="22" t="n">
        <f aca="false">Total_Notional*Weight_USDBRL*Roll_USDBRL</f>
        <v>60750</v>
      </c>
      <c r="G10" s="22" t="n">
        <f aca="false">Total_Notional*Weight_USDBRL*Roll_USDBRL</f>
        <v>60750</v>
      </c>
    </row>
    <row r="11" customFormat="false" ht="15" hidden="false" customHeight="false" outlineLevel="0" collapsed="false">
      <c r="A11" s="5"/>
      <c r="B11" s="39" t="s">
        <v>170</v>
      </c>
      <c r="C11" s="40" t="n">
        <f aca="false">SUM(C5:C10)</f>
        <v>242250</v>
      </c>
      <c r="D11" s="40" t="n">
        <f aca="false">SUM(D5:D10)</f>
        <v>242250</v>
      </c>
      <c r="E11" s="40" t="n">
        <f aca="false">SUM(E5:E10)</f>
        <v>242250</v>
      </c>
      <c r="F11" s="40" t="n">
        <f aca="false">SUM(F5:F10)</f>
        <v>242250</v>
      </c>
      <c r="G11" s="40" t="n">
        <f aca="false">SUM(G5:G10)</f>
        <v>242250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G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3" t="s">
        <v>171</v>
      </c>
      <c r="C2" s="5"/>
      <c r="D2" s="5"/>
      <c r="E2" s="5"/>
      <c r="F2" s="5"/>
      <c r="G2" s="5"/>
    </row>
    <row r="3" customFormat="false" ht="15" hidden="false" customHeight="false" outlineLevel="0" collapsed="false">
      <c r="A3" s="5"/>
      <c r="B3" s="34" t="s">
        <v>172</v>
      </c>
      <c r="C3" s="35" t="s">
        <v>133</v>
      </c>
      <c r="D3" s="35" t="s">
        <v>134</v>
      </c>
      <c r="E3" s="35" t="s">
        <v>135</v>
      </c>
      <c r="F3" s="35" t="s">
        <v>136</v>
      </c>
      <c r="G3" s="35" t="s">
        <v>137</v>
      </c>
    </row>
    <row r="4" customFormat="false" ht="15" hidden="false" customHeight="false" outlineLevel="0" collapsed="false">
      <c r="A4" s="5"/>
      <c r="B4" s="36" t="s">
        <v>173</v>
      </c>
      <c r="C4" s="37" t="n">
        <v>1</v>
      </c>
      <c r="D4" s="37" t="n">
        <v>2</v>
      </c>
      <c r="E4" s="37" t="n">
        <v>3</v>
      </c>
      <c r="F4" s="37" t="n">
        <v>4</v>
      </c>
      <c r="G4" s="37" t="n">
        <v>5</v>
      </c>
    </row>
    <row r="5" customFormat="false" ht="15" hidden="false" customHeight="false" outlineLevel="0" collapsed="false">
      <c r="A5" s="5"/>
      <c r="B5" s="6" t="s">
        <v>174</v>
      </c>
      <c r="C5" s="22" t="n">
        <f aca="false">Annual_Capex</f>
        <v>30000</v>
      </c>
      <c r="D5" s="22" t="n">
        <f aca="false">Annual_Capex</f>
        <v>30000</v>
      </c>
      <c r="E5" s="22" t="n">
        <f aca="false">Annual_Capex</f>
        <v>30000</v>
      </c>
      <c r="F5" s="22" t="n">
        <f aca="false">Annual_Capex</f>
        <v>30000</v>
      </c>
      <c r="G5" s="22" t="n">
        <f aca="false">Annual_Capex</f>
        <v>30000</v>
      </c>
    </row>
    <row r="6" customFormat="false" ht="15" hidden="false" customHeight="false" outlineLevel="0" collapsed="false">
      <c r="A6" s="5"/>
      <c r="B6" s="6" t="s">
        <v>175</v>
      </c>
      <c r="C6" s="22" t="n">
        <v>0</v>
      </c>
      <c r="D6" s="22" t="n">
        <f aca="false">C7</f>
        <v>30000</v>
      </c>
      <c r="E6" s="22" t="n">
        <f aca="false">D7</f>
        <v>60000</v>
      </c>
      <c r="F6" s="22" t="n">
        <f aca="false">E7</f>
        <v>90000</v>
      </c>
      <c r="G6" s="22" t="n">
        <f aca="false">F7</f>
        <v>120000</v>
      </c>
    </row>
    <row r="7" customFormat="false" ht="15" hidden="false" customHeight="false" outlineLevel="0" collapsed="false">
      <c r="A7" s="5"/>
      <c r="B7" s="6" t="s">
        <v>176</v>
      </c>
      <c r="C7" s="22" t="n">
        <f aca="false">C6+C5</f>
        <v>30000</v>
      </c>
      <c r="D7" s="22" t="n">
        <f aca="false">D6+D5</f>
        <v>60000</v>
      </c>
      <c r="E7" s="22" t="n">
        <f aca="false">E6+E5</f>
        <v>90000</v>
      </c>
      <c r="F7" s="22" t="n">
        <f aca="false">F6+F5</f>
        <v>120000</v>
      </c>
      <c r="G7" s="22" t="n">
        <f aca="false">G6+G5</f>
        <v>150000</v>
      </c>
    </row>
    <row r="8" customFormat="false" ht="15" hidden="false" customHeight="false" outlineLevel="0" collapsed="false">
      <c r="A8" s="5"/>
      <c r="B8" s="6" t="s">
        <v>177</v>
      </c>
      <c r="C8" s="22" t="n">
        <f aca="false">C6/Useful_Life</f>
        <v>0</v>
      </c>
      <c r="D8" s="22" t="n">
        <f aca="false">D6/Useful_Life</f>
        <v>10000</v>
      </c>
      <c r="E8" s="22" t="n">
        <f aca="false">E6/Useful_Life</f>
        <v>20000</v>
      </c>
      <c r="F8" s="22" t="n">
        <f aca="false">F6/Useful_Life</f>
        <v>30000</v>
      </c>
      <c r="G8" s="22" t="n">
        <f aca="false">G6/Useful_Life</f>
        <v>40000</v>
      </c>
    </row>
    <row r="9" customFormat="false" ht="15" hidden="false" customHeight="false" outlineLevel="0" collapsed="false">
      <c r="A9" s="5"/>
      <c r="B9" s="6" t="s">
        <v>178</v>
      </c>
      <c r="C9" s="22" t="n">
        <v>0</v>
      </c>
      <c r="D9" s="22" t="n">
        <f aca="false">C10</f>
        <v>0</v>
      </c>
      <c r="E9" s="22" t="n">
        <f aca="false">D10</f>
        <v>10000</v>
      </c>
      <c r="F9" s="22" t="n">
        <f aca="false">E10</f>
        <v>30000</v>
      </c>
      <c r="G9" s="22" t="n">
        <f aca="false">F10</f>
        <v>60000</v>
      </c>
    </row>
    <row r="10" customFormat="false" ht="15" hidden="false" customHeight="false" outlineLevel="0" collapsed="false">
      <c r="A10" s="5"/>
      <c r="B10" s="6" t="s">
        <v>179</v>
      </c>
      <c r="C10" s="22" t="n">
        <f aca="false">C9+C8</f>
        <v>0</v>
      </c>
      <c r="D10" s="22" t="n">
        <f aca="false">D9+D8</f>
        <v>10000</v>
      </c>
      <c r="E10" s="22" t="n">
        <f aca="false">E9+E8</f>
        <v>30000</v>
      </c>
      <c r="F10" s="22" t="n">
        <f aca="false">F9+F8</f>
        <v>60000</v>
      </c>
      <c r="G10" s="22" t="n">
        <f aca="false">G9+G8</f>
        <v>100000</v>
      </c>
    </row>
    <row r="11" customFormat="false" ht="15" hidden="false" customHeight="false" outlineLevel="0" collapsed="false">
      <c r="A11" s="5"/>
      <c r="B11" s="39" t="s">
        <v>180</v>
      </c>
      <c r="C11" s="40" t="n">
        <f aca="false">C7-C10</f>
        <v>30000</v>
      </c>
      <c r="D11" s="40" t="n">
        <f aca="false">D7-D10</f>
        <v>50000</v>
      </c>
      <c r="E11" s="40" t="n">
        <f aca="false">E7-E10</f>
        <v>60000</v>
      </c>
      <c r="F11" s="40" t="n">
        <f aca="false">F7-F10</f>
        <v>60000</v>
      </c>
      <c r="G11" s="40" t="n">
        <f aca="false">G7-G10</f>
        <v>50000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33C00"/>
    <pageSetUpPr fitToPage="false"/>
  </sheetPr>
  <dimension ref="A1:G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3" t="s">
        <v>181</v>
      </c>
      <c r="C2" s="5"/>
      <c r="D2" s="5"/>
      <c r="E2" s="5"/>
      <c r="F2" s="5"/>
      <c r="G2" s="5"/>
    </row>
    <row r="3" customFormat="false" ht="15" hidden="false" customHeight="false" outlineLevel="0" collapsed="false">
      <c r="A3" s="5"/>
      <c r="B3" s="34" t="s">
        <v>182</v>
      </c>
      <c r="C3" s="35" t="s">
        <v>133</v>
      </c>
      <c r="D3" s="35" t="s">
        <v>134</v>
      </c>
      <c r="E3" s="35" t="s">
        <v>135</v>
      </c>
      <c r="F3" s="35" t="s">
        <v>136</v>
      </c>
      <c r="G3" s="35" t="s">
        <v>137</v>
      </c>
    </row>
    <row r="4" customFormat="false" ht="15" hidden="false" customHeight="false" outlineLevel="0" collapsed="false">
      <c r="A4" s="5"/>
      <c r="B4" s="36" t="s">
        <v>183</v>
      </c>
      <c r="C4" s="37" t="n">
        <v>1</v>
      </c>
      <c r="D4" s="37" t="n">
        <v>2</v>
      </c>
      <c r="E4" s="37" t="n">
        <v>3</v>
      </c>
      <c r="F4" s="37" t="n">
        <v>4</v>
      </c>
      <c r="G4" s="37" t="n">
        <v>5</v>
      </c>
    </row>
    <row r="5" customFormat="false" ht="15" hidden="false" customHeight="false" outlineLevel="0" collapsed="false">
      <c r="A5" s="5"/>
      <c r="B5" s="6" t="s">
        <v>184</v>
      </c>
      <c r="C5" s="22" t="n">
        <f aca="false">Base_Capital</f>
        <v>5000000</v>
      </c>
      <c r="D5" s="22" t="n">
        <f aca="false">BS_Closing_Eq_Y1</f>
        <v>4525250</v>
      </c>
      <c r="E5" s="22" t="n">
        <f aca="false">BS_Closing_Eq_Y2</f>
        <v>3951621.25</v>
      </c>
      <c r="F5" s="22" t="n">
        <f aca="false">BS_Closing_Eq_Y3</f>
        <v>3297966.93125</v>
      </c>
      <c r="G5" s="22" t="n">
        <f aca="false">BS_Closing_Eq_Y4</f>
        <v>2573838.52728125</v>
      </c>
    </row>
    <row r="6" customFormat="false" ht="15" hidden="false" customHeight="false" outlineLevel="0" collapsed="false">
      <c r="A6" s="5"/>
      <c r="B6" s="36" t="s">
        <v>185</v>
      </c>
      <c r="C6" s="41" t="n">
        <f aca="false">C5*Mgmt_Fee_Rate</f>
        <v>75000</v>
      </c>
      <c r="D6" s="41" t="n">
        <f aca="false">D5*Mgmt_Fee_Rate</f>
        <v>67878.75</v>
      </c>
      <c r="E6" s="41" t="n">
        <f aca="false">E5*Mgmt_Fee_Rate</f>
        <v>59274.31875</v>
      </c>
      <c r="F6" s="41" t="n">
        <f aca="false">F5*Mgmt_Fee_Rate</f>
        <v>49469.50396875</v>
      </c>
      <c r="G6" s="41" t="n">
        <f aca="false">G5*Mgmt_Fee_Rate</f>
        <v>38607.5779092187</v>
      </c>
    </row>
    <row r="7" customFormat="false" ht="15" hidden="false" customHeight="false" outlineLevel="0" collapsed="false">
      <c r="A7" s="5"/>
      <c r="B7" s="6" t="s">
        <v>186</v>
      </c>
      <c r="C7" s="22" t="n">
        <f aca="false">Pair_Returns!C18+Pair_Returns!C26+Roll_Yield!C11</f>
        <v>980250</v>
      </c>
      <c r="D7" s="22" t="n">
        <f aca="false">Pair_Returns!D18+Pair_Returns!D26+Roll_Yield!D11</f>
        <v>905250</v>
      </c>
      <c r="E7" s="22" t="n">
        <f aca="false">Pair_Returns!E18+Pair_Returns!E26+Roll_Yield!E11</f>
        <v>848250</v>
      </c>
      <c r="F7" s="22" t="n">
        <f aca="false">Pair_Returns!F18+Pair_Returns!F26+Roll_Yield!F11</f>
        <v>800250</v>
      </c>
      <c r="G7" s="22" t="n">
        <f aca="false">Pair_Returns!G18+Pair_Returns!G26+Roll_Yield!G11</f>
        <v>777750</v>
      </c>
    </row>
    <row r="8" customFormat="false" ht="15" hidden="false" customHeight="false" outlineLevel="0" collapsed="false">
      <c r="A8" s="5"/>
      <c r="B8" s="6" t="s">
        <v>187</v>
      </c>
      <c r="C8" s="22" t="n">
        <f aca="false">(Leverage_Multiple-1)*Base_Capital*Financing_Rate</f>
        <v>680000</v>
      </c>
      <c r="D8" s="22" t="n">
        <f aca="false">(Leverage_Multiple-1)*Base_Capital*Financing_Rate</f>
        <v>680000</v>
      </c>
      <c r="E8" s="22" t="n">
        <f aca="false">(Leverage_Multiple-1)*Base_Capital*Financing_Rate</f>
        <v>680000</v>
      </c>
      <c r="F8" s="22" t="n">
        <f aca="false">(Leverage_Multiple-1)*Base_Capital*Financing_Rate</f>
        <v>680000</v>
      </c>
      <c r="G8" s="22" t="n">
        <f aca="false">(Leverage_Multiple-1)*Base_Capital*Financing_Rate</f>
        <v>680000</v>
      </c>
    </row>
    <row r="9" customFormat="false" ht="15" hidden="false" customHeight="false" outlineLevel="0" collapsed="false">
      <c r="A9" s="5"/>
      <c r="B9" s="6" t="s">
        <v>188</v>
      </c>
      <c r="C9" s="22" t="n">
        <f aca="false">(Opex_Staff+Opex_Tech+Opex_Compliance+Opex_Admin)*(1+Opex_Growth_Rate)^0</f>
        <v>700000</v>
      </c>
      <c r="D9" s="22" t="n">
        <f aca="false">(Opex_Staff+Opex_Tech+Opex_Compliance+Opex_Admin)*(1+Opex_Growth_Rate)^1</f>
        <v>721000</v>
      </c>
      <c r="E9" s="22" t="n">
        <f aca="false">(Opex_Staff+Opex_Tech+Opex_Compliance+Opex_Admin)*(1+Opex_Growth_Rate)^2</f>
        <v>742630</v>
      </c>
      <c r="F9" s="22" t="n">
        <f aca="false">(Opex_Staff+Opex_Tech+Opex_Compliance+Opex_Admin)*(1+Opex_Growth_Rate)^3</f>
        <v>764908.9</v>
      </c>
      <c r="G9" s="22" t="n">
        <f aca="false">(Opex_Staff+Opex_Tech+Opex_Compliance+Opex_Admin)*(1+Opex_Growth_Rate)^4</f>
        <v>787856.167</v>
      </c>
    </row>
    <row r="10" customFormat="false" ht="15" hidden="false" customHeight="false" outlineLevel="0" collapsed="false">
      <c r="A10" s="5"/>
      <c r="B10" s="6" t="s">
        <v>189</v>
      </c>
      <c r="C10" s="22" t="n">
        <f aca="false">(C7-C8-C9-C6)-MAX(0,(C7-C8-C9-C6)*Tax_Rate)</f>
        <v>-474750</v>
      </c>
      <c r="D10" s="22" t="n">
        <f aca="false">(D7-D8-D9-D6)-MAX(0,(D7-D8-D9-D6)*Tax_Rate)</f>
        <v>-563628.75</v>
      </c>
      <c r="E10" s="22" t="n">
        <f aca="false">(E7-E8-E9-E6)-MAX(0,(E7-E8-E9-E6)*Tax_Rate)</f>
        <v>-633654.31875</v>
      </c>
      <c r="F10" s="22" t="n">
        <f aca="false">(F7-F8-F9-F6)-MAX(0,(F7-F8-F9-F6)*Tax_Rate)</f>
        <v>-694128.40396875</v>
      </c>
      <c r="G10" s="22" t="n">
        <f aca="false">(G7-G8-G9-G6)-MAX(0,(G7-G8-G9-G6)*Tax_Rate)</f>
        <v>-728713.744909219</v>
      </c>
    </row>
    <row r="11" customFormat="false" ht="15" hidden="false" customHeight="false" outlineLevel="0" collapsed="false">
      <c r="A11" s="5"/>
      <c r="B11" s="42" t="s">
        <v>190</v>
      </c>
      <c r="C11" s="43" t="n">
        <f aca="false">C5+C10</f>
        <v>4525250</v>
      </c>
      <c r="D11" s="43" t="n">
        <f aca="false">D5+D10</f>
        <v>3961621.25</v>
      </c>
      <c r="E11" s="43" t="n">
        <f aca="false">E5+E10</f>
        <v>3317966.93125</v>
      </c>
      <c r="F11" s="43" t="n">
        <f aca="false">F5+F10</f>
        <v>2603838.52728125</v>
      </c>
      <c r="G11" s="43" t="n">
        <f aca="false">G5+G10</f>
        <v>1845124.78237203</v>
      </c>
    </row>
    <row r="12" customFormat="false" ht="15" hidden="false" customHeight="false" outlineLevel="0" collapsed="false">
      <c r="A12" s="5"/>
      <c r="B12" s="6" t="s">
        <v>191</v>
      </c>
      <c r="C12" s="22" t="n">
        <f aca="false">Base_Capital</f>
        <v>5000000</v>
      </c>
      <c r="D12" s="22" t="n">
        <f aca="false">C13</f>
        <v>5000000</v>
      </c>
      <c r="E12" s="22" t="n">
        <f aca="false">D13</f>
        <v>5000000</v>
      </c>
      <c r="F12" s="22" t="n">
        <f aca="false">E13</f>
        <v>5000000</v>
      </c>
      <c r="G12" s="22" t="n">
        <f aca="false">F13</f>
        <v>5000000</v>
      </c>
    </row>
    <row r="13" customFormat="false" ht="15" hidden="false" customHeight="false" outlineLevel="0" collapsed="false">
      <c r="A13" s="5"/>
      <c r="B13" s="44" t="s">
        <v>192</v>
      </c>
      <c r="C13" s="45" t="n">
        <f aca="false">MAX(C11,C12)</f>
        <v>5000000</v>
      </c>
      <c r="D13" s="45" t="n">
        <f aca="false">MAX(D11,D12)</f>
        <v>5000000</v>
      </c>
      <c r="E13" s="45" t="n">
        <f aca="false">MAX(E11,E12)</f>
        <v>5000000</v>
      </c>
      <c r="F13" s="45" t="n">
        <f aca="false">MAX(F11,F12)</f>
        <v>5000000</v>
      </c>
      <c r="G13" s="45" t="n">
        <f aca="false">MAX(G11,G12)</f>
        <v>5000000</v>
      </c>
    </row>
    <row r="14" customFormat="false" ht="15" hidden="false" customHeight="false" outlineLevel="0" collapsed="false">
      <c r="A14" s="5"/>
      <c r="B14" s="36" t="s">
        <v>193</v>
      </c>
      <c r="C14" s="38"/>
      <c r="D14" s="38"/>
      <c r="E14" s="38"/>
      <c r="F14" s="38"/>
      <c r="G14" s="38"/>
    </row>
    <row r="15" customFormat="false" ht="15" hidden="false" customHeight="false" outlineLevel="0" collapsed="false">
      <c r="A15" s="5"/>
      <c r="B15" s="6" t="s">
        <v>193</v>
      </c>
      <c r="C15" s="22" t="n">
        <f aca="false">MAX(0,(C11-C12)*Perf_Fee_Rate)</f>
        <v>0</v>
      </c>
      <c r="D15" s="22" t="n">
        <f aca="false">MAX(0,(D11-D12)*Perf_Fee_Rate)</f>
        <v>0</v>
      </c>
      <c r="E15" s="22" t="n">
        <f aca="false">MAX(0,(E11-E12)*Perf_Fee_Rate)</f>
        <v>0</v>
      </c>
      <c r="F15" s="22" t="n">
        <f aca="false">MAX(0,(F11-F12)*Perf_Fee_Rate)</f>
        <v>0</v>
      </c>
      <c r="G15" s="22" t="n">
        <f aca="false">MAX(0,(G11-G12)*Perf_Fee_Rate)</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55A11"/>
    <pageSetUpPr fitToPage="false"/>
  </sheetPr>
  <dimension ref="A1:G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3" t="s">
        <v>194</v>
      </c>
      <c r="C2" s="5"/>
      <c r="D2" s="5"/>
      <c r="E2" s="5"/>
      <c r="F2" s="5"/>
      <c r="G2" s="5"/>
    </row>
    <row r="3" customFormat="false" ht="15" hidden="false" customHeight="false" outlineLevel="0" collapsed="false">
      <c r="A3" s="5"/>
      <c r="B3" s="34" t="s">
        <v>195</v>
      </c>
      <c r="C3" s="35" t="s">
        <v>133</v>
      </c>
      <c r="D3" s="35" t="s">
        <v>134</v>
      </c>
      <c r="E3" s="35" t="s">
        <v>135</v>
      </c>
      <c r="F3" s="35" t="s">
        <v>136</v>
      </c>
      <c r="G3" s="35" t="s">
        <v>137</v>
      </c>
    </row>
    <row r="4" customFormat="false" ht="15" hidden="false" customHeight="false" outlineLevel="0" collapsed="false">
      <c r="A4" s="5"/>
      <c r="B4" s="36" t="s">
        <v>196</v>
      </c>
      <c r="C4" s="37" t="n">
        <v>1</v>
      </c>
      <c r="D4" s="37" t="n">
        <v>2</v>
      </c>
      <c r="E4" s="37" t="n">
        <v>3</v>
      </c>
      <c r="F4" s="37" t="n">
        <v>4</v>
      </c>
      <c r="G4" s="37" t="n">
        <v>5</v>
      </c>
    </row>
    <row r="5" customFormat="false" ht="15" hidden="false" customHeight="false" outlineLevel="0" collapsed="false">
      <c r="A5" s="5"/>
      <c r="B5" s="6" t="s">
        <v>197</v>
      </c>
      <c r="C5" s="22" t="n">
        <f aca="false">Pair_Returns!C18</f>
        <v>329250</v>
      </c>
      <c r="D5" s="22" t="n">
        <f aca="false">Pair_Returns!D18</f>
        <v>329250</v>
      </c>
      <c r="E5" s="22" t="n">
        <f aca="false">Pair_Returns!E18</f>
        <v>329250</v>
      </c>
      <c r="F5" s="22" t="n">
        <f aca="false">Pair_Returns!F18</f>
        <v>329250</v>
      </c>
      <c r="G5" s="22" t="n">
        <f aca="false">Pair_Returns!G18</f>
        <v>329250</v>
      </c>
    </row>
    <row r="6" customFormat="false" ht="15" hidden="false" customHeight="false" outlineLevel="0" collapsed="false">
      <c r="A6" s="5"/>
      <c r="B6" s="6" t="s">
        <v>198</v>
      </c>
      <c r="C6" s="22" t="n">
        <f aca="false">Pair_Returns!C26</f>
        <v>408750</v>
      </c>
      <c r="D6" s="22" t="n">
        <f aca="false">Pair_Returns!D26</f>
        <v>333750</v>
      </c>
      <c r="E6" s="22" t="n">
        <f aca="false">Pair_Returns!E26</f>
        <v>276750</v>
      </c>
      <c r="F6" s="22" t="n">
        <f aca="false">Pair_Returns!F26</f>
        <v>228750</v>
      </c>
      <c r="G6" s="22" t="n">
        <f aca="false">Pair_Returns!G26</f>
        <v>206250</v>
      </c>
    </row>
    <row r="7" customFormat="false" ht="15" hidden="false" customHeight="false" outlineLevel="0" collapsed="false">
      <c r="A7" s="5"/>
      <c r="B7" s="6" t="s">
        <v>199</v>
      </c>
      <c r="C7" s="22" t="n">
        <f aca="false">Roll_Yield!C11</f>
        <v>242250</v>
      </c>
      <c r="D7" s="22" t="n">
        <f aca="false">Roll_Yield!D11</f>
        <v>242250</v>
      </c>
      <c r="E7" s="22" t="n">
        <f aca="false">Roll_Yield!E11</f>
        <v>242250</v>
      </c>
      <c r="F7" s="22" t="n">
        <f aca="false">Roll_Yield!F11</f>
        <v>242250</v>
      </c>
      <c r="G7" s="22" t="n">
        <f aca="false">Roll_Yield!G11</f>
        <v>242250</v>
      </c>
    </row>
    <row r="8" customFormat="false" ht="15" hidden="false" customHeight="false" outlineLevel="0" collapsed="false">
      <c r="A8" s="5"/>
      <c r="B8" s="39" t="s">
        <v>200</v>
      </c>
      <c r="C8" s="40" t="n">
        <f aca="false">SUM(C5:C7)</f>
        <v>980250</v>
      </c>
      <c r="D8" s="40" t="n">
        <f aca="false">SUM(D5:D7)</f>
        <v>905250</v>
      </c>
      <c r="E8" s="40" t="n">
        <f aca="false">SUM(E5:E7)</f>
        <v>848250</v>
      </c>
      <c r="F8" s="40" t="n">
        <f aca="false">SUM(F5:F7)</f>
        <v>800250</v>
      </c>
      <c r="G8" s="40" t="n">
        <f aca="false">SUM(G5:G7)</f>
        <v>777750</v>
      </c>
    </row>
    <row r="9" customFormat="false" ht="15" hidden="false" customHeight="false" outlineLevel="0" collapsed="false">
      <c r="A9" s="5"/>
      <c r="B9" s="36" t="s">
        <v>201</v>
      </c>
      <c r="C9" s="38"/>
      <c r="D9" s="38"/>
      <c r="E9" s="38"/>
      <c r="F9" s="38"/>
      <c r="G9" s="38"/>
    </row>
    <row r="10" customFormat="false" ht="15" hidden="false" customHeight="false" outlineLevel="0" collapsed="false">
      <c r="A10" s="5"/>
      <c r="B10" s="6" t="s">
        <v>202</v>
      </c>
      <c r="C10" s="22" t="n">
        <f aca="false">(Leverage_Multiple-1)*Base_Capital*Financing_Rate</f>
        <v>680000</v>
      </c>
      <c r="D10" s="22" t="n">
        <f aca="false">(Leverage_Multiple-1)*Base_Capital*Financing_Rate</f>
        <v>680000</v>
      </c>
      <c r="E10" s="22" t="n">
        <f aca="false">(Leverage_Multiple-1)*Base_Capital*Financing_Rate</f>
        <v>680000</v>
      </c>
      <c r="F10" s="22" t="n">
        <f aca="false">(Leverage_Multiple-1)*Base_Capital*Financing_Rate</f>
        <v>680000</v>
      </c>
      <c r="G10" s="22" t="n">
        <f aca="false">(Leverage_Multiple-1)*Base_Capital*Financing_Rate</f>
        <v>680000</v>
      </c>
    </row>
    <row r="11" customFormat="false" ht="15" hidden="false" customHeight="false" outlineLevel="0" collapsed="false">
      <c r="A11" s="5"/>
      <c r="B11" s="6" t="s">
        <v>203</v>
      </c>
      <c r="C11" s="22" t="n">
        <f aca="false">Fee_Income!C6</f>
        <v>75000</v>
      </c>
      <c r="D11" s="22" t="n">
        <f aca="false">Fee_Income!D6</f>
        <v>67878.75</v>
      </c>
      <c r="E11" s="22" t="n">
        <f aca="false">Fee_Income!E6</f>
        <v>59274.31875</v>
      </c>
      <c r="F11" s="22" t="n">
        <f aca="false">Fee_Income!F6</f>
        <v>49469.50396875</v>
      </c>
      <c r="G11" s="22" t="n">
        <f aca="false">Fee_Income!G6</f>
        <v>38607.5779092187</v>
      </c>
    </row>
    <row r="12" customFormat="false" ht="15" hidden="false" customHeight="false" outlineLevel="0" collapsed="false">
      <c r="A12" s="5"/>
      <c r="B12" s="6" t="s">
        <v>204</v>
      </c>
      <c r="C12" s="22" t="n">
        <f aca="false">Fee_Income!C15</f>
        <v>0</v>
      </c>
      <c r="D12" s="22" t="n">
        <f aca="false">Fee_Income!D15</f>
        <v>0</v>
      </c>
      <c r="E12" s="22" t="n">
        <f aca="false">Fee_Income!E15</f>
        <v>0</v>
      </c>
      <c r="F12" s="22" t="n">
        <f aca="false">Fee_Income!F15</f>
        <v>0</v>
      </c>
      <c r="G12" s="22" t="n">
        <f aca="false">Fee_Income!G15</f>
        <v>0</v>
      </c>
    </row>
    <row r="13" customFormat="false" ht="15" hidden="false" customHeight="false" outlineLevel="0" collapsed="false">
      <c r="A13" s="5"/>
      <c r="B13" s="36" t="s">
        <v>205</v>
      </c>
      <c r="C13" s="38"/>
      <c r="D13" s="38"/>
      <c r="E13" s="38"/>
      <c r="F13" s="38"/>
      <c r="G13" s="38"/>
    </row>
    <row r="14" customFormat="false" ht="15" hidden="false" customHeight="false" outlineLevel="0" collapsed="false">
      <c r="A14" s="5"/>
      <c r="B14" s="6" t="s">
        <v>206</v>
      </c>
      <c r="C14" s="22" t="n">
        <f aca="false">Opex_Staff*(1+Opex_Growth_Rate)^0</f>
        <v>450000</v>
      </c>
      <c r="D14" s="22" t="n">
        <f aca="false">Opex_Staff*(1+Opex_Growth_Rate)^1</f>
        <v>463500</v>
      </c>
      <c r="E14" s="22" t="n">
        <f aca="false">Opex_Staff*(1+Opex_Growth_Rate)^2</f>
        <v>477405</v>
      </c>
      <c r="F14" s="22" t="n">
        <f aca="false">Opex_Staff*(1+Opex_Growth_Rate)^3</f>
        <v>491727.15</v>
      </c>
      <c r="G14" s="22" t="n">
        <f aca="false">Opex_Staff*(1+Opex_Growth_Rate)^4</f>
        <v>506478.9645</v>
      </c>
    </row>
    <row r="15" customFormat="false" ht="15" hidden="false" customHeight="false" outlineLevel="0" collapsed="false">
      <c r="A15" s="5"/>
      <c r="B15" s="6" t="s">
        <v>207</v>
      </c>
      <c r="C15" s="22" t="n">
        <f aca="false">Opex_Tech*(1+Opex_Growth_Rate)^0</f>
        <v>120000</v>
      </c>
      <c r="D15" s="22" t="n">
        <f aca="false">Opex_Tech*(1+Opex_Growth_Rate)^1</f>
        <v>123600</v>
      </c>
      <c r="E15" s="22" t="n">
        <f aca="false">Opex_Tech*(1+Opex_Growth_Rate)^2</f>
        <v>127308</v>
      </c>
      <c r="F15" s="22" t="n">
        <f aca="false">Opex_Tech*(1+Opex_Growth_Rate)^3</f>
        <v>131127.24</v>
      </c>
      <c r="G15" s="22" t="n">
        <f aca="false">Opex_Tech*(1+Opex_Growth_Rate)^4</f>
        <v>135061.0572</v>
      </c>
    </row>
    <row r="16" customFormat="false" ht="15" hidden="false" customHeight="false" outlineLevel="0" collapsed="false">
      <c r="A16" s="5"/>
      <c r="B16" s="6" t="s">
        <v>208</v>
      </c>
      <c r="C16" s="22" t="n">
        <f aca="false">Opex_Compliance*(1+Opex_Growth_Rate)^0</f>
        <v>80000</v>
      </c>
      <c r="D16" s="22" t="n">
        <f aca="false">Opex_Compliance*(1+Opex_Growth_Rate)^1</f>
        <v>82400</v>
      </c>
      <c r="E16" s="22" t="n">
        <f aca="false">Opex_Compliance*(1+Opex_Growth_Rate)^2</f>
        <v>84872</v>
      </c>
      <c r="F16" s="22" t="n">
        <f aca="false">Opex_Compliance*(1+Opex_Growth_Rate)^3</f>
        <v>87418.16</v>
      </c>
      <c r="G16" s="22" t="n">
        <f aca="false">Opex_Compliance*(1+Opex_Growth_Rate)^4</f>
        <v>90040.7048</v>
      </c>
    </row>
    <row r="17" customFormat="false" ht="15" hidden="false" customHeight="false" outlineLevel="0" collapsed="false">
      <c r="A17" s="5"/>
      <c r="B17" s="6" t="s">
        <v>209</v>
      </c>
      <c r="C17" s="22" t="n">
        <f aca="false">Opex_Admin*(1+Opex_Growth_Rate)^0</f>
        <v>50000</v>
      </c>
      <c r="D17" s="22" t="n">
        <f aca="false">Opex_Admin*(1+Opex_Growth_Rate)^1</f>
        <v>51500</v>
      </c>
      <c r="E17" s="22" t="n">
        <f aca="false">Opex_Admin*(1+Opex_Growth_Rate)^2</f>
        <v>53045</v>
      </c>
      <c r="F17" s="22" t="n">
        <f aca="false">Opex_Admin*(1+Opex_Growth_Rate)^3</f>
        <v>54636.35</v>
      </c>
      <c r="G17" s="22" t="n">
        <f aca="false">Opex_Admin*(1+Opex_Growth_Rate)^4</f>
        <v>56275.4405</v>
      </c>
    </row>
    <row r="18" customFormat="false" ht="15" hidden="false" customHeight="false" outlineLevel="0" collapsed="false">
      <c r="A18" s="5"/>
      <c r="B18" s="39" t="s">
        <v>210</v>
      </c>
      <c r="C18" s="40" t="n">
        <f aca="false">SUM(C14:C17)</f>
        <v>700000</v>
      </c>
      <c r="D18" s="40" t="n">
        <f aca="false">SUM(D14:D17)</f>
        <v>721000</v>
      </c>
      <c r="E18" s="40" t="n">
        <f aca="false">SUM(E14:E17)</f>
        <v>742630</v>
      </c>
      <c r="F18" s="40" t="n">
        <f aca="false">SUM(F14:F17)</f>
        <v>764908.9</v>
      </c>
      <c r="G18" s="40" t="n">
        <f aca="false">SUM(G14:G17)</f>
        <v>787856.167</v>
      </c>
    </row>
    <row r="19" customFormat="false" ht="15" hidden="false" customHeight="false" outlineLevel="0" collapsed="false">
      <c r="A19" s="5"/>
      <c r="B19" s="36" t="s">
        <v>211</v>
      </c>
      <c r="C19" s="38"/>
      <c r="D19" s="38"/>
      <c r="E19" s="38"/>
      <c r="F19" s="38"/>
      <c r="G19" s="38"/>
    </row>
    <row r="20" customFormat="false" ht="15" hidden="false" customHeight="false" outlineLevel="0" collapsed="false">
      <c r="A20" s="5"/>
      <c r="B20" s="39" t="s">
        <v>212</v>
      </c>
      <c r="C20" s="40" t="n">
        <f aca="false">C8-C10-C11-C12-C18</f>
        <v>-474750</v>
      </c>
      <c r="D20" s="40" t="n">
        <f aca="false">D8-D10-D11-D12-D18</f>
        <v>-563628.75</v>
      </c>
      <c r="E20" s="40" t="n">
        <f aca="false">E8-E10-E11-E12-E18</f>
        <v>-633654.31875</v>
      </c>
      <c r="F20" s="40" t="n">
        <f aca="false">F8-F10-F11-F12-F18</f>
        <v>-694128.40396875</v>
      </c>
      <c r="G20" s="40" t="n">
        <f aca="false">G8-G10-G11-G12-G18</f>
        <v>-728713.744909219</v>
      </c>
    </row>
    <row r="21" customFormat="false" ht="15" hidden="false" customHeight="false" outlineLevel="0" collapsed="false">
      <c r="A21" s="5"/>
      <c r="B21" s="6" t="s">
        <v>213</v>
      </c>
      <c r="C21" s="22" t="n">
        <f aca="false">Capex_Depreciation!C8</f>
        <v>0</v>
      </c>
      <c r="D21" s="22" t="n">
        <f aca="false">Capex_Depreciation!D8</f>
        <v>10000</v>
      </c>
      <c r="E21" s="22" t="n">
        <f aca="false">Capex_Depreciation!E8</f>
        <v>20000</v>
      </c>
      <c r="F21" s="22" t="n">
        <f aca="false">Capex_Depreciation!F8</f>
        <v>30000</v>
      </c>
      <c r="G21" s="22" t="n">
        <f aca="false">Capex_Depreciation!G8</f>
        <v>40000</v>
      </c>
    </row>
    <row r="22" customFormat="false" ht="15" hidden="false" customHeight="false" outlineLevel="0" collapsed="false">
      <c r="A22" s="5"/>
      <c r="B22" s="39" t="s">
        <v>214</v>
      </c>
      <c r="C22" s="40" t="n">
        <f aca="false">C20-C21</f>
        <v>-474750</v>
      </c>
      <c r="D22" s="40" t="n">
        <f aca="false">D20-D21</f>
        <v>-573628.75</v>
      </c>
      <c r="E22" s="40" t="n">
        <f aca="false">E20-E21</f>
        <v>-653654.31875</v>
      </c>
      <c r="F22" s="40" t="n">
        <f aca="false">F20-F21</f>
        <v>-724128.40396875</v>
      </c>
      <c r="G22" s="40" t="n">
        <f aca="false">G20-G21</f>
        <v>-768713.744909219</v>
      </c>
    </row>
    <row r="23" customFormat="false" ht="15" hidden="false" customHeight="false" outlineLevel="0" collapsed="false">
      <c r="A23" s="5"/>
      <c r="B23" s="36" t="s">
        <v>215</v>
      </c>
      <c r="C23" s="38"/>
      <c r="D23" s="38"/>
      <c r="E23" s="38"/>
      <c r="F23" s="38"/>
      <c r="G23" s="38"/>
    </row>
    <row r="24" customFormat="false" ht="15" hidden="false" customHeight="false" outlineLevel="0" collapsed="false">
      <c r="A24" s="5"/>
      <c r="B24" s="6" t="s">
        <v>216</v>
      </c>
      <c r="C24" s="22" t="n">
        <f aca="false">C22</f>
        <v>-474750</v>
      </c>
      <c r="D24" s="22" t="n">
        <f aca="false">D22</f>
        <v>-573628.75</v>
      </c>
      <c r="E24" s="22" t="n">
        <f aca="false">E22</f>
        <v>-653654.31875</v>
      </c>
      <c r="F24" s="22" t="n">
        <f aca="false">F22</f>
        <v>-724128.40396875</v>
      </c>
      <c r="G24" s="22" t="n">
        <f aca="false">G22</f>
        <v>-768713.744909219</v>
      </c>
    </row>
    <row r="25" customFormat="false" ht="15" hidden="false" customHeight="false" outlineLevel="0" collapsed="false">
      <c r="A25" s="5"/>
      <c r="B25" s="6" t="s">
        <v>217</v>
      </c>
      <c r="C25" s="22" t="n">
        <f aca="false">MAX(0,C24*Tax_Rate)</f>
        <v>0</v>
      </c>
      <c r="D25" s="22" t="n">
        <f aca="false">MAX(0,D24*Tax_Rate)</f>
        <v>0</v>
      </c>
      <c r="E25" s="22" t="n">
        <f aca="false">MAX(0,E24*Tax_Rate)</f>
        <v>0</v>
      </c>
      <c r="F25" s="22" t="n">
        <f aca="false">MAX(0,F24*Tax_Rate)</f>
        <v>0</v>
      </c>
      <c r="G25" s="22" t="n">
        <f aca="false">MAX(0,G24*Tax_Rate)</f>
        <v>0</v>
      </c>
    </row>
    <row r="26" customFormat="false" ht="15" hidden="false" customHeight="false" outlineLevel="0" collapsed="false">
      <c r="A26" s="5"/>
      <c r="B26" s="46" t="s">
        <v>218</v>
      </c>
      <c r="C26" s="47" t="n">
        <f aca="false">C24-C25</f>
        <v>-474750</v>
      </c>
      <c r="D26" s="47" t="n">
        <f aca="false">D24-D25</f>
        <v>-573628.75</v>
      </c>
      <c r="E26" s="47" t="n">
        <f aca="false">E24-E25</f>
        <v>-653654.31875</v>
      </c>
      <c r="F26" s="47" t="n">
        <f aca="false">F24-F25</f>
        <v>-724128.40396875</v>
      </c>
      <c r="G26" s="47" t="n">
        <f aca="false">G24-G25</f>
        <v>-768713.744909219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55A11"/>
    <pageSetUpPr fitToPage="false"/>
  </sheetPr>
  <dimension ref="A1:G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33" t="s">
        <v>219</v>
      </c>
      <c r="C2" s="5"/>
      <c r="D2" s="5"/>
      <c r="E2" s="5"/>
      <c r="F2" s="5"/>
      <c r="G2" s="5"/>
    </row>
    <row r="3" customFormat="false" ht="15" hidden="false" customHeight="false" outlineLevel="0" collapsed="false">
      <c r="A3" s="5"/>
      <c r="B3" s="34" t="s">
        <v>220</v>
      </c>
      <c r="C3" s="35" t="s">
        <v>133</v>
      </c>
      <c r="D3" s="35" t="s">
        <v>134</v>
      </c>
      <c r="E3" s="35" t="s">
        <v>135</v>
      </c>
      <c r="F3" s="35" t="s">
        <v>136</v>
      </c>
      <c r="G3" s="35" t="s">
        <v>137</v>
      </c>
    </row>
    <row r="4" customFormat="false" ht="15" hidden="false" customHeight="false" outlineLevel="0" collapsed="false">
      <c r="A4" s="5"/>
      <c r="B4" s="36" t="s">
        <v>221</v>
      </c>
      <c r="C4" s="37" t="n">
        <v>1</v>
      </c>
      <c r="D4" s="37" t="n">
        <v>2</v>
      </c>
      <c r="E4" s="37" t="n">
        <v>3</v>
      </c>
      <c r="F4" s="37" t="n">
        <v>4</v>
      </c>
      <c r="G4" s="37" t="n">
        <v>5</v>
      </c>
    </row>
    <row r="5" customFormat="false" ht="15" hidden="false" customHeight="false" outlineLevel="0" collapsed="false">
      <c r="A5" s="5"/>
      <c r="B5" s="6" t="s">
        <v>222</v>
      </c>
      <c r="C5" s="22" t="n">
        <f aca="false">Base_Capital-Total_Notional*Margin_Rate</f>
        <v>4250000</v>
      </c>
      <c r="D5" s="22" t="n">
        <f aca="false">C6</f>
        <v>3745250</v>
      </c>
      <c r="E5" s="22" t="n">
        <f aca="false">D6</f>
        <v>3151621.25</v>
      </c>
      <c r="F5" s="22" t="n">
        <f aca="false">E6</f>
        <v>2487966.93125</v>
      </c>
      <c r="G5" s="22" t="n">
        <f aca="false">F6</f>
        <v>1763838.52728125</v>
      </c>
    </row>
    <row r="6" customFormat="false" ht="15" hidden="false" customHeight="false" outlineLevel="0" collapsed="false">
      <c r="A6" s="5"/>
      <c r="B6" s="6" t="s">
        <v>223</v>
      </c>
      <c r="C6" s="22" t="n">
        <f aca="false">CF_Closing_Cash_Y1</f>
        <v>3745250</v>
      </c>
      <c r="D6" s="22" t="n">
        <f aca="false">CF_Closing_Cash_Y2</f>
        <v>3151621.25</v>
      </c>
      <c r="E6" s="22" t="n">
        <f aca="false">CF_Closing_Cash_Y3</f>
        <v>2487966.93125</v>
      </c>
      <c r="F6" s="22" t="n">
        <f aca="false">CF_Closing_Cash_Y4</f>
        <v>1763838.52728125</v>
      </c>
      <c r="G6" s="22" t="n">
        <f aca="false">CF_Closing_Cash_Y5</f>
        <v>1005124.78237203</v>
      </c>
    </row>
    <row r="7" customFormat="false" ht="15" hidden="false" customHeight="false" outlineLevel="0" collapsed="false">
      <c r="A7" s="5"/>
      <c r="B7" s="6" t="s">
        <v>224</v>
      </c>
      <c r="C7" s="22" t="n">
        <f aca="false">Total_Notional*Margin_Rate</f>
        <v>750000</v>
      </c>
      <c r="D7" s="22" t="n">
        <f aca="false">Total_Notional*Margin_Rate</f>
        <v>750000</v>
      </c>
      <c r="E7" s="22" t="n">
        <f aca="false">Total_Notional*Margin_Rate</f>
        <v>750000</v>
      </c>
      <c r="F7" s="22" t="n">
        <f aca="false">Total_Notional*Margin_Rate</f>
        <v>750000</v>
      </c>
      <c r="G7" s="22" t="n">
        <f aca="false">Total_Notional*Margin_Rate</f>
        <v>750000</v>
      </c>
    </row>
    <row r="8" customFormat="false" ht="15" hidden="false" customHeight="false" outlineLevel="0" collapsed="false">
      <c r="A8" s="5"/>
      <c r="B8" s="6" t="s">
        <v>225</v>
      </c>
      <c r="C8" s="22" t="n">
        <f aca="false">Capex_Depreciation!C11</f>
        <v>30000</v>
      </c>
      <c r="D8" s="22" t="n">
        <f aca="false">Capex_Depreciation!D11</f>
        <v>50000</v>
      </c>
      <c r="E8" s="22" t="n">
        <f aca="false">Capex_Depreciation!E11</f>
        <v>60000</v>
      </c>
      <c r="F8" s="22" t="n">
        <f aca="false">Capex_Depreciation!F11</f>
        <v>60000</v>
      </c>
      <c r="G8" s="22" t="n">
        <f aca="false">Capex_Depreciation!G11</f>
        <v>50000</v>
      </c>
    </row>
    <row r="9" customFormat="false" ht="15" hidden="false" customHeight="false" outlineLevel="0" collapsed="false">
      <c r="A9" s="5"/>
      <c r="B9" s="46" t="s">
        <v>226</v>
      </c>
      <c r="C9" s="47" t="n">
        <f aca="false">C6+C7+C8</f>
        <v>4525250</v>
      </c>
      <c r="D9" s="47" t="n">
        <f aca="false">D6+D7+D8</f>
        <v>3951621.25</v>
      </c>
      <c r="E9" s="47" t="n">
        <f aca="false">E6+E7+E8</f>
        <v>3297966.93125</v>
      </c>
      <c r="F9" s="47" t="n">
        <f aca="false">F6+F7+F8</f>
        <v>2573838.52728125</v>
      </c>
      <c r="G9" s="47" t="n">
        <f aca="false">G6+G7+G8</f>
        <v>1805124.78237203</v>
      </c>
    </row>
    <row r="10" customFormat="false" ht="15" hidden="false" customHeight="false" outlineLevel="0" collapsed="false">
      <c r="A10" s="5"/>
      <c r="B10" s="36" t="s">
        <v>227</v>
      </c>
      <c r="C10" s="38"/>
      <c r="D10" s="38"/>
      <c r="E10" s="38"/>
      <c r="F10" s="38"/>
      <c r="G10" s="38"/>
    </row>
    <row r="11" customFormat="false" ht="15" hidden="false" customHeight="false" outlineLevel="0" collapsed="false">
      <c r="A11" s="5"/>
      <c r="B11" s="44" t="s">
        <v>228</v>
      </c>
      <c r="C11" s="45" t="n">
        <f aca="false">0</f>
        <v>0</v>
      </c>
      <c r="D11" s="45" t="n">
        <f aca="false">0</f>
        <v>0</v>
      </c>
      <c r="E11" s="45" t="n">
        <f aca="false">0</f>
        <v>0</v>
      </c>
      <c r="F11" s="45" t="n">
        <f aca="false">0</f>
        <v>0</v>
      </c>
      <c r="G11" s="45" t="n">
        <f aca="false">0</f>
        <v>0</v>
      </c>
    </row>
    <row r="12" customFormat="false" ht="15" hidden="false" customHeight="false" outlineLevel="0" collapsed="false">
      <c r="A12" s="5"/>
      <c r="B12" s="36" t="s">
        <v>229</v>
      </c>
      <c r="C12" s="38"/>
      <c r="D12" s="38"/>
      <c r="E12" s="38"/>
      <c r="F12" s="38"/>
      <c r="G12" s="38"/>
    </row>
    <row r="13" customFormat="false" ht="15" hidden="false" customHeight="false" outlineLevel="0" collapsed="false">
      <c r="A13" s="5"/>
      <c r="B13" s="6" t="s">
        <v>184</v>
      </c>
      <c r="C13" s="22" t="n">
        <f aca="false">Base_Capital</f>
        <v>5000000</v>
      </c>
      <c r="D13" s="22" t="n">
        <f aca="false">C17</f>
        <v>4525250</v>
      </c>
      <c r="E13" s="22" t="n">
        <f aca="false">D17</f>
        <v>3951621.25</v>
      </c>
      <c r="F13" s="22" t="n">
        <f aca="false">E17</f>
        <v>3297966.93125</v>
      </c>
      <c r="G13" s="22" t="n">
        <f aca="false">F17</f>
        <v>2573838.52728125</v>
      </c>
    </row>
    <row r="14" customFormat="false" ht="15" hidden="false" customHeight="false" outlineLevel="0" collapsed="false">
      <c r="A14" s="5"/>
      <c r="B14" s="6" t="s">
        <v>230</v>
      </c>
      <c r="C14" s="22" t="n">
        <f aca="false">Income_Statement!C26</f>
        <v>-474750</v>
      </c>
      <c r="D14" s="22" t="n">
        <f aca="false">Income_Statement!D26</f>
        <v>-573628.75</v>
      </c>
      <c r="E14" s="22" t="n">
        <f aca="false">Income_Statement!E26</f>
        <v>-653654.31875</v>
      </c>
      <c r="F14" s="22" t="n">
        <f aca="false">Income_Statement!F26</f>
        <v>-724128.40396875</v>
      </c>
      <c r="G14" s="22" t="n">
        <f aca="false">Income_Statement!G26</f>
        <v>-768713.744909219</v>
      </c>
    </row>
    <row r="15" customFormat="false" ht="15" hidden="false" customHeight="false" outlineLevel="0" collapsed="false">
      <c r="A15" s="5"/>
      <c r="B15" s="6" t="s">
        <v>231</v>
      </c>
      <c r="C15" s="22" t="n">
        <f aca="false">MAX(0,Income_Statement!C26)*Distribution_Rate</f>
        <v>0</v>
      </c>
      <c r="D15" s="22" t="n">
        <f aca="false">MAX(0,Income_Statement!D26)*Distribution_Rate</f>
        <v>0</v>
      </c>
      <c r="E15" s="22" t="n">
        <f aca="false">MAX(0,Income_Statement!E26)*Distribution_Rate</f>
        <v>0</v>
      </c>
      <c r="F15" s="22" t="n">
        <f aca="false">MAX(0,Income_Statement!F26)*Distribution_Rate</f>
        <v>0</v>
      </c>
      <c r="G15" s="22" t="n">
        <f aca="false">MAX(0,Income_Statement!G26)*Distribution_Rate</f>
        <v>0</v>
      </c>
    </row>
    <row r="16" customFormat="false" ht="15" hidden="false" customHeight="false" outlineLevel="0" collapsed="false">
      <c r="A16" s="5"/>
      <c r="B16" s="6" t="s">
        <v>232</v>
      </c>
      <c r="C16" s="22" t="n">
        <f aca="false">Assumptions!C11</f>
        <v>0</v>
      </c>
      <c r="D16" s="22" t="n">
        <f aca="false">Assumptions!D11</f>
        <v>0</v>
      </c>
      <c r="E16" s="22" t="n">
        <f aca="false">Assumptions!E11</f>
        <v>0</v>
      </c>
      <c r="F16" s="22" t="n">
        <f aca="false">Assumptions!F11</f>
        <v>0</v>
      </c>
      <c r="G16" s="22" t="n">
        <f aca="false">Assumptions!G11</f>
        <v>0</v>
      </c>
    </row>
    <row r="17" customFormat="false" ht="15" hidden="false" customHeight="false" outlineLevel="0" collapsed="false">
      <c r="A17" s="5"/>
      <c r="B17" s="39" t="s">
        <v>233</v>
      </c>
      <c r="C17" s="40" t="n">
        <f aca="false">C13+C14-C15+C16</f>
        <v>4525250</v>
      </c>
      <c r="D17" s="40" t="n">
        <f aca="false">D13+D14-D15+D16</f>
        <v>3951621.25</v>
      </c>
      <c r="E17" s="40" t="n">
        <f aca="false">E13+E14-E15+E16</f>
        <v>3297966.93125</v>
      </c>
      <c r="F17" s="40" t="n">
        <f aca="false">F13+F14-F15+F16</f>
        <v>2573838.52728125</v>
      </c>
      <c r="G17" s="40" t="n">
        <f aca="false">G13+G14-G15+G16</f>
        <v>1805124.78237203</v>
      </c>
    </row>
    <row r="18" customFormat="false" ht="15" hidden="false" customHeight="false" outlineLevel="0" collapsed="false">
      <c r="A18" s="5"/>
      <c r="B18" s="46" t="s">
        <v>234</v>
      </c>
      <c r="C18" s="47" t="n">
        <f aca="false">C11+C17</f>
        <v>4525250</v>
      </c>
      <c r="D18" s="47" t="n">
        <f aca="false">D11+D17</f>
        <v>3951621.25</v>
      </c>
      <c r="E18" s="47" t="n">
        <f aca="false">E11+E17</f>
        <v>3297966.93125</v>
      </c>
      <c r="F18" s="47" t="n">
        <f aca="false">F11+F17</f>
        <v>2573838.52728125</v>
      </c>
      <c r="G18" s="47" t="n">
        <f aca="false">G11+G17</f>
        <v>1805124.78237203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2026-05-15T18:53:15Z</dcterms:created>
  <dc:creator>openpyxl</dc:creator>
  <dc:description/>
  <dc:language>en-GB</dc:language>
  <cp:lastModifiedBy/>
  <dcterms:modified xsi:type="dcterms:W3CDTF">2026-05-15T18:53:15Z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