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Player_Metrics" sheetId="4" state="visible" r:id="rId6"/>
    <sheet name="Revenue_Build" sheetId="5" state="visible" r:id="rId7"/>
    <sheet name="Token_Economy" sheetId="6" state="visible" r:id="rId8"/>
    <sheet name="Operating_Costs" sheetId="7" state="visible" r:id="rId9"/>
    <sheet name="Income_Statement" sheetId="8" state="visible" r:id="rId10"/>
    <sheet name="Balance_Sheet" sheetId="9" state="visible" r:id="rId11"/>
    <sheet name="Cash_Flow" sheetId="10" state="visible" r:id="rId12"/>
    <sheet name="Checks" sheetId="11" state="visible" r:id="rId13"/>
  </sheets>
  <definedNames>
    <definedName function="false" hidden="false" name="Annual_Emission_Pct" vbProcedure="false">Assumptions!$C$37</definedName>
    <definedName function="false" hidden="false" name="Art_Avg_Salary" vbProcedure="false">Assumptions!$C$56</definedName>
    <definedName function="false" hidden="false" name="Art_Headcount" vbProcedure="false">Assumptions!$C$55</definedName>
    <definedName function="false" hidden="false" name="Avg_Mint_Price" vbProcedure="false">Assumptions!$C$23</definedName>
    <definedName function="false" hidden="false" name="Avg_Trades_Per_User" vbProcedure="false">Assumptions!$C$27</definedName>
    <definedName function="false" hidden="false" name="Avg_Trade_Value" vbProcedure="false">Assumptions!$C$28</definedName>
    <definedName function="false" hidden="false" name="Blockchain_HC" vbProcedure="false">Assumptions!$C$59</definedName>
    <definedName function="false" hidden="false" name="Blockchain_Salary" vbProcedure="false">Assumptions!$C$60</definedName>
    <definedName function="false" hidden="false" name="BP_Conversion_Rate" vbProcedure="false">Assumptions!$C$43</definedName>
    <definedName function="false" hidden="false" name="BP_Price" vbProcedure="false">Assumptions!$C$42</definedName>
    <definedName function="false" hidden="false" name="BS_AP" vbProcedure="false">Balance_Sheet!$C$18:$G$18</definedName>
    <definedName function="false" hidden="false" name="BS_AR" vbProcedure="false">Balance_Sheet!$C$9:$G$9</definedName>
    <definedName function="false" hidden="false" name="BS_Total_Assets" vbProcedure="false">Balance_Sheet!$C$15:$G$15</definedName>
    <definedName function="false" hidden="false" name="Buyback_Pct_Rev" vbProcedure="false">Assumptions!$C$39</definedName>
    <definedName function="false" hidden="false" name="Capex_Pct_Rev" vbProcedure="false">Assumptions!$C$68</definedName>
    <definedName function="false" hidden="false" name="CF_CFF" vbProcedure="false">Cash_Flow!$C$22:$G$22</definedName>
    <definedName function="false" hidden="false" name="CF_CFI" vbProcedure="false">Cash_Flow!$C$17:$G$17</definedName>
    <definedName function="false" hidden="false" name="CF_CFO" vbProcedure="false">Cash_Flow!$C$12:$G$12</definedName>
    <definedName function="false" hidden="false" name="CF_Closing_Cash" vbProcedure="false">Cash_Flow!$C$26:$G$26</definedName>
    <definedName function="false" hidden="false" name="CF_Opening_Cash" vbProcedure="false">Cash_Flow!$C$25:$G$25</definedName>
    <definedName function="false" hidden="false" name="Churn_Rate_Monthly" vbProcedure="false">Assumptions!$C$18</definedName>
    <definedName function="false" hidden="false" name="Community_HC" vbProcedure="false">Assumptions!$C$57</definedName>
    <definedName function="false" hidden="false" name="Community_Salary" vbProcedure="false">Assumptions!$C$58</definedName>
    <definedName function="false" hidden="false" name="Creator_Royalty_Pct" vbProcedure="false">Assumptions!$C$50</definedName>
    <definedName function="false" hidden="false" name="DAU_MAU_Ratio" vbProcedure="false">Assumptions!$C$17</definedName>
    <definedName function="false" hidden="false" name="Dev_Avg_Salary" vbProcedure="false">Assumptions!$C$54</definedName>
    <definedName function="false" hidden="false" name="Dev_Headcount" vbProcedure="false">Assumptions!$C$53</definedName>
    <definedName function="false" hidden="false" name="DPO_Days" vbProcedure="false">Assumptions!$C$71</definedName>
    <definedName function="false" hidden="false" name="DSO_Days" vbProcedure="false">Assumptions!$C$70</definedName>
    <definedName function="false" hidden="false" name="Emission_Decay_Rate" vbProcedure="false">Assumptions!$C$38</definedName>
    <definedName function="false" hidden="false" name="Gas_Fee_Pct" vbProcedure="false">Assumptions!$C$47</definedName>
    <definedName function="false" hidden="false" name="GA_Avg_Salary" vbProcedure="false">Assumptions!$C$62</definedName>
    <definedName function="false" hidden="false" name="GA_Headcount" vbProcedure="false">Assumptions!$C$61</definedName>
    <definedName function="false" hidden="false" name="Initial_Circ_Pct" vbProcedure="false">Assumptions!$C$36</definedName>
    <definedName function="false" hidden="false" name="Initial_Equity" vbProcedure="false">Assumptions!$C$74</definedName>
    <definedName function="false" hidden="false" name="Initial_MAU" vbProcedure="false">Assumptions!$C$11</definedName>
    <definedName function="false" hidden="false" name="IS_DA" vbProcedure="false">Income_Statement!$C$16:$G$16</definedName>
    <definedName function="false" hidden="false" name="IS_Gross_Profit" vbProcedure="false">Income_Statement!$C$9:$G$9</definedName>
    <definedName function="false" hidden="false" name="IS_Net_Income" vbProcedure="false">Income_Statement!$C$19:$G$19</definedName>
    <definedName function="false" hidden="false" name="IS_Revenue" vbProcedure="false">Income_Statement!$C$7:$G$7</definedName>
    <definedName function="false" hidden="false" name="Marketing_Pct_Rev" vbProcedure="false">Assumptions!$C$63</definedName>
    <definedName function="false" hidden="false" name="MAU_Growth_Y1" vbProcedure="false">Assumptions!$C$12</definedName>
    <definedName function="false" hidden="false" name="MAU_Growth_Y2" vbProcedure="false">Assumptions!$C$13</definedName>
    <definedName function="false" hidden="false" name="MAU_Growth_Y3" vbProcedure="false">Assumptions!$C$14</definedName>
    <definedName function="false" hidden="false" name="MAU_Growth_Y4" vbProcedure="false">Assumptions!$C$15</definedName>
    <definedName function="false" hidden="false" name="MAU_Growth_Y5" vbProcedure="false">Assumptions!$C$16</definedName>
    <definedName function="false" hidden="false" name="Model_Start_Date" vbProcedure="false">Assumptions!$C$5</definedName>
    <definedName function="false" hidden="false" name="NFT_Drops_Qtr" vbProcedure="false">Assumptions!$C$22</definedName>
    <definedName function="false" hidden="false" name="OC_Total_COGS" vbProcedure="false">Operating_Costs!$C$12:$G$12</definedName>
    <definedName function="false" hidden="false" name="OC_Total_OpEx" vbProcedure="false">Operating_Costs!$C$22:$G$22</definedName>
    <definedName function="false" hidden="false" name="Paying_Conversion" vbProcedure="false">Assumptions!$C$19</definedName>
    <definedName function="false" hidden="false" name="Payment_Proc_Pct" vbProcedure="false">Assumptions!$C$49</definedName>
    <definedName function="false" hidden="false" name="PM_Avg_MAU" vbProcedure="false">Player_Metrics!$C$12:$G$12</definedName>
    <definedName function="false" hidden="false" name="PM_Paying_Users" vbProcedure="false">Player_Metrics!$C$14:$G$14</definedName>
    <definedName function="false" hidden="false" name="Projection_Years" vbProcedure="false">Assumptions!$C$6</definedName>
    <definedName function="false" hidden="false" name="Protocol_Fee_Rate" vbProcedure="false">Assumptions!$C$34</definedName>
    <definedName function="false" hidden="false" name="RB_Mkt_Revenue" vbProcedure="false">Revenue_Build!$C$14:$G$14</definedName>
    <definedName function="false" hidden="false" name="RB_NFT_Revenue" vbProcedure="false">Revenue_Build!$C$10:$G$10</definedName>
    <definedName function="false" hidden="false" name="RB_Token_Revenue" vbProcedure="false">Revenue_Build!$C$18:$G$18</definedName>
    <definedName function="false" hidden="false" name="RB_Total_Revenue" vbProcedure="false">Revenue_Build!$C$24:$G$24</definedName>
    <definedName function="false" hidden="false" name="Salary_Growth_Rate" vbProcedure="false">Assumptions!$C$65</definedName>
    <definedName function="false" hidden="false" name="Seasons_Per_Year" vbProcedure="false">Assumptions!$C$44</definedName>
    <definedName function="false" hidden="false" name="Security_Audit_Cost" vbProcedure="false">Assumptions!$C$64</definedName>
    <definedName function="false" hidden="false" name="Sell_Through_Rate" vbProcedure="false">Assumptions!$C$24</definedName>
    <definedName function="false" hidden="false" name="Server_Cost_Pct" vbProcedure="false">Assumptions!$C$48</definedName>
    <definedName function="false" hidden="false" name="Staking_TVL_Initial" vbProcedure="false">Assumptions!$C$32</definedName>
    <definedName function="false" hidden="false" name="Take_Rate" vbProcedure="false">Assumptions!$C$29</definedName>
    <definedName function="false" hidden="false" name="Tax_Rate" vbProcedure="false">Assumptions!$C$7</definedName>
    <definedName function="false" hidden="false" name="TE_Buyback_Cash" vbProcedure="false">Token_Economy!$C$11:$G$11</definedName>
    <definedName function="false" hidden="false" name="TE_Closing_Circ" vbProcedure="false">Token_Economy!$C$12:$G$12</definedName>
    <definedName function="false" hidden="false" name="Token_Sale_Proceeds" vbProcedure="false">Assumptions!$C$75</definedName>
    <definedName function="false" hidden="false" name="Total_Token_Supply" vbProcedure="false">Assumptions!$C$35</definedName>
    <definedName function="false" hidden="false" name="TVL_Growth_Annual" vbProcedure="false">Assumptions!$C$33</definedName>
    <definedName function="false" hidden="false" name="Useful_Life_Years" vbProcedure="false">Assumptions!$C$69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<sst xmlns="http://schemas.openxmlformats.org/spreadsheetml/2006/main" count="352" uniqueCount="284">
  <si>
    <t xml:space="preserve">GameFi Financial Model</t>
  </si>
  <si>
    <t xml:space="preserve">FINAMODEL.com</t>
  </si>
  <si>
    <t xml:space="preserve">Play-to-Earn Studio</t>
  </si>
  <si>
    <t xml:space="preserve">Company</t>
  </si>
  <si>
    <t xml:space="preserve">GameFi Studio Inc.</t>
  </si>
  <si>
    <t xml:space="preserve">Prepared By</t>
  </si>
  <si>
    <t xml:space="preserve">Financial Modelling Team</t>
  </si>
  <si>
    <t xml:space="preserve">Date</t>
  </si>
  <si>
    <t xml:space="preserve">April 2026</t>
  </si>
  <si>
    <t xml:space="preserve">Currency</t>
  </si>
  <si>
    <t xml:space="preserve">USD ($)</t>
  </si>
  <si>
    <t xml:space="preserve">Sheet Navigation</t>
  </si>
  <si>
    <t xml:space="preserve">Cover</t>
  </si>
  <si>
    <t xml:space="preserve">Title and navigation</t>
  </si>
  <si>
    <t xml:space="preserve">Assumptions</t>
  </si>
  <si>
    <t xml:space="preserve">All model inputs</t>
  </si>
  <si>
    <t xml:space="preserve">Player_Metrics</t>
  </si>
  <si>
    <t xml:space="preserve">MAU, DAU, retention</t>
  </si>
  <si>
    <t xml:space="preserve">Revenue_Build</t>
  </si>
  <si>
    <t xml:space="preserve">NFT, marketplace, token, battle pass</t>
  </si>
  <si>
    <t xml:space="preserve">Token_Economy</t>
  </si>
  <si>
    <t xml:space="preserve">Supply, emissions, buybacks</t>
  </si>
  <si>
    <t xml:space="preserve">Operating_Costs</t>
  </si>
  <si>
    <t xml:space="preserve">COGS and OpEx</t>
  </si>
  <si>
    <t xml:space="preserve">Income_Statement</t>
  </si>
  <si>
    <t xml:space="preserve">P&amp;L summary</t>
  </si>
  <si>
    <t xml:space="preserve">Balance_Sheet</t>
  </si>
  <si>
    <t xml:space="preserve">Assets, liabilities, equity</t>
  </si>
  <si>
    <t xml:space="preserve">Cash_Flow</t>
  </si>
  <si>
    <t xml:space="preserve">CFO, CFI, CFF</t>
  </si>
  <si>
    <t xml:space="preserve">Checks</t>
  </si>
  <si>
    <t xml:space="preserve">Validation checks</t>
  </si>
  <si>
    <t xml:space="preserve">About this model</t>
  </si>
  <si>
    <t xml:space="preserve">This 3-statement model projects five years of cash flow and profitability for a blockchain gaming studio with dual economy: fiat game revenue (IAP, battle pass, NFT royalties) and on-chain token economics (emissions, staking, buybacks). Answer: does the studio reach positive EBITDA by Year 3 and maintain token price stability despite hyperinflationary emission schedules?
The workbook builds revenue bottom-up: MAU waterfall with monthly churn, paying user conversion, ARPPU escalation. Four streams: IAP/NFT sales (5% paying users Ã $12 ARPU in Year 1, growing to 8% Ã $16 by Year 5), battle pass (8% adoption Ã $6/month), NFT marketplace royalties (5% take on $25 average trade value), and staking yield (8% on treasury tokens). Operating expenses scale: game development fixed headcount ramping, sales &amp; marketing 30% Year 1 declining to 18% Year 5, token emissions recognised as non-cash expense then added back in cash flow.
Critical for GameFi studios seeking seed/Series rounds, infrastructure funds evaluating entertainment-sector blockchain plays, and token holders assessing long-term sustainability. The model captures the structural tension: player churn 30â45% monthly for speculation-driven games vs. 5â10% for entertainment-first. Token buyback mechanics control circulating supply and support price floor. EBITDA breakeven by Year 3 is the standard viability checkpoint. Benchmarks: Axie Infinity, Immutable X, Ronin Networkâall post-2023 showing controlled emission schedules (1â3% p.a. inflation).</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</si>
  <si>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</si>
  <si>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</si>
  <si>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</si>
  <si>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</si>
  <si>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</si>
  <si>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General</t>
  </si>
  <si>
    <t xml:space="preserve">Model Start Date</t>
  </si>
  <si>
    <t xml:space="preserve">YYYY-MM-DD</t>
  </si>
  <si>
    <t xml:space="preserve">Projection Years</t>
  </si>
  <si>
    <t xml:space="preserve">years</t>
  </si>
  <si>
    <t xml:space="preserve">Corporate Tax Rate</t>
  </si>
  <si>
    <t xml:space="preserve">US federal</t>
  </si>
  <si>
    <t xml:space="preserve">USD</t>
  </si>
  <si>
    <t xml:space="preserve">Player Metrics</t>
  </si>
  <si>
    <t xml:space="preserve">Initial MAU</t>
  </si>
  <si>
    <t xml:space="preserve">users</t>
  </si>
  <si>
    <t xml:space="preserve">At launch</t>
  </si>
  <si>
    <t xml:space="preserve">MAU Growth Year 1</t>
  </si>
  <si>
    <t xml:space="preserve">High growth post-launch</t>
  </si>
  <si>
    <t xml:space="preserve">MAU Growth Year 2</t>
  </si>
  <si>
    <t xml:space="preserve">Continued expansion</t>
  </si>
  <si>
    <t xml:space="preserve">MAU Growth Year 3</t>
  </si>
  <si>
    <t xml:space="preserve">Maturing</t>
  </si>
  <si>
    <t xml:space="preserve">MAU Growth Year 4</t>
  </si>
  <si>
    <t xml:space="preserve">Steady state</t>
  </si>
  <si>
    <t xml:space="preserve">MAU Growth Year 5</t>
  </si>
  <si>
    <t xml:space="preserve">Mature market</t>
  </si>
  <si>
    <t xml:space="preserve">DAU / MAU Ratio</t>
  </si>
  <si>
    <t xml:space="preserve">Typical blockchain game</t>
  </si>
  <si>
    <t xml:space="preserve">Monthly Churn Rate</t>
  </si>
  <si>
    <t xml:space="preserve">8% of MAU lost/month</t>
  </si>
  <si>
    <t xml:space="preserve">Paying User Rate</t>
  </si>
  <si>
    <t xml:space="preserve">% of MAU who spend</t>
  </si>
  <si>
    <t xml:space="preserve">NFT Sales</t>
  </si>
  <si>
    <t xml:space="preserve">NFT Drops per Quarter</t>
  </si>
  <si>
    <t xml:space="preserve">drops</t>
  </si>
  <si>
    <t xml:space="preserve">Content releases</t>
  </si>
  <si>
    <t xml:space="preserve">Avg Mint Price</t>
  </si>
  <si>
    <t xml:space="preserve">$</t>
  </si>
  <si>
    <t xml:space="preserve">Weighted across rarities</t>
  </si>
  <si>
    <t xml:space="preserve">Sell-Through Rate</t>
  </si>
  <si>
    <t xml:space="preserve">% of minted NFTs sold</t>
  </si>
  <si>
    <t xml:space="preserve">Marketplace</t>
  </si>
  <si>
    <t xml:space="preserve">Avg Trades/User/Year</t>
  </si>
  <si>
    <t xml:space="preserve">trades</t>
  </si>
  <si>
    <t xml:space="preserve">Active traders only</t>
  </si>
  <si>
    <t xml:space="preserve">Avg Trade Value</t>
  </si>
  <si>
    <t xml:space="preserve">Secondary market</t>
  </si>
  <si>
    <t xml:space="preserve">Marketplace Take Rate</t>
  </si>
  <si>
    <t xml:space="preserve">4% platform fee</t>
  </si>
  <si>
    <t xml:space="preserve">Token &amp; Staking</t>
  </si>
  <si>
    <t xml:space="preserve">Initial Staking TVL</t>
  </si>
  <si>
    <t xml:space="preserve">TVL Growth (Annual)</t>
  </si>
  <si>
    <t xml:space="preserve">Correlates with MAU</t>
  </si>
  <si>
    <t xml:space="preserve">Protocol Fee Rate</t>
  </si>
  <si>
    <t xml:space="preserve">On staking rewards</t>
  </si>
  <si>
    <t xml:space="preserve">Total Token Supply</t>
  </si>
  <si>
    <t xml:space="preserve">tokens</t>
  </si>
  <si>
    <t xml:space="preserve">Fixed cap</t>
  </si>
  <si>
    <t xml:space="preserve">Initial Circulating %</t>
  </si>
  <si>
    <t xml:space="preserve">At TGE</t>
  </si>
  <si>
    <t xml:space="preserve">Annual Emission Rate</t>
  </si>
  <si>
    <t xml:space="preserve">% of total supply/year</t>
  </si>
  <si>
    <t xml:space="preserve">Emission Decay Rate</t>
  </si>
  <si>
    <t xml:space="preserve">Yearly reduction</t>
  </si>
  <si>
    <t xml:space="preserve">Buyback % of Revenue</t>
  </si>
  <si>
    <t xml:space="preserve">Token burn program</t>
  </si>
  <si>
    <t xml:space="preserve">Battle Pass</t>
  </si>
  <si>
    <t xml:space="preserve">Battle Pass Price</t>
  </si>
  <si>
    <t xml:space="preserve">Per season</t>
  </si>
  <si>
    <t xml:space="preserve">BP Conversion Rate</t>
  </si>
  <si>
    <t xml:space="preserve">% of MAU purchasing</t>
  </si>
  <si>
    <t xml:space="preserve">Seasons per Year</t>
  </si>
  <si>
    <t xml:space="preserve">seasons</t>
  </si>
  <si>
    <t xml:space="preserve">Quarterly releases</t>
  </si>
  <si>
    <t xml:space="preserve">Cost of Revenue</t>
  </si>
  <si>
    <t xml:space="preserve">Gas/Txn Fee %</t>
  </si>
  <si>
    <t xml:space="preserve">Of on-chain revenue</t>
  </si>
  <si>
    <t xml:space="preserve">Server Cost %</t>
  </si>
  <si>
    <t xml:space="preserve">Of total revenue</t>
  </si>
  <si>
    <t xml:space="preserve">Payment Processing %</t>
  </si>
  <si>
    <t xml:space="preserve">Fiat on-ramp fees</t>
  </si>
  <si>
    <t xml:space="preserve">Creator Royalty %</t>
  </si>
  <si>
    <t xml:space="preserve">Of NFT revenue</t>
  </si>
  <si>
    <t xml:space="preserve">Operating Expenses</t>
  </si>
  <si>
    <t xml:space="preserve">Dev Headcount</t>
  </si>
  <si>
    <t xml:space="preserve">FTEs</t>
  </si>
  <si>
    <t xml:space="preserve">Game + backend devs</t>
  </si>
  <si>
    <t xml:space="preserve">Dev Avg Salary</t>
  </si>
  <si>
    <t xml:space="preserve">$/yr</t>
  </si>
  <si>
    <t xml:space="preserve">Art Headcount</t>
  </si>
  <si>
    <t xml:space="preserve">2D/3D artists</t>
  </si>
  <si>
    <t xml:space="preserve">Art Avg Salary</t>
  </si>
  <si>
    <t xml:space="preserve">Community Headcount</t>
  </si>
  <si>
    <t xml:space="preserve">CMs + marketing</t>
  </si>
  <si>
    <t xml:space="preserve">Community Avg Salary</t>
  </si>
  <si>
    <t xml:space="preserve">Blockchain Headcount</t>
  </si>
  <si>
    <t xml:space="preserve">Smart contract devs</t>
  </si>
  <si>
    <t xml:space="preserve">Blockchain Avg Salary</t>
  </si>
  <si>
    <t xml:space="preserve">G&amp;A Headcount</t>
  </si>
  <si>
    <t xml:space="preserve">Legal, finance, HR</t>
  </si>
  <si>
    <t xml:space="preserve">G&amp;A Avg Salary</t>
  </si>
  <si>
    <t xml:space="preserve">Marketing % of Rev</t>
  </si>
  <si>
    <t xml:space="preserve">Paid acquisition</t>
  </si>
  <si>
    <t xml:space="preserve">Security Audit Cost</t>
  </si>
  <si>
    <t xml:space="preserve">Recurring per release</t>
  </si>
  <si>
    <t xml:space="preserve">Salary Growth Rate</t>
  </si>
  <si>
    <t xml:space="preserve">Annual inflation</t>
  </si>
  <si>
    <t xml:space="preserve">Capex &amp; Working Capital</t>
  </si>
  <si>
    <t xml:space="preserve">Capex % of Revenue</t>
  </si>
  <si>
    <t xml:space="preserve">Hardware + tools</t>
  </si>
  <si>
    <t xml:space="preserve">Useful Life</t>
  </si>
  <si>
    <t xml:space="preserve">Depreciation period</t>
  </si>
  <si>
    <t xml:space="preserve">DSO</t>
  </si>
  <si>
    <t xml:space="preserve">days</t>
  </si>
  <si>
    <t xml:space="preserve">Fast crypto settlement</t>
  </si>
  <si>
    <t xml:space="preserve">DPO</t>
  </si>
  <si>
    <t xml:space="preserve">Standard payables</t>
  </si>
  <si>
    <t xml:space="preserve">Funding</t>
  </si>
  <si>
    <t xml:space="preserve">Initial Equity</t>
  </si>
  <si>
    <t xml:space="preserve">Seed + Series A</t>
  </si>
  <si>
    <t xml:space="preserve">Token Sale Proceeds</t>
  </si>
  <si>
    <t xml:space="preserve">TGE net proceeds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</si>
  <si>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</si>
  <si>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</si>
  <si>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</si>
  <si>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</si>
  <si>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</si>
  <si>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</si>
  <si>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</si>
  <si>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</si>
  <si>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</si>
  <si>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</si>
  <si>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</si>
  <si>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</si>
  <si>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</si>
  <si>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</si>
  <si>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</si>
  <si>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</si>
  <si>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</si>
  <si>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User Projections</t>
  </si>
  <si>
    <t xml:space="preserve">Year</t>
  </si>
  <si>
    <t xml:space="preserve">MAU Growth Rate</t>
  </si>
  <si>
    <t xml:space="preserve">Opening MAU</t>
  </si>
  <si>
    <t xml:space="preserve">New Users</t>
  </si>
  <si>
    <t xml:space="preserve">Churned Users</t>
  </si>
  <si>
    <t xml:space="preserve">Closing MAU</t>
  </si>
  <si>
    <t xml:space="preserve">Average MAU</t>
  </si>
  <si>
    <t xml:space="preserve">Average DAU</t>
  </si>
  <si>
    <t xml:space="preserve">Paying Users</t>
  </si>
  <si>
    <t xml:space="preserve">Revenue Build</t>
  </si>
  <si>
    <t xml:space="preserve">Revenue Streams</t>
  </si>
  <si>
    <t xml:space="preserve">Year 1</t>
  </si>
  <si>
    <t xml:space="preserve">Year 2</t>
  </si>
  <si>
    <t xml:space="preserve">Year 3</t>
  </si>
  <si>
    <t xml:space="preserve">Year 4</t>
  </si>
  <si>
    <t xml:space="preserve">Year 5</t>
  </si>
  <si>
    <t xml:space="preserve">NFT Drops (Annual)</t>
  </si>
  <si>
    <t xml:space="preserve">Units Sold</t>
  </si>
  <si>
    <t xml:space="preserve">NFT Revenue</t>
  </si>
  <si>
    <t xml:space="preserve">Marketplace Fees</t>
  </si>
  <si>
    <t xml:space="preserve">Trade Volume</t>
  </si>
  <si>
    <t xml:space="preserve">Marketplace Revenue</t>
  </si>
  <si>
    <t xml:space="preserve">Staking TVL</t>
  </si>
  <si>
    <t xml:space="preserve">Staking Revenue</t>
  </si>
  <si>
    <t xml:space="preserve">BP Purchasers</t>
  </si>
  <si>
    <t xml:space="preserve">Battle Pass Revenue</t>
  </si>
  <si>
    <t xml:space="preserve">TOTAL REVENUE</t>
  </si>
  <si>
    <t xml:space="preserve">Token Economy</t>
  </si>
  <si>
    <t xml:space="preserve">Supply &amp; Buyback</t>
  </si>
  <si>
    <t xml:space="preserve">Token Supply</t>
  </si>
  <si>
    <t xml:space="preserve">Opening Circulating</t>
  </si>
  <si>
    <t xml:space="preserve">Emission Rate</t>
  </si>
  <si>
    <t xml:space="preserve">Token Emissions</t>
  </si>
  <si>
    <t xml:space="preserve">Buyback (Cash)</t>
  </si>
  <si>
    <t xml:space="preserve">Closing Circulating</t>
  </si>
  <si>
    <t xml:space="preserve">Circulating % of Total</t>
  </si>
  <si>
    <t xml:space="preserve">Supply Cap Check</t>
  </si>
  <si>
    <t xml:space="preserve">Operating Costs</t>
  </si>
  <si>
    <t xml:space="preserve">COGS &amp; OpEx</t>
  </si>
  <si>
    <t xml:space="preserve">Gas/Txn Fees</t>
  </si>
  <si>
    <t xml:space="preserve">Server &amp; Infra</t>
  </si>
  <si>
    <t xml:space="preserve">Payment Processing</t>
  </si>
  <si>
    <t xml:space="preserve">Creator Royalties</t>
  </si>
  <si>
    <t xml:space="preserve">TOTAL COGS</t>
  </si>
  <si>
    <t xml:space="preserve">Development</t>
  </si>
  <si>
    <t xml:space="preserve">Art &amp; Content</t>
  </si>
  <si>
    <t xml:space="preserve">Community &amp; Social</t>
  </si>
  <si>
    <t xml:space="preserve">Blockchain Eng</t>
  </si>
  <si>
    <t xml:space="preserve">General &amp; Admin</t>
  </si>
  <si>
    <t xml:space="preserve">Marketing</t>
  </si>
  <si>
    <t xml:space="preserve">Security Audits</t>
  </si>
  <si>
    <t xml:space="preserve">TOTAL OPEX</t>
  </si>
  <si>
    <t xml:space="preserve">Total Headcount</t>
  </si>
  <si>
    <t xml:space="preserve">Total FTEs</t>
  </si>
  <si>
    <t xml:space="preserve">Income Statement</t>
  </si>
  <si>
    <t xml:space="preserve">Profit &amp; Loss</t>
  </si>
  <si>
    <t xml:space="preserve">Revenue</t>
  </si>
  <si>
    <t xml:space="preserve">Gross Profit</t>
  </si>
  <si>
    <t xml:space="preserve">Gross Margin</t>
  </si>
  <si>
    <t xml:space="preserve">EBITDA</t>
  </si>
  <si>
    <t xml:space="preserve">EBITDA Margin</t>
  </si>
  <si>
    <t xml:space="preserve">Depreciation &amp; Amort</t>
  </si>
  <si>
    <t xml:space="preserve">EBIT</t>
  </si>
  <si>
    <t xml:space="preserve">Income Tax</t>
  </si>
  <si>
    <t xml:space="preserve">NET INCOME</t>
  </si>
  <si>
    <t xml:space="preserve">Net Margin</t>
  </si>
  <si>
    <t xml:space="preserve">Balance Sheet</t>
  </si>
  <si>
    <t xml:space="preserve">Financial Position</t>
  </si>
  <si>
    <t xml:space="preserve">Assets</t>
  </si>
  <si>
    <t xml:space="preserve">Cash</t>
  </si>
  <si>
    <t xml:space="preserve">Accounts Receivable</t>
  </si>
  <si>
    <t xml:space="preserve">Total Current Assets</t>
  </si>
  <si>
    <t xml:space="preserve">Gross PP&amp;E</t>
  </si>
  <si>
    <t xml:space="preserve">Accum Depreciation</t>
  </si>
  <si>
    <t xml:space="preserve">Net PP&amp;E</t>
  </si>
  <si>
    <t xml:space="preserve">TOTAL ASSETS</t>
  </si>
  <si>
    <t xml:space="preserve">Liabilities &amp; Equity</t>
  </si>
  <si>
    <t xml:space="preserve">Accounts Payable</t>
  </si>
  <si>
    <t xml:space="preserve">Total Liabilities</t>
  </si>
  <si>
    <t xml:space="preserve">Share Capital</t>
  </si>
  <si>
    <t xml:space="preserve">Retained Earnings</t>
  </si>
  <si>
    <t xml:space="preserve">Total Equity</t>
  </si>
  <si>
    <t xml:space="preserve">TOTAL L&amp;E</t>
  </si>
  <si>
    <t xml:space="preserve">Balance Check</t>
  </si>
  <si>
    <t xml:space="preserve">Cash Flow Statement</t>
  </si>
  <si>
    <t xml:space="preserve">Indirect Method</t>
  </si>
  <si>
    <t xml:space="preserve">Cash from Operations</t>
  </si>
  <si>
    <t xml:space="preserve">Net Income</t>
  </si>
  <si>
    <t xml:space="preserve">D&amp;A Addback</t>
  </si>
  <si>
    <t xml:space="preserve">Change in AR</t>
  </si>
  <si>
    <t xml:space="preserve">Change in AP</t>
  </si>
  <si>
    <t xml:space="preserve">Cash from Investing</t>
  </si>
  <si>
    <t xml:space="preserve">Capital Expenditure</t>
  </si>
  <si>
    <t xml:space="preserve">Token Buyback</t>
  </si>
  <si>
    <t xml:space="preserve">Cash from Financing</t>
  </si>
  <si>
    <t xml:space="preserve">Equity Injection</t>
  </si>
  <si>
    <t xml:space="preserve">Net Cash Flow</t>
  </si>
  <si>
    <t xml:space="preserve">Opening Cash</t>
  </si>
  <si>
    <t xml:space="preserve">CLOSING CASH</t>
  </si>
  <si>
    <t xml:space="preserve">CFS Check</t>
  </si>
  <si>
    <t xml:space="preserve">Validation Checks</t>
  </si>
  <si>
    <t xml:space="preserve">Model Integrity</t>
  </si>
  <si>
    <t xml:space="preserve">BS Balance Check</t>
  </si>
  <si>
    <t xml:space="preserve">Gross Margin 65-90%</t>
  </si>
  <si>
    <t xml:space="preserve">CFS Reconciliation</t>
  </si>
  <si>
    <t xml:space="preserve">Cash Positive</t>
  </si>
  <si>
    <t xml:space="preserve">Token Supply Cap</t>
  </si>
  <si>
    <t xml:space="preserve">Rev/MAU $6-$120/yr</t>
  </si>
  <si>
    <t xml:space="preserve">Projection Years = 5</t>
  </si>
</sst>
</file>

<file path=xl/styles.xml><?xml version="1.0" encoding="utf-8"?>
<styleSheet xmlns="http://schemas.openxmlformats.org/spreadsheetml/2006/main">
  <numFmts count="7">
    <numFmt numFmtId="164" formatCode="General"/>
    <numFmt numFmtId="165" formatCode="yyyy\-mm\-dd"/>
    <numFmt numFmtId="166" formatCode="0.00%"/>
    <numFmt numFmtId="167" formatCode="#,##0.00"/>
    <numFmt numFmtId="168" formatCode="\$#,##0.00"/>
    <numFmt numFmtId="169" formatCode="0"/>
    <numFmt numFmtId="170" formatCode="@"/>
  </numFmts>
  <fonts count="28">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name val="Arial"/>
      <family val="0"/>
      <charset val="1"/>
    </font>
    <font>
      <b val="true"/>
      <sz val="10"/>
      <color theme="3"/>
      <name val="Arial"/>
      <family val="0"/>
      <charset val="1"/>
    </font>
    <font>
      <b val="true"/>
      <sz val="10"/>
      <color theme="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sz val="10"/>
      <color theme="3"/>
      <name val="Arial"/>
      <family val="0"/>
      <charset val="1"/>
    </font>
    <font>
      <i val="true"/>
      <sz val="10"/>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b val="true"/>
      <sz val="18"/>
      <color rgb="FFFFFFFF"/>
      <name val="Arial"/>
      <family val="0"/>
      <charset val="1"/>
    </font>
    <font>
      <i val="true"/>
      <sz val="11"/>
      <color rgb="FF808080"/>
      <name val="Arial"/>
      <family val="0"/>
      <charset val="1"/>
    </font>
    <font>
      <sz val="10"/>
      <color rgb="FF000000"/>
      <name val="Arial"/>
      <family val="0"/>
      <charset val="1"/>
    </font>
    <font>
      <b val="true"/>
      <sz val="10"/>
      <color rgb="FF006100"/>
      <name val="Arial"/>
      <family val="0"/>
      <charset val="1"/>
    </font>
  </fonts>
  <fills count="14">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theme="3" tint="0.8"/>
        <bgColor rgb="FFD6E4F0"/>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
      <patternFill patternType="solid">
        <fgColor rgb="FF2E75B6"/>
        <bgColor rgb="FF0066CC"/>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12" fillId="5" borderId="0" xfId="0" applyFont="true" applyBorder="false" applyAlignment="false" applyProtection="false">
      <alignment horizontal="general" vertical="bottom" textRotation="0" wrapText="false" indent="0" shrinkToFit="false"/>
      <protection locked="true" hidden="false"/>
    </xf>
    <xf numFmtId="164" fontId="12" fillId="6" borderId="0" xfId="0" applyFont="true" applyBorder="false" applyAlignment="false" applyProtection="false">
      <alignment horizontal="general" vertical="bottom" textRotation="0" wrapText="false" indent="0" shrinkToFit="false"/>
      <protection locked="true" hidden="false"/>
    </xf>
    <xf numFmtId="164" fontId="12" fillId="7" borderId="0" xfId="0" applyFont="true" applyBorder="false" applyAlignment="false" applyProtection="false">
      <alignment horizontal="general" vertical="bottom" textRotation="0" wrapText="false" indent="0" shrinkToFit="false"/>
      <protection locked="true" hidden="false"/>
    </xf>
    <xf numFmtId="164" fontId="13"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1" fillId="9"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5" fontId="17" fillId="10" borderId="0" xfId="0" applyFont="true" applyBorder="false" applyAlignment="true" applyProtection="false">
      <alignment horizontal="right"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7" fillId="10" borderId="0" xfId="0" applyFont="true" applyBorder="false" applyAlignment="true" applyProtection="false">
      <alignment horizontal="right" vertical="center" textRotation="0" wrapText="false" indent="0" shrinkToFit="false"/>
      <protection locked="true" hidden="false"/>
    </xf>
    <xf numFmtId="166" fontId="17" fillId="10" borderId="0" xfId="0" applyFont="true" applyBorder="false" applyAlignment="true" applyProtection="false">
      <alignment horizontal="right" vertical="center" textRotation="0" wrapText="false" indent="0" shrinkToFit="false"/>
      <protection locked="true" hidden="false"/>
    </xf>
    <xf numFmtId="167" fontId="17" fillId="10" borderId="0" xfId="0" applyFont="true" applyBorder="false" applyAlignment="true" applyProtection="false">
      <alignment horizontal="right" vertical="center" textRotation="0" wrapText="false" indent="0" shrinkToFit="false"/>
      <protection locked="true" hidden="false"/>
    </xf>
    <xf numFmtId="168" fontId="17" fillId="1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20" fillId="11"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3" fillId="12"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24" fillId="11" borderId="0" xfId="0" applyFont="true" applyBorder="false" applyAlignment="false" applyProtection="false">
      <alignment horizontal="general" vertical="bottom" textRotation="0" wrapText="false" indent="0" shrinkToFit="false"/>
      <protection locked="true" hidden="false"/>
    </xf>
    <xf numFmtId="164" fontId="8" fillId="11"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11" borderId="0" xfId="0" applyFont="true" applyBorder="false" applyAlignment="true" applyProtection="false">
      <alignment horizontal="left" vertical="center" textRotation="0" wrapText="false" indent="0" shrinkToFit="false"/>
      <protection locked="true" hidden="false"/>
    </xf>
    <xf numFmtId="169" fontId="20" fillId="11" borderId="0" xfId="0" applyFont="true" applyBorder="false" applyAlignment="true" applyProtection="false">
      <alignment horizontal="center" vertical="center" textRotation="0" wrapText="false" indent="0" shrinkToFit="false"/>
      <protection locked="true" hidden="false"/>
    </xf>
    <xf numFmtId="166" fontId="26" fillId="0" borderId="0" xfId="0" applyFont="true" applyBorder="false" applyAlignment="true" applyProtection="false">
      <alignment horizontal="right" vertical="center" textRotation="0" wrapText="false" indent="0" shrinkToFit="false"/>
      <protection locked="true" hidden="false"/>
    </xf>
    <xf numFmtId="167" fontId="26"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1"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7" fontId="9" fillId="0" borderId="2" xfId="0" applyFont="true" applyBorder="true" applyAlignment="true" applyProtection="false">
      <alignment horizontal="right" vertical="center" textRotation="0" wrapText="false" indent="0" shrinkToFit="false"/>
      <protection locked="true" hidden="false"/>
    </xf>
    <xf numFmtId="164" fontId="20" fillId="11" borderId="0" xfId="0" applyFont="true" applyBorder="false" applyAlignment="true" applyProtection="false">
      <alignment horizontal="center" vertical="center" textRotation="0" wrapText="false" indent="0" shrinkToFit="false"/>
      <protection locked="true" hidden="false"/>
    </xf>
    <xf numFmtId="164" fontId="20" fillId="13" borderId="0" xfId="0" applyFont="true" applyBorder="false" applyAlignment="true" applyProtection="false">
      <alignment horizontal="left" vertical="center" textRotation="0" wrapText="false" indent="0" shrinkToFit="false"/>
      <protection locked="true" hidden="false"/>
    </xf>
    <xf numFmtId="168" fontId="9" fillId="0" borderId="2" xfId="0" applyFont="true" applyBorder="true" applyAlignment="true" applyProtection="false">
      <alignment horizontal="right" vertical="center" textRotation="0" wrapText="false" indent="0" shrinkToFit="false"/>
      <protection locked="true" hidden="false"/>
    </xf>
    <xf numFmtId="168" fontId="26" fillId="0" borderId="0" xfId="0" applyFont="true" applyBorder="fals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8" fontId="9" fillId="0" borderId="3" xfId="0" applyFont="true" applyBorder="true" applyAlignment="true" applyProtection="false">
      <alignment horizontal="right" vertical="center" textRotation="0" wrapText="false" indent="0" shrinkToFit="false"/>
      <protection locked="true" hidden="false"/>
    </xf>
    <xf numFmtId="170" fontId="26"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6" fontId="18" fillId="0" borderId="0" xfId="0" applyFont="true" applyBorder="false" applyAlignment="true" applyProtection="false">
      <alignment horizontal="right"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8" fontId="27"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5B9BD5"/>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40"/>
    <col collapsed="false" customWidth="true" hidden="false" outlineLevel="0" max="4"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7" t="s">
        <v>4</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6" t="s">
        <v>5</v>
      </c>
      <c r="C6" s="7" t="s">
        <v>6</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6" t="s">
        <v>7</v>
      </c>
      <c r="C7" s="7" t="s">
        <v>8</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9</v>
      </c>
      <c r="C8" s="7" t="s">
        <v>10</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8" t="s">
        <v>11</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9" t="s">
        <v>12</v>
      </c>
      <c r="C12" s="7" t="s">
        <v>13</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0" t="s">
        <v>14</v>
      </c>
      <c r="C13" s="7" t="s">
        <v>15</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1" t="s">
        <v>16</v>
      </c>
      <c r="C14" s="7" t="s">
        <v>17</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11" t="s">
        <v>18</v>
      </c>
      <c r="C15" s="7" t="s">
        <v>19</v>
      </c>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11" t="s">
        <v>20</v>
      </c>
      <c r="C16" s="7" t="s">
        <v>21</v>
      </c>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2" t="s">
        <v>22</v>
      </c>
      <c r="C17" s="7" t="s">
        <v>23</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13" t="s">
        <v>24</v>
      </c>
      <c r="C18" s="7" t="s">
        <v>25</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13" t="s">
        <v>26</v>
      </c>
      <c r="C19" s="7" t="s">
        <v>27</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3" t="s">
        <v>28</v>
      </c>
      <c r="C20" s="7" t="s">
        <v>29</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4" t="s">
        <v>30</v>
      </c>
      <c r="C21" s="7" t="s">
        <v>31</v>
      </c>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9.5" hidden="false" customHeight="true" outlineLevel="0" collapsed="false">
      <c r="A24" s="5"/>
      <c r="B24" s="15" t="s">
        <v>32</v>
      </c>
      <c r="C24" s="16"/>
      <c r="D24" s="16"/>
      <c r="E24" s="16"/>
      <c r="F24" s="16"/>
      <c r="G24" s="16"/>
      <c r="H24" s="5"/>
      <c r="I24" s="5"/>
      <c r="J24" s="5"/>
      <c r="K24" s="5"/>
      <c r="L24" s="5"/>
      <c r="M24" s="5"/>
      <c r="N24" s="5"/>
      <c r="O24" s="5"/>
      <c r="P24" s="5"/>
      <c r="Q24" s="5"/>
      <c r="R24" s="5"/>
      <c r="S24" s="5"/>
      <c r="T24" s="5"/>
      <c r="U24" s="5"/>
      <c r="V24" s="5"/>
      <c r="W24" s="5"/>
      <c r="X24" s="5"/>
      <c r="Y24" s="5"/>
      <c r="Z24" s="5"/>
      <c r="AA24" s="5"/>
      <c r="AB24" s="5"/>
      <c r="AC24" s="5"/>
      <c r="AD24" s="5"/>
    </row>
    <row r="25" customFormat="false" ht="233.25" hidden="false" customHeight="true" outlineLevel="0" collapsed="false">
      <c r="A25" s="5"/>
      <c r="B25" s="17" t="s">
        <v>33</v>
      </c>
      <c r="C25" s="17"/>
      <c r="D25" s="17"/>
      <c r="E25" s="17"/>
      <c r="F25" s="17"/>
      <c r="G25" s="17"/>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9.5" hidden="false" customHeight="true" outlineLevel="0" collapsed="false">
      <c r="A27" s="5"/>
      <c r="B27" s="15" t="s">
        <v>34</v>
      </c>
      <c r="C27" s="16"/>
      <c r="D27" s="16"/>
      <c r="E27" s="16"/>
      <c r="F27" s="16"/>
      <c r="G27" s="16"/>
      <c r="H27" s="5"/>
      <c r="I27" s="5"/>
      <c r="J27" s="5"/>
      <c r="K27" s="5"/>
      <c r="L27" s="5"/>
      <c r="M27" s="5"/>
      <c r="N27" s="5"/>
      <c r="O27" s="5"/>
      <c r="P27" s="5"/>
      <c r="Q27" s="5"/>
      <c r="R27" s="5"/>
      <c r="S27" s="5"/>
      <c r="T27" s="5"/>
      <c r="U27" s="5"/>
      <c r="V27" s="5"/>
      <c r="W27" s="5"/>
      <c r="X27" s="5"/>
      <c r="Y27" s="5"/>
      <c r="Z27" s="5"/>
      <c r="AA27" s="5"/>
      <c r="AB27" s="5"/>
      <c r="AC27" s="5"/>
      <c r="AD27" s="5"/>
    </row>
    <row r="28" customFormat="false" ht="57" hidden="false" customHeight="true" outlineLevel="0" collapsed="false">
      <c r="A28" s="5"/>
      <c r="B28" s="17" t="s">
        <v>35</v>
      </c>
      <c r="C28" s="17"/>
      <c r="D28" s="17"/>
      <c r="E28" s="17"/>
      <c r="F28" s="17"/>
      <c r="G28" s="17"/>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18" t="s">
        <v>36</v>
      </c>
      <c r="C29" s="18"/>
      <c r="D29" s="18"/>
      <c r="E29" s="18"/>
      <c r="F29" s="18"/>
      <c r="G29" s="18"/>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19" t="s">
        <v>37</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sheetData>
  <mergeCells count="3">
    <mergeCell ref="B25:G25"/>
    <mergeCell ref="B28:G28"/>
    <mergeCell ref="B29:G29"/>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6" t="s">
        <v>259</v>
      </c>
      <c r="C2" s="37"/>
      <c r="D2" s="37"/>
      <c r="E2" s="37"/>
      <c r="F2" s="37"/>
      <c r="G2" s="37"/>
    </row>
    <row r="3" customFormat="false" ht="15" hidden="false" customHeight="false" outlineLevel="0" collapsed="false">
      <c r="A3" s="5"/>
      <c r="B3" s="38" t="s">
        <v>260</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9" t="s">
        <v>175</v>
      </c>
      <c r="C5" s="46" t="s">
        <v>186</v>
      </c>
      <c r="D5" s="46" t="s">
        <v>187</v>
      </c>
      <c r="E5" s="46" t="s">
        <v>188</v>
      </c>
      <c r="F5" s="46" t="s">
        <v>189</v>
      </c>
      <c r="G5" s="46" t="s">
        <v>190</v>
      </c>
    </row>
    <row r="6" customFormat="false" ht="15" hidden="false" customHeight="false" outlineLevel="0" collapsed="false">
      <c r="A6" s="5"/>
      <c r="B6" s="5"/>
      <c r="C6" s="5"/>
      <c r="D6" s="5"/>
      <c r="E6" s="5"/>
      <c r="F6" s="5"/>
      <c r="G6" s="5"/>
    </row>
    <row r="7" customFormat="false" ht="15" hidden="false" customHeight="false" outlineLevel="0" collapsed="false">
      <c r="A7" s="5"/>
      <c r="B7" s="39" t="s">
        <v>261</v>
      </c>
      <c r="C7" s="47"/>
      <c r="D7" s="47"/>
      <c r="E7" s="47"/>
      <c r="F7" s="47"/>
      <c r="G7" s="47"/>
    </row>
    <row r="8" customFormat="false" ht="15" hidden="false" customHeight="false" outlineLevel="0" collapsed="false">
      <c r="A8" s="5"/>
      <c r="B8" s="43" t="s">
        <v>262</v>
      </c>
      <c r="C8" s="49" t="n">
        <f aca="false">IS_Net_Income</f>
        <v>-3377710.6</v>
      </c>
      <c r="D8" s="49" t="n">
        <f aca="false">IS_Net_Income</f>
        <v>-4346885.374</v>
      </c>
      <c r="E8" s="49" t="n">
        <f aca="false">IS_Net_Income</f>
        <v>-5495731.25716</v>
      </c>
      <c r="F8" s="49" t="n">
        <f aca="false">IS_Net_Income</f>
        <v>-6258317.6844604</v>
      </c>
      <c r="G8" s="49" t="n">
        <f aca="false">IS_Net_Income</f>
        <v>-6620113.80437246</v>
      </c>
    </row>
    <row r="9" customFormat="false" ht="15" hidden="false" customHeight="false" outlineLevel="0" collapsed="false">
      <c r="A9" s="5"/>
      <c r="B9" s="43" t="s">
        <v>263</v>
      </c>
      <c r="C9" s="49" t="n">
        <f aca="false">-IS_DA</f>
        <v>47413</v>
      </c>
      <c r="D9" s="49" t="n">
        <f aca="false">-IS_DA</f>
        <v>81234.27</v>
      </c>
      <c r="E9" s="49" t="n">
        <f aca="false">-IS_DA</f>
        <v>98037.4018</v>
      </c>
      <c r="F9" s="49" t="n">
        <f aca="false">-IS_DA</f>
        <v>104617.482342</v>
      </c>
      <c r="G9" s="49" t="n">
        <f aca="false">-IS_DA</f>
        <v>108154.66970788</v>
      </c>
    </row>
    <row r="10" customFormat="false" ht="15" hidden="false" customHeight="false" outlineLevel="0" collapsed="false">
      <c r="A10" s="5"/>
      <c r="B10" s="43" t="s">
        <v>264</v>
      </c>
      <c r="C10" s="49" t="n">
        <f aca="false">-BS_AR</f>
        <v>-207837.808219178</v>
      </c>
      <c r="D10" s="49" t="n">
        <f aca="false">INDEX(BS_AR,1,1)-INDEX(BS_AR,1,2)</f>
        <v>59580.1863013699</v>
      </c>
      <c r="E10" s="49" t="n">
        <f aca="false">INDEX(BS_AR,1,2)-INDEX(BS_AR,1,3)</f>
        <v>74600.0578630137</v>
      </c>
      <c r="F10" s="49" t="n">
        <f aca="false">INDEX(BS_AR,1,3)-INDEX(BS_AR,1,4)</f>
        <v>44813.3753775343</v>
      </c>
      <c r="G10" s="49" t="n">
        <f aca="false">INDEX(BS_AR,1,4)-INDEX(BS_AR,1,5)</f>
        <v>13338.7098131288</v>
      </c>
    </row>
    <row r="11" customFormat="false" ht="15" hidden="false" customHeight="false" outlineLevel="0" collapsed="false">
      <c r="A11" s="5"/>
      <c r="B11" s="43" t="s">
        <v>265</v>
      </c>
      <c r="C11" s="49" t="n">
        <f aca="false">BS_AP</f>
        <v>683059.769863014</v>
      </c>
      <c r="D11" s="49" t="n">
        <f aca="false">INDEX(BS_AP,1,2)-INDEX(BS_AP,1,1)</f>
        <v>-14573.8941369862</v>
      </c>
      <c r="E11" s="49" t="n">
        <f aca="false">INDEX(BS_AP,1,3)-INDEX(BS_AP,1,2)</f>
        <v>-21998.0566093151</v>
      </c>
      <c r="F11" s="49" t="n">
        <f aca="false">INDEX(BS_AP,1,4)-INDEX(BS_AP,1,3)</f>
        <v>-5929.64763248223</v>
      </c>
      <c r="G11" s="49" t="n">
        <f aca="false">INDEX(BS_AP,1,5)-INDEX(BS_AP,1,4)</f>
        <v>11010.854098576</v>
      </c>
    </row>
    <row r="12" customFormat="false" ht="15" hidden="false" customHeight="false" outlineLevel="0" collapsed="false">
      <c r="A12" s="5"/>
      <c r="B12" s="44" t="s">
        <v>261</v>
      </c>
      <c r="C12" s="48" t="n">
        <f aca="false">SUM(C8:C11)</f>
        <v>-2855075.63835616</v>
      </c>
      <c r="D12" s="48" t="n">
        <f aca="false">SUM(D8:D11)</f>
        <v>-4220644.81183562</v>
      </c>
      <c r="E12" s="48" t="n">
        <f aca="false">SUM(E8:E11)</f>
        <v>-5345091.8541063</v>
      </c>
      <c r="F12" s="48" t="n">
        <f aca="false">SUM(F8:F11)</f>
        <v>-6114816.47437335</v>
      </c>
      <c r="G12" s="48" t="n">
        <f aca="false">SUM(G8:G11)</f>
        <v>-6487609.57075287</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9" t="s">
        <v>266</v>
      </c>
      <c r="C14" s="47"/>
      <c r="D14" s="47"/>
      <c r="E14" s="47"/>
      <c r="F14" s="47"/>
      <c r="G14" s="47"/>
    </row>
    <row r="15" customFormat="false" ht="15" hidden="false" customHeight="false" outlineLevel="0" collapsed="false">
      <c r="A15" s="5"/>
      <c r="B15" s="43" t="s">
        <v>267</v>
      </c>
      <c r="C15" s="49" t="n">
        <f aca="false">-IS_Revenue*Capex_Pct_Rev</f>
        <v>-189652</v>
      </c>
      <c r="D15" s="49" t="n">
        <f aca="false">-IS_Revenue*Capex_Pct_Rev</f>
        <v>-135285.08</v>
      </c>
      <c r="E15" s="49" t="n">
        <f aca="false">-IS_Revenue*Capex_Pct_Rev</f>
        <v>-67212.5272</v>
      </c>
      <c r="F15" s="49" t="n">
        <f aca="false">-IS_Revenue*Capex_Pct_Rev</f>
        <v>-26320.322168</v>
      </c>
      <c r="G15" s="49" t="n">
        <f aca="false">-IS_Revenue*Capex_Pct_Rev</f>
        <v>-14148.74946352</v>
      </c>
    </row>
    <row r="16" customFormat="false" ht="15" hidden="false" customHeight="false" outlineLevel="0" collapsed="false">
      <c r="A16" s="5"/>
      <c r="B16" s="43" t="s">
        <v>268</v>
      </c>
      <c r="C16" s="49" t="n">
        <f aca="false">-TE_Buyback_Cash</f>
        <v>-189652</v>
      </c>
      <c r="D16" s="49" t="n">
        <f aca="false">-TE_Buyback_Cash</f>
        <v>-135285.08</v>
      </c>
      <c r="E16" s="49" t="n">
        <f aca="false">-TE_Buyback_Cash</f>
        <v>-67212.5272</v>
      </c>
      <c r="F16" s="49" t="n">
        <f aca="false">-TE_Buyback_Cash</f>
        <v>-26320.322168</v>
      </c>
      <c r="G16" s="49" t="n">
        <f aca="false">-TE_Buyback_Cash</f>
        <v>-14148.74946352</v>
      </c>
    </row>
    <row r="17" customFormat="false" ht="15" hidden="false" customHeight="false" outlineLevel="0" collapsed="false">
      <c r="A17" s="5"/>
      <c r="B17" s="44" t="s">
        <v>266</v>
      </c>
      <c r="C17" s="48" t="n">
        <f aca="false">C15+C16</f>
        <v>-379304</v>
      </c>
      <c r="D17" s="48" t="n">
        <f aca="false">D15+D16</f>
        <v>-270570.16</v>
      </c>
      <c r="E17" s="48" t="n">
        <f aca="false">E15+E16</f>
        <v>-134425.0544</v>
      </c>
      <c r="F17" s="48" t="n">
        <f aca="false">F15+F16</f>
        <v>-52640.644336</v>
      </c>
      <c r="G17" s="48" t="n">
        <f aca="false">G15+G16</f>
        <v>-28297.49892704</v>
      </c>
    </row>
    <row r="18" customFormat="false" ht="15" hidden="false" customHeight="false" outlineLevel="0" collapsed="false">
      <c r="A18" s="5"/>
      <c r="B18" s="5"/>
      <c r="C18" s="5"/>
      <c r="D18" s="5"/>
      <c r="E18" s="5"/>
      <c r="F18" s="5"/>
      <c r="G18" s="5"/>
    </row>
    <row r="19" customFormat="false" ht="15" hidden="false" customHeight="false" outlineLevel="0" collapsed="false">
      <c r="A19" s="5"/>
      <c r="B19" s="39" t="s">
        <v>269</v>
      </c>
      <c r="C19" s="47"/>
      <c r="D19" s="47"/>
      <c r="E19" s="47"/>
      <c r="F19" s="47"/>
      <c r="G19" s="47"/>
    </row>
    <row r="20" customFormat="false" ht="15" hidden="false" customHeight="false" outlineLevel="0" collapsed="false">
      <c r="A20" s="5"/>
      <c r="B20" s="43" t="s">
        <v>270</v>
      </c>
      <c r="C20" s="49" t="n">
        <f aca="false">Initial_Equity</f>
        <v>5000000</v>
      </c>
      <c r="D20" s="49" t="n">
        <f aca="false">0</f>
        <v>0</v>
      </c>
      <c r="E20" s="49" t="n">
        <f aca="false">0</f>
        <v>0</v>
      </c>
      <c r="F20" s="49" t="n">
        <f aca="false">0</f>
        <v>0</v>
      </c>
      <c r="G20" s="49" t="n">
        <f aca="false">0</f>
        <v>0</v>
      </c>
    </row>
    <row r="21" customFormat="false" ht="15" hidden="false" customHeight="false" outlineLevel="0" collapsed="false">
      <c r="A21" s="5"/>
      <c r="B21" s="43" t="s">
        <v>155</v>
      </c>
      <c r="C21" s="49" t="n">
        <f aca="false">Token_Sale_Proceeds</f>
        <v>8000000</v>
      </c>
      <c r="D21" s="49" t="n">
        <f aca="false">0</f>
        <v>0</v>
      </c>
      <c r="E21" s="49" t="n">
        <f aca="false">0</f>
        <v>0</v>
      </c>
      <c r="F21" s="49" t="n">
        <f aca="false">0</f>
        <v>0</v>
      </c>
      <c r="G21" s="49" t="n">
        <f aca="false">0</f>
        <v>0</v>
      </c>
    </row>
    <row r="22" customFormat="false" ht="15" hidden="false" customHeight="false" outlineLevel="0" collapsed="false">
      <c r="A22" s="5"/>
      <c r="B22" s="44" t="s">
        <v>269</v>
      </c>
      <c r="C22" s="48" t="n">
        <f aca="false">C20+C21</f>
        <v>13000000</v>
      </c>
      <c r="D22" s="48" t="n">
        <f aca="false">D20+D21</f>
        <v>0</v>
      </c>
      <c r="E22" s="48" t="n">
        <f aca="false">E20+E21</f>
        <v>0</v>
      </c>
      <c r="F22" s="48" t="n">
        <f aca="false">F20+F21</f>
        <v>0</v>
      </c>
      <c r="G22" s="48" t="n">
        <f aca="false">G20+G21</f>
        <v>0</v>
      </c>
    </row>
    <row r="23" customFormat="false" ht="15" hidden="false" customHeight="false" outlineLevel="0" collapsed="false">
      <c r="A23" s="5"/>
      <c r="B23" s="5"/>
      <c r="C23" s="5"/>
      <c r="D23" s="5"/>
      <c r="E23" s="5"/>
      <c r="F23" s="5"/>
      <c r="G23" s="5"/>
    </row>
    <row r="24" customFormat="false" ht="15" hidden="false" customHeight="false" outlineLevel="0" collapsed="false">
      <c r="A24" s="5"/>
      <c r="B24" s="44" t="s">
        <v>271</v>
      </c>
      <c r="C24" s="48" t="n">
        <f aca="false">C12+C17+C22</f>
        <v>9765620.36164384</v>
      </c>
      <c r="D24" s="48" t="n">
        <f aca="false">D12+D17+D22</f>
        <v>-4491214.97183562</v>
      </c>
      <c r="E24" s="48" t="n">
        <f aca="false">E12+E17+E22</f>
        <v>-5479516.9085063</v>
      </c>
      <c r="F24" s="48" t="n">
        <f aca="false">F12+F17+F22</f>
        <v>-6167457.11870935</v>
      </c>
      <c r="G24" s="48" t="n">
        <f aca="false">G12+G17+G22</f>
        <v>-6515907.06967991</v>
      </c>
    </row>
    <row r="25" customFormat="false" ht="15" hidden="false" customHeight="false" outlineLevel="0" collapsed="false">
      <c r="A25" s="5"/>
      <c r="B25" s="21" t="s">
        <v>272</v>
      </c>
      <c r="C25" s="49" t="n">
        <f aca="false">0</f>
        <v>0</v>
      </c>
      <c r="D25" s="49" t="n">
        <f aca="false">C26</f>
        <v>9765620.36164384</v>
      </c>
      <c r="E25" s="49" t="n">
        <f aca="false">D26</f>
        <v>5274405.38980822</v>
      </c>
      <c r="F25" s="49" t="n">
        <f aca="false">E26</f>
        <v>-205111.51869808</v>
      </c>
      <c r="G25" s="49" t="n">
        <f aca="false">F26</f>
        <v>-6372568.63740743</v>
      </c>
    </row>
    <row r="26" customFormat="false" ht="15" hidden="false" customHeight="false" outlineLevel="0" collapsed="false">
      <c r="A26" s="5"/>
      <c r="B26" s="50" t="s">
        <v>273</v>
      </c>
      <c r="C26" s="51" t="n">
        <f aca="false">C25+C24</f>
        <v>9765620.36164384</v>
      </c>
      <c r="D26" s="51" t="n">
        <f aca="false">D25+D24</f>
        <v>5274405.38980822</v>
      </c>
      <c r="E26" s="51" t="n">
        <f aca="false">E25+E24</f>
        <v>-205111.51869808</v>
      </c>
      <c r="F26" s="51" t="n">
        <f aca="false">F25+F24</f>
        <v>-6372568.63740743</v>
      </c>
      <c r="G26" s="51" t="n">
        <f aca="false">G25+G24</f>
        <v>-12888475.7070873</v>
      </c>
    </row>
    <row r="27" customFormat="false" ht="15" hidden="false" customHeight="false" outlineLevel="0" collapsed="false">
      <c r="A27" s="5"/>
      <c r="B27" s="5"/>
      <c r="C27" s="5"/>
      <c r="D27" s="5"/>
      <c r="E27" s="5"/>
      <c r="F27" s="5"/>
      <c r="G27" s="5"/>
    </row>
    <row r="28" customFormat="false" ht="15" hidden="false" customHeight="false" outlineLevel="0" collapsed="false">
      <c r="A28" s="5"/>
      <c r="B28" s="21" t="s">
        <v>274</v>
      </c>
      <c r="C28" s="49" t="n">
        <f aca="false">C26-C25-C12-C17-C22</f>
        <v>0</v>
      </c>
      <c r="D28" s="49" t="n">
        <f aca="false">D26-D25-D12-D17-D22</f>
        <v>0</v>
      </c>
      <c r="E28" s="49" t="n">
        <f aca="false">E26-E25-E12-E17-E22</f>
        <v>0</v>
      </c>
      <c r="F28" s="49" t="n">
        <f aca="false">F26-F25-F12-F17-F22</f>
        <v>0</v>
      </c>
      <c r="G28" s="49" t="n">
        <f aca="false">G26-G25-G12-G17-G22</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G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6" t="s">
        <v>275</v>
      </c>
      <c r="C2" s="37"/>
      <c r="D2" s="37"/>
      <c r="E2" s="37"/>
      <c r="F2" s="37"/>
      <c r="G2" s="37"/>
    </row>
    <row r="3" customFormat="false" ht="15" hidden="false" customHeight="false" outlineLevel="0" collapsed="false">
      <c r="A3" s="5"/>
      <c r="B3" s="38" t="s">
        <v>276</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9" t="s">
        <v>175</v>
      </c>
      <c r="C5" s="46" t="s">
        <v>186</v>
      </c>
      <c r="D5" s="46" t="s">
        <v>187</v>
      </c>
      <c r="E5" s="46" t="s">
        <v>188</v>
      </c>
      <c r="F5" s="46" t="s">
        <v>189</v>
      </c>
      <c r="G5" s="46" t="s">
        <v>190</v>
      </c>
    </row>
    <row r="6" customFormat="false" ht="15" hidden="false" customHeight="false" outlineLevel="0" collapsed="false">
      <c r="A6" s="5"/>
      <c r="B6" s="5"/>
      <c r="C6" s="5"/>
      <c r="D6" s="5"/>
      <c r="E6" s="5"/>
      <c r="F6" s="5"/>
      <c r="G6" s="5"/>
    </row>
    <row r="7" customFormat="false" ht="15" hidden="false" customHeight="false" outlineLevel="0" collapsed="false">
      <c r="A7" s="5"/>
      <c r="B7" s="7" t="s">
        <v>277</v>
      </c>
      <c r="C7" s="60" t="str">
        <f aca="false">IF(ABS(INDEX(BS_Total_Assets,1,1)-INDEX(Balance_Sheet!$C$24:$G$24,1,1))&lt;1,"PASS","FAIL")</f>
        <v>PASS</v>
      </c>
      <c r="D7" s="60" t="str">
        <f aca="false">IF(ABS(INDEX(BS_Total_Assets,1,2)-INDEX(Balance_Sheet!$C$24:$G$24,1,2))&lt;1,"PASS","FAIL")</f>
        <v>PASS</v>
      </c>
      <c r="E7" s="60" t="str">
        <f aca="false">IF(ABS(INDEX(BS_Total_Assets,1,3)-INDEX(Balance_Sheet!$C$24:$G$24,1,3))&lt;1,"PASS","FAIL")</f>
        <v>PASS</v>
      </c>
      <c r="F7" s="60" t="str">
        <f aca="false">IF(ABS(INDEX(BS_Total_Assets,1,4)-INDEX(Balance_Sheet!$C$24:$G$24,1,4))&lt;1,"PASS","FAIL")</f>
        <v>PASS</v>
      </c>
      <c r="G7" s="60" t="str">
        <f aca="false">IF(ABS(INDEX(BS_Total_Assets,1,5)-INDEX(Balance_Sheet!$C$24:$G$24,1,5))&lt;1,"PASS","FAIL")</f>
        <v>PASS</v>
      </c>
    </row>
    <row r="8" customFormat="false" ht="15" hidden="false" customHeight="false" outlineLevel="0" collapsed="false">
      <c r="A8" s="5"/>
      <c r="B8" s="7" t="s">
        <v>278</v>
      </c>
      <c r="C8" s="60" t="str">
        <f aca="false">IF(AND(INDEX(IS_Gross_Profit,1,1)/INDEX(IS_Revenue,1,1)&gt;=0.65,INDEX(IS_Gross_Profit,1,1)/INDEX(IS_Revenue,1,1)&lt;=0.9),"PASS","FAIL")</f>
        <v>PASS</v>
      </c>
      <c r="D8" s="60" t="str">
        <f aca="false">IF(AND(INDEX(IS_Gross_Profit,1,2)/INDEX(IS_Revenue,1,2)&gt;=0.65,INDEX(IS_Gross_Profit,1,2)/INDEX(IS_Revenue,1,2)&lt;=0.9),"PASS","FAIL")</f>
        <v>PASS</v>
      </c>
      <c r="E8" s="60" t="str">
        <f aca="false">IF(AND(INDEX(IS_Gross_Profit,1,3)/INDEX(IS_Revenue,1,3)&gt;=0.65,INDEX(IS_Gross_Profit,1,3)/INDEX(IS_Revenue,1,3)&lt;=0.9),"PASS","FAIL")</f>
        <v>PASS</v>
      </c>
      <c r="F8" s="60" t="str">
        <f aca="false">IF(AND(INDEX(IS_Gross_Profit,1,4)/INDEX(IS_Revenue,1,4)&gt;=0.65,INDEX(IS_Gross_Profit,1,4)/INDEX(IS_Revenue,1,4)&lt;=0.9),"PASS","FAIL")</f>
        <v>PASS</v>
      </c>
      <c r="G8" s="60" t="str">
        <f aca="false">IF(AND(INDEX(IS_Gross_Profit,1,5)/INDEX(IS_Revenue,1,5)&gt;=0.65,INDEX(IS_Gross_Profit,1,5)/INDEX(IS_Revenue,1,5)&lt;=0.9),"PASS","FAIL")</f>
        <v>PASS</v>
      </c>
    </row>
    <row r="9" customFormat="false" ht="15" hidden="false" customHeight="false" outlineLevel="0" collapsed="false">
      <c r="A9" s="5"/>
      <c r="B9" s="7" t="s">
        <v>279</v>
      </c>
      <c r="C9" s="60" t="str">
        <f aca="false">IF(ABS(INDEX(CF_Closing_Cash,1,1)-INDEX(CF_Opening_Cash,1,1)-INDEX(CF_CFO,1,1)-INDEX(CF_CFI,1,1)-INDEX(CF_CFF,1,1))&lt;1,"PASS","FAIL")</f>
        <v>PASS</v>
      </c>
      <c r="D9" s="60" t="str">
        <f aca="false">IF(ABS(INDEX(CF_Closing_Cash,1,2)-INDEX(CF_Opening_Cash,1,2)-INDEX(CF_CFO,1,2)-INDEX(CF_CFI,1,2)-INDEX(CF_CFF,1,2))&lt;1,"PASS","FAIL")</f>
        <v>PASS</v>
      </c>
      <c r="E9" s="60" t="str">
        <f aca="false">IF(ABS(INDEX(CF_Closing_Cash,1,3)-INDEX(CF_Opening_Cash,1,3)-INDEX(CF_CFO,1,3)-INDEX(CF_CFI,1,3)-INDEX(CF_CFF,1,3))&lt;1,"PASS","FAIL")</f>
        <v>PASS</v>
      </c>
      <c r="F9" s="60" t="str">
        <f aca="false">IF(ABS(INDEX(CF_Closing_Cash,1,4)-INDEX(CF_Opening_Cash,1,4)-INDEX(CF_CFO,1,4)-INDEX(CF_CFI,1,4)-INDEX(CF_CFF,1,4))&lt;1,"PASS","FAIL")</f>
        <v>PASS</v>
      </c>
      <c r="G9" s="60" t="str">
        <f aca="false">IF(ABS(INDEX(CF_Closing_Cash,1,5)-INDEX(CF_Opening_Cash,1,5)-INDEX(CF_CFO,1,5)-INDEX(CF_CFI,1,5)-INDEX(CF_CFF,1,5))&lt;1,"PASS","FAIL")</f>
        <v>PASS</v>
      </c>
    </row>
    <row r="10" customFormat="false" ht="15" hidden="false" customHeight="false" outlineLevel="0" collapsed="false">
      <c r="A10" s="5"/>
      <c r="B10" s="7" t="s">
        <v>280</v>
      </c>
      <c r="C10" s="60" t="str">
        <f aca="false">IF(INDEX(CF_Closing_Cash,1,1)&gt;=0,"PASS","FAIL")</f>
        <v>PASS</v>
      </c>
      <c r="D10" s="60" t="str">
        <f aca="false">IF(INDEX(CF_Closing_Cash,1,2)&gt;=0,"PASS","FAIL")</f>
        <v>PASS</v>
      </c>
      <c r="E10" s="60" t="str">
        <f aca="false">IF(INDEX(CF_Closing_Cash,1,3)&gt;=0,"PASS","FAIL")</f>
        <v>FAIL</v>
      </c>
      <c r="F10" s="60" t="str">
        <f aca="false">IF(INDEX(CF_Closing_Cash,1,4)&gt;=0,"PASS","FAIL")</f>
        <v>FAIL</v>
      </c>
      <c r="G10" s="60" t="str">
        <f aca="false">IF(INDEX(CF_Closing_Cash,1,5)&gt;=0,"PASS","FAIL")</f>
        <v>FAIL</v>
      </c>
    </row>
    <row r="11" customFormat="false" ht="15" hidden="false" customHeight="false" outlineLevel="0" collapsed="false">
      <c r="A11" s="5"/>
      <c r="B11" s="7" t="s">
        <v>281</v>
      </c>
      <c r="C11" s="60" t="str">
        <f aca="false">IF(INDEX(TE_Closing_Circ,1,1)&lt;=Total_Token_Supply,"PASS","FAIL")</f>
        <v>PASS</v>
      </c>
      <c r="D11" s="60" t="str">
        <f aca="false">IF(INDEX(TE_Closing_Circ,1,2)&lt;=Total_Token_Supply,"PASS","FAIL")</f>
        <v>PASS</v>
      </c>
      <c r="E11" s="60" t="str">
        <f aca="false">IF(INDEX(TE_Closing_Circ,1,3)&lt;=Total_Token_Supply,"PASS","FAIL")</f>
        <v>PASS</v>
      </c>
      <c r="F11" s="60" t="str">
        <f aca="false">IF(INDEX(TE_Closing_Circ,1,4)&lt;=Total_Token_Supply,"PASS","FAIL")</f>
        <v>PASS</v>
      </c>
      <c r="G11" s="60" t="str">
        <f aca="false">IF(INDEX(TE_Closing_Circ,1,5)&lt;=Total_Token_Supply,"PASS","FAIL")</f>
        <v>PASS</v>
      </c>
    </row>
    <row r="12" customFormat="false" ht="15" hidden="false" customHeight="false" outlineLevel="0" collapsed="false">
      <c r="A12" s="5"/>
      <c r="B12" s="7" t="s">
        <v>282</v>
      </c>
      <c r="C12" s="60" t="str">
        <f aca="false">IF(AND(INDEX(IS_Revenue,1,1)/INDEX(PM_Avg_MAU,1,1)&gt;=6,INDEX(IS_Revenue,1,1)/INDEX(PM_Avg_MAU,1,1)&lt;=120),"PASS","REVIEW")</f>
        <v>PASS</v>
      </c>
      <c r="D12" s="60" t="str">
        <f aca="false">IF(AND(INDEX(IS_Revenue,1,2)/INDEX(PM_Avg_MAU,1,2)&gt;=6,INDEX(IS_Revenue,1,2)/INDEX(PM_Avg_MAU,1,2)&lt;=120),"PASS","REVIEW")</f>
        <v>PASS</v>
      </c>
      <c r="E12" s="60" t="str">
        <f aca="false">IF(AND(INDEX(IS_Revenue,1,3)/INDEX(PM_Avg_MAU,1,3)&gt;=6,INDEX(IS_Revenue,1,3)/INDEX(PM_Avg_MAU,1,3)&lt;=120),"PASS","REVIEW")</f>
        <v>PASS</v>
      </c>
      <c r="F12" s="60" t="str">
        <f aca="false">IF(AND(INDEX(IS_Revenue,1,4)/INDEX(PM_Avg_MAU,1,4)&gt;=6,INDEX(IS_Revenue,1,4)/INDEX(PM_Avg_MAU,1,4)&lt;=120),"PASS","REVIEW")</f>
        <v>PASS</v>
      </c>
      <c r="G12" s="60" t="str">
        <f aca="false">IF(AND(INDEX(IS_Revenue,1,5)/INDEX(PM_Avg_MAU,1,5)&gt;=6,INDEX(IS_Revenue,1,5)/INDEX(PM_Avg_MAU,1,5)&lt;=120),"PASS","REVIEW")</f>
        <v>REVIEW</v>
      </c>
    </row>
    <row r="13" customFormat="false" ht="15" hidden="false" customHeight="false" outlineLevel="0" collapsed="false">
      <c r="A13" s="5"/>
      <c r="B13" s="7" t="s">
        <v>283</v>
      </c>
      <c r="C13" s="60" t="str">
        <f aca="false">IF(Projection_Years=5,"PASS","CHECK")</f>
        <v>PASS</v>
      </c>
      <c r="D13" s="5"/>
      <c r="E13" s="5"/>
      <c r="F13" s="5"/>
      <c r="G1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7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38</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20" t="s">
        <v>39</v>
      </c>
      <c r="C4" s="20"/>
      <c r="D4" s="20"/>
      <c r="E4" s="20"/>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21" t="s">
        <v>40</v>
      </c>
      <c r="C5" s="22" t="n">
        <v>46023</v>
      </c>
      <c r="D5" s="21"/>
      <c r="E5" s="23" t="s">
        <v>41</v>
      </c>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21" t="s">
        <v>42</v>
      </c>
      <c r="C6" s="24" t="n">
        <v>5</v>
      </c>
      <c r="D6" s="21" t="s">
        <v>43</v>
      </c>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21" t="s">
        <v>44</v>
      </c>
      <c r="C7" s="25" t="n">
        <v>0.21</v>
      </c>
      <c r="D7" s="21"/>
      <c r="E7" s="23" t="s">
        <v>45</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21" t="s">
        <v>9</v>
      </c>
      <c r="C8" s="24" t="s">
        <v>46</v>
      </c>
      <c r="D8" s="21"/>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20" t="s">
        <v>47</v>
      </c>
      <c r="C10" s="20"/>
      <c r="D10" s="20"/>
      <c r="E10" s="20"/>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1" t="s">
        <v>48</v>
      </c>
      <c r="C11" s="26" t="n">
        <v>50000</v>
      </c>
      <c r="D11" s="21" t="s">
        <v>49</v>
      </c>
      <c r="E11" s="23" t="s">
        <v>50</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21" t="s">
        <v>51</v>
      </c>
      <c r="C12" s="25" t="n">
        <v>0.8</v>
      </c>
      <c r="D12" s="21"/>
      <c r="E12" s="23" t="s">
        <v>52</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21" t="s">
        <v>53</v>
      </c>
      <c r="C13" s="25" t="n">
        <v>0.5</v>
      </c>
      <c r="D13" s="21"/>
      <c r="E13" s="23" t="s">
        <v>54</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21" t="s">
        <v>55</v>
      </c>
      <c r="C14" s="25" t="n">
        <v>0.3</v>
      </c>
      <c r="D14" s="21"/>
      <c r="E14" s="23" t="s">
        <v>56</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21" t="s">
        <v>57</v>
      </c>
      <c r="C15" s="25" t="n">
        <v>0.15</v>
      </c>
      <c r="D15" s="21"/>
      <c r="E15" s="23" t="s">
        <v>58</v>
      </c>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21" t="s">
        <v>59</v>
      </c>
      <c r="C16" s="25" t="n">
        <v>0.1</v>
      </c>
      <c r="D16" s="21"/>
      <c r="E16" s="23" t="s">
        <v>60</v>
      </c>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21" t="s">
        <v>61</v>
      </c>
      <c r="C17" s="25" t="n">
        <v>0.22</v>
      </c>
      <c r="D17" s="21"/>
      <c r="E17" s="23" t="s">
        <v>62</v>
      </c>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21" t="s">
        <v>63</v>
      </c>
      <c r="C18" s="25" t="n">
        <v>0.08</v>
      </c>
      <c r="D18" s="21"/>
      <c r="E18" s="23" t="s">
        <v>64</v>
      </c>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1" t="s">
        <v>65</v>
      </c>
      <c r="C19" s="25" t="n">
        <v>0.1</v>
      </c>
      <c r="D19" s="21"/>
      <c r="E19" s="23" t="s">
        <v>66</v>
      </c>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20" t="s">
        <v>67</v>
      </c>
      <c r="C21" s="20"/>
      <c r="D21" s="20"/>
      <c r="E21" s="20"/>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21" t="s">
        <v>68</v>
      </c>
      <c r="C22" s="24" t="n">
        <v>3</v>
      </c>
      <c r="D22" s="21" t="s">
        <v>69</v>
      </c>
      <c r="E22" s="23" t="s">
        <v>70</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21" t="s">
        <v>71</v>
      </c>
      <c r="C23" s="27" t="n">
        <v>75</v>
      </c>
      <c r="D23" s="21" t="s">
        <v>72</v>
      </c>
      <c r="E23" s="23" t="s">
        <v>73</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21" t="s">
        <v>74</v>
      </c>
      <c r="C24" s="25" t="n">
        <v>0.7</v>
      </c>
      <c r="D24" s="21"/>
      <c r="E24" s="23" t="s">
        <v>75</v>
      </c>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20" t="s">
        <v>76</v>
      </c>
      <c r="C26" s="20"/>
      <c r="D26" s="20"/>
      <c r="E26" s="20"/>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21" t="s">
        <v>77</v>
      </c>
      <c r="C27" s="24" t="n">
        <v>8</v>
      </c>
      <c r="D27" s="21" t="s">
        <v>78</v>
      </c>
      <c r="E27" s="23" t="s">
        <v>79</v>
      </c>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21" t="s">
        <v>80</v>
      </c>
      <c r="C28" s="27" t="n">
        <v>45</v>
      </c>
      <c r="D28" s="21" t="s">
        <v>72</v>
      </c>
      <c r="E28" s="23" t="s">
        <v>81</v>
      </c>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21" t="s">
        <v>82</v>
      </c>
      <c r="C29" s="25" t="n">
        <v>0.04</v>
      </c>
      <c r="D29" s="21"/>
      <c r="E29" s="23" t="s">
        <v>83</v>
      </c>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20" t="s">
        <v>84</v>
      </c>
      <c r="C31" s="20"/>
      <c r="D31" s="20"/>
      <c r="E31" s="20"/>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21" t="s">
        <v>85</v>
      </c>
      <c r="C32" s="27" t="n">
        <v>2000000</v>
      </c>
      <c r="D32" s="21" t="s">
        <v>72</v>
      </c>
      <c r="E32" s="23" t="s">
        <v>50</v>
      </c>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21" t="s">
        <v>86</v>
      </c>
      <c r="C33" s="25" t="n">
        <v>0.4</v>
      </c>
      <c r="D33" s="21"/>
      <c r="E33" s="23" t="s">
        <v>87</v>
      </c>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21" t="s">
        <v>88</v>
      </c>
      <c r="C34" s="25" t="n">
        <v>0.02</v>
      </c>
      <c r="D34" s="21"/>
      <c r="E34" s="23" t="s">
        <v>89</v>
      </c>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21" t="s">
        <v>90</v>
      </c>
      <c r="C35" s="26" t="n">
        <v>1000000000</v>
      </c>
      <c r="D35" s="21" t="s">
        <v>91</v>
      </c>
      <c r="E35" s="23" t="s">
        <v>92</v>
      </c>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21" t="s">
        <v>93</v>
      </c>
      <c r="C36" s="25" t="n">
        <v>0.1</v>
      </c>
      <c r="D36" s="21"/>
      <c r="E36" s="23" t="s">
        <v>94</v>
      </c>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21" t="s">
        <v>95</v>
      </c>
      <c r="C37" s="25" t="n">
        <v>0.05</v>
      </c>
      <c r="D37" s="21"/>
      <c r="E37" s="23" t="s">
        <v>96</v>
      </c>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21" t="s">
        <v>97</v>
      </c>
      <c r="C38" s="25" t="n">
        <v>0.15</v>
      </c>
      <c r="D38" s="21"/>
      <c r="E38" s="23" t="s">
        <v>98</v>
      </c>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21" t="s">
        <v>99</v>
      </c>
      <c r="C39" s="25" t="n">
        <v>0.05</v>
      </c>
      <c r="D39" s="21"/>
      <c r="E39" s="23" t="s">
        <v>100</v>
      </c>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20" t="s">
        <v>101</v>
      </c>
      <c r="C41" s="20"/>
      <c r="D41" s="20"/>
      <c r="E41" s="20"/>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21" t="s">
        <v>102</v>
      </c>
      <c r="C42" s="27" t="n">
        <v>12</v>
      </c>
      <c r="D42" s="21" t="s">
        <v>72</v>
      </c>
      <c r="E42" s="23" t="s">
        <v>103</v>
      </c>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21" t="s">
        <v>104</v>
      </c>
      <c r="C43" s="25" t="n">
        <v>0.08</v>
      </c>
      <c r="D43" s="21"/>
      <c r="E43" s="23" t="s">
        <v>105</v>
      </c>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21" t="s">
        <v>106</v>
      </c>
      <c r="C44" s="24" t="n">
        <v>4</v>
      </c>
      <c r="D44" s="21" t="s">
        <v>107</v>
      </c>
      <c r="E44" s="23" t="s">
        <v>108</v>
      </c>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20" t="s">
        <v>109</v>
      </c>
      <c r="C46" s="20"/>
      <c r="D46" s="20"/>
      <c r="E46" s="20"/>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21" t="s">
        <v>110</v>
      </c>
      <c r="C47" s="25" t="n">
        <v>0.05</v>
      </c>
      <c r="D47" s="21"/>
      <c r="E47" s="23" t="s">
        <v>111</v>
      </c>
      <c r="F47" s="5"/>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21" t="s">
        <v>112</v>
      </c>
      <c r="C48" s="25" t="n">
        <v>0.07</v>
      </c>
      <c r="D48" s="21"/>
      <c r="E48" s="23" t="s">
        <v>113</v>
      </c>
      <c r="F48" s="5"/>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21" t="s">
        <v>114</v>
      </c>
      <c r="C49" s="25" t="n">
        <v>0.02</v>
      </c>
      <c r="D49" s="21"/>
      <c r="E49" s="23" t="s">
        <v>115</v>
      </c>
      <c r="F49" s="5"/>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21" t="s">
        <v>116</v>
      </c>
      <c r="C50" s="25" t="n">
        <v>0.08</v>
      </c>
      <c r="D50" s="21"/>
      <c r="E50" s="23" t="s">
        <v>117</v>
      </c>
      <c r="F50" s="5"/>
      <c r="G50" s="5"/>
      <c r="H50" s="5"/>
      <c r="I50" s="5"/>
      <c r="J50" s="5"/>
      <c r="K50" s="5"/>
      <c r="L50" s="5"/>
      <c r="M50" s="5"/>
      <c r="N50" s="5"/>
      <c r="O50" s="5"/>
      <c r="P50" s="5"/>
      <c r="Q50" s="5"/>
      <c r="R50" s="5"/>
      <c r="S50" s="5"/>
      <c r="T50" s="5"/>
      <c r="U50" s="5"/>
      <c r="V50" s="5"/>
      <c r="W50" s="5"/>
      <c r="X50" s="5"/>
      <c r="Y50" s="5"/>
      <c r="Z50" s="5"/>
      <c r="AA50" s="5"/>
      <c r="AB50" s="5"/>
      <c r="AC50" s="5"/>
      <c r="AD50" s="5"/>
    </row>
    <row r="51" customFormat="false" ht="15" hidden="false" customHeight="false" outlineLevel="0" collapsed="false">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customFormat="false" ht="15" hidden="false" customHeight="false" outlineLevel="0" collapsed="false">
      <c r="A52" s="5"/>
      <c r="B52" s="20" t="s">
        <v>118</v>
      </c>
      <c r="C52" s="20"/>
      <c r="D52" s="20"/>
      <c r="E52" s="20"/>
      <c r="F52" s="5"/>
      <c r="G52" s="5"/>
      <c r="H52" s="5"/>
      <c r="I52" s="5"/>
      <c r="J52" s="5"/>
      <c r="K52" s="5"/>
      <c r="L52" s="5"/>
      <c r="M52" s="5"/>
      <c r="N52" s="5"/>
      <c r="O52" s="5"/>
      <c r="P52" s="5"/>
      <c r="Q52" s="5"/>
      <c r="R52" s="5"/>
      <c r="S52" s="5"/>
      <c r="T52" s="5"/>
      <c r="U52" s="5"/>
      <c r="V52" s="5"/>
      <c r="W52" s="5"/>
      <c r="X52" s="5"/>
      <c r="Y52" s="5"/>
      <c r="Z52" s="5"/>
      <c r="AA52" s="5"/>
      <c r="AB52" s="5"/>
      <c r="AC52" s="5"/>
      <c r="AD52" s="5"/>
    </row>
    <row r="53" customFormat="false" ht="15" hidden="false" customHeight="false" outlineLevel="0" collapsed="false">
      <c r="A53" s="5"/>
      <c r="B53" s="21" t="s">
        <v>119</v>
      </c>
      <c r="C53" s="24" t="n">
        <v>25</v>
      </c>
      <c r="D53" s="21" t="s">
        <v>120</v>
      </c>
      <c r="E53" s="23" t="s">
        <v>121</v>
      </c>
      <c r="F53" s="5"/>
      <c r="G53" s="5"/>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21" t="s">
        <v>122</v>
      </c>
      <c r="C54" s="27" t="n">
        <v>120000</v>
      </c>
      <c r="D54" s="21" t="s">
        <v>123</v>
      </c>
      <c r="E54" s="5"/>
      <c r="F54" s="5"/>
      <c r="G54" s="5"/>
      <c r="H54" s="5"/>
      <c r="I54" s="5"/>
      <c r="J54" s="5"/>
      <c r="K54" s="5"/>
      <c r="L54" s="5"/>
      <c r="M54" s="5"/>
      <c r="N54" s="5"/>
      <c r="O54" s="5"/>
      <c r="P54" s="5"/>
      <c r="Q54" s="5"/>
      <c r="R54" s="5"/>
      <c r="S54" s="5"/>
      <c r="T54" s="5"/>
      <c r="U54" s="5"/>
      <c r="V54" s="5"/>
      <c r="W54" s="5"/>
      <c r="X54" s="5"/>
      <c r="Y54" s="5"/>
      <c r="Z54" s="5"/>
      <c r="AA54" s="5"/>
      <c r="AB54" s="5"/>
      <c r="AC54" s="5"/>
      <c r="AD54" s="5"/>
    </row>
    <row r="55" customFormat="false" ht="15" hidden="false" customHeight="false" outlineLevel="0" collapsed="false">
      <c r="A55" s="5"/>
      <c r="B55" s="21" t="s">
        <v>124</v>
      </c>
      <c r="C55" s="24" t="n">
        <v>10</v>
      </c>
      <c r="D55" s="21" t="s">
        <v>120</v>
      </c>
      <c r="E55" s="23" t="s">
        <v>125</v>
      </c>
      <c r="F55" s="5"/>
      <c r="G55" s="5"/>
      <c r="H55" s="5"/>
      <c r="I55" s="5"/>
      <c r="J55" s="5"/>
      <c r="K55" s="5"/>
      <c r="L55" s="5"/>
      <c r="M55" s="5"/>
      <c r="N55" s="5"/>
      <c r="O55" s="5"/>
      <c r="P55" s="5"/>
      <c r="Q55" s="5"/>
      <c r="R55" s="5"/>
      <c r="S55" s="5"/>
      <c r="T55" s="5"/>
      <c r="U55" s="5"/>
      <c r="V55" s="5"/>
      <c r="W55" s="5"/>
      <c r="X55" s="5"/>
      <c r="Y55" s="5"/>
      <c r="Z55" s="5"/>
      <c r="AA55" s="5"/>
      <c r="AB55" s="5"/>
      <c r="AC55" s="5"/>
      <c r="AD55" s="5"/>
    </row>
    <row r="56" customFormat="false" ht="15" hidden="false" customHeight="false" outlineLevel="0" collapsed="false">
      <c r="A56" s="5"/>
      <c r="B56" s="21" t="s">
        <v>126</v>
      </c>
      <c r="C56" s="27" t="n">
        <v>90000</v>
      </c>
      <c r="D56" s="21" t="s">
        <v>123</v>
      </c>
      <c r="E56" s="5"/>
      <c r="F56" s="5"/>
      <c r="G56" s="5"/>
      <c r="H56" s="5"/>
      <c r="I56" s="5"/>
      <c r="J56" s="5"/>
      <c r="K56" s="5"/>
      <c r="L56" s="5"/>
      <c r="M56" s="5"/>
      <c r="N56" s="5"/>
      <c r="O56" s="5"/>
      <c r="P56" s="5"/>
      <c r="Q56" s="5"/>
      <c r="R56" s="5"/>
      <c r="S56" s="5"/>
      <c r="T56" s="5"/>
      <c r="U56" s="5"/>
      <c r="V56" s="5"/>
      <c r="W56" s="5"/>
      <c r="X56" s="5"/>
      <c r="Y56" s="5"/>
      <c r="Z56" s="5"/>
      <c r="AA56" s="5"/>
      <c r="AB56" s="5"/>
      <c r="AC56" s="5"/>
      <c r="AD56" s="5"/>
    </row>
    <row r="57" customFormat="false" ht="15" hidden="false" customHeight="false" outlineLevel="0" collapsed="false">
      <c r="A57" s="5"/>
      <c r="B57" s="21" t="s">
        <v>127</v>
      </c>
      <c r="C57" s="24" t="n">
        <v>8</v>
      </c>
      <c r="D57" s="21" t="s">
        <v>120</v>
      </c>
      <c r="E57" s="23" t="s">
        <v>128</v>
      </c>
      <c r="F57" s="5"/>
      <c r="G57" s="5"/>
      <c r="H57" s="5"/>
      <c r="I57" s="5"/>
      <c r="J57" s="5"/>
      <c r="K57" s="5"/>
      <c r="L57" s="5"/>
      <c r="M57" s="5"/>
      <c r="N57" s="5"/>
      <c r="O57" s="5"/>
      <c r="P57" s="5"/>
      <c r="Q57" s="5"/>
      <c r="R57" s="5"/>
      <c r="S57" s="5"/>
      <c r="T57" s="5"/>
      <c r="U57" s="5"/>
      <c r="V57" s="5"/>
      <c r="W57" s="5"/>
      <c r="X57" s="5"/>
      <c r="Y57" s="5"/>
      <c r="Z57" s="5"/>
      <c r="AA57" s="5"/>
      <c r="AB57" s="5"/>
      <c r="AC57" s="5"/>
      <c r="AD57" s="5"/>
    </row>
    <row r="58" customFormat="false" ht="15" hidden="false" customHeight="false" outlineLevel="0" collapsed="false">
      <c r="A58" s="5"/>
      <c r="B58" s="21" t="s">
        <v>129</v>
      </c>
      <c r="C58" s="27" t="n">
        <v>75000</v>
      </c>
      <c r="D58" s="21" t="s">
        <v>123</v>
      </c>
      <c r="E58" s="5"/>
      <c r="F58" s="5"/>
      <c r="G58" s="5"/>
      <c r="H58" s="5"/>
      <c r="I58" s="5"/>
      <c r="J58" s="5"/>
      <c r="K58" s="5"/>
      <c r="L58" s="5"/>
      <c r="M58" s="5"/>
      <c r="N58" s="5"/>
      <c r="O58" s="5"/>
      <c r="P58" s="5"/>
      <c r="Q58" s="5"/>
      <c r="R58" s="5"/>
      <c r="S58" s="5"/>
      <c r="T58" s="5"/>
      <c r="U58" s="5"/>
      <c r="V58" s="5"/>
      <c r="W58" s="5"/>
      <c r="X58" s="5"/>
      <c r="Y58" s="5"/>
      <c r="Z58" s="5"/>
      <c r="AA58" s="5"/>
      <c r="AB58" s="5"/>
      <c r="AC58" s="5"/>
      <c r="AD58" s="5"/>
    </row>
    <row r="59" customFormat="false" ht="15" hidden="false" customHeight="false" outlineLevel="0" collapsed="false">
      <c r="A59" s="5"/>
      <c r="B59" s="21" t="s">
        <v>130</v>
      </c>
      <c r="C59" s="24" t="n">
        <v>6</v>
      </c>
      <c r="D59" s="21" t="s">
        <v>120</v>
      </c>
      <c r="E59" s="23" t="s">
        <v>131</v>
      </c>
      <c r="F59" s="5"/>
      <c r="G59" s="5"/>
      <c r="H59" s="5"/>
      <c r="I59" s="5"/>
      <c r="J59" s="5"/>
      <c r="K59" s="5"/>
      <c r="L59" s="5"/>
      <c r="M59" s="5"/>
      <c r="N59" s="5"/>
      <c r="O59" s="5"/>
      <c r="P59" s="5"/>
      <c r="Q59" s="5"/>
      <c r="R59" s="5"/>
      <c r="S59" s="5"/>
      <c r="T59" s="5"/>
      <c r="U59" s="5"/>
      <c r="V59" s="5"/>
      <c r="W59" s="5"/>
      <c r="X59" s="5"/>
      <c r="Y59" s="5"/>
      <c r="Z59" s="5"/>
      <c r="AA59" s="5"/>
      <c r="AB59" s="5"/>
      <c r="AC59" s="5"/>
      <c r="AD59" s="5"/>
    </row>
    <row r="60" customFormat="false" ht="15" hidden="false" customHeight="false" outlineLevel="0" collapsed="false">
      <c r="A60" s="5"/>
      <c r="B60" s="21" t="s">
        <v>132</v>
      </c>
      <c r="C60" s="27" t="n">
        <v>140000</v>
      </c>
      <c r="D60" s="21" t="s">
        <v>123</v>
      </c>
      <c r="E60" s="5"/>
      <c r="F60" s="5"/>
      <c r="G60" s="5"/>
      <c r="H60" s="5"/>
      <c r="I60" s="5"/>
      <c r="J60" s="5"/>
      <c r="K60" s="5"/>
      <c r="L60" s="5"/>
      <c r="M60" s="5"/>
      <c r="N60" s="5"/>
      <c r="O60" s="5"/>
      <c r="P60" s="5"/>
      <c r="Q60" s="5"/>
      <c r="R60" s="5"/>
      <c r="S60" s="5"/>
      <c r="T60" s="5"/>
      <c r="U60" s="5"/>
      <c r="V60" s="5"/>
      <c r="W60" s="5"/>
      <c r="X60" s="5"/>
      <c r="Y60" s="5"/>
      <c r="Z60" s="5"/>
      <c r="AA60" s="5"/>
      <c r="AB60" s="5"/>
      <c r="AC60" s="5"/>
      <c r="AD60" s="5"/>
    </row>
    <row r="61" customFormat="false" ht="15" hidden="false" customHeight="false" outlineLevel="0" collapsed="false">
      <c r="A61" s="5"/>
      <c r="B61" s="21" t="s">
        <v>133</v>
      </c>
      <c r="C61" s="24" t="n">
        <v>5</v>
      </c>
      <c r="D61" s="21" t="s">
        <v>120</v>
      </c>
      <c r="E61" s="23" t="s">
        <v>134</v>
      </c>
      <c r="F61" s="5"/>
      <c r="G61" s="5"/>
      <c r="H61" s="5"/>
      <c r="I61" s="5"/>
      <c r="J61" s="5"/>
      <c r="K61" s="5"/>
      <c r="L61" s="5"/>
      <c r="M61" s="5"/>
      <c r="N61" s="5"/>
      <c r="O61" s="5"/>
      <c r="P61" s="5"/>
      <c r="Q61" s="5"/>
      <c r="R61" s="5"/>
      <c r="S61" s="5"/>
      <c r="T61" s="5"/>
      <c r="U61" s="5"/>
      <c r="V61" s="5"/>
      <c r="W61" s="5"/>
      <c r="X61" s="5"/>
      <c r="Y61" s="5"/>
      <c r="Z61" s="5"/>
      <c r="AA61" s="5"/>
      <c r="AB61" s="5"/>
      <c r="AC61" s="5"/>
      <c r="AD61" s="5"/>
    </row>
    <row r="62" customFormat="false" ht="15" hidden="false" customHeight="false" outlineLevel="0" collapsed="false">
      <c r="A62" s="5"/>
      <c r="B62" s="21" t="s">
        <v>135</v>
      </c>
      <c r="C62" s="27" t="n">
        <v>100000</v>
      </c>
      <c r="D62" s="21" t="s">
        <v>123</v>
      </c>
      <c r="E62" s="5"/>
      <c r="F62" s="5"/>
      <c r="G62" s="5"/>
      <c r="H62" s="5"/>
      <c r="I62" s="5"/>
      <c r="J62" s="5"/>
      <c r="K62" s="5"/>
      <c r="L62" s="5"/>
      <c r="M62" s="5"/>
      <c r="N62" s="5"/>
      <c r="O62" s="5"/>
      <c r="P62" s="5"/>
      <c r="Q62" s="5"/>
      <c r="R62" s="5"/>
      <c r="S62" s="5"/>
      <c r="T62" s="5"/>
      <c r="U62" s="5"/>
      <c r="V62" s="5"/>
      <c r="W62" s="5"/>
      <c r="X62" s="5"/>
      <c r="Y62" s="5"/>
      <c r="Z62" s="5"/>
      <c r="AA62" s="5"/>
      <c r="AB62" s="5"/>
      <c r="AC62" s="5"/>
      <c r="AD62" s="5"/>
    </row>
    <row r="63" customFormat="false" ht="15" hidden="false" customHeight="false" outlineLevel="0" collapsed="false">
      <c r="A63" s="5"/>
      <c r="B63" s="21" t="s">
        <v>136</v>
      </c>
      <c r="C63" s="25" t="n">
        <v>0.1</v>
      </c>
      <c r="D63" s="21"/>
      <c r="E63" s="23" t="s">
        <v>137</v>
      </c>
      <c r="F63" s="5"/>
      <c r="G63" s="5"/>
      <c r="H63" s="5"/>
      <c r="I63" s="5"/>
      <c r="J63" s="5"/>
      <c r="K63" s="5"/>
      <c r="L63" s="5"/>
      <c r="M63" s="5"/>
      <c r="N63" s="5"/>
      <c r="O63" s="5"/>
      <c r="P63" s="5"/>
      <c r="Q63" s="5"/>
      <c r="R63" s="5"/>
      <c r="S63" s="5"/>
      <c r="T63" s="5"/>
      <c r="U63" s="5"/>
      <c r="V63" s="5"/>
      <c r="W63" s="5"/>
      <c r="X63" s="5"/>
      <c r="Y63" s="5"/>
      <c r="Z63" s="5"/>
      <c r="AA63" s="5"/>
      <c r="AB63" s="5"/>
      <c r="AC63" s="5"/>
      <c r="AD63" s="5"/>
    </row>
    <row r="64" customFormat="false" ht="15" hidden="false" customHeight="false" outlineLevel="0" collapsed="false">
      <c r="A64" s="5"/>
      <c r="B64" s="21" t="s">
        <v>138</v>
      </c>
      <c r="C64" s="27" t="n">
        <v>150000</v>
      </c>
      <c r="D64" s="21" t="s">
        <v>123</v>
      </c>
      <c r="E64" s="23" t="s">
        <v>139</v>
      </c>
      <c r="F64" s="5"/>
      <c r="G64" s="5"/>
      <c r="H64" s="5"/>
      <c r="I64" s="5"/>
      <c r="J64" s="5"/>
      <c r="K64" s="5"/>
      <c r="L64" s="5"/>
      <c r="M64" s="5"/>
      <c r="N64" s="5"/>
      <c r="O64" s="5"/>
      <c r="P64" s="5"/>
      <c r="Q64" s="5"/>
      <c r="R64" s="5"/>
      <c r="S64" s="5"/>
      <c r="T64" s="5"/>
      <c r="U64" s="5"/>
      <c r="V64" s="5"/>
      <c r="W64" s="5"/>
      <c r="X64" s="5"/>
      <c r="Y64" s="5"/>
      <c r="Z64" s="5"/>
      <c r="AA64" s="5"/>
      <c r="AB64" s="5"/>
      <c r="AC64" s="5"/>
      <c r="AD64" s="5"/>
    </row>
    <row r="65" customFormat="false" ht="15" hidden="false" customHeight="false" outlineLevel="0" collapsed="false">
      <c r="A65" s="5"/>
      <c r="B65" s="21" t="s">
        <v>140</v>
      </c>
      <c r="C65" s="25" t="n">
        <v>0.03</v>
      </c>
      <c r="D65" s="21"/>
      <c r="E65" s="23" t="s">
        <v>141</v>
      </c>
      <c r="F65" s="5"/>
      <c r="G65" s="5"/>
      <c r="H65" s="5"/>
      <c r="I65" s="5"/>
      <c r="J65" s="5"/>
      <c r="K65" s="5"/>
      <c r="L65" s="5"/>
      <c r="M65" s="5"/>
      <c r="N65" s="5"/>
      <c r="O65" s="5"/>
      <c r="P65" s="5"/>
      <c r="Q65" s="5"/>
      <c r="R65" s="5"/>
      <c r="S65" s="5"/>
      <c r="T65" s="5"/>
      <c r="U65" s="5"/>
      <c r="V65" s="5"/>
      <c r="W65" s="5"/>
      <c r="X65" s="5"/>
      <c r="Y65" s="5"/>
      <c r="Z65" s="5"/>
      <c r="AA65" s="5"/>
      <c r="AB65" s="5"/>
      <c r="AC65" s="5"/>
      <c r="AD65" s="5"/>
    </row>
    <row r="66" customFormat="false" ht="15" hidden="false" customHeight="false" outlineLevel="0" collapsed="false">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row>
    <row r="67" customFormat="false" ht="15" hidden="false" customHeight="false" outlineLevel="0" collapsed="false">
      <c r="A67" s="5"/>
      <c r="B67" s="20" t="s">
        <v>142</v>
      </c>
      <c r="C67" s="20"/>
      <c r="D67" s="20"/>
      <c r="E67" s="20"/>
      <c r="F67" s="5"/>
      <c r="G67" s="5"/>
      <c r="H67" s="5"/>
      <c r="I67" s="5"/>
      <c r="J67" s="5"/>
      <c r="K67" s="5"/>
      <c r="L67" s="5"/>
      <c r="M67" s="5"/>
      <c r="N67" s="5"/>
      <c r="O67" s="5"/>
      <c r="P67" s="5"/>
      <c r="Q67" s="5"/>
      <c r="R67" s="5"/>
      <c r="S67" s="5"/>
      <c r="T67" s="5"/>
      <c r="U67" s="5"/>
      <c r="V67" s="5"/>
      <c r="W67" s="5"/>
      <c r="X67" s="5"/>
      <c r="Y67" s="5"/>
      <c r="Z67" s="5"/>
      <c r="AA67" s="5"/>
      <c r="AB67" s="5"/>
      <c r="AC67" s="5"/>
      <c r="AD67" s="5"/>
    </row>
    <row r="68" customFormat="false" ht="15" hidden="false" customHeight="false" outlineLevel="0" collapsed="false">
      <c r="A68" s="5"/>
      <c r="B68" s="21" t="s">
        <v>143</v>
      </c>
      <c r="C68" s="25" t="n">
        <v>0.05</v>
      </c>
      <c r="D68" s="21"/>
      <c r="E68" s="23" t="s">
        <v>144</v>
      </c>
      <c r="F68" s="5"/>
      <c r="G68" s="5"/>
      <c r="H68" s="5"/>
      <c r="I68" s="5"/>
      <c r="J68" s="5"/>
      <c r="K68" s="5"/>
      <c r="L68" s="5"/>
      <c r="M68" s="5"/>
      <c r="N68" s="5"/>
      <c r="O68" s="5"/>
      <c r="P68" s="5"/>
      <c r="Q68" s="5"/>
      <c r="R68" s="5"/>
      <c r="S68" s="5"/>
      <c r="T68" s="5"/>
      <c r="U68" s="5"/>
      <c r="V68" s="5"/>
      <c r="W68" s="5"/>
      <c r="X68" s="5"/>
      <c r="Y68" s="5"/>
      <c r="Z68" s="5"/>
      <c r="AA68" s="5"/>
      <c r="AB68" s="5"/>
      <c r="AC68" s="5"/>
      <c r="AD68" s="5"/>
    </row>
    <row r="69" customFormat="false" ht="15" hidden="false" customHeight="false" outlineLevel="0" collapsed="false">
      <c r="A69" s="5"/>
      <c r="B69" s="21" t="s">
        <v>145</v>
      </c>
      <c r="C69" s="24" t="n">
        <v>4</v>
      </c>
      <c r="D69" s="21" t="s">
        <v>43</v>
      </c>
      <c r="E69" s="23" t="s">
        <v>146</v>
      </c>
      <c r="F69" s="5"/>
      <c r="G69" s="5"/>
      <c r="H69" s="5"/>
      <c r="I69" s="5"/>
      <c r="J69" s="5"/>
      <c r="K69" s="5"/>
      <c r="L69" s="5"/>
      <c r="M69" s="5"/>
      <c r="N69" s="5"/>
      <c r="O69" s="5"/>
      <c r="P69" s="5"/>
      <c r="Q69" s="5"/>
      <c r="R69" s="5"/>
      <c r="S69" s="5"/>
      <c r="T69" s="5"/>
      <c r="U69" s="5"/>
      <c r="V69" s="5"/>
      <c r="W69" s="5"/>
      <c r="X69" s="5"/>
      <c r="Y69" s="5"/>
      <c r="Z69" s="5"/>
      <c r="AA69" s="5"/>
      <c r="AB69" s="5"/>
      <c r="AC69" s="5"/>
      <c r="AD69" s="5"/>
    </row>
    <row r="70" customFormat="false" ht="15" hidden="false" customHeight="false" outlineLevel="0" collapsed="false">
      <c r="A70" s="5"/>
      <c r="B70" s="21" t="s">
        <v>147</v>
      </c>
      <c r="C70" s="24" t="n">
        <v>20</v>
      </c>
      <c r="D70" s="21" t="s">
        <v>148</v>
      </c>
      <c r="E70" s="23" t="s">
        <v>149</v>
      </c>
      <c r="F70" s="5"/>
      <c r="G70" s="5"/>
      <c r="H70" s="5"/>
      <c r="I70" s="5"/>
      <c r="J70" s="5"/>
      <c r="K70" s="5"/>
      <c r="L70" s="5"/>
      <c r="M70" s="5"/>
      <c r="N70" s="5"/>
      <c r="O70" s="5"/>
      <c r="P70" s="5"/>
      <c r="Q70" s="5"/>
      <c r="R70" s="5"/>
      <c r="S70" s="5"/>
      <c r="T70" s="5"/>
      <c r="U70" s="5"/>
      <c r="V70" s="5"/>
      <c r="W70" s="5"/>
      <c r="X70" s="5"/>
      <c r="Y70" s="5"/>
      <c r="Z70" s="5"/>
      <c r="AA70" s="5"/>
      <c r="AB70" s="5"/>
      <c r="AC70" s="5"/>
      <c r="AD70" s="5"/>
    </row>
    <row r="71" customFormat="false" ht="15" hidden="false" customHeight="false" outlineLevel="0" collapsed="false">
      <c r="A71" s="5"/>
      <c r="B71" s="21" t="s">
        <v>150</v>
      </c>
      <c r="C71" s="24" t="n">
        <v>35</v>
      </c>
      <c r="D71" s="21" t="s">
        <v>148</v>
      </c>
      <c r="E71" s="23" t="s">
        <v>151</v>
      </c>
      <c r="F71" s="5"/>
      <c r="G71" s="5"/>
      <c r="H71" s="5"/>
      <c r="I71" s="5"/>
      <c r="J71" s="5"/>
      <c r="K71" s="5"/>
      <c r="L71" s="5"/>
      <c r="M71" s="5"/>
      <c r="N71" s="5"/>
      <c r="O71" s="5"/>
      <c r="P71" s="5"/>
      <c r="Q71" s="5"/>
      <c r="R71" s="5"/>
      <c r="S71" s="5"/>
      <c r="T71" s="5"/>
      <c r="U71" s="5"/>
      <c r="V71" s="5"/>
      <c r="W71" s="5"/>
      <c r="X71" s="5"/>
      <c r="Y71" s="5"/>
      <c r="Z71" s="5"/>
      <c r="AA71" s="5"/>
      <c r="AB71" s="5"/>
      <c r="AC71" s="5"/>
      <c r="AD71" s="5"/>
    </row>
    <row r="72" customFormat="false" ht="15" hidden="false" customHeight="false" outlineLevel="0" collapsed="false">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customFormat="false" ht="15" hidden="false" customHeight="false" outlineLevel="0" collapsed="false">
      <c r="A73" s="5"/>
      <c r="B73" s="20" t="s">
        <v>152</v>
      </c>
      <c r="C73" s="20"/>
      <c r="D73" s="20"/>
      <c r="E73" s="20"/>
      <c r="F73" s="5"/>
      <c r="G73" s="5"/>
      <c r="H73" s="5"/>
      <c r="I73" s="5"/>
      <c r="J73" s="5"/>
      <c r="K73" s="5"/>
      <c r="L73" s="5"/>
      <c r="M73" s="5"/>
      <c r="N73" s="5"/>
      <c r="O73" s="5"/>
      <c r="P73" s="5"/>
      <c r="Q73" s="5"/>
      <c r="R73" s="5"/>
      <c r="S73" s="5"/>
      <c r="T73" s="5"/>
      <c r="U73" s="5"/>
      <c r="V73" s="5"/>
      <c r="W73" s="5"/>
      <c r="X73" s="5"/>
      <c r="Y73" s="5"/>
      <c r="Z73" s="5"/>
      <c r="AA73" s="5"/>
      <c r="AB73" s="5"/>
      <c r="AC73" s="5"/>
      <c r="AD73" s="5"/>
    </row>
    <row r="74" customFormat="false" ht="15" hidden="false" customHeight="false" outlineLevel="0" collapsed="false">
      <c r="A74" s="5"/>
      <c r="B74" s="21" t="s">
        <v>153</v>
      </c>
      <c r="C74" s="27" t="n">
        <v>5000000</v>
      </c>
      <c r="D74" s="21" t="s">
        <v>72</v>
      </c>
      <c r="E74" s="23" t="s">
        <v>154</v>
      </c>
      <c r="F74" s="5"/>
      <c r="G74" s="5"/>
      <c r="H74" s="5"/>
      <c r="I74" s="5"/>
      <c r="J74" s="5"/>
      <c r="K74" s="5"/>
      <c r="L74" s="5"/>
      <c r="M74" s="5"/>
      <c r="N74" s="5"/>
      <c r="O74" s="5"/>
      <c r="P74" s="5"/>
      <c r="Q74" s="5"/>
      <c r="R74" s="5"/>
      <c r="S74" s="5"/>
      <c r="T74" s="5"/>
      <c r="U74" s="5"/>
      <c r="V74" s="5"/>
      <c r="W74" s="5"/>
      <c r="X74" s="5"/>
      <c r="Y74" s="5"/>
      <c r="Z74" s="5"/>
      <c r="AA74" s="5"/>
      <c r="AB74" s="5"/>
      <c r="AC74" s="5"/>
      <c r="AD74" s="5"/>
    </row>
    <row r="75" customFormat="false" ht="15" hidden="false" customHeight="false" outlineLevel="0" collapsed="false">
      <c r="A75" s="5"/>
      <c r="B75" s="21" t="s">
        <v>155</v>
      </c>
      <c r="C75" s="27" t="n">
        <v>8000000</v>
      </c>
      <c r="D75" s="21" t="s">
        <v>72</v>
      </c>
      <c r="E75" s="23" t="s">
        <v>156</v>
      </c>
      <c r="F75" s="5"/>
      <c r="G75" s="5"/>
      <c r="H75" s="5"/>
      <c r="I75" s="5"/>
      <c r="J75" s="5"/>
      <c r="K75" s="5"/>
      <c r="L75" s="5"/>
      <c r="M75" s="5"/>
      <c r="N75" s="5"/>
      <c r="O75" s="5"/>
      <c r="P75" s="5"/>
      <c r="Q75" s="5"/>
      <c r="R75" s="5"/>
      <c r="S75" s="5"/>
      <c r="T75" s="5"/>
      <c r="U75" s="5"/>
      <c r="V75" s="5"/>
      <c r="W75" s="5"/>
      <c r="X75" s="5"/>
      <c r="Y75" s="5"/>
      <c r="Z75" s="5"/>
      <c r="AA75" s="5"/>
      <c r="AB75" s="5"/>
      <c r="AC75" s="5"/>
      <c r="AD75"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8" t="s">
        <v>157</v>
      </c>
    </row>
    <row r="3" customFormat="false" ht="3.75" hidden="false" customHeight="true" outlineLevel="0" collapsed="false">
      <c r="A3" s="5"/>
      <c r="B3" s="29"/>
    </row>
    <row r="4" customFormat="false" ht="15" hidden="false" customHeight="false" outlineLevel="0" collapsed="false">
      <c r="A4" s="5"/>
      <c r="B4" s="5"/>
    </row>
    <row r="5" customFormat="false" ht="19.5" hidden="false" customHeight="true" outlineLevel="0" collapsed="false">
      <c r="A5" s="5"/>
      <c r="B5" s="30" t="s">
        <v>158</v>
      </c>
    </row>
    <row r="6" customFormat="false" ht="48" hidden="false" customHeight="true" outlineLevel="0" collapsed="false">
      <c r="A6" s="5"/>
      <c r="B6" s="31" t="s">
        <v>159</v>
      </c>
    </row>
    <row r="7" customFormat="false" ht="15" hidden="false" customHeight="false" outlineLevel="0" collapsed="false">
      <c r="A7" s="5"/>
      <c r="B7" s="5"/>
    </row>
    <row r="8" customFormat="false" ht="19.5" hidden="false" customHeight="true" outlineLevel="0" collapsed="false">
      <c r="A8" s="5"/>
      <c r="B8" s="30" t="s">
        <v>160</v>
      </c>
    </row>
    <row r="9" customFormat="false" ht="61.5" hidden="false" customHeight="true" outlineLevel="0" collapsed="false">
      <c r="A9" s="5"/>
      <c r="B9" s="31" t="s">
        <v>161</v>
      </c>
    </row>
    <row r="10" customFormat="false" ht="15" hidden="false" customHeight="false" outlineLevel="0" collapsed="false">
      <c r="A10" s="5"/>
      <c r="B10" s="5"/>
    </row>
    <row r="11" customFormat="false" ht="19.5" hidden="false" customHeight="true" outlineLevel="0" collapsed="false">
      <c r="A11" s="5"/>
      <c r="B11" s="30" t="s">
        <v>162</v>
      </c>
    </row>
    <row r="12" customFormat="false" ht="75.75" hidden="false" customHeight="true" outlineLevel="0" collapsed="false">
      <c r="A12" s="5"/>
      <c r="B12" s="31" t="s">
        <v>163</v>
      </c>
    </row>
    <row r="13" customFormat="false" ht="15" hidden="false" customHeight="false" outlineLevel="0" collapsed="false">
      <c r="A13" s="5"/>
      <c r="B13" s="5"/>
    </row>
    <row r="14" customFormat="false" ht="19.5" hidden="false" customHeight="true" outlineLevel="0" collapsed="false">
      <c r="A14" s="5"/>
      <c r="B14" s="30" t="s">
        <v>164</v>
      </c>
    </row>
    <row r="15" customFormat="false" ht="61.5" hidden="false" customHeight="true" outlineLevel="0" collapsed="false">
      <c r="A15" s="5"/>
      <c r="B15" s="31" t="s">
        <v>165</v>
      </c>
    </row>
    <row r="16" customFormat="false" ht="15" hidden="false" customHeight="false" outlineLevel="0" collapsed="false">
      <c r="A16" s="5"/>
      <c r="B16" s="5"/>
    </row>
    <row r="17" customFormat="false" ht="19.5" hidden="false" customHeight="true" outlineLevel="0" collapsed="false">
      <c r="A17" s="5"/>
      <c r="B17" s="30" t="s">
        <v>166</v>
      </c>
    </row>
    <row r="18" customFormat="false" ht="33.75" hidden="false" customHeight="true" outlineLevel="0" collapsed="false">
      <c r="A18" s="5"/>
      <c r="B18" s="31" t="s">
        <v>167</v>
      </c>
    </row>
    <row r="19" customFormat="false" ht="15" hidden="false" customHeight="false" outlineLevel="0" collapsed="false">
      <c r="A19" s="5"/>
      <c r="B19" s="5"/>
    </row>
    <row r="20" customFormat="false" ht="19.5" hidden="false" customHeight="true" outlineLevel="0" collapsed="false">
      <c r="A20" s="5"/>
      <c r="B20" s="30" t="s">
        <v>168</v>
      </c>
    </row>
    <row r="21" customFormat="false" ht="33.75" hidden="false" customHeight="true" outlineLevel="0" collapsed="false">
      <c r="A21" s="5"/>
      <c r="B21" s="31" t="s">
        <v>169</v>
      </c>
    </row>
    <row r="22" customFormat="false" ht="15" hidden="false" customHeight="false" outlineLevel="0" collapsed="false">
      <c r="A22" s="5"/>
      <c r="B22" s="5"/>
    </row>
    <row r="23" customFormat="false" ht="21.75" hidden="false" customHeight="true" outlineLevel="0" collapsed="false">
      <c r="A23" s="5"/>
      <c r="B23" s="32" t="s">
        <v>170</v>
      </c>
    </row>
    <row r="24" customFormat="false" ht="15" hidden="false" customHeight="false" outlineLevel="0" collapsed="false">
      <c r="A24" s="5"/>
      <c r="B24" s="5"/>
    </row>
    <row r="25" customFormat="false" ht="18" hidden="false" customHeight="true" outlineLevel="0" collapsed="false">
      <c r="A25" s="5"/>
      <c r="B25" s="33" t="s">
        <v>171</v>
      </c>
    </row>
    <row r="26" customFormat="false" ht="201.75" hidden="false" customHeight="true" outlineLevel="0" collapsed="false">
      <c r="A26" s="5"/>
      <c r="B26" s="34" t="s">
        <v>172</v>
      </c>
    </row>
    <row r="27" customFormat="false" ht="15" hidden="false" customHeight="false" outlineLevel="0" collapsed="false">
      <c r="A27" s="5"/>
      <c r="B27" s="5"/>
    </row>
    <row r="28" customFormat="false" ht="18" hidden="false" customHeight="true" outlineLevel="0" collapsed="false">
      <c r="A28" s="5"/>
      <c r="B28" s="35" t="s">
        <v>173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6" t="s">
        <v>47</v>
      </c>
      <c r="C2" s="37"/>
      <c r="D2" s="37"/>
      <c r="E2" s="37"/>
      <c r="F2" s="37"/>
      <c r="G2" s="37"/>
    </row>
    <row r="3" customFormat="false" ht="15" hidden="false" customHeight="false" outlineLevel="0" collapsed="false">
      <c r="A3" s="5"/>
      <c r="B3" s="38" t="s">
        <v>174</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9" t="s">
        <v>175</v>
      </c>
      <c r="C5" s="40" t="n">
        <f aca="false">YEAR(Model_Start_Date)+0</f>
        <v>2026</v>
      </c>
      <c r="D5" s="40" t="n">
        <f aca="false">YEAR(Model_Start_Date)+1</f>
        <v>2027</v>
      </c>
      <c r="E5" s="40" t="n">
        <f aca="false">YEAR(Model_Start_Date)+2</f>
        <v>2028</v>
      </c>
      <c r="F5" s="40" t="n">
        <f aca="false">YEAR(Model_Start_Date)+3</f>
        <v>2029</v>
      </c>
      <c r="G5" s="40" t="n">
        <f aca="false">YEAR(Model_Start_Date)+4</f>
        <v>2030</v>
      </c>
    </row>
    <row r="6" customFormat="false" ht="15" hidden="false" customHeight="false" outlineLevel="0" collapsed="false">
      <c r="A6" s="5"/>
      <c r="B6" s="5"/>
      <c r="C6" s="5"/>
      <c r="D6" s="5"/>
      <c r="E6" s="5"/>
      <c r="F6" s="5"/>
      <c r="G6" s="5"/>
    </row>
    <row r="7" customFormat="false" ht="15" hidden="false" customHeight="false" outlineLevel="0" collapsed="false">
      <c r="A7" s="5"/>
      <c r="B7" s="7" t="s">
        <v>176</v>
      </c>
      <c r="C7" s="41" t="n">
        <f aca="false">MAU_Growth_Y1</f>
        <v>0.8</v>
      </c>
      <c r="D7" s="41" t="n">
        <f aca="false">MAU_Growth_Y2</f>
        <v>0.5</v>
      </c>
      <c r="E7" s="41" t="n">
        <f aca="false">MAU_Growth_Y3</f>
        <v>0.3</v>
      </c>
      <c r="F7" s="41" t="n">
        <f aca="false">MAU_Growth_Y4</f>
        <v>0.15</v>
      </c>
      <c r="G7" s="41" t="n">
        <f aca="false">MAU_Growth_Y5</f>
        <v>0.1</v>
      </c>
    </row>
    <row r="8" customFormat="false" ht="15" hidden="false" customHeight="false" outlineLevel="0" collapsed="false">
      <c r="A8" s="5"/>
      <c r="B8" s="21" t="s">
        <v>177</v>
      </c>
      <c r="C8" s="42" t="n">
        <f aca="false">Initial_MAU</f>
        <v>50000</v>
      </c>
      <c r="D8" s="42" t="n">
        <f aca="false">C11</f>
        <v>42000</v>
      </c>
      <c r="E8" s="42" t="n">
        <f aca="false">D11</f>
        <v>22680</v>
      </c>
      <c r="F8" s="42" t="n">
        <f aca="false">E11</f>
        <v>7711.2</v>
      </c>
      <c r="G8" s="42" t="n">
        <f aca="false">F11</f>
        <v>1465.128</v>
      </c>
    </row>
    <row r="9" customFormat="false" ht="15" hidden="false" customHeight="false" outlineLevel="0" collapsed="false">
      <c r="A9" s="5"/>
      <c r="B9" s="43" t="s">
        <v>178</v>
      </c>
      <c r="C9" s="42" t="n">
        <f aca="false">C8*C7</f>
        <v>40000</v>
      </c>
      <c r="D9" s="42" t="n">
        <f aca="false">D8*D7</f>
        <v>21000</v>
      </c>
      <c r="E9" s="42" t="n">
        <f aca="false">E8*E7</f>
        <v>6804</v>
      </c>
      <c r="F9" s="42" t="n">
        <f aca="false">F8*F7</f>
        <v>1156.68</v>
      </c>
      <c r="G9" s="42" t="n">
        <f aca="false">G8*G7</f>
        <v>146.5128</v>
      </c>
    </row>
    <row r="10" customFormat="false" ht="15" hidden="false" customHeight="false" outlineLevel="0" collapsed="false">
      <c r="A10" s="5"/>
      <c r="B10" s="43" t="s">
        <v>179</v>
      </c>
      <c r="C10" s="42" t="n">
        <f aca="false">C8*Churn_Rate_Monthly*12</f>
        <v>48000</v>
      </c>
      <c r="D10" s="42" t="n">
        <f aca="false">D8*Churn_Rate_Monthly*12</f>
        <v>40320</v>
      </c>
      <c r="E10" s="42" t="n">
        <f aca="false">E8*Churn_Rate_Monthly*12</f>
        <v>21772.8</v>
      </c>
      <c r="F10" s="42" t="n">
        <f aca="false">F8*Churn_Rate_Monthly*12</f>
        <v>7402.752</v>
      </c>
      <c r="G10" s="42" t="n">
        <f aca="false">G8*Churn_Rate_Monthly*12</f>
        <v>1406.52288</v>
      </c>
    </row>
    <row r="11" customFormat="false" ht="15" hidden="false" customHeight="false" outlineLevel="0" collapsed="false">
      <c r="A11" s="5"/>
      <c r="B11" s="44" t="s">
        <v>180</v>
      </c>
      <c r="C11" s="45" t="n">
        <f aca="false">C8+C9-C10</f>
        <v>42000</v>
      </c>
      <c r="D11" s="45" t="n">
        <f aca="false">D8+D9-D10</f>
        <v>22680</v>
      </c>
      <c r="E11" s="45" t="n">
        <f aca="false">E8+E9-E10</f>
        <v>7711.2</v>
      </c>
      <c r="F11" s="45" t="n">
        <f aca="false">F8+F9-F10</f>
        <v>1465.128</v>
      </c>
      <c r="G11" s="45" t="n">
        <f aca="false">G8+G9-G10</f>
        <v>205.11792</v>
      </c>
    </row>
    <row r="12" customFormat="false" ht="15" hidden="false" customHeight="false" outlineLevel="0" collapsed="false">
      <c r="A12" s="5"/>
      <c r="B12" s="21" t="s">
        <v>181</v>
      </c>
      <c r="C12" s="42" t="n">
        <f aca="false">(C8+C11)/2</f>
        <v>46000</v>
      </c>
      <c r="D12" s="42" t="n">
        <f aca="false">(D8+D11)/2</f>
        <v>32340</v>
      </c>
      <c r="E12" s="42" t="n">
        <f aca="false">(E8+E11)/2</f>
        <v>15195.6</v>
      </c>
      <c r="F12" s="42" t="n">
        <f aca="false">(F8+F11)/2</f>
        <v>4588.164</v>
      </c>
      <c r="G12" s="42" t="n">
        <f aca="false">(G8+G11)/2</f>
        <v>835.12296</v>
      </c>
    </row>
    <row r="13" customFormat="false" ht="15" hidden="false" customHeight="false" outlineLevel="0" collapsed="false">
      <c r="A13" s="5"/>
      <c r="B13" s="21" t="s">
        <v>182</v>
      </c>
      <c r="C13" s="42" t="n">
        <f aca="false">C12*DAU_MAU_Ratio</f>
        <v>10120</v>
      </c>
      <c r="D13" s="42" t="n">
        <f aca="false">D12*DAU_MAU_Ratio</f>
        <v>7114.8</v>
      </c>
      <c r="E13" s="42" t="n">
        <f aca="false">E12*DAU_MAU_Ratio</f>
        <v>3343.032</v>
      </c>
      <c r="F13" s="42" t="n">
        <f aca="false">F12*DAU_MAU_Ratio</f>
        <v>1009.39608</v>
      </c>
      <c r="G13" s="42" t="n">
        <f aca="false">G12*DAU_MAU_Ratio</f>
        <v>183.7270512</v>
      </c>
    </row>
    <row r="14" customFormat="false" ht="15" hidden="false" customHeight="false" outlineLevel="0" collapsed="false">
      <c r="A14" s="5"/>
      <c r="B14" s="21" t="s">
        <v>183</v>
      </c>
      <c r="C14" s="42" t="n">
        <f aca="false">C12*Paying_Conversion</f>
        <v>4600</v>
      </c>
      <c r="D14" s="42" t="n">
        <f aca="false">D12*Paying_Conversion</f>
        <v>3234</v>
      </c>
      <c r="E14" s="42" t="n">
        <f aca="false">E12*Paying_Conversion</f>
        <v>1519.56</v>
      </c>
      <c r="F14" s="42" t="n">
        <f aca="false">F12*Paying_Conversion</f>
        <v>458.8164</v>
      </c>
      <c r="G14" s="42" t="n">
        <f aca="false">G12*Paying_Conversion</f>
        <v>83.512296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6" t="s">
        <v>184</v>
      </c>
      <c r="C2" s="37"/>
      <c r="D2" s="37"/>
      <c r="E2" s="37"/>
      <c r="F2" s="37"/>
      <c r="G2" s="37"/>
    </row>
    <row r="3" customFormat="false" ht="15" hidden="false" customHeight="false" outlineLevel="0" collapsed="false">
      <c r="A3" s="5"/>
      <c r="B3" s="38" t="s">
        <v>185</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9" t="s">
        <v>175</v>
      </c>
      <c r="C5" s="46" t="s">
        <v>186</v>
      </c>
      <c r="D5" s="46" t="s">
        <v>187</v>
      </c>
      <c r="E5" s="46" t="s">
        <v>188</v>
      </c>
      <c r="F5" s="46" t="s">
        <v>189</v>
      </c>
      <c r="G5" s="46" t="s">
        <v>190</v>
      </c>
    </row>
    <row r="6" customFormat="false" ht="15" hidden="false" customHeight="false" outlineLevel="0" collapsed="false">
      <c r="A6" s="5"/>
      <c r="B6" s="5"/>
      <c r="C6" s="5"/>
      <c r="D6" s="5"/>
      <c r="E6" s="5"/>
      <c r="F6" s="5"/>
      <c r="G6" s="5"/>
    </row>
    <row r="7" customFormat="false" ht="15" hidden="false" customHeight="false" outlineLevel="0" collapsed="false">
      <c r="A7" s="5"/>
      <c r="B7" s="39" t="s">
        <v>67</v>
      </c>
      <c r="C7" s="47"/>
      <c r="D7" s="47"/>
      <c r="E7" s="47"/>
      <c r="F7" s="47"/>
      <c r="G7" s="47"/>
    </row>
    <row r="8" customFormat="false" ht="15" hidden="false" customHeight="false" outlineLevel="0" collapsed="false">
      <c r="A8" s="5"/>
      <c r="B8" s="43" t="s">
        <v>191</v>
      </c>
      <c r="C8" s="42" t="n">
        <f aca="false">NFT_Drops_Qtr*4</f>
        <v>12</v>
      </c>
      <c r="D8" s="42" t="n">
        <f aca="false">NFT_Drops_Qtr*4</f>
        <v>12</v>
      </c>
      <c r="E8" s="42" t="n">
        <f aca="false">NFT_Drops_Qtr*4</f>
        <v>12</v>
      </c>
      <c r="F8" s="42" t="n">
        <f aca="false">NFT_Drops_Qtr*4</f>
        <v>12</v>
      </c>
      <c r="G8" s="42" t="n">
        <f aca="false">NFT_Drops_Qtr*4</f>
        <v>12</v>
      </c>
    </row>
    <row r="9" customFormat="false" ht="15" hidden="false" customHeight="false" outlineLevel="0" collapsed="false">
      <c r="A9" s="5"/>
      <c r="B9" s="43" t="s">
        <v>192</v>
      </c>
      <c r="C9" s="42" t="n">
        <f aca="false">C8*PM_Paying_Users*Sell_Through_Rate</f>
        <v>38640</v>
      </c>
      <c r="D9" s="42" t="n">
        <f aca="false">D8*PM_Paying_Users*Sell_Through_Rate</f>
        <v>27165.6</v>
      </c>
      <c r="E9" s="42" t="n">
        <f aca="false">E8*PM_Paying_Users*Sell_Through_Rate</f>
        <v>12764.304</v>
      </c>
      <c r="F9" s="42" t="n">
        <f aca="false">F8*PM_Paying_Users*Sell_Through_Rate</f>
        <v>3854.05776</v>
      </c>
      <c r="G9" s="42" t="n">
        <f aca="false">G8*PM_Paying_Users*Sell_Through_Rate</f>
        <v>701.5032864</v>
      </c>
    </row>
    <row r="10" customFormat="false" ht="15" hidden="false" customHeight="false" outlineLevel="0" collapsed="false">
      <c r="A10" s="5"/>
      <c r="B10" s="44" t="s">
        <v>193</v>
      </c>
      <c r="C10" s="48" t="n">
        <f aca="false">C9*Avg_Mint_Price</f>
        <v>2898000</v>
      </c>
      <c r="D10" s="48" t="n">
        <f aca="false">D9*Avg_Mint_Price</f>
        <v>2037420</v>
      </c>
      <c r="E10" s="48" t="n">
        <f aca="false">E9*Avg_Mint_Price</f>
        <v>957322.8</v>
      </c>
      <c r="F10" s="48" t="n">
        <f aca="false">F9*Avg_Mint_Price</f>
        <v>289054.332</v>
      </c>
      <c r="G10" s="48" t="n">
        <f aca="false">G9*Avg_Mint_Price</f>
        <v>52612.74648</v>
      </c>
    </row>
    <row r="11" customFormat="false" ht="15" hidden="false" customHeight="false" outlineLevel="0" collapsed="false">
      <c r="A11" s="5"/>
      <c r="B11" s="5"/>
      <c r="C11" s="5"/>
      <c r="D11" s="5"/>
      <c r="E11" s="5"/>
      <c r="F11" s="5"/>
      <c r="G11" s="5"/>
    </row>
    <row r="12" customFormat="false" ht="15" hidden="false" customHeight="false" outlineLevel="0" collapsed="false">
      <c r="A12" s="5"/>
      <c r="B12" s="39" t="s">
        <v>194</v>
      </c>
      <c r="C12" s="47"/>
      <c r="D12" s="47"/>
      <c r="E12" s="47"/>
      <c r="F12" s="47"/>
      <c r="G12" s="47"/>
    </row>
    <row r="13" customFormat="false" ht="15" hidden="false" customHeight="false" outlineLevel="0" collapsed="false">
      <c r="A13" s="5"/>
      <c r="B13" s="43" t="s">
        <v>195</v>
      </c>
      <c r="C13" s="49" t="n">
        <f aca="false">PM_Avg_MAU*Avg_Trades_Per_User*Avg_Trade_Value</f>
        <v>16560000</v>
      </c>
      <c r="D13" s="49" t="n">
        <f aca="false">PM_Avg_MAU*Avg_Trades_Per_User*Avg_Trade_Value</f>
        <v>11642400</v>
      </c>
      <c r="E13" s="49" t="n">
        <f aca="false">PM_Avg_MAU*Avg_Trades_Per_User*Avg_Trade_Value</f>
        <v>5470416</v>
      </c>
      <c r="F13" s="49" t="n">
        <f aca="false">PM_Avg_MAU*Avg_Trades_Per_User*Avg_Trade_Value</f>
        <v>1651739.04</v>
      </c>
      <c r="G13" s="49" t="n">
        <f aca="false">PM_Avg_MAU*Avg_Trades_Per_User*Avg_Trade_Value</f>
        <v>300644.2656</v>
      </c>
    </row>
    <row r="14" customFormat="false" ht="15" hidden="false" customHeight="false" outlineLevel="0" collapsed="false">
      <c r="A14" s="5"/>
      <c r="B14" s="44" t="s">
        <v>196</v>
      </c>
      <c r="C14" s="48" t="n">
        <f aca="false">C13*Take_Rate</f>
        <v>662400</v>
      </c>
      <c r="D14" s="48" t="n">
        <f aca="false">D13*Take_Rate</f>
        <v>465696</v>
      </c>
      <c r="E14" s="48" t="n">
        <f aca="false">E13*Take_Rate</f>
        <v>218816.64</v>
      </c>
      <c r="F14" s="48" t="n">
        <f aca="false">F13*Take_Rate</f>
        <v>66069.5616</v>
      </c>
      <c r="G14" s="48" t="n">
        <f aca="false">G13*Take_Rate</f>
        <v>12025.770624</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39" t="s">
        <v>84</v>
      </c>
      <c r="C16" s="47"/>
      <c r="D16" s="47"/>
      <c r="E16" s="47"/>
      <c r="F16" s="47"/>
      <c r="G16" s="47"/>
    </row>
    <row r="17" customFormat="false" ht="15" hidden="false" customHeight="false" outlineLevel="0" collapsed="false">
      <c r="A17" s="5"/>
      <c r="B17" s="43" t="s">
        <v>197</v>
      </c>
      <c r="C17" s="49" t="n">
        <f aca="false">Staking_TVL_Initial*(1+TVL_Growth_Annual)^1</f>
        <v>2800000</v>
      </c>
      <c r="D17" s="49" t="n">
        <f aca="false">Staking_TVL_Initial*(1+TVL_Growth_Annual)^2</f>
        <v>3920000</v>
      </c>
      <c r="E17" s="49" t="n">
        <f aca="false">Staking_TVL_Initial*(1+TVL_Growth_Annual)^3</f>
        <v>5488000</v>
      </c>
      <c r="F17" s="49" t="n">
        <f aca="false">Staking_TVL_Initial*(1+TVL_Growth_Annual)^4</f>
        <v>7683200</v>
      </c>
      <c r="G17" s="49" t="n">
        <f aca="false">Staking_TVL_Initial*(1+TVL_Growth_Annual)^5</f>
        <v>10756480</v>
      </c>
    </row>
    <row r="18" customFormat="false" ht="15" hidden="false" customHeight="false" outlineLevel="0" collapsed="false">
      <c r="A18" s="5"/>
      <c r="B18" s="44" t="s">
        <v>198</v>
      </c>
      <c r="C18" s="48" t="n">
        <f aca="false">C17*Protocol_Fee_Rate</f>
        <v>56000</v>
      </c>
      <c r="D18" s="48" t="n">
        <f aca="false">D17*Protocol_Fee_Rate</f>
        <v>78400</v>
      </c>
      <c r="E18" s="48" t="n">
        <f aca="false">E17*Protocol_Fee_Rate</f>
        <v>109760</v>
      </c>
      <c r="F18" s="48" t="n">
        <f aca="false">F17*Protocol_Fee_Rate</f>
        <v>153664</v>
      </c>
      <c r="G18" s="48" t="n">
        <f aca="false">G17*Protocol_Fee_Rate</f>
        <v>215129.6</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39" t="s">
        <v>101</v>
      </c>
      <c r="C20" s="47"/>
      <c r="D20" s="47"/>
      <c r="E20" s="47"/>
      <c r="F20" s="47"/>
      <c r="G20" s="47"/>
    </row>
    <row r="21" customFormat="false" ht="15" hidden="false" customHeight="false" outlineLevel="0" collapsed="false">
      <c r="A21" s="5"/>
      <c r="B21" s="43" t="s">
        <v>199</v>
      </c>
      <c r="C21" s="42" t="n">
        <f aca="false">PM_Avg_MAU*BP_Conversion_Rate*Seasons_Per_Year</f>
        <v>14720</v>
      </c>
      <c r="D21" s="42" t="n">
        <f aca="false">PM_Avg_MAU*BP_Conversion_Rate*Seasons_Per_Year</f>
        <v>10348.8</v>
      </c>
      <c r="E21" s="42" t="n">
        <f aca="false">PM_Avg_MAU*BP_Conversion_Rate*Seasons_Per_Year</f>
        <v>4862.592</v>
      </c>
      <c r="F21" s="42" t="n">
        <f aca="false">PM_Avg_MAU*BP_Conversion_Rate*Seasons_Per_Year</f>
        <v>1468.21248</v>
      </c>
      <c r="G21" s="42" t="n">
        <f aca="false">PM_Avg_MAU*BP_Conversion_Rate*Seasons_Per_Year</f>
        <v>267.2393472</v>
      </c>
    </row>
    <row r="22" customFormat="false" ht="15" hidden="false" customHeight="false" outlineLevel="0" collapsed="false">
      <c r="A22" s="5"/>
      <c r="B22" s="44" t="s">
        <v>200</v>
      </c>
      <c r="C22" s="48" t="n">
        <f aca="false">C21*BP_Price</f>
        <v>176640</v>
      </c>
      <c r="D22" s="48" t="n">
        <f aca="false">D21*BP_Price</f>
        <v>124185.6</v>
      </c>
      <c r="E22" s="48" t="n">
        <f aca="false">E21*BP_Price</f>
        <v>58351.104</v>
      </c>
      <c r="F22" s="48" t="n">
        <f aca="false">F21*BP_Price</f>
        <v>17618.54976</v>
      </c>
      <c r="G22" s="48" t="n">
        <f aca="false">G21*BP_Price</f>
        <v>3206.8721664</v>
      </c>
    </row>
    <row r="23" customFormat="false" ht="15" hidden="false" customHeight="false" outlineLevel="0" collapsed="false">
      <c r="A23" s="5"/>
      <c r="B23" s="5"/>
      <c r="C23" s="5"/>
      <c r="D23" s="5"/>
      <c r="E23" s="5"/>
      <c r="F23" s="5"/>
      <c r="G23" s="5"/>
    </row>
    <row r="24" customFormat="false" ht="15" hidden="false" customHeight="false" outlineLevel="0" collapsed="false">
      <c r="A24" s="5"/>
      <c r="B24" s="50" t="s">
        <v>201</v>
      </c>
      <c r="C24" s="51" t="n">
        <f aca="false">C10+C14+C18+C22</f>
        <v>3793040</v>
      </c>
      <c r="D24" s="51" t="n">
        <f aca="false">D10+D14+D18+D22</f>
        <v>2705701.6</v>
      </c>
      <c r="E24" s="51" t="n">
        <f aca="false">E10+E14+E18+E22</f>
        <v>1344250.544</v>
      </c>
      <c r="F24" s="51" t="n">
        <f aca="false">F10+F14+F18+F22</f>
        <v>526406.44336</v>
      </c>
      <c r="G24" s="51" t="n">
        <f aca="false">G10+G14+G18+G22</f>
        <v>282974.9892704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6" t="s">
        <v>202</v>
      </c>
      <c r="C2" s="37"/>
      <c r="D2" s="37"/>
      <c r="E2" s="37"/>
      <c r="F2" s="37"/>
      <c r="G2" s="37"/>
    </row>
    <row r="3" customFormat="false" ht="15" hidden="false" customHeight="false" outlineLevel="0" collapsed="false">
      <c r="A3" s="5"/>
      <c r="B3" s="38" t="s">
        <v>203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9" t="s">
        <v>175</v>
      </c>
      <c r="C5" s="46" t="s">
        <v>186</v>
      </c>
      <c r="D5" s="46" t="s">
        <v>187</v>
      </c>
      <c r="E5" s="46" t="s">
        <v>188</v>
      </c>
      <c r="F5" s="46" t="s">
        <v>189</v>
      </c>
      <c r="G5" s="46" t="s">
        <v>190</v>
      </c>
    </row>
    <row r="6" customFormat="false" ht="15" hidden="false" customHeight="false" outlineLevel="0" collapsed="false">
      <c r="A6" s="5"/>
      <c r="B6" s="5"/>
      <c r="C6" s="5"/>
      <c r="D6" s="5"/>
      <c r="E6" s="5"/>
      <c r="F6" s="5"/>
      <c r="G6" s="5"/>
    </row>
    <row r="7" customFormat="false" ht="15" hidden="false" customHeight="false" outlineLevel="0" collapsed="false">
      <c r="A7" s="5"/>
      <c r="B7" s="39" t="s">
        <v>204</v>
      </c>
      <c r="C7" s="47"/>
      <c r="D7" s="47"/>
      <c r="E7" s="47"/>
      <c r="F7" s="47"/>
      <c r="G7" s="47"/>
    </row>
    <row r="8" customFormat="false" ht="15" hidden="false" customHeight="false" outlineLevel="0" collapsed="false">
      <c r="A8" s="5"/>
      <c r="B8" s="21" t="s">
        <v>205</v>
      </c>
      <c r="C8" s="42" t="n">
        <f aca="false">Total_Token_Supply*Initial_Circ_Pct</f>
        <v>100000000</v>
      </c>
      <c r="D8" s="42" t="n">
        <f aca="false">C12</f>
        <v>150000000</v>
      </c>
      <c r="E8" s="42" t="n">
        <f aca="false">D12</f>
        <v>192500000</v>
      </c>
      <c r="F8" s="42" t="n">
        <f aca="false">E12</f>
        <v>228625000</v>
      </c>
      <c r="G8" s="42" t="n">
        <f aca="false">F12</f>
        <v>259331250</v>
      </c>
    </row>
    <row r="9" customFormat="false" ht="15" hidden="false" customHeight="false" outlineLevel="0" collapsed="false">
      <c r="A9" s="5"/>
      <c r="B9" s="43" t="s">
        <v>206</v>
      </c>
      <c r="C9" s="41" t="n">
        <f aca="false">Annual_Emission_Pct*(1-Emission_Decay_Rate)^0</f>
        <v>0.05</v>
      </c>
      <c r="D9" s="41" t="n">
        <f aca="false">Annual_Emission_Pct*(1-Emission_Decay_Rate)^1</f>
        <v>0.0425</v>
      </c>
      <c r="E9" s="41" t="n">
        <f aca="false">Annual_Emission_Pct*(1-Emission_Decay_Rate)^2</f>
        <v>0.036125</v>
      </c>
      <c r="F9" s="41" t="n">
        <f aca="false">Annual_Emission_Pct*(1-Emission_Decay_Rate)^3</f>
        <v>0.03070625</v>
      </c>
      <c r="G9" s="41" t="n">
        <f aca="false">Annual_Emission_Pct*(1-Emission_Decay_Rate)^4</f>
        <v>0.0261003125</v>
      </c>
    </row>
    <row r="10" customFormat="false" ht="15" hidden="false" customHeight="false" outlineLevel="0" collapsed="false">
      <c r="A10" s="5"/>
      <c r="B10" s="43" t="s">
        <v>207</v>
      </c>
      <c r="C10" s="42" t="n">
        <f aca="false">Total_Token_Supply*C9</f>
        <v>50000000</v>
      </c>
      <c r="D10" s="42" t="n">
        <f aca="false">Total_Token_Supply*D9</f>
        <v>42500000</v>
      </c>
      <c r="E10" s="42" t="n">
        <f aca="false">Total_Token_Supply*E9</f>
        <v>36125000</v>
      </c>
      <c r="F10" s="42" t="n">
        <f aca="false">Total_Token_Supply*F9</f>
        <v>30706250</v>
      </c>
      <c r="G10" s="42" t="n">
        <f aca="false">Total_Token_Supply*G9</f>
        <v>26100312.5</v>
      </c>
    </row>
    <row r="11" customFormat="false" ht="15" hidden="false" customHeight="false" outlineLevel="0" collapsed="false">
      <c r="A11" s="5"/>
      <c r="B11" s="43" t="s">
        <v>208</v>
      </c>
      <c r="C11" s="49" t="n">
        <f aca="false">RB_Total_Revenue*Buyback_Pct_Rev</f>
        <v>189652</v>
      </c>
      <c r="D11" s="49" t="n">
        <f aca="false">RB_Total_Revenue*Buyback_Pct_Rev</f>
        <v>135285.08</v>
      </c>
      <c r="E11" s="49" t="n">
        <f aca="false">RB_Total_Revenue*Buyback_Pct_Rev</f>
        <v>67212.5272</v>
      </c>
      <c r="F11" s="49" t="n">
        <f aca="false">RB_Total_Revenue*Buyback_Pct_Rev</f>
        <v>26320.322168</v>
      </c>
      <c r="G11" s="49" t="n">
        <f aca="false">RB_Total_Revenue*Buyback_Pct_Rev</f>
        <v>14148.74946352</v>
      </c>
    </row>
    <row r="12" customFormat="false" ht="15" hidden="false" customHeight="false" outlineLevel="0" collapsed="false">
      <c r="A12" s="5"/>
      <c r="B12" s="44" t="s">
        <v>209</v>
      </c>
      <c r="C12" s="45" t="n">
        <f aca="false">C8+C10</f>
        <v>150000000</v>
      </c>
      <c r="D12" s="45" t="n">
        <f aca="false">D8+D10</f>
        <v>192500000</v>
      </c>
      <c r="E12" s="45" t="n">
        <f aca="false">E8+E10</f>
        <v>228625000</v>
      </c>
      <c r="F12" s="45" t="n">
        <f aca="false">F8+F10</f>
        <v>259331250</v>
      </c>
      <c r="G12" s="45" t="n">
        <f aca="false">G8+G10</f>
        <v>285431562.5</v>
      </c>
    </row>
    <row r="13" customFormat="false" ht="15" hidden="false" customHeight="false" outlineLevel="0" collapsed="false">
      <c r="A13" s="5"/>
      <c r="B13" s="21" t="s">
        <v>210</v>
      </c>
      <c r="C13" s="41" t="n">
        <f aca="false">C12/Total_Token_Supply</f>
        <v>0.15</v>
      </c>
      <c r="D13" s="41" t="n">
        <f aca="false">D12/Total_Token_Supply</f>
        <v>0.1925</v>
      </c>
      <c r="E13" s="41" t="n">
        <f aca="false">E12/Total_Token_Supply</f>
        <v>0.228625</v>
      </c>
      <c r="F13" s="41" t="n">
        <f aca="false">F12/Total_Token_Supply</f>
        <v>0.25933125</v>
      </c>
      <c r="G13" s="41" t="n">
        <f aca="false">G12/Total_Token_Supply</f>
        <v>0.2854315625</v>
      </c>
    </row>
    <row r="14" customFormat="false" ht="15" hidden="false" customHeight="false" outlineLevel="0" collapsed="false">
      <c r="A14" s="5"/>
      <c r="B14" s="5"/>
      <c r="C14" s="5"/>
      <c r="D14" s="5"/>
      <c r="E14" s="5"/>
      <c r="F14" s="5"/>
      <c r="G14" s="5"/>
    </row>
    <row r="15" customFormat="false" ht="15" hidden="false" customHeight="false" outlineLevel="0" collapsed="false">
      <c r="A15" s="5"/>
      <c r="B15" s="21" t="s">
        <v>211</v>
      </c>
      <c r="C15" s="52" t="str">
        <f aca="false">IF(C12&lt;=Total_Token_Supply,"PASS","FAIL")</f>
        <v>PASS</v>
      </c>
      <c r="D15" s="52" t="str">
        <f aca="false">IF(D12&lt;=Total_Token_Supply,"PASS","FAIL")</f>
        <v>PASS</v>
      </c>
      <c r="E15" s="52" t="str">
        <f aca="false">IF(E12&lt;=Total_Token_Supply,"PASS","FAIL")</f>
        <v>PASS</v>
      </c>
      <c r="F15" s="52" t="str">
        <f aca="false">IF(F12&lt;=Total_Token_Supply,"PASS","FAIL")</f>
        <v>PASS</v>
      </c>
      <c r="G15" s="52" t="str">
        <f aca="false">IF(G12&lt;=Total_Token_Supply,"PASS","FAIL")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6" t="s">
        <v>212</v>
      </c>
      <c r="C2" s="37"/>
      <c r="D2" s="37"/>
      <c r="E2" s="37"/>
      <c r="F2" s="37"/>
      <c r="G2" s="37"/>
    </row>
    <row r="3" customFormat="false" ht="15" hidden="false" customHeight="false" outlineLevel="0" collapsed="false">
      <c r="A3" s="5"/>
      <c r="B3" s="38" t="s">
        <v>213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9" t="s">
        <v>175</v>
      </c>
      <c r="C5" s="46" t="s">
        <v>186</v>
      </c>
      <c r="D5" s="46" t="s">
        <v>187</v>
      </c>
      <c r="E5" s="46" t="s">
        <v>188</v>
      </c>
      <c r="F5" s="46" t="s">
        <v>189</v>
      </c>
      <c r="G5" s="46" t="s">
        <v>190</v>
      </c>
    </row>
    <row r="6" customFormat="false" ht="15" hidden="false" customHeight="false" outlineLevel="0" collapsed="false">
      <c r="A6" s="5"/>
      <c r="B6" s="5"/>
      <c r="C6" s="5"/>
      <c r="D6" s="5"/>
      <c r="E6" s="5"/>
      <c r="F6" s="5"/>
      <c r="G6" s="5"/>
    </row>
    <row r="7" customFormat="false" ht="15" hidden="false" customHeight="false" outlineLevel="0" collapsed="false">
      <c r="A7" s="5"/>
      <c r="B7" s="39" t="s">
        <v>109</v>
      </c>
      <c r="C7" s="47"/>
      <c r="D7" s="47"/>
      <c r="E7" s="47"/>
      <c r="F7" s="47"/>
      <c r="G7" s="47"/>
    </row>
    <row r="8" customFormat="false" ht="15" hidden="false" customHeight="false" outlineLevel="0" collapsed="false">
      <c r="A8" s="5"/>
      <c r="B8" s="43" t="s">
        <v>214</v>
      </c>
      <c r="C8" s="49" t="n">
        <f aca="false">(RB_NFT_Revenue+RB_Mkt_Revenue+RB_Token_Revenue)*Gas_Fee_Pct</f>
        <v>180820</v>
      </c>
      <c r="D8" s="49" t="n">
        <f aca="false">(RB_NFT_Revenue+RB_Mkt_Revenue+RB_Token_Revenue)*Gas_Fee_Pct</f>
        <v>129075.8</v>
      </c>
      <c r="E8" s="49" t="n">
        <f aca="false">(RB_NFT_Revenue+RB_Mkt_Revenue+RB_Token_Revenue)*Gas_Fee_Pct</f>
        <v>64294.972</v>
      </c>
      <c r="F8" s="49" t="n">
        <f aca="false">(RB_NFT_Revenue+RB_Mkt_Revenue+RB_Token_Revenue)*Gas_Fee_Pct</f>
        <v>25439.39468</v>
      </c>
      <c r="G8" s="49" t="n">
        <f aca="false">(RB_NFT_Revenue+RB_Mkt_Revenue+RB_Token_Revenue)*Gas_Fee_Pct</f>
        <v>13988.4058552</v>
      </c>
    </row>
    <row r="9" customFormat="false" ht="15" hidden="false" customHeight="false" outlineLevel="0" collapsed="false">
      <c r="A9" s="5"/>
      <c r="B9" s="43" t="s">
        <v>215</v>
      </c>
      <c r="C9" s="49" t="n">
        <f aca="false">RB_Total_Revenue*Server_Cost_Pct</f>
        <v>265512.8</v>
      </c>
      <c r="D9" s="49" t="n">
        <f aca="false">RB_Total_Revenue*Server_Cost_Pct</f>
        <v>189399.112</v>
      </c>
      <c r="E9" s="49" t="n">
        <f aca="false">RB_Total_Revenue*Server_Cost_Pct</f>
        <v>94097.53808</v>
      </c>
      <c r="F9" s="49" t="n">
        <f aca="false">RB_Total_Revenue*Server_Cost_Pct</f>
        <v>36848.4510352</v>
      </c>
      <c r="G9" s="49" t="n">
        <f aca="false">RB_Total_Revenue*Server_Cost_Pct</f>
        <v>19808.249248928</v>
      </c>
    </row>
    <row r="10" customFormat="false" ht="15" hidden="false" customHeight="false" outlineLevel="0" collapsed="false">
      <c r="A10" s="5"/>
      <c r="B10" s="43" t="s">
        <v>216</v>
      </c>
      <c r="C10" s="49" t="n">
        <f aca="false">RB_Total_Revenue*Payment_Proc_Pct</f>
        <v>75860.8</v>
      </c>
      <c r="D10" s="49" t="n">
        <f aca="false">RB_Total_Revenue*Payment_Proc_Pct</f>
        <v>54114.032</v>
      </c>
      <c r="E10" s="49" t="n">
        <f aca="false">RB_Total_Revenue*Payment_Proc_Pct</f>
        <v>26885.01088</v>
      </c>
      <c r="F10" s="49" t="n">
        <f aca="false">RB_Total_Revenue*Payment_Proc_Pct</f>
        <v>10528.1288672</v>
      </c>
      <c r="G10" s="49" t="n">
        <f aca="false">RB_Total_Revenue*Payment_Proc_Pct</f>
        <v>5659.499785408</v>
      </c>
    </row>
    <row r="11" customFormat="false" ht="15" hidden="false" customHeight="false" outlineLevel="0" collapsed="false">
      <c r="A11" s="5"/>
      <c r="B11" s="43" t="s">
        <v>217</v>
      </c>
      <c r="C11" s="49" t="n">
        <f aca="false">RB_NFT_Revenue*Creator_Royalty_Pct</f>
        <v>231840</v>
      </c>
      <c r="D11" s="49" t="n">
        <f aca="false">RB_NFT_Revenue*Creator_Royalty_Pct</f>
        <v>162993.6</v>
      </c>
      <c r="E11" s="49" t="n">
        <f aca="false">RB_NFT_Revenue*Creator_Royalty_Pct</f>
        <v>76585.824</v>
      </c>
      <c r="F11" s="49" t="n">
        <f aca="false">RB_NFT_Revenue*Creator_Royalty_Pct</f>
        <v>23124.34656</v>
      </c>
      <c r="G11" s="49" t="n">
        <f aca="false">RB_NFT_Revenue*Creator_Royalty_Pct</f>
        <v>4209.0197184</v>
      </c>
    </row>
    <row r="12" customFormat="false" ht="15" hidden="false" customHeight="false" outlineLevel="0" collapsed="false">
      <c r="A12" s="5"/>
      <c r="B12" s="50" t="s">
        <v>218</v>
      </c>
      <c r="C12" s="51" t="n">
        <f aca="false">C8+C9+C10+C11</f>
        <v>754033.6</v>
      </c>
      <c r="D12" s="51" t="n">
        <f aca="false">D8+D9+D10+D11</f>
        <v>535582.544</v>
      </c>
      <c r="E12" s="51" t="n">
        <f aca="false">E8+E9+E10+E11</f>
        <v>261863.34496</v>
      </c>
      <c r="F12" s="51" t="n">
        <f aca="false">F8+F9+F10+F11</f>
        <v>95940.3211424</v>
      </c>
      <c r="G12" s="51" t="n">
        <f aca="false">G8+G9+G10+G11</f>
        <v>43665.174607936</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9" t="s">
        <v>118</v>
      </c>
      <c r="C14" s="47"/>
      <c r="D14" s="47"/>
      <c r="E14" s="47"/>
      <c r="F14" s="47"/>
      <c r="G14" s="47"/>
    </row>
    <row r="15" customFormat="false" ht="15" hidden="false" customHeight="false" outlineLevel="0" collapsed="false">
      <c r="A15" s="5"/>
      <c r="B15" s="43" t="s">
        <v>219</v>
      </c>
      <c r="C15" s="49" t="n">
        <f aca="false">Dev_Headcount*Dev_Avg_Salary*(1+Salary_Growth_Rate)^0</f>
        <v>3000000</v>
      </c>
      <c r="D15" s="49" t="n">
        <f aca="false">Dev_Headcount*Dev_Avg_Salary*(1+Salary_Growth_Rate)^1</f>
        <v>3090000</v>
      </c>
      <c r="E15" s="49" t="n">
        <f aca="false">Dev_Headcount*Dev_Avg_Salary*(1+Salary_Growth_Rate)^2</f>
        <v>3182700</v>
      </c>
      <c r="F15" s="49" t="n">
        <f aca="false">Dev_Headcount*Dev_Avg_Salary*(1+Salary_Growth_Rate)^3</f>
        <v>3278181</v>
      </c>
      <c r="G15" s="49" t="n">
        <f aca="false">Dev_Headcount*Dev_Avg_Salary*(1+Salary_Growth_Rate)^4</f>
        <v>3376526.43</v>
      </c>
    </row>
    <row r="16" customFormat="false" ht="15" hidden="false" customHeight="false" outlineLevel="0" collapsed="false">
      <c r="A16" s="5"/>
      <c r="B16" s="43" t="s">
        <v>220</v>
      </c>
      <c r="C16" s="49" t="n">
        <f aca="false">Art_Headcount*Art_Avg_Salary*(1+Salary_Growth_Rate)^0</f>
        <v>900000</v>
      </c>
      <c r="D16" s="49" t="n">
        <f aca="false">Art_Headcount*Art_Avg_Salary*(1+Salary_Growth_Rate)^1</f>
        <v>927000</v>
      </c>
      <c r="E16" s="49" t="n">
        <f aca="false">Art_Headcount*Art_Avg_Salary*(1+Salary_Growth_Rate)^2</f>
        <v>954810</v>
      </c>
      <c r="F16" s="49" t="n">
        <f aca="false">Art_Headcount*Art_Avg_Salary*(1+Salary_Growth_Rate)^3</f>
        <v>983454.3</v>
      </c>
      <c r="G16" s="49" t="n">
        <f aca="false">Art_Headcount*Art_Avg_Salary*(1+Salary_Growth_Rate)^4</f>
        <v>1012957.929</v>
      </c>
    </row>
    <row r="17" customFormat="false" ht="15" hidden="false" customHeight="false" outlineLevel="0" collapsed="false">
      <c r="A17" s="5"/>
      <c r="B17" s="43" t="s">
        <v>221</v>
      </c>
      <c r="C17" s="49" t="n">
        <f aca="false">Community_HC*Community_Salary*(1+Salary_Growth_Rate)^0</f>
        <v>600000</v>
      </c>
      <c r="D17" s="49" t="n">
        <f aca="false">Community_HC*Community_Salary*(1+Salary_Growth_Rate)^1</f>
        <v>618000</v>
      </c>
      <c r="E17" s="49" t="n">
        <f aca="false">Community_HC*Community_Salary*(1+Salary_Growth_Rate)^2</f>
        <v>636540</v>
      </c>
      <c r="F17" s="49" t="n">
        <f aca="false">Community_HC*Community_Salary*(1+Salary_Growth_Rate)^3</f>
        <v>655636.2</v>
      </c>
      <c r="G17" s="49" t="n">
        <f aca="false">Community_HC*Community_Salary*(1+Salary_Growth_Rate)^4</f>
        <v>675305.286</v>
      </c>
    </row>
    <row r="18" customFormat="false" ht="15" hidden="false" customHeight="false" outlineLevel="0" collapsed="false">
      <c r="A18" s="5"/>
      <c r="B18" s="43" t="s">
        <v>222</v>
      </c>
      <c r="C18" s="49" t="n">
        <f aca="false">Blockchain_HC*Blockchain_Salary*(1+Salary_Growth_Rate)^0</f>
        <v>840000</v>
      </c>
      <c r="D18" s="49" t="n">
        <f aca="false">Blockchain_HC*Blockchain_Salary*(1+Salary_Growth_Rate)^1</f>
        <v>865200</v>
      </c>
      <c r="E18" s="49" t="n">
        <f aca="false">Blockchain_HC*Blockchain_Salary*(1+Salary_Growth_Rate)^2</f>
        <v>891156</v>
      </c>
      <c r="F18" s="49" t="n">
        <f aca="false">Blockchain_HC*Blockchain_Salary*(1+Salary_Growth_Rate)^3</f>
        <v>917890.68</v>
      </c>
      <c r="G18" s="49" t="n">
        <f aca="false">Blockchain_HC*Blockchain_Salary*(1+Salary_Growth_Rate)^4</f>
        <v>945427.4004</v>
      </c>
    </row>
    <row r="19" customFormat="false" ht="15" hidden="false" customHeight="false" outlineLevel="0" collapsed="false">
      <c r="A19" s="5"/>
      <c r="B19" s="43" t="s">
        <v>223</v>
      </c>
      <c r="C19" s="49" t="n">
        <f aca="false">GA_Headcount*GA_Avg_Salary*(1+Salary_Growth_Rate)^0</f>
        <v>500000</v>
      </c>
      <c r="D19" s="49" t="n">
        <f aca="false">GA_Headcount*GA_Avg_Salary*(1+Salary_Growth_Rate)^1</f>
        <v>515000</v>
      </c>
      <c r="E19" s="49" t="n">
        <f aca="false">GA_Headcount*GA_Avg_Salary*(1+Salary_Growth_Rate)^2</f>
        <v>530450</v>
      </c>
      <c r="F19" s="49" t="n">
        <f aca="false">GA_Headcount*GA_Avg_Salary*(1+Salary_Growth_Rate)^3</f>
        <v>546363.5</v>
      </c>
      <c r="G19" s="49" t="n">
        <f aca="false">GA_Headcount*GA_Avg_Salary*(1+Salary_Growth_Rate)^4</f>
        <v>562754.405</v>
      </c>
    </row>
    <row r="20" customFormat="false" ht="15" hidden="false" customHeight="false" outlineLevel="0" collapsed="false">
      <c r="A20" s="5"/>
      <c r="B20" s="43" t="s">
        <v>224</v>
      </c>
      <c r="C20" s="49" t="n">
        <f aca="false">RB_Total_Revenue*Marketing_Pct_Rev</f>
        <v>379304</v>
      </c>
      <c r="D20" s="49" t="n">
        <f aca="false">RB_Total_Revenue*Marketing_Pct_Rev</f>
        <v>270570.16</v>
      </c>
      <c r="E20" s="49" t="n">
        <f aca="false">RB_Total_Revenue*Marketing_Pct_Rev</f>
        <v>134425.0544</v>
      </c>
      <c r="F20" s="49" t="n">
        <f aca="false">RB_Total_Revenue*Marketing_Pct_Rev</f>
        <v>52640.644336</v>
      </c>
      <c r="G20" s="49" t="n">
        <f aca="false">RB_Total_Revenue*Marketing_Pct_Rev</f>
        <v>28297.49892704</v>
      </c>
    </row>
    <row r="21" customFormat="false" ht="15" hidden="false" customHeight="false" outlineLevel="0" collapsed="false">
      <c r="A21" s="5"/>
      <c r="B21" s="43" t="s">
        <v>225</v>
      </c>
      <c r="C21" s="49" t="n">
        <f aca="false">Security_Audit_Cost</f>
        <v>150000</v>
      </c>
      <c r="D21" s="49" t="n">
        <f aca="false">Security_Audit_Cost</f>
        <v>150000</v>
      </c>
      <c r="E21" s="49" t="n">
        <f aca="false">Security_Audit_Cost</f>
        <v>150000</v>
      </c>
      <c r="F21" s="49" t="n">
        <f aca="false">Security_Audit_Cost</f>
        <v>150000</v>
      </c>
      <c r="G21" s="49" t="n">
        <f aca="false">Security_Audit_Cost</f>
        <v>150000</v>
      </c>
    </row>
    <row r="22" customFormat="false" ht="15" hidden="false" customHeight="false" outlineLevel="0" collapsed="false">
      <c r="A22" s="5"/>
      <c r="B22" s="50" t="s">
        <v>226</v>
      </c>
      <c r="C22" s="51" t="n">
        <f aca="false">SUM(C15:C21)</f>
        <v>6369304</v>
      </c>
      <c r="D22" s="51" t="n">
        <f aca="false">SUM(D15:D21)</f>
        <v>6435770.16</v>
      </c>
      <c r="E22" s="51" t="n">
        <f aca="false">SUM(E15:E21)</f>
        <v>6480081.0544</v>
      </c>
      <c r="F22" s="51" t="n">
        <f aca="false">SUM(F15:F21)</f>
        <v>6584166.324336</v>
      </c>
      <c r="G22" s="51" t="n">
        <f aca="false">SUM(G15:G21)</f>
        <v>6751268.94932704</v>
      </c>
    </row>
    <row r="23" customFormat="false" ht="15" hidden="false" customHeight="false" outlineLevel="0" collapsed="false">
      <c r="A23" s="5"/>
      <c r="B23" s="5"/>
      <c r="C23" s="5"/>
      <c r="D23" s="5"/>
      <c r="E23" s="5"/>
      <c r="F23" s="5"/>
      <c r="G23" s="5"/>
    </row>
    <row r="24" customFormat="false" ht="15" hidden="false" customHeight="false" outlineLevel="0" collapsed="false">
      <c r="A24" s="5"/>
      <c r="B24" s="39" t="s">
        <v>227</v>
      </c>
      <c r="C24" s="47"/>
      <c r="D24" s="47"/>
      <c r="E24" s="47"/>
      <c r="F24" s="47"/>
      <c r="G24" s="47"/>
    </row>
    <row r="25" customFormat="false" ht="15" hidden="false" customHeight="false" outlineLevel="0" collapsed="false">
      <c r="A25" s="5"/>
      <c r="B25" s="53" t="s">
        <v>228</v>
      </c>
      <c r="C25" s="54" t="n">
        <f aca="false">Dev_Headcount+Art_Headcount+Community_HC+Blockchain_HC+GA_Headcount</f>
        <v>54</v>
      </c>
      <c r="D25" s="54" t="n">
        <f aca="false">Dev_Headcount+Art_Headcount+Community_HC+Blockchain_HC+GA_Headcount</f>
        <v>54</v>
      </c>
      <c r="E25" s="54" t="n">
        <f aca="false">Dev_Headcount+Art_Headcount+Community_HC+Blockchain_HC+GA_Headcount</f>
        <v>54</v>
      </c>
      <c r="F25" s="54" t="n">
        <f aca="false">Dev_Headcount+Art_Headcount+Community_HC+Blockchain_HC+GA_Headcount</f>
        <v>54</v>
      </c>
      <c r="G25" s="54" t="n">
        <f aca="false">Dev_Headcount+Art_Headcount+Community_HC+Blockchain_HC+GA_Headcount</f>
        <v>54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6" t="s">
        <v>229</v>
      </c>
      <c r="C2" s="37"/>
      <c r="D2" s="37"/>
      <c r="E2" s="37"/>
      <c r="F2" s="37"/>
      <c r="G2" s="37"/>
    </row>
    <row r="3" customFormat="false" ht="15" hidden="false" customHeight="false" outlineLevel="0" collapsed="false">
      <c r="A3" s="5"/>
      <c r="B3" s="38" t="s">
        <v>230</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9" t="s">
        <v>175</v>
      </c>
      <c r="C5" s="46" t="s">
        <v>186</v>
      </c>
      <c r="D5" s="46" t="s">
        <v>187</v>
      </c>
      <c r="E5" s="46" t="s">
        <v>188</v>
      </c>
      <c r="F5" s="46" t="s">
        <v>189</v>
      </c>
      <c r="G5" s="46" t="s">
        <v>190</v>
      </c>
    </row>
    <row r="6" customFormat="false" ht="15" hidden="false" customHeight="false" outlineLevel="0" collapsed="false">
      <c r="A6" s="5"/>
      <c r="B6" s="5"/>
      <c r="C6" s="5"/>
      <c r="D6" s="5"/>
      <c r="E6" s="5"/>
      <c r="F6" s="5"/>
      <c r="G6" s="5"/>
    </row>
    <row r="7" customFormat="false" ht="15" hidden="false" customHeight="false" outlineLevel="0" collapsed="false">
      <c r="A7" s="5"/>
      <c r="B7" s="53" t="s">
        <v>231</v>
      </c>
      <c r="C7" s="55" t="n">
        <f aca="false">RB_Total_Revenue</f>
        <v>3793040</v>
      </c>
      <c r="D7" s="55" t="n">
        <f aca="false">RB_Total_Revenue</f>
        <v>2705701.6</v>
      </c>
      <c r="E7" s="55" t="n">
        <f aca="false">RB_Total_Revenue</f>
        <v>1344250.544</v>
      </c>
      <c r="F7" s="55" t="n">
        <f aca="false">RB_Total_Revenue</f>
        <v>526406.44336</v>
      </c>
      <c r="G7" s="55" t="n">
        <f aca="false">RB_Total_Revenue</f>
        <v>282974.9892704</v>
      </c>
    </row>
    <row r="8" customFormat="false" ht="15" hidden="false" customHeight="false" outlineLevel="0" collapsed="false">
      <c r="A8" s="5"/>
      <c r="B8" s="43" t="s">
        <v>109</v>
      </c>
      <c r="C8" s="49" t="n">
        <f aca="false">-OC_Total_COGS</f>
        <v>-754033.6</v>
      </c>
      <c r="D8" s="49" t="n">
        <f aca="false">-OC_Total_COGS</f>
        <v>-535582.544</v>
      </c>
      <c r="E8" s="49" t="n">
        <f aca="false">-OC_Total_COGS</f>
        <v>-261863.34496</v>
      </c>
      <c r="F8" s="49" t="n">
        <f aca="false">-OC_Total_COGS</f>
        <v>-95940.3211424</v>
      </c>
      <c r="G8" s="49" t="n">
        <f aca="false">-OC_Total_COGS</f>
        <v>-43665.174607936</v>
      </c>
    </row>
    <row r="9" customFormat="false" ht="15" hidden="false" customHeight="false" outlineLevel="0" collapsed="false">
      <c r="A9" s="5"/>
      <c r="B9" s="44" t="s">
        <v>232</v>
      </c>
      <c r="C9" s="48" t="n">
        <f aca="false">C7+C8</f>
        <v>3039006.4</v>
      </c>
      <c r="D9" s="48" t="n">
        <f aca="false">D7+D8</f>
        <v>2170119.056</v>
      </c>
      <c r="E9" s="48" t="n">
        <f aca="false">E7+E8</f>
        <v>1082387.19904</v>
      </c>
      <c r="F9" s="48" t="n">
        <f aca="false">F7+F8</f>
        <v>430466.1222176</v>
      </c>
      <c r="G9" s="48" t="n">
        <f aca="false">G7+G8</f>
        <v>239309.814662464</v>
      </c>
    </row>
    <row r="10" customFormat="false" ht="15" hidden="false" customHeight="false" outlineLevel="0" collapsed="false">
      <c r="A10" s="5"/>
      <c r="B10" s="56" t="s">
        <v>233</v>
      </c>
      <c r="C10" s="57" t="n">
        <f aca="false">IFERROR(C9/C7,0)</f>
        <v>0.801205998354882</v>
      </c>
      <c r="D10" s="57" t="n">
        <f aca="false">IFERROR(D9/D7,0)</f>
        <v>0.802054097909392</v>
      </c>
      <c r="E10" s="57" t="n">
        <f aca="false">IFERROR(E9/E7,0)</f>
        <v>0.805197516096374</v>
      </c>
      <c r="F10" s="57" t="n">
        <f aca="false">IFERROR(F9/F7,0)</f>
        <v>0.817744781902702</v>
      </c>
      <c r="G10" s="57" t="n">
        <f aca="false">IFERROR(G9/G7,0)</f>
        <v>0.845692459533195</v>
      </c>
    </row>
    <row r="11" customFormat="false" ht="15" hidden="false" customHeight="false" outlineLevel="0" collapsed="false">
      <c r="A11" s="5"/>
      <c r="B11" s="5"/>
      <c r="C11" s="5"/>
      <c r="D11" s="5"/>
      <c r="E11" s="5"/>
      <c r="F11" s="5"/>
      <c r="G11" s="5"/>
    </row>
    <row r="12" customFormat="false" ht="15" hidden="false" customHeight="false" outlineLevel="0" collapsed="false">
      <c r="A12" s="5"/>
      <c r="B12" s="43" t="s">
        <v>118</v>
      </c>
      <c r="C12" s="49" t="n">
        <f aca="false">-OC_Total_OpEx</f>
        <v>-6369304</v>
      </c>
      <c r="D12" s="49" t="n">
        <f aca="false">-OC_Total_OpEx</f>
        <v>-6435770.16</v>
      </c>
      <c r="E12" s="49" t="n">
        <f aca="false">-OC_Total_OpEx</f>
        <v>-6480081.0544</v>
      </c>
      <c r="F12" s="49" t="n">
        <f aca="false">-OC_Total_OpEx</f>
        <v>-6584166.324336</v>
      </c>
      <c r="G12" s="49" t="n">
        <f aca="false">-OC_Total_OpEx</f>
        <v>-6751268.94932704</v>
      </c>
    </row>
    <row r="13" customFormat="false" ht="15" hidden="false" customHeight="false" outlineLevel="0" collapsed="false">
      <c r="A13" s="5"/>
      <c r="B13" s="44" t="s">
        <v>234</v>
      </c>
      <c r="C13" s="48" t="n">
        <f aca="false">C9+C12</f>
        <v>-3330297.6</v>
      </c>
      <c r="D13" s="48" t="n">
        <f aca="false">D9+D12</f>
        <v>-4265651.104</v>
      </c>
      <c r="E13" s="48" t="n">
        <f aca="false">E9+E12</f>
        <v>-5397693.85536</v>
      </c>
      <c r="F13" s="48" t="n">
        <f aca="false">F9+F12</f>
        <v>-6153700.2021184</v>
      </c>
      <c r="G13" s="48" t="n">
        <f aca="false">G9+G12</f>
        <v>-6511959.13466458</v>
      </c>
    </row>
    <row r="14" customFormat="false" ht="15" hidden="false" customHeight="false" outlineLevel="0" collapsed="false">
      <c r="A14" s="5"/>
      <c r="B14" s="56" t="s">
        <v>235</v>
      </c>
      <c r="C14" s="57" t="n">
        <f aca="false">IFERROR(C13/C7,0)</f>
        <v>-0.87800223567376</v>
      </c>
      <c r="D14" s="57" t="n">
        <f aca="false">IFERROR(D13/D7,0)</f>
        <v>-1.57654159054347</v>
      </c>
      <c r="E14" s="57" t="n">
        <f aca="false">IFERROR(E13/E7,0)</f>
        <v>-4.01539272530136</v>
      </c>
      <c r="F14" s="57" t="n">
        <f aca="false">IFERROR(F13/F7,0)</f>
        <v>-11.6900168676507</v>
      </c>
      <c r="G14" s="57" t="n">
        <f aca="false">IFERROR(G13/G7,0)</f>
        <v>-23.0124900842102</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43" t="s">
        <v>236</v>
      </c>
      <c r="C16" s="49" t="n">
        <f aca="false">-C7*Capex_Pct_Rev/Useful_Life_Years</f>
        <v>-47413</v>
      </c>
      <c r="D16" s="49" t="n">
        <f aca="false">-SUM(C7:D7)*Capex_Pct_Rev/Useful_Life_Years</f>
        <v>-81234.27</v>
      </c>
      <c r="E16" s="49" t="n">
        <f aca="false">-SUM(C7:E7)*Capex_Pct_Rev/Useful_Life_Years</f>
        <v>-98037.4018</v>
      </c>
      <c r="F16" s="49" t="n">
        <f aca="false">-SUM(C7:F7)*Capex_Pct_Rev/Useful_Life_Years</f>
        <v>-104617.482342</v>
      </c>
      <c r="G16" s="49" t="n">
        <f aca="false">-SUM(C7:G7)*Capex_Pct_Rev/Useful_Life_Years</f>
        <v>-108154.66970788</v>
      </c>
    </row>
    <row r="17" customFormat="false" ht="15" hidden="false" customHeight="false" outlineLevel="0" collapsed="false">
      <c r="A17" s="5"/>
      <c r="B17" s="44" t="s">
        <v>237</v>
      </c>
      <c r="C17" s="48" t="n">
        <f aca="false">C13+C16</f>
        <v>-3377710.6</v>
      </c>
      <c r="D17" s="48" t="n">
        <f aca="false">D13+D16</f>
        <v>-4346885.374</v>
      </c>
      <c r="E17" s="48" t="n">
        <f aca="false">E13+E16</f>
        <v>-5495731.25716</v>
      </c>
      <c r="F17" s="48" t="n">
        <f aca="false">F13+F16</f>
        <v>-6258317.6844604</v>
      </c>
      <c r="G17" s="48" t="n">
        <f aca="false">G13+G16</f>
        <v>-6620113.80437246</v>
      </c>
    </row>
    <row r="18" customFormat="false" ht="15" hidden="false" customHeight="false" outlineLevel="0" collapsed="false">
      <c r="A18" s="5"/>
      <c r="B18" s="43" t="s">
        <v>238</v>
      </c>
      <c r="C18" s="49" t="n">
        <f aca="false">-MAX(0,C17)*Tax_Rate</f>
        <v>-0</v>
      </c>
      <c r="D18" s="49" t="n">
        <f aca="false">-MAX(0,D17)*Tax_Rate</f>
        <v>-0</v>
      </c>
      <c r="E18" s="49" t="n">
        <f aca="false">-MAX(0,E17)*Tax_Rate</f>
        <v>-0</v>
      </c>
      <c r="F18" s="49" t="n">
        <f aca="false">-MAX(0,F17)*Tax_Rate</f>
        <v>-0</v>
      </c>
      <c r="G18" s="49" t="n">
        <f aca="false">-MAX(0,G17)*Tax_Rate</f>
        <v>-0</v>
      </c>
    </row>
    <row r="19" customFormat="false" ht="15" hidden="false" customHeight="false" outlineLevel="0" collapsed="false">
      <c r="A19" s="5"/>
      <c r="B19" s="50" t="s">
        <v>239</v>
      </c>
      <c r="C19" s="51" t="n">
        <f aca="false">C17+C18</f>
        <v>-3377710.6</v>
      </c>
      <c r="D19" s="51" t="n">
        <f aca="false">D17+D18</f>
        <v>-4346885.374</v>
      </c>
      <c r="E19" s="51" t="n">
        <f aca="false">E17+E18</f>
        <v>-5495731.25716</v>
      </c>
      <c r="F19" s="51" t="n">
        <f aca="false">F17+F18</f>
        <v>-6258317.6844604</v>
      </c>
      <c r="G19" s="51" t="n">
        <f aca="false">G17+G18</f>
        <v>-6620113.80437246</v>
      </c>
    </row>
    <row r="20" customFormat="false" ht="15" hidden="false" customHeight="false" outlineLevel="0" collapsed="false">
      <c r="A20" s="5"/>
      <c r="B20" s="56" t="s">
        <v>240</v>
      </c>
      <c r="C20" s="57" t="n">
        <f aca="false">IFERROR(C19/C7,0)</f>
        <v>-0.89050223567376</v>
      </c>
      <c r="D20" s="57" t="n">
        <f aca="false">IFERROR(D19/D7,0)</f>
        <v>-1.6065649567565</v>
      </c>
      <c r="E20" s="57" t="n">
        <f aca="false">IFERROR(E19/E7,0)</f>
        <v>-4.08832362515302</v>
      </c>
      <c r="F20" s="57" t="n">
        <f aca="false">IFERROR(F19/F7,0)</f>
        <v>-11.8887558528239</v>
      </c>
      <c r="G20" s="57" t="n">
        <f aca="false">IFERROR(G19/G7,0)</f>
        <v>-23.3946958402268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6" t="s">
        <v>241</v>
      </c>
      <c r="C2" s="37"/>
      <c r="D2" s="37"/>
      <c r="E2" s="37"/>
      <c r="F2" s="37"/>
      <c r="G2" s="37"/>
    </row>
    <row r="3" customFormat="false" ht="15" hidden="false" customHeight="false" outlineLevel="0" collapsed="false">
      <c r="A3" s="5"/>
      <c r="B3" s="38" t="s">
        <v>242</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9" t="s">
        <v>175</v>
      </c>
      <c r="C5" s="46" t="s">
        <v>186</v>
      </c>
      <c r="D5" s="46" t="s">
        <v>187</v>
      </c>
      <c r="E5" s="46" t="s">
        <v>188</v>
      </c>
      <c r="F5" s="46" t="s">
        <v>189</v>
      </c>
      <c r="G5" s="46" t="s">
        <v>190</v>
      </c>
    </row>
    <row r="6" customFormat="false" ht="15" hidden="false" customHeight="false" outlineLevel="0" collapsed="false">
      <c r="A6" s="5"/>
      <c r="B6" s="5"/>
      <c r="C6" s="5"/>
      <c r="D6" s="5"/>
      <c r="E6" s="5"/>
      <c r="F6" s="5"/>
      <c r="G6" s="5"/>
    </row>
    <row r="7" customFormat="false" ht="15" hidden="false" customHeight="false" outlineLevel="0" collapsed="false">
      <c r="A7" s="5"/>
      <c r="B7" s="39" t="s">
        <v>243</v>
      </c>
      <c r="C7" s="47"/>
      <c r="D7" s="47"/>
      <c r="E7" s="47"/>
      <c r="F7" s="47"/>
      <c r="G7" s="47"/>
    </row>
    <row r="8" customFormat="false" ht="15" hidden="false" customHeight="false" outlineLevel="0" collapsed="false">
      <c r="A8" s="5"/>
      <c r="B8" s="43" t="s">
        <v>244</v>
      </c>
      <c r="C8" s="49" t="n">
        <f aca="false">CF_Closing_Cash</f>
        <v>9765620.36164384</v>
      </c>
      <c r="D8" s="49" t="n">
        <f aca="false">CF_Closing_Cash</f>
        <v>5274405.38980822</v>
      </c>
      <c r="E8" s="49" t="n">
        <f aca="false">CF_Closing_Cash</f>
        <v>-205111.51869808</v>
      </c>
      <c r="F8" s="49" t="n">
        <f aca="false">CF_Closing_Cash</f>
        <v>-6372568.63740743</v>
      </c>
      <c r="G8" s="49" t="n">
        <f aca="false">CF_Closing_Cash</f>
        <v>-12888475.7070873</v>
      </c>
    </row>
    <row r="9" customFormat="false" ht="15" hidden="false" customHeight="false" outlineLevel="0" collapsed="false">
      <c r="A9" s="5"/>
      <c r="B9" s="43" t="s">
        <v>245</v>
      </c>
      <c r="C9" s="49" t="n">
        <f aca="false">IS_Revenue*DSO_Days/365</f>
        <v>207837.808219178</v>
      </c>
      <c r="D9" s="49" t="n">
        <f aca="false">IS_Revenue*DSO_Days/365</f>
        <v>148257.621917808</v>
      </c>
      <c r="E9" s="49" t="n">
        <f aca="false">IS_Revenue*DSO_Days/365</f>
        <v>73657.5640547945</v>
      </c>
      <c r="F9" s="49" t="n">
        <f aca="false">IS_Revenue*DSO_Days/365</f>
        <v>28844.1886772603</v>
      </c>
      <c r="G9" s="49" t="n">
        <f aca="false">IS_Revenue*DSO_Days/365</f>
        <v>15505.4788641315</v>
      </c>
    </row>
    <row r="10" customFormat="false" ht="15" hidden="false" customHeight="false" outlineLevel="0" collapsed="false">
      <c r="A10" s="5"/>
      <c r="B10" s="44" t="s">
        <v>246</v>
      </c>
      <c r="C10" s="48" t="n">
        <f aca="false">C8+C9</f>
        <v>9973458.16986301</v>
      </c>
      <c r="D10" s="48" t="n">
        <f aca="false">D8+D9</f>
        <v>5422663.01172603</v>
      </c>
      <c r="E10" s="48" t="n">
        <f aca="false">E8+E9</f>
        <v>-131453.954643286</v>
      </c>
      <c r="F10" s="48" t="n">
        <f aca="false">F8+F9</f>
        <v>-6343724.44873017</v>
      </c>
      <c r="G10" s="48" t="n">
        <f aca="false">G8+G9</f>
        <v>-12872970.2282232</v>
      </c>
    </row>
    <row r="11" customFormat="false" ht="15" hidden="false" customHeight="false" outlineLevel="0" collapsed="false">
      <c r="A11" s="5"/>
      <c r="B11" s="5"/>
      <c r="C11" s="5"/>
      <c r="D11" s="5"/>
      <c r="E11" s="5"/>
      <c r="F11" s="5"/>
      <c r="G11" s="5"/>
    </row>
    <row r="12" customFormat="false" ht="15" hidden="false" customHeight="false" outlineLevel="0" collapsed="false">
      <c r="A12" s="5"/>
      <c r="B12" s="43" t="s">
        <v>247</v>
      </c>
      <c r="C12" s="49" t="n">
        <f aca="false">IS_Revenue*Capex_Pct_Rev</f>
        <v>189652</v>
      </c>
      <c r="D12" s="49" t="n">
        <f aca="false">C12+IS_Revenue*Capex_Pct_Rev</f>
        <v>324937.08</v>
      </c>
      <c r="E12" s="49" t="n">
        <f aca="false">D12+IS_Revenue*Capex_Pct_Rev</f>
        <v>392149.6072</v>
      </c>
      <c r="F12" s="49" t="n">
        <f aca="false">E12+IS_Revenue*Capex_Pct_Rev</f>
        <v>418469.929368</v>
      </c>
      <c r="G12" s="49" t="n">
        <f aca="false">F12+IS_Revenue*Capex_Pct_Rev</f>
        <v>432618.67883152</v>
      </c>
    </row>
    <row r="13" customFormat="false" ht="15" hidden="false" customHeight="false" outlineLevel="0" collapsed="false">
      <c r="A13" s="5"/>
      <c r="B13" s="43" t="s">
        <v>248</v>
      </c>
      <c r="C13" s="49" t="n">
        <f aca="false">IS_DA</f>
        <v>-47413</v>
      </c>
      <c r="D13" s="49" t="n">
        <f aca="false">C13+IS_DA</f>
        <v>-128647.27</v>
      </c>
      <c r="E13" s="49" t="n">
        <f aca="false">D13+IS_DA</f>
        <v>-226684.6718</v>
      </c>
      <c r="F13" s="49" t="n">
        <f aca="false">E13+IS_DA</f>
        <v>-331302.154142</v>
      </c>
      <c r="G13" s="49" t="n">
        <f aca="false">F13+IS_DA</f>
        <v>-439456.82384988</v>
      </c>
    </row>
    <row r="14" customFormat="false" ht="15" hidden="false" customHeight="false" outlineLevel="0" collapsed="false">
      <c r="A14" s="5"/>
      <c r="B14" s="43" t="s">
        <v>249</v>
      </c>
      <c r="C14" s="49" t="n">
        <f aca="false">C12+C13</f>
        <v>142239</v>
      </c>
      <c r="D14" s="49" t="n">
        <f aca="false">D12+D13</f>
        <v>196289.81</v>
      </c>
      <c r="E14" s="49" t="n">
        <f aca="false">E12+E13</f>
        <v>165464.9354</v>
      </c>
      <c r="F14" s="49" t="n">
        <f aca="false">F12+F13</f>
        <v>87167.775226</v>
      </c>
      <c r="G14" s="49" t="n">
        <f aca="false">G12+G13</f>
        <v>-6838.14501836</v>
      </c>
    </row>
    <row r="15" customFormat="false" ht="15" hidden="false" customHeight="false" outlineLevel="0" collapsed="false">
      <c r="A15" s="5"/>
      <c r="B15" s="50" t="s">
        <v>250</v>
      </c>
      <c r="C15" s="51" t="n">
        <f aca="false">C10+C14</f>
        <v>10115697.169863</v>
      </c>
      <c r="D15" s="51" t="n">
        <f aca="false">D10+D14</f>
        <v>5618952.82172603</v>
      </c>
      <c r="E15" s="51" t="n">
        <f aca="false">E10+E14</f>
        <v>34010.9807567141</v>
      </c>
      <c r="F15" s="51" t="n">
        <f aca="false">F10+F14</f>
        <v>-6256556.67350417</v>
      </c>
      <c r="G15" s="51" t="n">
        <f aca="false">G10+G14</f>
        <v>-12879808.3732416</v>
      </c>
    </row>
    <row r="16" customFormat="false" ht="15" hidden="false" customHeight="false" outlineLevel="0" collapsed="false">
      <c r="A16" s="5"/>
      <c r="B16" s="5"/>
      <c r="C16" s="5"/>
      <c r="D16" s="5"/>
      <c r="E16" s="5"/>
      <c r="F16" s="5"/>
      <c r="G16" s="5"/>
    </row>
    <row r="17" customFormat="false" ht="15" hidden="false" customHeight="false" outlineLevel="0" collapsed="false">
      <c r="A17" s="5"/>
      <c r="B17" s="39" t="s">
        <v>251</v>
      </c>
      <c r="C17" s="47"/>
      <c r="D17" s="47"/>
      <c r="E17" s="47"/>
      <c r="F17" s="47"/>
      <c r="G17" s="47"/>
    </row>
    <row r="18" customFormat="false" ht="15" hidden="false" customHeight="false" outlineLevel="0" collapsed="false">
      <c r="A18" s="5"/>
      <c r="B18" s="43" t="s">
        <v>252</v>
      </c>
      <c r="C18" s="49" t="n">
        <f aca="false">(OC_Total_COGS+OC_Total_OpEx)*DPO_Days/365</f>
        <v>683059.769863014</v>
      </c>
      <c r="D18" s="49" t="n">
        <f aca="false">(OC_Total_COGS+OC_Total_OpEx)*DPO_Days/365</f>
        <v>668485.875726027</v>
      </c>
      <c r="E18" s="49" t="n">
        <f aca="false">(OC_Total_COGS+OC_Total_OpEx)*DPO_Days/365</f>
        <v>646487.819116712</v>
      </c>
      <c r="F18" s="49" t="n">
        <f aca="false">(OC_Total_COGS+OC_Total_OpEx)*DPO_Days/365</f>
        <v>640558.17148423</v>
      </c>
      <c r="G18" s="49" t="n">
        <f aca="false">(OC_Total_COGS+OC_Total_OpEx)*DPO_Days/365</f>
        <v>651569.025582806</v>
      </c>
    </row>
    <row r="19" customFormat="false" ht="15" hidden="false" customHeight="false" outlineLevel="0" collapsed="false">
      <c r="A19" s="5"/>
      <c r="B19" s="44" t="s">
        <v>253</v>
      </c>
      <c r="C19" s="48" t="n">
        <f aca="false">C18</f>
        <v>683059.769863014</v>
      </c>
      <c r="D19" s="48" t="n">
        <f aca="false">D18</f>
        <v>668485.875726027</v>
      </c>
      <c r="E19" s="48" t="n">
        <f aca="false">E18</f>
        <v>646487.819116712</v>
      </c>
      <c r="F19" s="48" t="n">
        <f aca="false">F18</f>
        <v>640558.17148423</v>
      </c>
      <c r="G19" s="48" t="n">
        <f aca="false">G18</f>
        <v>651569.025582806</v>
      </c>
    </row>
    <row r="20" customFormat="false" ht="15" hidden="false" customHeight="false" outlineLevel="0" collapsed="false">
      <c r="A20" s="5"/>
      <c r="B20" s="5"/>
      <c r="C20" s="5"/>
      <c r="D20" s="5"/>
      <c r="E20" s="5"/>
      <c r="F20" s="5"/>
      <c r="G20" s="5"/>
    </row>
    <row r="21" customFormat="false" ht="15" hidden="false" customHeight="false" outlineLevel="0" collapsed="false">
      <c r="A21" s="5"/>
      <c r="B21" s="43" t="s">
        <v>254</v>
      </c>
      <c r="C21" s="49" t="n">
        <f aca="false">Initial_Equity+Token_Sale_Proceeds</f>
        <v>13000000</v>
      </c>
      <c r="D21" s="49" t="n">
        <f aca="false">C21</f>
        <v>13000000</v>
      </c>
      <c r="E21" s="49" t="n">
        <f aca="false">D21</f>
        <v>13000000</v>
      </c>
      <c r="F21" s="49" t="n">
        <f aca="false">E21</f>
        <v>13000000</v>
      </c>
      <c r="G21" s="49" t="n">
        <f aca="false">F21</f>
        <v>13000000</v>
      </c>
    </row>
    <row r="22" customFormat="false" ht="15" hidden="false" customHeight="false" outlineLevel="0" collapsed="false">
      <c r="A22" s="5"/>
      <c r="B22" s="43" t="s">
        <v>255</v>
      </c>
      <c r="C22" s="49" t="n">
        <f aca="false">IS_Net_Income-TE_Buyback_Cash</f>
        <v>-3567362.6</v>
      </c>
      <c r="D22" s="49" t="n">
        <f aca="false">C22+IS_Net_Income-TE_Buyback_Cash</f>
        <v>-8049533.054</v>
      </c>
      <c r="E22" s="49" t="n">
        <f aca="false">D22+IS_Net_Income-TE_Buyback_Cash</f>
        <v>-13612476.83836</v>
      </c>
      <c r="F22" s="49" t="n">
        <f aca="false">E22+IS_Net_Income-TE_Buyback_Cash</f>
        <v>-19897114.8449884</v>
      </c>
      <c r="G22" s="49" t="n">
        <f aca="false">F22+IS_Net_Income-TE_Buyback_Cash</f>
        <v>-26531377.3988244</v>
      </c>
    </row>
    <row r="23" customFormat="false" ht="15" hidden="false" customHeight="false" outlineLevel="0" collapsed="false">
      <c r="A23" s="5"/>
      <c r="B23" s="44" t="s">
        <v>256</v>
      </c>
      <c r="C23" s="48" t="n">
        <f aca="false">C21+C22</f>
        <v>9432637.4</v>
      </c>
      <c r="D23" s="48" t="n">
        <f aca="false">D21+D22</f>
        <v>4950466.946</v>
      </c>
      <c r="E23" s="48" t="n">
        <f aca="false">E21+E22</f>
        <v>-612476.838359999</v>
      </c>
      <c r="F23" s="48" t="n">
        <f aca="false">F21+F22</f>
        <v>-6897114.8449884</v>
      </c>
      <c r="G23" s="48" t="n">
        <f aca="false">G21+G22</f>
        <v>-13531377.3988244</v>
      </c>
    </row>
    <row r="24" customFormat="false" ht="15" hidden="false" customHeight="false" outlineLevel="0" collapsed="false">
      <c r="A24" s="5"/>
      <c r="B24" s="50" t="s">
        <v>257</v>
      </c>
      <c r="C24" s="51" t="n">
        <f aca="false">C19+C23</f>
        <v>10115697.169863</v>
      </c>
      <c r="D24" s="51" t="n">
        <f aca="false">D19+D23</f>
        <v>5618952.82172603</v>
      </c>
      <c r="E24" s="51" t="n">
        <f aca="false">E19+E23</f>
        <v>34010.9807567138</v>
      </c>
      <c r="F24" s="51" t="n">
        <f aca="false">F19+F23</f>
        <v>-6256556.67350417</v>
      </c>
      <c r="G24" s="51" t="n">
        <f aca="false">G19+G23</f>
        <v>-12879808.3732416</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58" t="s">
        <v>258</v>
      </c>
      <c r="C26" s="59" t="n">
        <f aca="false">C15-C24</f>
        <v>0</v>
      </c>
      <c r="D26" s="59" t="n">
        <f aca="false">D15-D24</f>
        <v>0</v>
      </c>
      <c r="E26" s="59" t="n">
        <f aca="false">E15-E24</f>
        <v>3.20142135024071E-010</v>
      </c>
      <c r="F26" s="59" t="n">
        <f aca="false">F15-F24</f>
        <v>0</v>
      </c>
      <c r="G26" s="59" t="n">
        <f aca="false">G15-G24</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2026-05-15T18:53:16Z</dcterms:created>
  <dc:creator>openpyxl</dc:creator>
  <dc:description/>
  <dc:language>en-GB</dc:language>
  <cp:lastModifiedBy/>
  <dcterms:modified xsi:type="dcterms:W3CDTF">2026-05-15T18:53:16Z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