
<file path=[Content_Types].xml><?xml version="1.0" encoding="utf-8"?>
<Types xmlns="http://schemas.openxmlformats.org/package/2006/content-types">
  <Default Extension="fntdata" ContentType="application/x-fontdata"/>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xl/sharedStrings.xml" ContentType="application/vnd.openxmlformats-officedocument.spreadsheetml.sharedStrings+xml"/>
  <Override PartName="/xl/styles.xml" ContentType="application/vnd.openxmlformats-officedocument.spreadsheetml.styles+xml"/>
  <Override PartName="/xl/worksheets/sheet2.xml" ContentType="application/vnd.openxmlformats-officedocument.spreadsheetml.worksheet+xml"/>
  <Override PartName="/xl/worksheets/sheet3.xml" ContentType="application/vnd.openxmlformats-officedocument.spreadsheetml.worksheet+xml"/>
  <Override PartName="/xl/worksheets/sheet5.xml" ContentType="application/vnd.openxmlformats-officedocument.spreadsheetml.worksheet+xml"/>
  <Override PartName="/xl/worksheets/sheet4.xml" ContentType="application/vnd.openxmlformats-officedocument.spreadsheetml.worksheet+xml"/>
  <Override PartName="/xl/worksheets/sheet6.xml" ContentType="application/vnd.openxmlformats-officedocument.spreadsheetml.worksheet+xml"/>
  <Override PartName="/xl/worksheets/sheet1.xml" ContentType="application/vnd.openxmlformats-officedocument.spreadsheetml.worksheet+xml"/>
  <Override PartName="/xl/worksheets/sheet11.xml" ContentType="application/vnd.openxmlformats-officedocument.spreadsheetml.worksheet+xml"/>
  <Override PartName="/xl/worksheets/sheet9.xml" ContentType="application/vnd.openxmlformats-officedocument.spreadsheetml.worksheet+xml"/>
  <Override PartName="/xl/worksheets/sheet12.xml" ContentType="application/vnd.openxmlformats-officedocument.spreadsheetml.worksheet+xml"/>
  <Override PartName="/xl/worksheets/sheet8.xml" ContentType="application/vnd.openxmlformats-officedocument.spreadsheetml.worksheet+xml"/>
  <Override PartName="/xl/worksheets/sheet10.xml" ContentType="application/vnd.openxmlformats-officedocument.spreadsheetml.worksheet+xml"/>
  <Override PartName="/xl/worksheets/sheet7.xml" ContentType="application/vnd.openxmlformats-officedocument.spreadsheetml.worksheet+xml"/>
  <Override PartName="/xl/worksheets/sheet13.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fileVersion appName="Calc" lowestEdited="4"/>
  <workbookPr backupFile="false" showObjects="all" date1904="false"/>
  <workbookProtection/>
  <bookViews>
    <workbookView showHorizontalScroll="true" showVerticalScroll="true" showSheetTabs="true" xWindow="0" yWindow="0" windowWidth="16384" windowHeight="8192" tabRatio="600" firstSheet="0" activeTab="0"/>
  </bookViews>
  <sheets>
    <sheet name="Cover" sheetId="1" state="visible" r:id="rId3"/>
    <sheet name="Assumptions" sheetId="2" state="visible" r:id="rId4"/>
    <sheet name="Disclaimer" sheetId="3" state="visible" r:id="rId5"/>
    <sheet name="Staffing" sheetId="4" state="visible" r:id="rId6"/>
    <sheet name="Revenue" sheetId="5" state="visible" r:id="rId7"/>
    <sheet name="Dev_Cost_Schedule" sheetId="6" state="visible" r:id="rId8"/>
    <sheet name="Operating_Costs" sheetId="7" state="visible" r:id="rId9"/>
    <sheet name="Capex_Depr" sheetId="8" state="visible" r:id="rId10"/>
    <sheet name="Debt_Schedule" sheetId="9" state="visible" r:id="rId11"/>
    <sheet name="Income_Statement" sheetId="10" state="visible" r:id="rId12"/>
    <sheet name="Balance_Sheet" sheetId="11" state="visible" r:id="rId13"/>
    <sheet name="Cash_Flow" sheetId="12" state="visible" r:id="rId14"/>
    <sheet name="Checks" sheetId="13" state="visible" r:id="rId15"/>
  </sheets>
  <definedNames>
    <definedName function="false" hidden="false" name="Admin_Salary" vbProcedure="false">Assumptions!$C$41</definedName>
    <definedName function="false" hidden="false" name="Art_Salary" vbProcedure="false">Assumptions!$C$39</definedName>
    <definedName function="false" hidden="false" name="Battle_Pass_Adopt" vbProcedure="false">Assumptions!$C$34</definedName>
    <definedName function="false" hidden="false" name="Battle_Pass_Price" vbProcedure="false">Assumptions!$C$32</definedName>
    <definedName function="false" hidden="false" name="Battle_Pass_Seasons" vbProcedure="false">Assumptions!$C$33</definedName>
    <definedName function="false" hidden="false" name="BS_Accrued" vbProcedure="false">Balance_Sheet!$C$22</definedName>
    <definedName function="false" hidden="false" name="BS_AP" vbProcedure="false">Balance_Sheet!$C$21</definedName>
    <definedName function="false" hidden="false" name="BS_AR" vbProcedure="false">Balance_Sheet!$C$10</definedName>
    <definedName function="false" hidden="false" name="BS_Cash" vbProcedure="false">Balance_Sheet!$C$9</definedName>
    <definedName function="false" hidden="false" name="BS_Intangible" vbProcedure="false">Balance_Sheet!$C$15</definedName>
    <definedName function="false" hidden="false" name="BS_Net_PPE" vbProcedure="false">Balance_Sheet!$C$14</definedName>
    <definedName function="false" hidden="false" name="BS_RE" vbProcedure="false">Balance_Sheet!$C$30</definedName>
    <definedName function="false" hidden="false" name="BS_Revolver" vbProcedure="false">Balance_Sheet!$C$23</definedName>
    <definedName function="false" hidden="false" name="BS_Share_Cap" vbProcedure="false">Balance_Sheet!$C$29</definedName>
    <definedName function="false" hidden="false" name="BS_Total_Assets" vbProcedure="false">Balance_Sheet!$C$18</definedName>
    <definedName function="false" hidden="false" name="BS_Total_Equity" vbProcedure="false">Balance_Sheet!$C$31</definedName>
    <definedName function="false" hidden="false" name="BS_Total_LE" vbProcedure="false">Balance_Sheet!$C$33</definedName>
    <definedName function="false" hidden="false" name="BS_Total_Liab" vbProcedure="false">Balance_Sheet!$C$26</definedName>
    <definedName function="false" hidden="false" name="Capex_Y1" vbProcedure="false">Assumptions!$C$61</definedName>
    <definedName function="false" hidden="false" name="Capex_Y2" vbProcedure="false">Assumptions!$C$62</definedName>
    <definedName function="false" hidden="false" name="Capex_Y345" vbProcedure="false">Assumptions!$C$63</definedName>
    <definedName function="false" hidden="false" name="CD_Accum_Depr" vbProcedure="false">Capex_Depr!$C$19</definedName>
    <definedName function="false" hidden="false" name="CD_Capex" vbProcedure="false">Capex_Depr!$C$9</definedName>
    <definedName function="false" hidden="false" name="CD_Depreciation" vbProcedure="false">Capex_Depr!$C$17</definedName>
    <definedName function="false" hidden="false" name="CD_Net_PPE" vbProcedure="false">Capex_Depr!$C$20</definedName>
    <definedName function="false" hidden="false" name="CD_PPE_Gross" vbProcedure="false">Capex_Depr!$C$14</definedName>
    <definedName function="false" hidden="false" name="CF_Amort" vbProcedure="false">Cash_Flow!$C$13</definedName>
    <definedName function="false" hidden="false" name="CF_Closing" vbProcedure="false">Cash_Flow!$C$38</definedName>
    <definedName function="false" hidden="false" name="CF_Depr" vbProcedure="false">Cash_Flow!$C$12</definedName>
    <definedName function="false" hidden="false" name="CF_Opening" vbProcedure="false">Cash_Flow!$C$36</definedName>
    <definedName function="false" hidden="false" name="DC_Amort" vbProcedure="false">Dev_Cost_Schedule!$C$15</definedName>
    <definedName function="false" hidden="false" name="DC_Close" vbProcedure="false">Dev_Cost_Schedule!$C$16</definedName>
    <definedName function="false" hidden="false" name="Dev_Art_Y1" vbProcedure="false">Assumptions!$C$45</definedName>
    <definedName function="false" hidden="false" name="Dev_Art_Y2" vbProcedure="false">Assumptions!$C$46</definedName>
    <definedName function="false" hidden="false" name="Dev_Cost_Basis" vbProcedure="false">Dev_Cost_Schedule!$D$16</definedName>
    <definedName function="false" hidden="false" name="Dev_Eng_Y1" vbProcedure="false">Assumptions!$C$43</definedName>
    <definedName function="false" hidden="false" name="Dev_Eng_Y2" vbProcedure="false">Assumptions!$C$44</definedName>
    <definedName function="false" hidden="false" name="Dev_Licence_Rate" vbProcedure="false">Assumptions!$C$65</definedName>
    <definedName function="false" hidden="false" name="Dev_QA_Y1" vbProcedure="false">Assumptions!$C$47</definedName>
    <definedName function="false" hidden="false" name="Dev_QA_Y2" vbProcedure="false">Assumptions!$C$48</definedName>
    <definedName function="false" hidden="false" name="DLC_Attach_Rate" vbProcedure="false">Assumptions!$C$24</definedName>
    <definedName function="false" hidden="false" name="DLC_Packs_Y4" vbProcedure="false">Assumptions!$C$22</definedName>
    <definedName function="false" hidden="false" name="DLC_Packs_Y5" vbProcedure="false">Assumptions!$C$23</definedName>
    <definedName function="false" hidden="false" name="DLC_Price" vbProcedure="false">Assumptions!$C$25</definedName>
    <definedName function="false" hidden="false" name="DPO" vbProcedure="false">Assumptions!$C$70</definedName>
    <definedName function="false" hidden="false" name="DSO" vbProcedure="false">Assumptions!$C$69</definedName>
    <definedName function="false" hidden="false" name="DS_Rev_Close" vbProcedure="false">Debt_Schedule!$C$15</definedName>
    <definedName function="false" hidden="false" name="DS_Rev_Draw" vbProcedure="false">Debt_Schedule!$C$13</definedName>
    <definedName function="false" hidden="false" name="DS_Rev_Int" vbProcedure="false">Debt_Schedule!$C$16</definedName>
    <definedName function="false" hidden="false" name="DS_Rev_Open" vbProcedure="false">Debt_Schedule!$C$12</definedName>
    <definedName function="false" hidden="false" name="DS_Rev_Repay" vbProcedure="false">Debt_Schedule!$C$14</definedName>
    <definedName function="false" hidden="false" name="DS_Series_B" vbProcedure="false">Debt_Schedule!$C$9</definedName>
    <definedName function="false" hidden="false" name="Employer_NI" vbProcedure="false">Assumptions!$C$42</definedName>
    <definedName function="false" hidden="false" name="Eng_Salary" vbProcedure="false">Assumptions!$C$38</definedName>
    <definedName function="false" hidden="false" name="Gross_Price" vbProcedure="false">Assumptions!$C$19</definedName>
    <definedName function="false" hidden="false" name="Inflation_Rate" vbProcedure="false">Assumptions!$C$10</definedName>
    <definedName function="false" hidden="false" name="IS_COGS" vbProcedure="false">Income_Statement!$C$18</definedName>
    <definedName function="false" hidden="false" name="IS_Depreciation" vbProcedure="false">Income_Statement!$C$32</definedName>
    <definedName function="false" hidden="false" name="IS_Dev_Amort" vbProcedure="false">Income_Statement!$C$17</definedName>
    <definedName function="false" hidden="false" name="IS_EBIT" vbProcedure="false">Income_Statement!$C$34</definedName>
    <definedName function="false" hidden="false" name="IS_EBITDA" vbProcedure="false">Income_Statement!$C$29</definedName>
    <definedName function="false" hidden="false" name="IS_EBT" vbProcedure="false">Income_Statement!$C$39</definedName>
    <definedName function="false" hidden="false" name="IS_GP" vbProcedure="false">Income_Statement!$C$19</definedName>
    <definedName function="false" hidden="false" name="IS_Net_Income" vbProcedure="false">Income_Statement!$C$49</definedName>
    <definedName function="false" hidden="false" name="IS_Net_Int" vbProcedure="false">Income_Statement!$C$37</definedName>
    <definedName function="false" hidden="false" name="IS_OpEx" vbProcedure="false">Income_Statement!$C$27</definedName>
    <definedName function="false" hidden="false" name="IS_Rev_Int" vbProcedure="false">Income_Statement!$C$36</definedName>
    <definedName function="false" hidden="false" name="IS_Tax" vbProcedure="false">Income_Statement!$C$47</definedName>
    <definedName function="false" hidden="false" name="IS_Total_Rev" vbProcedure="false">Income_Statement!$C$13</definedName>
    <definedName function="false" hidden="false" name="Licence_Rate" vbProcedure="false">Assumptions!$C$58</definedName>
    <definedName function="false" hidden="false" name="MAU_Rate_Y3" vbProcedure="false">Assumptions!$C$26</definedName>
    <definedName function="false" hidden="false" name="MAU_Rate_Y4" vbProcedure="false">Assumptions!$C$27</definedName>
    <definedName function="false" hidden="false" name="MAU_Rate_Y5" vbProcedure="false">Assumptions!$C$28</definedName>
    <definedName function="false" hidden="false" name="Mktg_Rate_Y3" vbProcedure="false">Assumptions!$C$54</definedName>
    <definedName function="false" hidden="false" name="Mktg_Rate_Y45" vbProcedure="false">Assumptions!$C$55</definedName>
    <definedName function="false" hidden="false" name="Model_Start_Year" vbProcedure="false">Assumptions!$C$7</definedName>
    <definedName function="false" hidden="false" name="Monthly_ARPU_Y3" vbProcedure="false">Assumptions!$C$29</definedName>
    <definedName function="false" hidden="false" name="Monthly_ARPU_Y4" vbProcedure="false">Assumptions!$C$30</definedName>
    <definedName function="false" hidden="false" name="Monthly_ARPU_Y5" vbProcedure="false">Assumptions!$C$31</definedName>
    <definedName function="false" hidden="false" name="NOL_Opening" vbProcedure="false">Assumptions!$C$9</definedName>
    <definedName function="false" hidden="false" name="OC_GA" vbProcedure="false">Operating_Costs!$C$10</definedName>
    <definedName function="false" hidden="false" name="OC_Licence" vbProcedure="false">Operating_Costs!$C$12</definedName>
    <definedName function="false" hidden="false" name="OC_Mktg" vbProcedure="false">Operating_Costs!$C$9</definedName>
    <definedName function="false" hidden="false" name="OC_Rent" vbProcedure="false">Operating_Costs!$C$11</definedName>
    <definedName function="false" hidden="false" name="OC_Server" vbProcedure="false">Operating_Costs!$C$13</definedName>
    <definedName function="false" hidden="false" name="OC_Total" vbProcedure="false">Operating_Costs!$C$15</definedName>
    <definedName function="false" hidden="false" name="Open_Cash" vbProcedure="false">Assumptions!$C$14</definedName>
    <definedName function="false" hidden="false" name="Other_Admin" vbProcedure="false">Assumptions!$C$56</definedName>
    <definedName function="false" hidden="false" name="Platform_Fee" vbProcedure="false">Assumptions!$C$20</definedName>
    <definedName function="false" hidden="false" name="PL_Art" vbProcedure="false">Assumptions!$C$50</definedName>
    <definedName function="false" hidden="false" name="PL_Eng" vbProcedure="false">Assumptions!$C$49</definedName>
    <definedName function="false" hidden="false" name="PL_QA" vbProcedure="false">Assumptions!$C$51</definedName>
    <definedName function="false" hidden="false" name="PPE_Life" vbProcedure="false">Assumptions!$C$64</definedName>
    <definedName function="false" hidden="false" name="Pre_Launch_Mktg" vbProcedure="false">Assumptions!$C$53</definedName>
    <definedName function="false" hidden="false" name="QA_Salary" vbProcedure="false">Assumptions!$C$40</definedName>
    <definedName function="false" hidden="false" name="Refund_Rate" vbProcedure="false">Assumptions!$C$21</definedName>
    <definedName function="false" hidden="false" name="Rent_Base" vbProcedure="false">Assumptions!$C$57</definedName>
    <definedName function="false" hidden="false" name="Revolver_Limit" vbProcedure="false">Assumptions!$C$67</definedName>
    <definedName function="false" hidden="false" name="Revolver_Rate" vbProcedure="false">Assumptions!$C$68</definedName>
    <definedName function="false" hidden="false" name="Rev_MAU" vbProcedure="false">Revenue!$C$29</definedName>
    <definedName function="false" hidden="false" name="Rev_Total" vbProcedure="false">Revenue!$C$40</definedName>
    <definedName function="false" hidden="false" name="Series_A_Raise" vbProcedure="false">Assumptions!$C$12</definedName>
    <definedName function="false" hidden="false" name="Series_B_Raise" vbProcedure="false">Assumptions!$C$13</definedName>
    <definedName function="false" hidden="false" name="Server_Cost_Per_MAU" vbProcedure="false">Assumptions!$C$59</definedName>
    <definedName function="false" hidden="false" name="Staffing_Total_Cost" vbProcedure="false">Staffing!$C$39</definedName>
    <definedName function="false" hidden="false" name="Tax_Rate" vbProcedure="false">Assumptions!$C$8</definedName>
    <definedName function="false" hidden="false" name="Units_Y3" vbProcedure="false">Assumptions!$C$16</definedName>
    <definedName function="false" hidden="false" name="Units_Y4" vbProcedure="false">Assumptions!$C$17</definedName>
    <definedName function="false" hidden="false" name="Units_Y5" vbProcedure="false">Assumptions!$C$18</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<sst xmlns="http://schemas.openxmlformats.org/spreadsheetml/2006/main" count="428" uniqueCount="352">
  <si>
    <t xml:space="preserve">Video Game Studio — Single Title Model</t>
  </si>
  <si>
    <t xml:space="preserve">FINAMODEL.com</t>
  </si>
  <si>
    <t xml:space="preserve">Indie / Mid-Size Studio · Annual · 5-Year Projection</t>
  </si>
  <si>
    <t xml:space="preserve">Model Summary:</t>
  </si>
  <si>
    <t xml:space="preserve">Projection: Annual, 5 years (Year 1 = pre-production through Year 5 = live service maturity)</t>
  </si>
  <si>
    <t xml:space="preserve">Revenue: Premium sales, DLC, IAP, live service (battle passes)</t>
  </si>
  <si>
    <t xml:space="preserve">Capital structure: Series A equity, conditional Series B, revolving credit facility</t>
  </si>
  <si>
    <t xml:space="preserve">Tax: NOL carry-forward (pre-revenue losses shelter post-launch profits)</t>
  </si>
  <si>
    <t xml:space="preserve">Valuation / DCF: Out of scope — use valuation-model template</t>
  </si>
  <si>
    <t xml:space="preserve">Disclaimer: For illustrative purposes only. Not investment advice.</t>
  </si>
  <si>
    <t xml:space="preserve">About this model</t>
  </si>
  <si>
    <t xml:space="preserve">This operating model projects five years of profitability and cash flow for a single-title indie or mid-size video game studio across pre-launch development (Years 1â2), launch and live service (Years 3â5). Forecast when the game reaches cash flow breakeven and determine equity runway and Series B funding requirements. No revenue Years 1â2; all P&amp;L from Year 3 launch onward.
The workbook capitalises development costs (engineering + art + QA salaries, Years 1â2) as an intangible asset on the balance sheet, then amortises 50% Year 3, 30% Year 4, 20% Year 5 through COGSâmatching revenue ramp and capturing industry practice (EA, animation studios). Revenue builds from four streams: premium sales (250k units Year 3 launch Ã Â£23.24 net after platform fee), DLC (18% attach rate on cumulative install base), IAP (20â40% of base as monthly active Ã Â£1.80âÂ£2.50 ARPU), and live service/battle pass (12% adoption Ã Â£7.99 per season). Marketing spend Â£600k Year 2 (launch), then 12% revenue Year 3, 6% Years 4â5.
Critical for indie and mid-tier studios, PE investors in gaming tech, and venture lenders sizing Series A/B rounds. The model reveals the J-curve: Years 1â2 cash burn funded by equity, Year 3 large positive cash event at launch (Â£6M+ revenue), declining in Years 4â5 as live service monetisation offsets sales tail. Revolver availability (Â£1M at 9.5%) manages intra-year cash timing. Benchmarks: mid-tier premium Â£34.99, platform take 30%, 5% refund rate; live services 73% of revenue mix by Year 5 per EA reporting.</t>
  </si>
  <si>
    <t xml:space="preserve">About Finamodel</t>
  </si>
  <si>
    <t xml:space="preserve">A free, open library of institutional-quality financial models covering every industry — banking, real estate, energy, SaaS, biotech, infrastructure, and dozens more. Every cell is editable, every formula is transparent, and every template is built to be forked, adapted, and rebuilt for your own use case. MIT-licensed — use them commercially, share them, modify them, no attribution required.</t>
  </si>
  <si>
    <t xml:space="preserve">Thanks for downloading my templates! Feel free to check out other free templates on my site.</t>
  </si>
  <si>
    <t xml:space="preserve">— Alex Tapio, Founder of Finamodel.com</t>
  </si>
  <si>
    <t xml:space="preserve">Assumptions</t>
  </si>
  <si>
    <t xml:space="preserve">All model inputs — change only column C values</t>
  </si>
  <si>
    <t xml:space="preserve">Parameter</t>
  </si>
  <si>
    <t xml:space="preserve">Value</t>
  </si>
  <si>
    <t xml:space="preserve">Unit</t>
  </si>
  <si>
    <t xml:space="preserve">Notes</t>
  </si>
  <si>
    <t xml:space="preserve">Scenario Toggle (reserved)</t>
  </si>
  <si>
    <t xml:space="preserve">A: Model Setup</t>
  </si>
  <si>
    <t xml:space="preserve">Model Start Year</t>
  </si>
  <si>
    <t xml:space="preserve">Year</t>
  </si>
  <si>
    <t xml:space="preserve">Drives year labels on all sheets</t>
  </si>
  <si>
    <t xml:space="preserve">Tax Rate</t>
  </si>
  <si>
    <t xml:space="preserve">%</t>
  </si>
  <si>
    <t xml:space="preserve">Applied to post-NOL taxable income</t>
  </si>
  <si>
    <t xml:space="preserve">NOL Opening</t>
  </si>
  <si>
    <t xml:space="preserve">£</t>
  </si>
  <si>
    <t xml:space="preserve">Pre-existing tax losses at Day 0</t>
  </si>
  <si>
    <t xml:space="preserve">Inflation Rate</t>
  </si>
  <si>
    <t xml:space="preserve">Drives rent escalation</t>
  </si>
  <si>
    <t xml:space="preserve">B: Opening Balance</t>
  </si>
  <si>
    <t xml:space="preserve">Series A Raise</t>
  </si>
  <si>
    <t xml:space="preserve">Day 0 equity injection</t>
  </si>
  <si>
    <t xml:space="preserve">Series B Raise</t>
  </si>
  <si>
    <t xml:space="preserve">Year 2 equity injection</t>
  </si>
  <si>
    <t xml:space="preserve">Opening Cash</t>
  </si>
  <si>
    <t xml:space="preserve">Derived from Series A — do not hardcode</t>
  </si>
  <si>
    <t xml:space="preserve">C: Revenue Assumptions</t>
  </si>
  <si>
    <t xml:space="preserve">Units Y3</t>
  </si>
  <si>
    <t xml:space="preserve">units</t>
  </si>
  <si>
    <t xml:space="preserve">Premium unit sales Year 3</t>
  </si>
  <si>
    <t xml:space="preserve">Units Y4</t>
  </si>
  <si>
    <t xml:space="preserve">Premium unit sales Year 4</t>
  </si>
  <si>
    <t xml:space="preserve">Units Y5</t>
  </si>
  <si>
    <t xml:space="preserve">Premium unit sales Year 5</t>
  </si>
  <si>
    <t xml:space="preserve">Gross Price</t>
  </si>
  <si>
    <t xml:space="preserve">Per-unit gross selling price</t>
  </si>
  <si>
    <t xml:space="preserve">Platform Fee</t>
  </si>
  <si>
    <t xml:space="preserve">Sony/Microsoft/Steam revenue share</t>
  </si>
  <si>
    <t xml:space="preserve">Refund Rate</t>
  </si>
  <si>
    <t xml:space="preserve">Percentage of gross units refunded</t>
  </si>
  <si>
    <t xml:space="preserve">DLC Packs Y4</t>
  </si>
  <si>
    <t xml:space="preserve">count</t>
  </si>
  <si>
    <t xml:space="preserve">Number of DLC packs released Year 4</t>
  </si>
  <si>
    <t xml:space="preserve">DLC Packs Y5</t>
  </si>
  <si>
    <t xml:space="preserve">Number of DLC packs released Year 5</t>
  </si>
  <si>
    <t xml:space="preserve">DLC Attach Rate</t>
  </si>
  <si>
    <t xml:space="preserve">Per-pack attach rate on cumulative install base</t>
  </si>
  <si>
    <t xml:space="preserve">DLC Price</t>
  </si>
  <si>
    <t xml:space="preserve">Gross price per DLC pack</t>
  </si>
  <si>
    <t xml:space="preserve">MAU Rate Y3</t>
  </si>
  <si>
    <t xml:space="preserve">MAU as % of cumulative install base Year 3</t>
  </si>
  <si>
    <t xml:space="preserve">MAU Rate Y4</t>
  </si>
  <si>
    <t xml:space="preserve">MAU as % of cumulative install base Year 4</t>
  </si>
  <si>
    <t xml:space="preserve">MAU Rate Y5</t>
  </si>
  <si>
    <t xml:space="preserve">MAU as % of cumulative install base Year 5</t>
  </si>
  <si>
    <t xml:space="preserve">Monthly ARPU Y3</t>
  </si>
  <si>
    <t xml:space="preserve">IAP monthly ARPU Year 3</t>
  </si>
  <si>
    <t xml:space="preserve">Monthly ARPU Y4</t>
  </si>
  <si>
    <t xml:space="preserve">IAP monthly ARPU Year 4</t>
  </si>
  <si>
    <t xml:space="preserve">Monthly ARPU Y5</t>
  </si>
  <si>
    <t xml:space="preserve">IAP monthly ARPU Year 5</t>
  </si>
  <si>
    <t xml:space="preserve">Battle Pass Price</t>
  </si>
  <si>
    <t xml:space="preserve">Battle pass gross price per season</t>
  </si>
  <si>
    <t xml:space="preserve">Battle Pass Seasons</t>
  </si>
  <si>
    <t xml:space="preserve">Seasons per year (Years 4-5)</t>
  </si>
  <si>
    <t xml:space="preserve">Battle Pass Adopt</t>
  </si>
  <si>
    <t xml:space="preserve">Adoption rate (% of MAU per season)</t>
  </si>
  <si>
    <t xml:space="preserve">D: Staffing Assumptions</t>
  </si>
  <si>
    <t xml:space="preserve">Eng Salary</t>
  </si>
  <si>
    <t xml:space="preserve">Base salary per engineer FTE</t>
  </si>
  <si>
    <t xml:space="preserve">Art Salary</t>
  </si>
  <si>
    <t xml:space="preserve">Base salary per artist FTE</t>
  </si>
  <si>
    <t xml:space="preserve">QA Salary</t>
  </si>
  <si>
    <t xml:space="preserve">Base salary per QA FTE</t>
  </si>
  <si>
    <t xml:space="preserve">Admin Salary</t>
  </si>
  <si>
    <t xml:space="preserve">Base salary per admin FTE</t>
  </si>
  <si>
    <t xml:space="preserve">Employer NI</t>
  </si>
  <si>
    <t xml:space="preserve">UK employer NI rate 13.8%</t>
  </si>
  <si>
    <t xml:space="preserve">Dev Eng Y1</t>
  </si>
  <si>
    <t xml:space="preserve">FTE</t>
  </si>
  <si>
    <t xml:space="preserve">Dev engineers Year 1</t>
  </si>
  <si>
    <t xml:space="preserve">Dev Eng Y2</t>
  </si>
  <si>
    <t xml:space="preserve">Dev engineers Year 2</t>
  </si>
  <si>
    <t xml:space="preserve">Dev Art Y1</t>
  </si>
  <si>
    <t xml:space="preserve">Dev artists Year 1</t>
  </si>
  <si>
    <t xml:space="preserve">Dev Art Y2</t>
  </si>
  <si>
    <t xml:space="preserve">Dev artists Year 2</t>
  </si>
  <si>
    <t xml:space="preserve">Dev QA Y1</t>
  </si>
  <si>
    <t xml:space="preserve">Dev QA Year 1</t>
  </si>
  <si>
    <t xml:space="preserve">Dev QA Y2</t>
  </si>
  <si>
    <t xml:space="preserve">Dev QA Year 2</t>
  </si>
  <si>
    <t xml:space="preserve">PL Eng</t>
  </si>
  <si>
    <t xml:space="preserve">Post-launch engineers (constant Y3-Y5)</t>
  </si>
  <si>
    <t xml:space="preserve">PL Art</t>
  </si>
  <si>
    <t xml:space="preserve">Post-launch artists (constant Y3-Y5)</t>
  </si>
  <si>
    <t xml:space="preserve">PL QA</t>
  </si>
  <si>
    <t xml:space="preserve">Post-launch QA (constant Y3-Y5)</t>
  </si>
  <si>
    <t xml:space="preserve">E: Operating Cost Assumptions</t>
  </si>
  <si>
    <t xml:space="preserve">Pre-Launch Mktg</t>
  </si>
  <si>
    <t xml:space="preserve">One-off marketing spend Year 2 only</t>
  </si>
  <si>
    <t xml:space="preserve">Mktg Rate Y3</t>
  </si>
  <si>
    <t xml:space="preserve">Marketing as % of revenue Year 3</t>
  </si>
  <si>
    <t xml:space="preserve">Mktg Rate Y45</t>
  </si>
  <si>
    <t xml:space="preserve">Marketing as % of revenue Years 4-5</t>
  </si>
  <si>
    <t xml:space="preserve">Other Admin</t>
  </si>
  <si>
    <t xml:space="preserve">Other admin costs (non-salary G&amp;A)</t>
  </si>
  <si>
    <t xml:space="preserve">Rent Base</t>
  </si>
  <si>
    <t xml:space="preserve">Annual rent Year 1 base</t>
  </si>
  <si>
    <t xml:space="preserve">Licence Rate</t>
  </si>
  <si>
    <t xml:space="preserve">£/FTE</t>
  </si>
  <si>
    <t xml:space="preserve">Software licence cost per employee per year</t>
  </si>
  <si>
    <t xml:space="preserve">Server Cost/MAU</t>
  </si>
  <si>
    <t xml:space="preserve">Annual server hosting cost per MAU</t>
  </si>
  <si>
    <t xml:space="preserve">F: Capex Assumptions</t>
  </si>
  <si>
    <t xml:space="preserve">Capex Y1</t>
  </si>
  <si>
    <t xml:space="preserve">Year 1 capex</t>
  </si>
  <si>
    <t xml:space="preserve">Capex Y2</t>
  </si>
  <si>
    <t xml:space="preserve">Year 2 capex</t>
  </si>
  <si>
    <t xml:space="preserve">Capex Y3-5</t>
  </si>
  <si>
    <t xml:space="preserve">Capex Years 3-5 (maintenance)</t>
  </si>
  <si>
    <t xml:space="preserve">PPE Life</t>
  </si>
  <si>
    <t xml:space="preserve">Years</t>
  </si>
  <si>
    <t xml:space="preserve">PP&amp;E useful life (straight-line)</t>
  </si>
  <si>
    <t xml:space="preserve">Dev Licence Rate</t>
  </si>
  <si>
    <t xml:space="preserve">Software licence per dev FTE (capitalised)</t>
  </si>
  <si>
    <t xml:space="preserve">G: Debt Assumptions</t>
  </si>
  <si>
    <t xml:space="preserve">Revolver Limit</t>
  </si>
  <si>
    <t xml:space="preserve">Maximum revolver facility size</t>
  </si>
  <si>
    <t xml:space="preserve">Revolver Rate</t>
  </si>
  <si>
    <t xml:space="preserve">Annual interest rate on drawn balance</t>
  </si>
  <si>
    <t xml:space="preserve">DSO</t>
  </si>
  <si>
    <t xml:space="preserve">Days</t>
  </si>
  <si>
    <t xml:space="preserve">Debtor days (platform settlement)</t>
  </si>
  <si>
    <t xml:space="preserve">DPO</t>
  </si>
  <si>
    <t xml:space="preserve">Creditor days</t>
  </si>
  <si>
    <t xml:space="preserve">Disclaimer, Copyright &amp; License</t>
  </si>
  <si>
    <t xml:space="preserve">Disclaimer</t>
  </si>
  <si>
    <t xml:space="preserve">This financial model ("the Model") is provided by Finamodel for illustrative and educational purposes only. It is a template — not a finished analysis, valuation, recommendation, or solicitation to buy, sell, or hold any security, asset, or financial instrument.</t>
  </si>
  <si>
    <t xml:space="preserve">No investment advice</t>
  </si>
  <si>
    <t xml:space="preserve">Nothing in the Model constitutes investment, legal, tax, accounting, or other professional advice. You should consult qualified advisors before making any financial decision. Outputs depend entirely on user-supplied assumptions; small changes to inputs can produce materially different results.</t>
  </si>
  <si>
    <t xml:space="preserve">No warranty</t>
  </si>
  <si>
    <t xml:space="preserve">The Model is provided "AS IS," without warranty of any kind, express or implied, including but not limited to warranties of merchantability, fitness for a particular purpose, accuracy, completeness, or non-infringement. Formulas, methodologies, and benchmarks may contain errors, omissions, or simplifications. Users are solely responsible for verifying every calculation before relying on it.</t>
  </si>
  <si>
    <t xml:space="preserve">Limitation of liability</t>
  </si>
  <si>
    <t xml:space="preserve">To the maximum extent permitted by law, Finamodel and its contributors shall not be liable for any direct, indirect, incidental, consequential, special, or exemplary damages — including lost profits, lost opportunities, or investment losses — arising from use of, or inability to use, the Model.</t>
  </si>
  <si>
    <t xml:space="preserve">Forward-looking statements</t>
  </si>
  <si>
    <t xml:space="preserve">Any projections, forecasts, or scenarios are hypothetical, based on assumptions that may not materialize, and do not represent guaranteed outcomes.</t>
  </si>
  <si>
    <t xml:space="preserve">Third-party data</t>
  </si>
  <si>
    <t xml:space="preserve">Where the Model references market data, comparables, or macro indicators, such data is sourced from third parties believed to be reliable but is not independently verified.</t>
  </si>
  <si>
    <t xml:space="preserve">Copyright © 2026 Finamodel. All rights reserved.</t>
  </si>
  <si>
    <t xml:space="preserve">License — MIT</t>
  </si>
  <si>
    <t xml:space="preserve">Permission is hereby granted, free of charge, to any person obtaining a copy of this Model and associated documentation files (the "Software"), to deal in the Software without restriction, including without limitation the rights to use, copy, modify, merge, publish, distribute, sublicense, and/or sell copies of the Software, and to permit persons to whom the Software is furnished to do so, subject to the following conditions:
The above copyright notice and this permission notice shall be included in all copies or substantial portions of the Software.
THE SOFTWARE IS PROVIDED "AS IS", WITHOUT WARRANTY OF ANY KIND, EXPRESS OR IMPLIED, INCLUDING BUT NOT LIMITED TO THE WARRANTIES OF MERCHANTABILITY, FITNESS FOR A PARTICULAR PURPOSE AND NONINFRINGEMENT. IN NO EVENT SHALL THE AUTHORS OR COPYRIGHT HOLDERS BE LIABLE FOR ANY CLAIM, DAMAGES OR OTHER LIABILITY, WHETHER IN AN ACTION OF CONTRACT, TORT OR OTHERWISE, ARISING FROM, OUT OF OR IN CONNECTION WITH THE SOFTWARE OR THE USE OR OTHER DEALINGS IN THE SOFTWARE.</t>
  </si>
  <si>
    <t xml:space="preserve">Finamodel — github.com/alextapio/finamodel</t>
  </si>
  <si>
    <t xml:space="preserve">Staffing</t>
  </si>
  <si>
    <t xml:space="preserve">Development Phase + Post-Launch + Admin</t>
  </si>
  <si>
    <t xml:space="preserve">Year #</t>
  </si>
  <si>
    <t xml:space="preserve">Development Phase (Years 1-2 only — capitalised)</t>
  </si>
  <si>
    <t xml:space="preserve">Dev Engineers</t>
  </si>
  <si>
    <t xml:space="preserve">Dev Artists</t>
  </si>
  <si>
    <t xml:space="preserve">Dev QA</t>
  </si>
  <si>
    <t xml:space="preserve">Dev Headcount</t>
  </si>
  <si>
    <t xml:space="preserve">Development Salary Costs</t>
  </si>
  <si>
    <t xml:space="preserve">Eng Salary Cost</t>
  </si>
  <si>
    <t xml:space="preserve">Art Salary Cost</t>
  </si>
  <si>
    <t xml:space="preserve">QA Salary Cost</t>
  </si>
  <si>
    <t xml:space="preserve">Dev Software Lic</t>
  </si>
  <si>
    <t xml:space="preserve">Total Dev Cost</t>
  </si>
  <si>
    <t xml:space="preserve">Post-Launch Phase (Years 3-5 only — expensed)</t>
  </si>
  <si>
    <t xml:space="preserve">Live Engineers</t>
  </si>
  <si>
    <t xml:space="preserve">PL Artists</t>
  </si>
  <si>
    <t xml:space="preserve">PL Headcount</t>
  </si>
  <si>
    <t xml:space="preserve">Post-Launch Salary Costs</t>
  </si>
  <si>
    <t xml:space="preserve">PL Eng Cost</t>
  </si>
  <si>
    <t xml:space="preserve">PL Art Cost</t>
  </si>
  <si>
    <t xml:space="preserve">PL QA Cost</t>
  </si>
  <si>
    <t xml:space="preserve">Total PL Staff Cost</t>
  </si>
  <si>
    <t xml:space="preserve">Admin (all years)</t>
  </si>
  <si>
    <t xml:space="preserve">Admin Headcount</t>
  </si>
  <si>
    <t xml:space="preserve">Admin Salary Cost</t>
  </si>
  <si>
    <t xml:space="preserve">Summary</t>
  </si>
  <si>
    <t xml:space="preserve">Total Headcount</t>
  </si>
  <si>
    <t xml:space="preserve">Total Staff Cost</t>
  </si>
  <si>
    <t xml:space="preserve">Revenue</t>
  </si>
  <si>
    <t xml:space="preserve">Premium Sales, DLC, IAP, Live Service — Years 1-2 = zero</t>
  </si>
  <si>
    <t xml:space="preserve">A: Premium Sales</t>
  </si>
  <si>
    <t xml:space="preserve">Units Sold</t>
  </si>
  <si>
    <t xml:space="preserve">Net Price/Unit</t>
  </si>
  <si>
    <t xml:space="preserve">Premium Revenue</t>
  </si>
  <si>
    <t xml:space="preserve">B: Cumulative Install Base</t>
  </si>
  <si>
    <t xml:space="preserve">Install Base</t>
  </si>
  <si>
    <t xml:space="preserve">C: DLC Revenue</t>
  </si>
  <si>
    <t xml:space="preserve">DLC Packs Released</t>
  </si>
  <si>
    <t xml:space="preserve">DLC Net Price</t>
  </si>
  <si>
    <t xml:space="preserve">DLC Install Base</t>
  </si>
  <si>
    <t xml:space="preserve">DLC Revenue</t>
  </si>
  <si>
    <t xml:space="preserve">D: IAP Revenue</t>
  </si>
  <si>
    <t xml:space="preserve">MAU Rate</t>
  </si>
  <si>
    <t xml:space="preserve">MAU</t>
  </si>
  <si>
    <t xml:space="preserve">Monthly ARPU</t>
  </si>
  <si>
    <t xml:space="preserve">IAP Revenue</t>
  </si>
  <si>
    <t xml:space="preserve">E: Live Service Revenue</t>
  </si>
  <si>
    <t xml:space="preserve">BP Adopt Rate</t>
  </si>
  <si>
    <t xml:space="preserve">Seasons/Year</t>
  </si>
  <si>
    <t xml:space="preserve">BP Net Price</t>
  </si>
  <si>
    <t xml:space="preserve">Live Service Rev</t>
  </si>
  <si>
    <t xml:space="preserve">F: Total Revenue</t>
  </si>
  <si>
    <t xml:space="preserve">Total Revenue</t>
  </si>
  <si>
    <t xml:space="preserve">Dev Cost Schedule</t>
  </si>
  <si>
    <t xml:space="preserve">Capitalised development costs + amortisation</t>
  </si>
  <si>
    <t xml:space="preserve">A: Capitalised Dev Costs</t>
  </si>
  <si>
    <t xml:space="preserve">Dev Staff Cost</t>
  </si>
  <si>
    <t xml:space="preserve">B: Intangible Asset Roll-Forward</t>
  </si>
  <si>
    <t xml:space="preserve">Opening Balance</t>
  </si>
  <si>
    <t xml:space="preserve">Additions</t>
  </si>
  <si>
    <t xml:space="preserve">Amortisation</t>
  </si>
  <si>
    <t xml:space="preserve">Closing Balance</t>
  </si>
  <si>
    <t xml:space="preserve">Operating Costs</t>
  </si>
  <si>
    <t xml:space="preserve">Marketing, G&amp;A, Rent, Software Licences, Server Hosting</t>
  </si>
  <si>
    <t xml:space="preserve">Marketing</t>
  </si>
  <si>
    <t xml:space="preserve">G&amp;A</t>
  </si>
  <si>
    <t xml:space="preserve">Rent</t>
  </si>
  <si>
    <t xml:space="preserve">Software Licences</t>
  </si>
  <si>
    <t xml:space="preserve">Server Hosting</t>
  </si>
  <si>
    <t xml:space="preserve">Total OpEx</t>
  </si>
  <si>
    <t xml:space="preserve">Capex &amp; Depreciation</t>
  </si>
  <si>
    <t xml:space="preserve">PP&amp;E roll-forward — no opening assets</t>
  </si>
  <si>
    <t xml:space="preserve">A: Capex</t>
  </si>
  <si>
    <t xml:space="preserve">Capital Expenditure</t>
  </si>
  <si>
    <t xml:space="preserve">B: PP&amp;E Roll-Forward (no opening)</t>
  </si>
  <si>
    <t xml:space="preserve">Opening Gross PP&amp;E</t>
  </si>
  <si>
    <t xml:space="preserve">Capex Additions</t>
  </si>
  <si>
    <t xml:space="preserve">Closing Gross PP&amp;E</t>
  </si>
  <si>
    <t xml:space="preserve">C: Depreciation (cumulative capex / PPE_Life)</t>
  </si>
  <si>
    <t xml:space="preserve">Depr. This Year</t>
  </si>
  <si>
    <t xml:space="preserve">Accum. Depr. Opening</t>
  </si>
  <si>
    <t xml:space="preserve">Accum. Depr. Closing</t>
  </si>
  <si>
    <t xml:space="preserve">Net PP&amp;E</t>
  </si>
  <si>
    <t xml:space="preserve">Debt Schedule</t>
  </si>
  <si>
    <t xml:space="preserve">Series B equity + revolving credit facility</t>
  </si>
  <si>
    <t xml:space="preserve">A: Equity Funding</t>
  </si>
  <si>
    <t xml:space="preserve">Series B Injection</t>
  </si>
  <si>
    <t xml:space="preserve">B: Revolver</t>
  </si>
  <si>
    <t xml:space="preserve">Draw</t>
  </si>
  <si>
    <t xml:space="preserve">Repayment</t>
  </si>
  <si>
    <t xml:space="preserve">Interest Expense</t>
  </si>
  <si>
    <t xml:space="preserve">Income Statement</t>
  </si>
  <si>
    <t xml:space="preserve">Revenue to Net Income</t>
  </si>
  <si>
    <t xml:space="preserve">Premium Sales</t>
  </si>
  <si>
    <t xml:space="preserve">DLC</t>
  </si>
  <si>
    <t xml:space="preserve">IAP</t>
  </si>
  <si>
    <t xml:space="preserve">Live Service</t>
  </si>
  <si>
    <t xml:space="preserve">Cost of Revenue</t>
  </si>
  <si>
    <t xml:space="preserve">Dev Cost Amort</t>
  </si>
  <si>
    <t xml:space="preserve">Total COGS</t>
  </si>
  <si>
    <t xml:space="preserve">Gross Profit</t>
  </si>
  <si>
    <t xml:space="preserve">Gross Margin</t>
  </si>
  <si>
    <t xml:space="preserve">Operating Expenses</t>
  </si>
  <si>
    <t xml:space="preserve">EBITDA</t>
  </si>
  <si>
    <t xml:space="preserve">EBITDA Margin</t>
  </si>
  <si>
    <t xml:space="preserve">D&amp;A</t>
  </si>
  <si>
    <t xml:space="preserve">Depreciation</t>
  </si>
  <si>
    <t xml:space="preserve">EBIT</t>
  </si>
  <si>
    <t xml:space="preserve">Interest</t>
  </si>
  <si>
    <t xml:space="preserve">Revolver Interest</t>
  </si>
  <si>
    <t xml:space="preserve">Net Interest</t>
  </si>
  <si>
    <t xml:space="preserve">EBT</t>
  </si>
  <si>
    <t xml:space="preserve">NOL Schedule</t>
  </si>
  <si>
    <t xml:space="preserve">NOL Addition</t>
  </si>
  <si>
    <t xml:space="preserve">NOL Utilised</t>
  </si>
  <si>
    <t xml:space="preserve">NOL Closing</t>
  </si>
  <si>
    <t xml:space="preserve">Taxable Income</t>
  </si>
  <si>
    <t xml:space="preserve">Tax</t>
  </si>
  <si>
    <t xml:space="preserve">Net Income</t>
  </si>
  <si>
    <t xml:space="preserve">Opening Trial Balance Check</t>
  </si>
  <si>
    <t xml:space="preserve">Balance Sheet</t>
  </si>
  <si>
    <t xml:space="preserve">Opening Cash:</t>
  </si>
  <si>
    <t xml:space="preserve">Year-end positions</t>
  </si>
  <si>
    <t xml:space="preserve">Opening Equity:</t>
  </si>
  <si>
    <t xml:space="preserve">Check (must=0):</t>
  </si>
  <si>
    <t xml:space="preserve">Assets — Current</t>
  </si>
  <si>
    <t xml:space="preserve">Cash</t>
  </si>
  <si>
    <t xml:space="preserve">Trade Debtors</t>
  </si>
  <si>
    <t xml:space="preserve">Total Current Assets</t>
  </si>
  <si>
    <t xml:space="preserve">Assets — Non-Current</t>
  </si>
  <si>
    <t xml:space="preserve">Dev Cost Intangible</t>
  </si>
  <si>
    <t xml:space="preserve">Total Non-Curr Assets</t>
  </si>
  <si>
    <t xml:space="preserve">TOTAL ASSETS</t>
  </si>
  <si>
    <t xml:space="preserve">Liabilities — Current</t>
  </si>
  <si>
    <t xml:space="preserve">Trade Creditors</t>
  </si>
  <si>
    <t xml:space="preserve">Accrued Liabilities</t>
  </si>
  <si>
    <t xml:space="preserve">Revolver</t>
  </si>
  <si>
    <t xml:space="preserve">Total Current Liab</t>
  </si>
  <si>
    <t xml:space="preserve">TOTAL LIABILITIES</t>
  </si>
  <si>
    <t xml:space="preserve">Equity</t>
  </si>
  <si>
    <t xml:space="preserve">Share Capital</t>
  </si>
  <si>
    <t xml:space="preserve">Retained Earnings</t>
  </si>
  <si>
    <t xml:space="preserve">TOTAL EQUITY</t>
  </si>
  <si>
    <t xml:space="preserve">TOTAL L&amp;E</t>
  </si>
  <si>
    <t xml:space="preserve">Balance Check</t>
  </si>
  <si>
    <t xml:space="preserve">Cash Flow Statement</t>
  </si>
  <si>
    <t xml:space="preserve">Indirect method — Operating, Investing, Financing</t>
  </si>
  <si>
    <t xml:space="preserve">Operating Activities</t>
  </si>
  <si>
    <t xml:space="preserve">Adjustments (non-cash)</t>
  </si>
  <si>
    <t xml:space="preserve">Add: Depreciation</t>
  </si>
  <si>
    <t xml:space="preserve">Add: Dev Amortisation</t>
  </si>
  <si>
    <t xml:space="preserve">Working Capital Changes</t>
  </si>
  <si>
    <t xml:space="preserve">Chg: Trade Debtors</t>
  </si>
  <si>
    <t xml:space="preserve">Chg: Trade Creditors</t>
  </si>
  <si>
    <t xml:space="preserve">Chg: Accrued Liab</t>
  </si>
  <si>
    <t xml:space="preserve">Cash from Operations</t>
  </si>
  <si>
    <t xml:space="preserve">Investing Activities</t>
  </si>
  <si>
    <t xml:space="preserve">Capex</t>
  </si>
  <si>
    <t xml:space="preserve">Dev Cost Spend</t>
  </si>
  <si>
    <t xml:space="preserve">Cash from Investing</t>
  </si>
  <si>
    <t xml:space="preserve">Financing Activities</t>
  </si>
  <si>
    <t xml:space="preserve">Series A Proceeds</t>
  </si>
  <si>
    <t xml:space="preserve">Series B Proceeds</t>
  </si>
  <si>
    <t xml:space="preserve">Revolver Draw</t>
  </si>
  <si>
    <t xml:space="preserve">Revolver Repay</t>
  </si>
  <si>
    <t xml:space="preserve">Cash from Financing</t>
  </si>
  <si>
    <t xml:space="preserve">— helper rows —</t>
  </si>
  <si>
    <t xml:space="preserve">Cash Before Revolver</t>
  </si>
  <si>
    <t xml:space="preserve">— cash reconciliation —</t>
  </si>
  <si>
    <t xml:space="preserve">Net Change in Cash</t>
  </si>
  <si>
    <t xml:space="preserve">Closing Cash</t>
  </si>
  <si>
    <t xml:space="preserve">Checks</t>
  </si>
  <si>
    <t xml:space="preserve">All checks must be TRUE — any FALSE signals a model error</t>
  </si>
  <si>
    <t xml:space="preserve">Per-Period Checks</t>
  </si>
  <si>
    <t xml:space="preserve">BS Balance</t>
  </si>
  <si>
    <t xml:space="preserve">Cash &gt;= 0</t>
  </si>
  <si>
    <t xml:space="preserve">Revolver &lt;= Limit</t>
  </si>
  <si>
    <t xml:space="preserve">Depr Add-back = IS</t>
  </si>
  <si>
    <t xml:space="preserve">Amort Add-back = IS</t>
  </si>
  <si>
    <t xml:space="preserve">NOL Non-Negative</t>
  </si>
  <si>
    <t xml:space="preserve">Single-Cell Checks</t>
  </si>
  <si>
    <t xml:space="preserve">Total Amort = Cap Cost</t>
  </si>
  <si>
    <t xml:space="preserve">Rev Y1-Y2 = Zero</t>
  </si>
</sst>
</file>

<file path=xl/styles.xml><?xml version="1.0" encoding="utf-8"?>
<styleSheet xmlns="http://schemas.openxmlformats.org/spreadsheetml/2006/main">
  <numFmts count="4">
    <numFmt numFmtId="164" formatCode="General"/>
    <numFmt numFmtId="165" formatCode="0"/>
    <numFmt numFmtId="166" formatCode="0.00%"/>
    <numFmt numFmtId="167" formatCode="#,##0.00"/>
  </numFmts>
  <fonts count="27">
    <font>
      <sz val="11"/>
      <name val="Arial"/>
      <family val="0"/>
      <charset val="1"/>
    </font>
    <font>
      <sz val="10"/>
      <name val="Arial"/>
      <family val="0"/>
    </font>
    <font>
      <sz val="10"/>
      <name val="Arial"/>
      <family val="0"/>
    </font>
    <font>
      <sz val="10"/>
      <name val="Arial"/>
      <family val="0"/>
    </font>
    <font>
      <sz val="11"/>
      <color theme="0"/>
      <name val="Arial"/>
      <family val="0"/>
      <charset val="1"/>
    </font>
    <font>
      <b val="true"/>
      <sz val="18"/>
      <color theme="0"/>
      <name val="Arial"/>
      <family val="0"/>
      <charset val="1"/>
    </font>
    <font>
      <b val="true"/>
      <u val="single"/>
      <sz val="11"/>
      <color theme="0"/>
      <name val="Arial"/>
      <family val="0"/>
      <charset val="1"/>
    </font>
    <font>
      <i val="true"/>
      <sz val="10"/>
      <color theme="0"/>
      <name val="Arial"/>
      <family val="0"/>
      <charset val="1"/>
    </font>
    <font>
      <sz val="11"/>
      <color theme="1"/>
      <name val="Arial"/>
      <family val="0"/>
      <charset val="1"/>
    </font>
    <font>
      <b val="true"/>
      <sz val="10"/>
      <color rgb="FF000000"/>
      <name val="Arial"/>
      <family val="0"/>
      <charset val="1"/>
    </font>
    <font>
      <sz val="10"/>
      <color rgb="FF000000"/>
      <name val="Arial"/>
      <family val="0"/>
      <charset val="1"/>
    </font>
    <font>
      <i val="true"/>
      <sz val="10"/>
      <color rgb="FF595959"/>
      <name val="Arial"/>
      <family val="0"/>
      <charset val="1"/>
    </font>
    <font>
      <b val="true"/>
      <sz val="11"/>
      <color rgb="FF1F4E79"/>
      <name val="Arial"/>
      <family val="0"/>
      <charset val="1"/>
    </font>
    <font>
      <sz val="11"/>
      <color rgb="FF262626"/>
      <name val="Arial"/>
      <family val="0"/>
      <charset val="1"/>
    </font>
    <font>
      <i val="true"/>
      <sz val="11"/>
      <color rgb="FF595959"/>
      <name val="Arial"/>
      <family val="0"/>
      <charset val="1"/>
    </font>
    <font>
      <b val="true"/>
      <i val="true"/>
      <sz val="11"/>
      <color rgb="FF1F4E79"/>
      <name val="Arial"/>
      <family val="0"/>
      <charset val="1"/>
    </font>
    <font>
      <b val="true"/>
      <sz val="10"/>
      <color theme="0"/>
      <name val="Arial"/>
      <family val="0"/>
      <charset val="1"/>
    </font>
    <font>
      <sz val="10"/>
      <color theme="3"/>
      <name val="Arial"/>
      <family val="0"/>
      <charset val="1"/>
    </font>
    <font>
      <b val="true"/>
      <sz val="18"/>
      <color rgb="FF1F4E79"/>
      <name val="Arial"/>
      <family val="0"/>
      <charset val="1"/>
    </font>
    <font>
      <b val="true"/>
      <sz val="11"/>
      <color rgb="FFFFFFFF"/>
      <name val="Arial"/>
      <family val="0"/>
      <charset val="1"/>
    </font>
    <font>
      <sz val="10"/>
      <color rgb="FF262626"/>
      <name val="Arial"/>
      <family val="0"/>
      <charset val="1"/>
    </font>
    <font>
      <b val="true"/>
      <sz val="10"/>
      <color rgb="FF1F4E79"/>
      <name val="Arial"/>
      <family val="0"/>
      <charset val="1"/>
    </font>
    <font>
      <sz val="9"/>
      <color rgb="FF404040"/>
      <name val="Arial"/>
      <family val="0"/>
      <charset val="1"/>
    </font>
    <font>
      <i val="true"/>
      <sz val="10"/>
      <color rgb="FF808080"/>
      <name val="Arial"/>
      <family val="0"/>
      <charset val="1"/>
    </font>
    <font>
      <b val="true"/>
      <sz val="18"/>
      <color rgb="FF000000"/>
      <name val="Arial"/>
      <family val="0"/>
      <charset val="1"/>
    </font>
    <font>
      <b val="true"/>
      <sz val="10"/>
      <color rgb="FFFFFFFF"/>
      <name val="Arial"/>
      <family val="0"/>
      <charset val="1"/>
    </font>
    <font>
      <b val="true"/>
      <sz val="10"/>
      <color rgb="FFFF0000"/>
      <name val="Arial"/>
      <family val="0"/>
      <charset val="1"/>
    </font>
  </fonts>
  <fills count="8">
    <fill>
      <patternFill patternType="none"/>
    </fill>
    <fill>
      <patternFill patternType="gray125"/>
    </fill>
    <fill>
      <patternFill patternType="solid">
        <fgColor theme="3"/>
        <bgColor rgb="FF1F4E79"/>
      </patternFill>
    </fill>
    <fill>
      <patternFill patternType="solid">
        <fgColor rgb="FFD6E4F0"/>
        <bgColor rgb="FFF2F2F2"/>
      </patternFill>
    </fill>
    <fill>
      <patternFill patternType="solid">
        <fgColor rgb="FFFFF2CC"/>
        <bgColor rgb="FFF2F2F2"/>
      </patternFill>
    </fill>
    <fill>
      <patternFill patternType="solid">
        <fgColor rgb="FF1F4E79"/>
        <bgColor rgb="FF1F497D"/>
      </patternFill>
    </fill>
    <fill>
      <patternFill patternType="solid">
        <fgColor rgb="FFF2F2F2"/>
        <bgColor rgb="FFFFFFFF"/>
      </patternFill>
    </fill>
    <fill>
      <patternFill patternType="solid">
        <fgColor rgb="FF2E75B6"/>
        <bgColor rgb="FF0066CC"/>
      </patternFill>
    </fill>
  </fills>
  <borders count="4">
    <border diagonalUp="false" diagonalDown="false">
      <left/>
      <right/>
      <top/>
      <bottom/>
      <diagonal/>
    </border>
    <border diagonalUp="false" diagonalDown="false">
      <left/>
      <right/>
      <top/>
      <bottom style="thin">
        <color rgb="FF1F4E79"/>
      </bottom>
      <diagonal/>
    </border>
    <border diagonalUp="false" diagonalDown="false">
      <left/>
      <right/>
      <top style="thin"/>
      <bottom/>
      <diagonal/>
    </border>
    <border diagonalUp="false" diagonalDown="false">
      <left/>
      <right/>
      <top style="double"/>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50">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0" xfId="0" applyFont="true" applyBorder="false" applyAlignment="false" applyProtection="false">
      <alignment horizontal="general" vertical="bottom" textRotation="0" wrapText="false" indent="0" shrinkToFit="false"/>
      <protection locked="true" hidden="false"/>
    </xf>
    <xf numFmtId="164" fontId="5" fillId="2" borderId="0" xfId="0" applyFont="true" applyBorder="false" applyAlignment="false" applyProtection="false">
      <alignment horizontal="general" vertical="bottom" textRotation="0" wrapText="false" indent="0" shrinkToFit="false"/>
      <protection locked="true" hidden="false"/>
    </xf>
    <xf numFmtId="164" fontId="6" fillId="2" borderId="0" xfId="0" applyFont="true" applyBorder="false" applyAlignment="true" applyProtection="false">
      <alignment horizontal="left" vertical="center" textRotation="0" wrapText="false" indent="0" shrinkToFit="false"/>
      <protection locked="true" hidden="false"/>
    </xf>
    <xf numFmtId="164" fontId="7" fillId="2" borderId="0" xfId="0" applyFont="true" applyBorder="false" applyAlignment="false" applyProtection="false">
      <alignment horizontal="general" vertical="bottom" textRotation="0" wrapText="false" indent="0" shrinkToFit="false"/>
      <protection locked="true" hidden="false"/>
    </xf>
    <xf numFmtId="164" fontId="8" fillId="0" borderId="0" xfId="0" applyFont="true" applyBorder="false" applyAlignment="false" applyProtection="false">
      <alignment horizontal="general" vertical="bottom" textRotation="0" wrapText="false" indent="0" shrinkToFit="false"/>
      <protection locked="true" hidden="false"/>
    </xf>
    <xf numFmtId="164" fontId="9" fillId="0" borderId="0" xfId="0" applyFont="true" applyBorder="false" applyAlignment="false" applyProtection="false">
      <alignment horizontal="general" vertical="bottom" textRotation="0" wrapText="false" indent="0" shrinkToFit="false"/>
      <protection locked="true" hidden="false"/>
    </xf>
    <xf numFmtId="164" fontId="10" fillId="0" borderId="0" xfId="0" applyFont="true" applyBorder="false" applyAlignment="true" applyProtection="false">
      <alignment horizontal="left" vertical="center" textRotation="0" wrapText="false" indent="0" shrinkToFit="false"/>
      <protection locked="true" hidden="false"/>
    </xf>
    <xf numFmtId="164" fontId="11" fillId="0" borderId="0" xfId="0" applyFont="true" applyBorder="false" applyAlignment="false" applyProtection="false">
      <alignment horizontal="general" vertical="bottom" textRotation="0" wrapText="false" indent="0" shrinkToFit="false"/>
      <protection locked="true" hidden="false"/>
    </xf>
    <xf numFmtId="164" fontId="12" fillId="3" borderId="0" xfId="0" applyFont="true" applyBorder="false" applyAlignment="true" applyProtection="false">
      <alignment horizontal="left" vertical="center" textRotation="0" wrapText="false" indent="0" shrinkToFit="false"/>
      <protection locked="true" hidden="false"/>
    </xf>
    <xf numFmtId="164" fontId="8" fillId="3" borderId="0" xfId="0" applyFont="true" applyBorder="false" applyAlignment="false" applyProtection="false">
      <alignment horizontal="general" vertical="bottom" textRotation="0" wrapText="false" indent="0" shrinkToFit="false"/>
      <protection locked="true" hidden="false"/>
    </xf>
    <xf numFmtId="164" fontId="13" fillId="0" borderId="0" xfId="0" applyFont="true" applyBorder="true" applyAlignment="true" applyProtection="false">
      <alignment horizontal="left" vertical="top" textRotation="0" wrapText="true" indent="0" shrinkToFit="false"/>
      <protection locked="true" hidden="false"/>
    </xf>
    <xf numFmtId="164" fontId="14" fillId="0" borderId="0" xfId="0" applyFont="true" applyBorder="true" applyAlignment="true" applyProtection="false">
      <alignment horizontal="left" vertical="center" textRotation="0" wrapText="false" indent="0" shrinkToFit="false"/>
      <protection locked="true" hidden="false"/>
    </xf>
    <xf numFmtId="164" fontId="15" fillId="0" borderId="0" xfId="0" applyFont="true" applyBorder="false" applyAlignment="true" applyProtection="false">
      <alignment horizontal="left" vertical="center" textRotation="0" wrapText="false" indent="0" shrinkToFit="false"/>
      <protection locked="true" hidden="false"/>
    </xf>
    <xf numFmtId="164" fontId="16" fillId="2" borderId="0" xfId="0" applyFont="true" applyBorder="false" applyAlignment="true" applyProtection="false">
      <alignment horizontal="left" vertical="center" textRotation="0" wrapText="false" indent="0" shrinkToFit="false"/>
      <protection locked="true" hidden="false"/>
    </xf>
    <xf numFmtId="164" fontId="16" fillId="2" borderId="0" xfId="0" applyFont="true" applyBorder="false" applyAlignment="false" applyProtection="false">
      <alignment horizontal="general" vertical="bottom" textRotation="0" wrapText="false" indent="0" shrinkToFit="false"/>
      <protection locked="true" hidden="false"/>
    </xf>
    <xf numFmtId="165" fontId="17" fillId="4" borderId="0" xfId="0" applyFont="true" applyBorder="false" applyAlignment="true" applyProtection="false">
      <alignment horizontal="right" vertical="center" textRotation="0" wrapText="false" indent="0" shrinkToFit="false"/>
      <protection locked="true" hidden="false"/>
    </xf>
    <xf numFmtId="164" fontId="11" fillId="0" borderId="0" xfId="0" applyFont="true" applyBorder="false" applyAlignment="true" applyProtection="false">
      <alignment horizontal="left" vertical="center" textRotation="0" wrapText="false" indent="0" shrinkToFit="false"/>
      <protection locked="true" hidden="false"/>
    </xf>
    <xf numFmtId="166" fontId="17" fillId="4" borderId="0" xfId="0" applyFont="true" applyBorder="false" applyAlignment="true" applyProtection="false">
      <alignment horizontal="right" vertical="center" textRotation="0" wrapText="false" indent="0" shrinkToFit="false"/>
      <protection locked="true" hidden="false"/>
    </xf>
    <xf numFmtId="167" fontId="17" fillId="4" borderId="0" xfId="0" applyFont="true" applyBorder="false" applyAlignment="true" applyProtection="false">
      <alignment horizontal="right" vertical="center" textRotation="0" wrapText="false" indent="0" shrinkToFit="false"/>
      <protection locked="true" hidden="false"/>
    </xf>
    <xf numFmtId="164" fontId="18" fillId="0" borderId="0" xfId="0" applyFont="true" applyBorder="false" applyAlignment="true" applyProtection="false">
      <alignment horizontal="left" vertical="center" textRotation="0" wrapText="false" indent="0" shrinkToFit="false"/>
      <protection locked="true" hidden="false"/>
    </xf>
    <xf numFmtId="164" fontId="8" fillId="0" borderId="1" xfId="0" applyFont="true" applyBorder="true" applyAlignment="false" applyProtection="false">
      <alignment horizontal="general" vertical="bottom" textRotation="0" wrapText="false" indent="0" shrinkToFit="false"/>
      <protection locked="true" hidden="false"/>
    </xf>
    <xf numFmtId="164" fontId="19" fillId="5" borderId="0" xfId="0" applyFont="true" applyBorder="false" applyAlignment="true" applyProtection="false">
      <alignment horizontal="left" vertical="center" textRotation="0" wrapText="false" indent="1" shrinkToFit="false"/>
      <protection locked="true" hidden="false"/>
    </xf>
    <xf numFmtId="164" fontId="20" fillId="0" borderId="0" xfId="0" applyFont="true" applyBorder="false" applyAlignment="true" applyProtection="false">
      <alignment horizontal="left" vertical="top" textRotation="0" wrapText="true" indent="1" shrinkToFit="false"/>
      <protection locked="true" hidden="false"/>
    </xf>
    <xf numFmtId="164" fontId="21" fillId="0" borderId="0" xfId="0" applyFont="true" applyBorder="false" applyAlignment="true" applyProtection="false">
      <alignment horizontal="left" vertical="center" textRotation="0" wrapText="false" indent="1" shrinkToFit="false"/>
      <protection locked="true" hidden="false"/>
    </xf>
    <xf numFmtId="164" fontId="12" fillId="0" borderId="0" xfId="0" applyFont="true" applyBorder="false" applyAlignment="true" applyProtection="false">
      <alignment horizontal="left" vertical="center" textRotation="0" wrapText="false" indent="1" shrinkToFit="false"/>
      <protection locked="true" hidden="false"/>
    </xf>
    <xf numFmtId="164" fontId="22" fillId="6" borderId="0" xfId="0" applyFont="true" applyBorder="false" applyAlignment="true" applyProtection="false">
      <alignment horizontal="left" vertical="top" textRotation="0" wrapText="true" indent="1" shrinkToFit="false"/>
      <protection locked="true" hidden="false"/>
    </xf>
    <xf numFmtId="164" fontId="23" fillId="0" borderId="0" xfId="0" applyFont="true" applyBorder="false" applyAlignment="true" applyProtection="false">
      <alignment horizontal="left" vertical="center" textRotation="0" wrapText="false" indent="1" shrinkToFit="false"/>
      <protection locked="true" hidden="false"/>
    </xf>
    <xf numFmtId="164" fontId="24" fillId="0" borderId="0" xfId="0" applyFont="true" applyBorder="false" applyAlignment="false" applyProtection="false">
      <alignment horizontal="general" vertical="bottom" textRotation="0" wrapText="false" indent="0" shrinkToFit="false"/>
      <protection locked="true" hidden="false"/>
    </xf>
    <xf numFmtId="164" fontId="8" fillId="5" borderId="0" xfId="0" applyFont="true" applyBorder="false" applyAlignment="false" applyProtection="false">
      <alignment horizontal="general" vertical="bottom" textRotation="0" wrapText="false" indent="0" shrinkToFit="false"/>
      <protection locked="true" hidden="false"/>
    </xf>
    <xf numFmtId="165" fontId="25" fillId="5" borderId="0" xfId="0" applyFont="true" applyBorder="false" applyAlignment="true" applyProtection="false">
      <alignment horizontal="center" vertical="center" textRotation="0" wrapText="false" indent="0" shrinkToFit="false"/>
      <protection locked="true" hidden="false"/>
    </xf>
    <xf numFmtId="165" fontId="11" fillId="0" borderId="0" xfId="0" applyFont="true" applyBorder="false" applyAlignment="true" applyProtection="false">
      <alignment horizontal="center" vertical="center" textRotation="0" wrapText="false" indent="0" shrinkToFit="false"/>
      <protection locked="true" hidden="false"/>
    </xf>
    <xf numFmtId="164" fontId="25" fillId="5" borderId="0" xfId="0" applyFont="true" applyBorder="false" applyAlignment="true" applyProtection="false">
      <alignment horizontal="left" vertical="center" textRotation="0" wrapText="false" indent="0" shrinkToFit="false"/>
      <protection locked="true" hidden="false"/>
    </xf>
    <xf numFmtId="164" fontId="25" fillId="5" borderId="0" xfId="0" applyFont="true" applyBorder="false" applyAlignment="false" applyProtection="false">
      <alignment horizontal="general" vertical="bottom" textRotation="0" wrapText="false" indent="0" shrinkToFit="false"/>
      <protection locked="true" hidden="false"/>
    </xf>
    <xf numFmtId="167" fontId="10" fillId="0" borderId="0" xfId="0" applyFont="true" applyBorder="false" applyAlignment="true" applyProtection="false">
      <alignment horizontal="right" vertical="center" textRotation="0" wrapText="false" indent="0" shrinkToFit="false"/>
      <protection locked="true" hidden="false"/>
    </xf>
    <xf numFmtId="164" fontId="9" fillId="0" borderId="0" xfId="0" applyFont="true" applyBorder="false" applyAlignment="true" applyProtection="false">
      <alignment horizontal="left" vertical="center" textRotation="0" wrapText="false" indent="0" shrinkToFit="false"/>
      <protection locked="true" hidden="false"/>
    </xf>
    <xf numFmtId="167" fontId="9" fillId="0" borderId="2" xfId="0" applyFont="true" applyBorder="true" applyAlignment="true" applyProtection="false">
      <alignment horizontal="right" vertical="center" textRotation="0" wrapText="false" indent="0" shrinkToFit="false"/>
      <protection locked="true" hidden="false"/>
    </xf>
    <xf numFmtId="164" fontId="25" fillId="7" borderId="0" xfId="0" applyFont="true" applyBorder="false" applyAlignment="true" applyProtection="false">
      <alignment horizontal="left" vertical="center" textRotation="0" wrapText="false" indent="0" shrinkToFit="false"/>
      <protection locked="true" hidden="false"/>
    </xf>
    <xf numFmtId="164" fontId="25" fillId="7" borderId="0" xfId="0" applyFont="true" applyBorder="false" applyAlignment="false" applyProtection="false">
      <alignment horizontal="general" vertical="bottom" textRotation="0" wrapText="false" indent="0" shrinkToFit="false"/>
      <protection locked="true" hidden="false"/>
    </xf>
    <xf numFmtId="167" fontId="9" fillId="0" borderId="0" xfId="0" applyFont="true" applyBorder="false" applyAlignment="true" applyProtection="false">
      <alignment horizontal="right" vertical="center" textRotation="0" wrapText="false" indent="0" shrinkToFit="false"/>
      <protection locked="true" hidden="false"/>
    </xf>
    <xf numFmtId="167" fontId="9" fillId="0" borderId="3" xfId="0" applyFont="true" applyBorder="true" applyAlignment="true" applyProtection="false">
      <alignment horizontal="right" vertical="center" textRotation="0" wrapText="false" indent="0" shrinkToFit="false"/>
      <protection locked="true" hidden="false"/>
    </xf>
    <xf numFmtId="166" fontId="10" fillId="0" borderId="0" xfId="0" applyFont="true" applyBorder="false" applyAlignment="true" applyProtection="false">
      <alignment horizontal="right" vertical="center" textRotation="0" wrapText="false" indent="0" shrinkToFit="false"/>
      <protection locked="true" hidden="false"/>
    </xf>
    <xf numFmtId="167" fontId="8" fillId="0" borderId="0" xfId="0" applyFont="true" applyBorder="false" applyAlignment="false" applyProtection="false">
      <alignment horizontal="general" vertical="bottom" textRotation="0" wrapText="false" indent="0" shrinkToFit="false"/>
      <protection locked="true" hidden="false"/>
    </xf>
    <xf numFmtId="167" fontId="26" fillId="0" borderId="0" xfId="0" applyFont="true" applyBorder="false" applyAlignment="false" applyProtection="false">
      <alignment horizontal="general" vertical="bottom" textRotation="0" wrapText="false" indent="0" shrinkToFit="false"/>
      <protection locked="true" hidden="false"/>
    </xf>
    <xf numFmtId="164" fontId="26" fillId="0" borderId="0" xfId="0" applyFont="true" applyBorder="false" applyAlignment="true" applyProtection="false">
      <alignment horizontal="left" vertical="center" textRotation="0" wrapText="false" indent="0" shrinkToFit="false"/>
      <protection locked="true" hidden="false"/>
    </xf>
    <xf numFmtId="167" fontId="26" fillId="0" borderId="0" xfId="0" applyFont="true" applyBorder="false" applyAlignment="true" applyProtection="false">
      <alignment horizontal="right" vertical="center" textRotation="0" wrapText="false" indent="0" shrinkToFit="false"/>
      <protection locked="true" hidden="false"/>
    </xf>
    <xf numFmtId="164" fontId="9" fillId="0" borderId="0" xfId="0" applyFont="true" applyBorder="false" applyAlignment="true" applyProtection="false">
      <alignment horizontal="right" vertical="center" textRotation="0" wrapText="false" indent="0" shrinkToFit="false"/>
      <protection locked="true" hidden="false"/>
    </xf>
    <xf numFmtId="164" fontId="10" fillId="0" borderId="0" xfId="0" applyFont="true" applyBorder="false" applyAlignment="true" applyProtection="false">
      <alignment horizontal="right" vertical="center" textRotation="0" wrapText="false" indent="0" shrinkToFit="false"/>
      <protection locked="true" hidden="false"/>
    </xf>
    <xf numFmtId="164" fontId="10" fillId="0" borderId="0" xfId="0" applyFont="true" applyBorder="false" applyAlignment="false" applyProtection="false">
      <alignment horizontal="general" vertical="bottom" textRotation="0" wrapText="false" indent="0" shrinkToFit="false"/>
      <protection locked="true" hidden="false"/>
    </xf>
    <xf numFmtId="164" fontId="10" fillId="0" borderId="0" xfId="0" applyFont="true" applyBorder="false" applyAlignment="false" applyProtection="false">
      <alignment horizontal="general"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2CC"/>
      <rgbColor rgb="FFF2F2F2"/>
      <rgbColor rgb="FF660066"/>
      <rgbColor rgb="FFFF8080"/>
      <rgbColor rgb="FF0066CC"/>
      <rgbColor rgb="FFD6E4F0"/>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2E75B6"/>
      <rgbColor rgb="FF33CCCC"/>
      <rgbColor rgb="FF99CC00"/>
      <rgbColor rgb="FFFFCC00"/>
      <rgbColor rgb="FFFF9900"/>
      <rgbColor rgb="FFED7D31"/>
      <rgbColor rgb="FF595959"/>
      <rgbColor rgb="FF70AD47"/>
      <rgbColor rgb="FF1F4E79"/>
      <rgbColor rgb="FF339966"/>
      <rgbColor rgb="FF003300"/>
      <rgbColor rgb="FF404040"/>
      <rgbColor rgb="FF993300"/>
      <rgbColor rgb="FF993366"/>
      <rgbColor rgb="FF1F497D"/>
      <rgbColor rgb="FF262626"/>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worksheet" Target="worksheets/sheet9.xml"/><Relationship Id="rId12" Type="http://schemas.openxmlformats.org/officeDocument/2006/relationships/worksheet" Target="worksheets/sheet10.xml"/><Relationship Id="rId13" Type="http://schemas.openxmlformats.org/officeDocument/2006/relationships/worksheet" Target="worksheets/sheet11.xml"/><Relationship Id="rId14" Type="http://schemas.openxmlformats.org/officeDocument/2006/relationships/worksheet" Target="worksheets/sheet12.xml"/><Relationship Id="rId15" Type="http://schemas.openxmlformats.org/officeDocument/2006/relationships/worksheet" Target="worksheets/sheet13.xml"/><Relationship Id="rId16"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www.finamodel.com/" TargetMode="Externa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1F4E79"/>
    <pageSetUpPr fitToPage="false"/>
  </sheetPr>
  <dimension ref="A1:AD21"/>
  <sheetViews>
    <sheetView showFormulas="false" showGridLines="fals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45"/>
    <col collapsed="false" customWidth="true" hidden="false" outlineLevel="0" max="3" min="3" style="0" width="30"/>
  </cols>
  <sheetData>
    <row r="1" customFormat="false" ht="15" hidden="false" customHeight="false" outlineLevel="0" collapsed="false">
      <c r="A1" s="1"/>
      <c r="B1" s="1"/>
      <c r="C1" s="1"/>
      <c r="D1" s="1"/>
      <c r="E1" s="1"/>
      <c r="F1" s="1"/>
      <c r="G1" s="1"/>
      <c r="H1" s="1"/>
      <c r="I1" s="1"/>
      <c r="J1" s="1"/>
      <c r="K1" s="1"/>
      <c r="L1" s="1"/>
      <c r="M1" s="1"/>
      <c r="N1" s="1"/>
      <c r="O1" s="1"/>
      <c r="P1" s="1"/>
      <c r="Q1" s="1"/>
      <c r="R1" s="1"/>
      <c r="S1" s="1"/>
      <c r="T1" s="1"/>
      <c r="U1" s="1"/>
      <c r="V1" s="1"/>
      <c r="W1" s="1"/>
      <c r="X1" s="1"/>
      <c r="Y1" s="1"/>
      <c r="Z1" s="1"/>
      <c r="AA1" s="1"/>
      <c r="AB1" s="1"/>
      <c r="AC1" s="1"/>
      <c r="AD1" s="1"/>
    </row>
    <row r="2" customFormat="false" ht="21.75" hidden="false" customHeight="true" outlineLevel="0" collapsed="false">
      <c r="A2" s="1"/>
      <c r="B2" s="2" t="s">
        <v>0</v>
      </c>
      <c r="C2" s="1"/>
      <c r="D2" s="3" t="s">
        <v>1</v>
      </c>
      <c r="E2" s="1"/>
      <c r="F2" s="1"/>
      <c r="G2" s="1"/>
      <c r="H2" s="1"/>
      <c r="I2" s="1"/>
      <c r="J2" s="1"/>
      <c r="K2" s="1"/>
      <c r="L2" s="1"/>
      <c r="M2" s="1"/>
      <c r="N2" s="1"/>
      <c r="O2" s="1"/>
      <c r="P2" s="1"/>
      <c r="Q2" s="1"/>
      <c r="R2" s="1"/>
      <c r="S2" s="1"/>
      <c r="T2" s="1"/>
      <c r="U2" s="1"/>
      <c r="V2" s="1"/>
      <c r="W2" s="1"/>
      <c r="X2" s="1"/>
      <c r="Y2" s="1"/>
      <c r="Z2" s="1"/>
      <c r="AA2" s="1"/>
      <c r="AB2" s="1"/>
      <c r="AC2" s="1"/>
      <c r="AD2" s="1"/>
    </row>
    <row r="3" customFormat="false" ht="15" hidden="false" customHeight="false" outlineLevel="0" collapsed="false">
      <c r="A3" s="1"/>
      <c r="B3" s="4" t="s">
        <v>2</v>
      </c>
      <c r="C3" s="1"/>
      <c r="D3" s="1"/>
      <c r="E3" s="1"/>
      <c r="F3" s="1"/>
      <c r="G3" s="1"/>
      <c r="H3" s="1"/>
      <c r="I3" s="1"/>
      <c r="J3" s="1"/>
      <c r="K3" s="1"/>
      <c r="L3" s="1"/>
      <c r="M3" s="1"/>
      <c r="N3" s="1"/>
      <c r="O3" s="1"/>
      <c r="P3" s="1"/>
      <c r="Q3" s="1"/>
      <c r="R3" s="1"/>
      <c r="S3" s="1"/>
      <c r="T3" s="1"/>
      <c r="U3" s="1"/>
      <c r="V3" s="1"/>
      <c r="W3" s="1"/>
      <c r="X3" s="1"/>
      <c r="Y3" s="1"/>
      <c r="Z3" s="1"/>
      <c r="AA3" s="1"/>
      <c r="AB3" s="1"/>
      <c r="AC3" s="1"/>
      <c r="AD3" s="1"/>
    </row>
    <row r="4" customFormat="false" ht="15" hidden="false" customHeight="false" outlineLevel="0" collapsed="false">
      <c r="A4" s="5"/>
      <c r="B4" s="5"/>
      <c r="C4" s="5"/>
      <c r="D4" s="5"/>
      <c r="E4" s="5"/>
      <c r="F4" s="5"/>
      <c r="G4" s="5"/>
      <c r="H4" s="5"/>
      <c r="I4" s="5"/>
      <c r="J4" s="5"/>
      <c r="K4" s="5"/>
      <c r="L4" s="5"/>
      <c r="M4" s="5"/>
      <c r="N4" s="5"/>
      <c r="O4" s="5"/>
      <c r="P4" s="5"/>
      <c r="Q4" s="5"/>
      <c r="R4" s="5"/>
      <c r="S4" s="5"/>
      <c r="T4" s="5"/>
      <c r="U4" s="5"/>
      <c r="V4" s="5"/>
      <c r="W4" s="5"/>
      <c r="X4" s="5"/>
      <c r="Y4" s="5"/>
      <c r="Z4" s="5"/>
      <c r="AA4" s="5"/>
      <c r="AB4" s="5"/>
      <c r="AC4" s="5"/>
      <c r="AD4" s="5"/>
    </row>
    <row r="5" customFormat="false" ht="15" hidden="false" customHeight="false" outlineLevel="0" collapsed="false">
      <c r="A5" s="5"/>
      <c r="B5" s="6" t="s">
        <v>3</v>
      </c>
      <c r="C5" s="5"/>
      <c r="D5" s="5"/>
      <c r="E5" s="5"/>
      <c r="F5" s="5"/>
      <c r="G5" s="5"/>
      <c r="H5" s="5"/>
      <c r="I5" s="5"/>
      <c r="J5" s="5"/>
      <c r="K5" s="5"/>
      <c r="L5" s="5"/>
      <c r="M5" s="5"/>
      <c r="N5" s="5"/>
      <c r="O5" s="5"/>
      <c r="P5" s="5"/>
      <c r="Q5" s="5"/>
      <c r="R5" s="5"/>
      <c r="S5" s="5"/>
      <c r="T5" s="5"/>
      <c r="U5" s="5"/>
      <c r="V5" s="5"/>
      <c r="W5" s="5"/>
      <c r="X5" s="5"/>
      <c r="Y5" s="5"/>
      <c r="Z5" s="5"/>
      <c r="AA5" s="5"/>
      <c r="AB5" s="5"/>
      <c r="AC5" s="5"/>
      <c r="AD5" s="5"/>
    </row>
    <row r="6" customFormat="false" ht="15" hidden="false" customHeight="false" outlineLevel="0" collapsed="false">
      <c r="A6" s="5"/>
      <c r="B6" s="7" t="s">
        <v>4</v>
      </c>
      <c r="C6" s="5"/>
      <c r="D6" s="5"/>
      <c r="E6" s="5"/>
      <c r="F6" s="5"/>
      <c r="G6" s="5"/>
      <c r="H6" s="5"/>
      <c r="I6" s="5"/>
      <c r="J6" s="5"/>
      <c r="K6" s="5"/>
      <c r="L6" s="5"/>
      <c r="M6" s="5"/>
      <c r="N6" s="5"/>
      <c r="O6" s="5"/>
      <c r="P6" s="5"/>
      <c r="Q6" s="5"/>
      <c r="R6" s="5"/>
      <c r="S6" s="5"/>
      <c r="T6" s="5"/>
      <c r="U6" s="5"/>
      <c r="V6" s="5"/>
      <c r="W6" s="5"/>
      <c r="X6" s="5"/>
      <c r="Y6" s="5"/>
      <c r="Z6" s="5"/>
      <c r="AA6" s="5"/>
      <c r="AB6" s="5"/>
      <c r="AC6" s="5"/>
      <c r="AD6" s="5"/>
    </row>
    <row r="7" customFormat="false" ht="15" hidden="false" customHeight="false" outlineLevel="0" collapsed="false">
      <c r="A7" s="5"/>
      <c r="B7" s="7" t="s">
        <v>5</v>
      </c>
      <c r="C7" s="5"/>
      <c r="D7" s="5"/>
      <c r="E7" s="5"/>
      <c r="F7" s="5"/>
      <c r="G7" s="5"/>
      <c r="H7" s="5"/>
      <c r="I7" s="5"/>
      <c r="J7" s="5"/>
      <c r="K7" s="5"/>
      <c r="L7" s="5"/>
      <c r="M7" s="5"/>
      <c r="N7" s="5"/>
      <c r="O7" s="5"/>
      <c r="P7" s="5"/>
      <c r="Q7" s="5"/>
      <c r="R7" s="5"/>
      <c r="S7" s="5"/>
      <c r="T7" s="5"/>
      <c r="U7" s="5"/>
      <c r="V7" s="5"/>
      <c r="W7" s="5"/>
      <c r="X7" s="5"/>
      <c r="Y7" s="5"/>
      <c r="Z7" s="5"/>
      <c r="AA7" s="5"/>
      <c r="AB7" s="5"/>
      <c r="AC7" s="5"/>
      <c r="AD7" s="5"/>
    </row>
    <row r="8" customFormat="false" ht="15" hidden="false" customHeight="false" outlineLevel="0" collapsed="false">
      <c r="A8" s="5"/>
      <c r="B8" s="7" t="s">
        <v>6</v>
      </c>
      <c r="C8" s="5"/>
      <c r="D8" s="5"/>
      <c r="E8" s="5"/>
      <c r="F8" s="5"/>
      <c r="G8" s="5"/>
      <c r="H8" s="5"/>
      <c r="I8" s="5"/>
      <c r="J8" s="5"/>
      <c r="K8" s="5"/>
      <c r="L8" s="5"/>
      <c r="M8" s="5"/>
      <c r="N8" s="5"/>
      <c r="O8" s="5"/>
      <c r="P8" s="5"/>
      <c r="Q8" s="5"/>
      <c r="R8" s="5"/>
      <c r="S8" s="5"/>
      <c r="T8" s="5"/>
      <c r="U8" s="5"/>
      <c r="V8" s="5"/>
      <c r="W8" s="5"/>
      <c r="X8" s="5"/>
      <c r="Y8" s="5"/>
      <c r="Z8" s="5"/>
      <c r="AA8" s="5"/>
      <c r="AB8" s="5"/>
      <c r="AC8" s="5"/>
      <c r="AD8" s="5"/>
    </row>
    <row r="9" customFormat="false" ht="15" hidden="false" customHeight="false" outlineLevel="0" collapsed="false">
      <c r="A9" s="5"/>
      <c r="B9" s="7" t="s">
        <v>7</v>
      </c>
      <c r="C9" s="5"/>
      <c r="D9" s="5"/>
      <c r="E9" s="5"/>
      <c r="F9" s="5"/>
      <c r="G9" s="5"/>
      <c r="H9" s="5"/>
      <c r="I9" s="5"/>
      <c r="J9" s="5"/>
      <c r="K9" s="5"/>
      <c r="L9" s="5"/>
      <c r="M9" s="5"/>
      <c r="N9" s="5"/>
      <c r="O9" s="5"/>
      <c r="P9" s="5"/>
      <c r="Q9" s="5"/>
      <c r="R9" s="5"/>
      <c r="S9" s="5"/>
      <c r="T9" s="5"/>
      <c r="U9" s="5"/>
      <c r="V9" s="5"/>
      <c r="W9" s="5"/>
      <c r="X9" s="5"/>
      <c r="Y9" s="5"/>
      <c r="Z9" s="5"/>
      <c r="AA9" s="5"/>
      <c r="AB9" s="5"/>
      <c r="AC9" s="5"/>
      <c r="AD9" s="5"/>
    </row>
    <row r="10" customFormat="false" ht="15" hidden="false" customHeight="false" outlineLevel="0" collapsed="false">
      <c r="A10" s="5"/>
      <c r="B10" s="7" t="s">
        <v>8</v>
      </c>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row>
    <row r="11" customFormat="false" ht="15" hidden="false" customHeight="false" outlineLevel="0" collapsed="false">
      <c r="A11" s="5"/>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row>
    <row r="12" customFormat="false" ht="15" hidden="false" customHeight="false" outlineLevel="0" collapsed="false">
      <c r="A12" s="5"/>
      <c r="B12" s="8" t="s">
        <v>9</v>
      </c>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row>
    <row r="13" customFormat="false" ht="15" hidden="false" customHeight="false" outlineLevel="0" collapsed="false">
      <c r="A13" s="5"/>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row>
    <row r="14" customFormat="false" ht="15" hidden="false" customHeight="false" outlineLevel="0" collapsed="false">
      <c r="A14" s="5"/>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row>
    <row r="15" customFormat="false" ht="19.5" hidden="false" customHeight="true" outlineLevel="0" collapsed="false">
      <c r="A15" s="5"/>
      <c r="B15" s="9" t="s">
        <v>10</v>
      </c>
      <c r="C15" s="10"/>
      <c r="D15" s="10"/>
      <c r="E15" s="10"/>
      <c r="F15" s="10"/>
      <c r="G15" s="10"/>
      <c r="H15" s="5"/>
      <c r="I15" s="5"/>
      <c r="J15" s="5"/>
      <c r="K15" s="5"/>
      <c r="L15" s="5"/>
      <c r="M15" s="5"/>
      <c r="N15" s="5"/>
      <c r="O15" s="5"/>
      <c r="P15" s="5"/>
      <c r="Q15" s="5"/>
      <c r="R15" s="5"/>
      <c r="S15" s="5"/>
      <c r="T15" s="5"/>
      <c r="U15" s="5"/>
      <c r="V15" s="5"/>
      <c r="W15" s="5"/>
      <c r="X15" s="5"/>
      <c r="Y15" s="5"/>
      <c r="Z15" s="5"/>
      <c r="AA15" s="5"/>
      <c r="AB15" s="5"/>
      <c r="AC15" s="5"/>
      <c r="AD15" s="5"/>
    </row>
    <row r="16" customFormat="false" ht="220.5" hidden="false" customHeight="true" outlineLevel="0" collapsed="false">
      <c r="A16" s="5"/>
      <c r="B16" s="11" t="s">
        <v>11</v>
      </c>
      <c r="C16" s="11"/>
      <c r="D16" s="11"/>
      <c r="E16" s="11"/>
      <c r="F16" s="11"/>
      <c r="G16" s="11"/>
      <c r="H16" s="5"/>
      <c r="I16" s="5"/>
      <c r="J16" s="5"/>
      <c r="K16" s="5"/>
      <c r="L16" s="5"/>
      <c r="M16" s="5"/>
      <c r="N16" s="5"/>
      <c r="O16" s="5"/>
      <c r="P16" s="5"/>
      <c r="Q16" s="5"/>
      <c r="R16" s="5"/>
      <c r="S16" s="5"/>
      <c r="T16" s="5"/>
      <c r="U16" s="5"/>
      <c r="V16" s="5"/>
      <c r="W16" s="5"/>
      <c r="X16" s="5"/>
      <c r="Y16" s="5"/>
      <c r="Z16" s="5"/>
      <c r="AA16" s="5"/>
      <c r="AB16" s="5"/>
      <c r="AC16" s="5"/>
      <c r="AD16" s="5"/>
    </row>
    <row r="17" customFormat="false" ht="15" hidden="false" customHeight="false" outlineLevel="0" collapsed="false">
      <c r="A17" s="5"/>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row>
    <row r="18" customFormat="false" ht="19.5" hidden="false" customHeight="true" outlineLevel="0" collapsed="false">
      <c r="A18" s="5"/>
      <c r="B18" s="9" t="s">
        <v>12</v>
      </c>
      <c r="C18" s="10"/>
      <c r="D18" s="10"/>
      <c r="E18" s="10"/>
      <c r="F18" s="10"/>
      <c r="G18" s="10"/>
      <c r="H18" s="5"/>
      <c r="I18" s="5"/>
      <c r="J18" s="5"/>
      <c r="K18" s="5"/>
      <c r="L18" s="5"/>
      <c r="M18" s="5"/>
      <c r="N18" s="5"/>
      <c r="O18" s="5"/>
      <c r="P18" s="5"/>
      <c r="Q18" s="5"/>
      <c r="R18" s="5"/>
      <c r="S18" s="5"/>
      <c r="T18" s="5"/>
      <c r="U18" s="5"/>
      <c r="V18" s="5"/>
      <c r="W18" s="5"/>
      <c r="X18" s="5"/>
      <c r="Y18" s="5"/>
      <c r="Z18" s="5"/>
      <c r="AA18" s="5"/>
      <c r="AB18" s="5"/>
      <c r="AC18" s="5"/>
      <c r="AD18" s="5"/>
    </row>
    <row r="19" customFormat="false" ht="57" hidden="false" customHeight="true" outlineLevel="0" collapsed="false">
      <c r="A19" s="5"/>
      <c r="B19" s="11" t="s">
        <v>13</v>
      </c>
      <c r="C19" s="11"/>
      <c r="D19" s="11"/>
      <c r="E19" s="11"/>
      <c r="F19" s="11"/>
      <c r="G19" s="11"/>
      <c r="H19" s="5"/>
      <c r="I19" s="5"/>
      <c r="J19" s="5"/>
      <c r="K19" s="5"/>
      <c r="L19" s="5"/>
      <c r="M19" s="5"/>
      <c r="N19" s="5"/>
      <c r="O19" s="5"/>
      <c r="P19" s="5"/>
      <c r="Q19" s="5"/>
      <c r="R19" s="5"/>
      <c r="S19" s="5"/>
      <c r="T19" s="5"/>
      <c r="U19" s="5"/>
      <c r="V19" s="5"/>
      <c r="W19" s="5"/>
      <c r="X19" s="5"/>
      <c r="Y19" s="5"/>
      <c r="Z19" s="5"/>
      <c r="AA19" s="5"/>
      <c r="AB19" s="5"/>
      <c r="AC19" s="5"/>
      <c r="AD19" s="5"/>
    </row>
    <row r="20" customFormat="false" ht="15" hidden="false" customHeight="false" outlineLevel="0" collapsed="false">
      <c r="A20" s="5"/>
      <c r="B20" s="12" t="s">
        <v>14</v>
      </c>
      <c r="C20" s="12"/>
      <c r="D20" s="12"/>
      <c r="E20" s="12"/>
      <c r="F20" s="12"/>
      <c r="G20" s="12"/>
      <c r="H20" s="5"/>
      <c r="I20" s="5"/>
      <c r="J20" s="5"/>
      <c r="K20" s="5"/>
      <c r="L20" s="5"/>
      <c r="M20" s="5"/>
      <c r="N20" s="5"/>
      <c r="O20" s="5"/>
      <c r="P20" s="5"/>
      <c r="Q20" s="5"/>
      <c r="R20" s="5"/>
      <c r="S20" s="5"/>
      <c r="T20" s="5"/>
      <c r="U20" s="5"/>
      <c r="V20" s="5"/>
      <c r="W20" s="5"/>
      <c r="X20" s="5"/>
      <c r="Y20" s="5"/>
      <c r="Z20" s="5"/>
      <c r="AA20" s="5"/>
      <c r="AB20" s="5"/>
      <c r="AC20" s="5"/>
      <c r="AD20" s="5"/>
    </row>
    <row r="21" customFormat="false" ht="15" hidden="false" customHeight="false" outlineLevel="0" collapsed="false">
      <c r="A21" s="5"/>
      <c r="B21" s="13" t="s">
        <v>15</v>
      </c>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row>
  </sheetData>
  <mergeCells count="3">
    <mergeCell ref="B16:G16"/>
    <mergeCell ref="B19:G19"/>
    <mergeCell ref="B20:G20"/>
  </mergeCells>
  <hyperlinks>
    <hyperlink ref="D2" r:id="rId1" display="FINAMODEL.com"/>
  </hyperlink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ED7D31"/>
    <pageSetUpPr fitToPage="false"/>
  </sheetPr>
  <dimension ref="A1:G49"/>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2"/>
    <col collapsed="false" customWidth="true" hidden="false" outlineLevel="0" max="7" min="3" style="0" width="18"/>
  </cols>
  <sheetData>
    <row r="1" customFormat="false" ht="15" hidden="false" customHeight="false" outlineLevel="0" collapsed="false">
      <c r="A1" s="5"/>
      <c r="B1" s="5"/>
      <c r="C1" s="5"/>
      <c r="D1" s="5"/>
      <c r="E1" s="5"/>
      <c r="F1" s="5"/>
      <c r="G1" s="5"/>
    </row>
    <row r="2" customFormat="false" ht="22.05" hidden="false" customHeight="false" outlineLevel="0" collapsed="false">
      <c r="A2" s="5"/>
      <c r="B2" s="28" t="s">
        <v>260</v>
      </c>
      <c r="C2" s="5"/>
      <c r="D2" s="5"/>
      <c r="E2" s="5"/>
      <c r="F2" s="5"/>
      <c r="G2" s="5"/>
    </row>
    <row r="3" customFormat="false" ht="15" hidden="false" customHeight="false" outlineLevel="0" collapsed="false">
      <c r="A3" s="5"/>
      <c r="B3" s="8" t="s">
        <v>261</v>
      </c>
      <c r="C3" s="5"/>
      <c r="D3" s="5"/>
      <c r="E3" s="5"/>
      <c r="F3" s="5"/>
      <c r="G3" s="5"/>
    </row>
    <row r="4" customFormat="false" ht="15" hidden="false" customHeight="false" outlineLevel="0" collapsed="false">
      <c r="A4" s="5"/>
      <c r="B4" s="5"/>
      <c r="C4" s="5"/>
      <c r="D4" s="5"/>
      <c r="E4" s="5"/>
      <c r="F4" s="5"/>
      <c r="G4" s="5"/>
    </row>
    <row r="5" customFormat="false" ht="15" hidden="false" customHeight="false" outlineLevel="0" collapsed="false">
      <c r="A5" s="5"/>
      <c r="B5" s="29"/>
      <c r="C5" s="30" t="n">
        <f aca="false">Model_Start_Year+0</f>
        <v>2025</v>
      </c>
      <c r="D5" s="30" t="n">
        <f aca="false">Model_Start_Year+1</f>
        <v>2026</v>
      </c>
      <c r="E5" s="30" t="n">
        <f aca="false">Model_Start_Year+2</f>
        <v>2027</v>
      </c>
      <c r="F5" s="30" t="n">
        <f aca="false">Model_Start_Year+3</f>
        <v>2028</v>
      </c>
      <c r="G5" s="30" t="n">
        <f aca="false">Model_Start_Year+4</f>
        <v>2029</v>
      </c>
    </row>
    <row r="6" customFormat="false" ht="15" hidden="false" customHeight="false" outlineLevel="0" collapsed="false">
      <c r="A6" s="5"/>
      <c r="B6" s="17" t="s">
        <v>170</v>
      </c>
      <c r="C6" s="31" t="n">
        <v>1</v>
      </c>
      <c r="D6" s="31" t="n">
        <v>2</v>
      </c>
      <c r="E6" s="31" t="n">
        <v>3</v>
      </c>
      <c r="F6" s="31" t="n">
        <v>4</v>
      </c>
      <c r="G6" s="31" t="n">
        <v>5</v>
      </c>
    </row>
    <row r="7" customFormat="false" ht="15" hidden="false" customHeight="false" outlineLevel="0" collapsed="false">
      <c r="A7" s="5"/>
      <c r="B7" s="5"/>
      <c r="C7" s="5"/>
      <c r="D7" s="5"/>
      <c r="E7" s="5"/>
      <c r="F7" s="5"/>
      <c r="G7" s="5"/>
    </row>
    <row r="8" customFormat="false" ht="15" hidden="false" customHeight="false" outlineLevel="0" collapsed="false">
      <c r="A8" s="5"/>
      <c r="B8" s="32" t="s">
        <v>197</v>
      </c>
      <c r="C8" s="33"/>
      <c r="D8" s="33"/>
      <c r="E8" s="33"/>
      <c r="F8" s="33"/>
      <c r="G8" s="33"/>
    </row>
    <row r="9" customFormat="false" ht="15" hidden="false" customHeight="false" outlineLevel="0" collapsed="false">
      <c r="A9" s="5"/>
      <c r="B9" s="7" t="s">
        <v>262</v>
      </c>
      <c r="C9" s="34" t="n">
        <f aca="false">Revenue!C14</f>
        <v>0</v>
      </c>
      <c r="D9" s="34" t="n">
        <f aca="false">Revenue!D14</f>
        <v>0</v>
      </c>
      <c r="E9" s="34" t="n">
        <f aca="false">Revenue!E14</f>
        <v>5817087.5</v>
      </c>
      <c r="F9" s="34" t="n">
        <f aca="false">Revenue!F14</f>
        <v>1745126.25</v>
      </c>
      <c r="G9" s="34" t="n">
        <f aca="false">Revenue!G14</f>
        <v>930734</v>
      </c>
    </row>
    <row r="10" customFormat="false" ht="15" hidden="false" customHeight="false" outlineLevel="0" collapsed="false">
      <c r="A10" s="5"/>
      <c r="B10" s="7" t="s">
        <v>263</v>
      </c>
      <c r="C10" s="34" t="n">
        <f aca="false">Revenue!C25</f>
        <v>0</v>
      </c>
      <c r="D10" s="34" t="n">
        <f aca="false">Revenue!D25</f>
        <v>0</v>
      </c>
      <c r="E10" s="34" t="n">
        <f aca="false">Revenue!E25</f>
        <v>0</v>
      </c>
      <c r="F10" s="34" t="n">
        <f aca="false">Revenue!F25</f>
        <v>566370</v>
      </c>
      <c r="G10" s="34" t="n">
        <f aca="false">Revenue!G25</f>
        <v>368140.5</v>
      </c>
    </row>
    <row r="11" customFormat="false" ht="15" hidden="false" customHeight="false" outlineLevel="0" collapsed="false">
      <c r="A11" s="5"/>
      <c r="B11" s="7" t="s">
        <v>264</v>
      </c>
      <c r="C11" s="34" t="n">
        <f aca="false">Revenue!C31</f>
        <v>0</v>
      </c>
      <c r="D11" s="34" t="n">
        <f aca="false">Revenue!D31</f>
        <v>0</v>
      </c>
      <c r="E11" s="34" t="n">
        <f aca="false">Revenue!E31</f>
        <v>756000</v>
      </c>
      <c r="F11" s="34" t="n">
        <f aca="false">Revenue!F31</f>
        <v>2102100</v>
      </c>
      <c r="G11" s="34" t="n">
        <f aca="false">Revenue!G31</f>
        <v>3066000</v>
      </c>
    </row>
    <row r="12" customFormat="false" ht="15" hidden="false" customHeight="false" outlineLevel="0" collapsed="false">
      <c r="A12" s="5"/>
      <c r="B12" s="7" t="s">
        <v>265</v>
      </c>
      <c r="C12" s="34" t="n">
        <f aca="false">Revenue!C37</f>
        <v>0</v>
      </c>
      <c r="D12" s="34" t="n">
        <f aca="false">Revenue!D37</f>
        <v>0</v>
      </c>
      <c r="E12" s="34" t="n">
        <f aca="false">Revenue!E37</f>
        <v>0</v>
      </c>
      <c r="F12" s="34" t="n">
        <f aca="false">Revenue!F37</f>
        <v>152688.9</v>
      </c>
      <c r="G12" s="34" t="n">
        <f aca="false">Revenue!G37</f>
        <v>195978.72</v>
      </c>
    </row>
    <row r="13" customFormat="false" ht="15" hidden="false" customHeight="false" outlineLevel="0" collapsed="false">
      <c r="A13" s="5"/>
      <c r="B13" s="35" t="s">
        <v>221</v>
      </c>
      <c r="C13" s="36" t="n">
        <f aca="false">C9+C10+C11+C12</f>
        <v>0</v>
      </c>
      <c r="D13" s="36" t="n">
        <f aca="false">D9+D10+D11+D12</f>
        <v>0</v>
      </c>
      <c r="E13" s="36" t="n">
        <f aca="false">E9+E10+E11+E12</f>
        <v>6573087.5</v>
      </c>
      <c r="F13" s="36" t="n">
        <f aca="false">F9+F10+F11+F12</f>
        <v>4566285.15</v>
      </c>
      <c r="G13" s="36" t="n">
        <f aca="false">G9+G10+G11+G12</f>
        <v>4560853.22</v>
      </c>
    </row>
    <row r="14" customFormat="false" ht="15" hidden="false" customHeight="false" outlineLevel="0" collapsed="false">
      <c r="A14" s="5"/>
      <c r="B14" s="5"/>
      <c r="C14" s="5"/>
      <c r="D14" s="5"/>
      <c r="E14" s="5"/>
      <c r="F14" s="5"/>
      <c r="G14" s="5"/>
    </row>
    <row r="15" customFormat="false" ht="15" hidden="false" customHeight="false" outlineLevel="0" collapsed="false">
      <c r="A15" s="5"/>
      <c r="B15" s="32" t="s">
        <v>266</v>
      </c>
      <c r="C15" s="33"/>
      <c r="D15" s="33"/>
      <c r="E15" s="33"/>
      <c r="F15" s="33"/>
      <c r="G15" s="33"/>
    </row>
    <row r="16" customFormat="false" ht="15" hidden="false" customHeight="false" outlineLevel="0" collapsed="false">
      <c r="A16" s="5"/>
      <c r="B16" s="7" t="s">
        <v>237</v>
      </c>
      <c r="C16" s="34" t="n">
        <f aca="false">Operating_Costs!C13</f>
        <v>0</v>
      </c>
      <c r="D16" s="34" t="n">
        <f aca="false">Operating_Costs!D13</f>
        <v>0</v>
      </c>
      <c r="E16" s="34" t="n">
        <f aca="false">Operating_Costs!E13</f>
        <v>30000</v>
      </c>
      <c r="F16" s="34" t="n">
        <f aca="false">Operating_Costs!F13</f>
        <v>68250</v>
      </c>
      <c r="G16" s="34" t="n">
        <f aca="false">Operating_Costs!G13</f>
        <v>87600</v>
      </c>
    </row>
    <row r="17" customFormat="false" ht="15" hidden="false" customHeight="false" outlineLevel="0" collapsed="false">
      <c r="A17" s="5"/>
      <c r="B17" s="7" t="s">
        <v>267</v>
      </c>
      <c r="C17" s="34" t="n">
        <f aca="false">Dev_Cost_Schedule!C15</f>
        <v>0</v>
      </c>
      <c r="D17" s="34" t="n">
        <f aca="false">Dev_Cost_Schedule!D15</f>
        <v>0</v>
      </c>
      <c r="E17" s="34" t="n">
        <f aca="false">Dev_Cost_Schedule!E15</f>
        <v>1772916</v>
      </c>
      <c r="F17" s="34" t="n">
        <f aca="false">Dev_Cost_Schedule!F15</f>
        <v>1063749.6</v>
      </c>
      <c r="G17" s="34" t="n">
        <f aca="false">Dev_Cost_Schedule!G15</f>
        <v>709166.4</v>
      </c>
    </row>
    <row r="18" customFormat="false" ht="15" hidden="false" customHeight="false" outlineLevel="0" collapsed="false">
      <c r="A18" s="5"/>
      <c r="B18" s="35" t="s">
        <v>268</v>
      </c>
      <c r="C18" s="36" t="n">
        <f aca="false">C16+C17</f>
        <v>0</v>
      </c>
      <c r="D18" s="36" t="n">
        <f aca="false">D16+D17</f>
        <v>0</v>
      </c>
      <c r="E18" s="36" t="n">
        <f aca="false">E16+E17</f>
        <v>1802916</v>
      </c>
      <c r="F18" s="36" t="n">
        <f aca="false">F16+F17</f>
        <v>1131999.6</v>
      </c>
      <c r="G18" s="36" t="n">
        <f aca="false">G16+G17</f>
        <v>796766.4</v>
      </c>
    </row>
    <row r="19" customFormat="false" ht="15" hidden="false" customHeight="false" outlineLevel="0" collapsed="false">
      <c r="A19" s="5"/>
      <c r="B19" s="35" t="s">
        <v>269</v>
      </c>
      <c r="C19" s="40" t="n">
        <f aca="false">C13-C18</f>
        <v>0</v>
      </c>
      <c r="D19" s="40" t="n">
        <f aca="false">D13-D18</f>
        <v>0</v>
      </c>
      <c r="E19" s="40" t="n">
        <f aca="false">E13-E18</f>
        <v>4770171.5</v>
      </c>
      <c r="F19" s="40" t="n">
        <f aca="false">F13-F18</f>
        <v>3434285.55</v>
      </c>
      <c r="G19" s="40" t="n">
        <f aca="false">G13-G18</f>
        <v>3764086.82</v>
      </c>
    </row>
    <row r="20" customFormat="false" ht="15" hidden="false" customHeight="false" outlineLevel="0" collapsed="false">
      <c r="A20" s="5"/>
      <c r="B20" s="7" t="s">
        <v>270</v>
      </c>
      <c r="C20" s="41" t="n">
        <f aca="false">IF(C13=0,0,C19/C13)</f>
        <v>0</v>
      </c>
      <c r="D20" s="41" t="n">
        <f aca="false">IF(D13=0,0,D19/D13)</f>
        <v>0</v>
      </c>
      <c r="E20" s="41" t="n">
        <f aca="false">IF(E13=0,0,E19/E13)</f>
        <v>0.725712460088201</v>
      </c>
      <c r="F20" s="41" t="n">
        <f aca="false">IF(F13=0,0,F19/F13)</f>
        <v>0.752096165085091</v>
      </c>
      <c r="G20" s="41" t="n">
        <f aca="false">IF(G13=0,0,G19/G13)</f>
        <v>0.825303213770164</v>
      </c>
    </row>
    <row r="21" customFormat="false" ht="15" hidden="false" customHeight="false" outlineLevel="0" collapsed="false">
      <c r="A21" s="5"/>
      <c r="B21" s="5"/>
      <c r="C21" s="5"/>
      <c r="D21" s="5"/>
      <c r="E21" s="5"/>
      <c r="F21" s="5"/>
      <c r="G21" s="5"/>
    </row>
    <row r="22" customFormat="false" ht="15" hidden="false" customHeight="false" outlineLevel="0" collapsed="false">
      <c r="A22" s="5"/>
      <c r="B22" s="32" t="s">
        <v>271</v>
      </c>
      <c r="C22" s="33"/>
      <c r="D22" s="33"/>
      <c r="E22" s="33"/>
      <c r="F22" s="33"/>
      <c r="G22" s="33"/>
    </row>
    <row r="23" customFormat="false" ht="15" hidden="false" customHeight="false" outlineLevel="0" collapsed="false">
      <c r="A23" s="5"/>
      <c r="B23" s="7" t="s">
        <v>233</v>
      </c>
      <c r="C23" s="34" t="n">
        <f aca="false">Operating_Costs!C9</f>
        <v>0</v>
      </c>
      <c r="D23" s="34" t="n">
        <f aca="false">Operating_Costs!D9</f>
        <v>600000</v>
      </c>
      <c r="E23" s="34" t="n">
        <f aca="false">Operating_Costs!E9</f>
        <v>788770.5</v>
      </c>
      <c r="F23" s="34" t="n">
        <f aca="false">Operating_Costs!F9</f>
        <v>273977.109</v>
      </c>
      <c r="G23" s="34" t="n">
        <f aca="false">Operating_Costs!G9</f>
        <v>273651.1932</v>
      </c>
    </row>
    <row r="24" customFormat="false" ht="15" hidden="false" customHeight="false" outlineLevel="0" collapsed="false">
      <c r="A24" s="5"/>
      <c r="B24" s="7" t="s">
        <v>234</v>
      </c>
      <c r="C24" s="34" t="n">
        <f aca="false">Operating_Costs!C10</f>
        <v>133352</v>
      </c>
      <c r="D24" s="34" t="n">
        <f aca="false">Operating_Costs!D10</f>
        <v>133352</v>
      </c>
      <c r="E24" s="34" t="n">
        <f aca="false">Operating_Costs!E10</f>
        <v>192528</v>
      </c>
      <c r="F24" s="34" t="n">
        <f aca="false">Operating_Costs!F10</f>
        <v>192528</v>
      </c>
      <c r="G24" s="34" t="n">
        <f aca="false">Operating_Costs!G10</f>
        <v>192528</v>
      </c>
    </row>
    <row r="25" customFormat="false" ht="15" hidden="false" customHeight="false" outlineLevel="0" collapsed="false">
      <c r="A25" s="5"/>
      <c r="B25" s="7" t="s">
        <v>235</v>
      </c>
      <c r="C25" s="34" t="n">
        <f aca="false">Operating_Costs!C11</f>
        <v>120000</v>
      </c>
      <c r="D25" s="34" t="n">
        <f aca="false">Operating_Costs!D11</f>
        <v>123600</v>
      </c>
      <c r="E25" s="34" t="n">
        <f aca="false">Operating_Costs!E11</f>
        <v>127308</v>
      </c>
      <c r="F25" s="34" t="n">
        <f aca="false">Operating_Costs!F11</f>
        <v>131127.24</v>
      </c>
      <c r="G25" s="34" t="n">
        <f aca="false">Operating_Costs!G11</f>
        <v>135061.0572</v>
      </c>
    </row>
    <row r="26" customFormat="false" ht="15" hidden="false" customHeight="false" outlineLevel="0" collapsed="false">
      <c r="A26" s="5"/>
      <c r="B26" s="7" t="s">
        <v>236</v>
      </c>
      <c r="C26" s="34" t="n">
        <f aca="false">Operating_Costs!C12</f>
        <v>64800</v>
      </c>
      <c r="D26" s="34" t="n">
        <f aca="false">Operating_Costs!D12</f>
        <v>122400</v>
      </c>
      <c r="E26" s="34" t="n">
        <f aca="false">Operating_Costs!E12</f>
        <v>61200</v>
      </c>
      <c r="F26" s="34" t="n">
        <f aca="false">Operating_Costs!F12</f>
        <v>61200</v>
      </c>
      <c r="G26" s="34" t="n">
        <f aca="false">Operating_Costs!G12</f>
        <v>61200</v>
      </c>
    </row>
    <row r="27" customFormat="false" ht="15" hidden="false" customHeight="false" outlineLevel="0" collapsed="false">
      <c r="A27" s="5"/>
      <c r="B27" s="35" t="s">
        <v>238</v>
      </c>
      <c r="C27" s="36" t="n">
        <f aca="false">C23+C24+C25+C26</f>
        <v>318152</v>
      </c>
      <c r="D27" s="36" t="n">
        <f aca="false">D23+D24+D25+D26</f>
        <v>979352</v>
      </c>
      <c r="E27" s="36" t="n">
        <f aca="false">E23+E24+E25+E26</f>
        <v>1169806.5</v>
      </c>
      <c r="F27" s="36" t="n">
        <f aca="false">F23+F24+F25+F26</f>
        <v>658832.349</v>
      </c>
      <c r="G27" s="36" t="n">
        <f aca="false">G23+G24+G25+G26</f>
        <v>662440.2504</v>
      </c>
    </row>
    <row r="28" customFormat="false" ht="15" hidden="false" customHeight="false" outlineLevel="0" collapsed="false">
      <c r="A28" s="5"/>
      <c r="B28" s="5"/>
      <c r="C28" s="5"/>
      <c r="D28" s="5"/>
      <c r="E28" s="5"/>
      <c r="F28" s="5"/>
      <c r="G28" s="5"/>
    </row>
    <row r="29" customFormat="false" ht="15" hidden="false" customHeight="false" outlineLevel="0" collapsed="false">
      <c r="A29" s="5"/>
      <c r="B29" s="35" t="s">
        <v>272</v>
      </c>
      <c r="C29" s="40" t="n">
        <f aca="false">C19-C27</f>
        <v>-318152</v>
      </c>
      <c r="D29" s="40" t="n">
        <f aca="false">D19-D27</f>
        <v>-979352</v>
      </c>
      <c r="E29" s="40" t="n">
        <f aca="false">E19-E27</f>
        <v>3600365</v>
      </c>
      <c r="F29" s="40" t="n">
        <f aca="false">F19-F27</f>
        <v>2775453.201</v>
      </c>
      <c r="G29" s="40" t="n">
        <f aca="false">G19-G27</f>
        <v>3101646.5696</v>
      </c>
    </row>
    <row r="30" customFormat="false" ht="15" hidden="false" customHeight="false" outlineLevel="0" collapsed="false">
      <c r="A30" s="5"/>
      <c r="B30" s="7" t="s">
        <v>273</v>
      </c>
      <c r="C30" s="41" t="n">
        <f aca="false">IF(C13=0,0,C29/C13)</f>
        <v>0</v>
      </c>
      <c r="D30" s="41" t="n">
        <f aca="false">IF(D13=0,0,D29/D13)</f>
        <v>0</v>
      </c>
      <c r="E30" s="41" t="n">
        <f aca="false">IF(E13=0,0,E29/E13)</f>
        <v>0.547743355006304</v>
      </c>
      <c r="F30" s="41" t="n">
        <f aca="false">IF(F13=0,0,F29/F13)</f>
        <v>0.607814253781326</v>
      </c>
      <c r="G30" s="41" t="n">
        <f aca="false">IF(G13=0,0,G29/G13)</f>
        <v>0.68005840573839</v>
      </c>
    </row>
    <row r="31" customFormat="false" ht="15" hidden="false" customHeight="false" outlineLevel="0" collapsed="false">
      <c r="A31" s="5"/>
      <c r="B31" s="6" t="s">
        <v>274</v>
      </c>
      <c r="C31" s="5"/>
      <c r="D31" s="5"/>
      <c r="E31" s="5"/>
      <c r="F31" s="5"/>
      <c r="G31" s="5"/>
    </row>
    <row r="32" customFormat="false" ht="15" hidden="false" customHeight="false" outlineLevel="0" collapsed="false">
      <c r="A32" s="5"/>
      <c r="B32" s="7" t="s">
        <v>275</v>
      </c>
      <c r="C32" s="34" t="n">
        <f aca="false">Capex_Depr!C17</f>
        <v>50000</v>
      </c>
      <c r="D32" s="34" t="n">
        <f aca="false">Capex_Depr!D17</f>
        <v>112500</v>
      </c>
      <c r="E32" s="34" t="n">
        <f aca="false">Capex_Depr!E17</f>
        <v>132500</v>
      </c>
      <c r="F32" s="34" t="n">
        <f aca="false">Capex_Depr!F17</f>
        <v>152500</v>
      </c>
      <c r="G32" s="34" t="n">
        <f aca="false">Capex_Depr!G17</f>
        <v>172500</v>
      </c>
    </row>
    <row r="33" customFormat="false" ht="15" hidden="false" customHeight="false" outlineLevel="0" collapsed="false">
      <c r="A33" s="5"/>
      <c r="B33" s="5"/>
      <c r="C33" s="5"/>
      <c r="D33" s="5"/>
      <c r="E33" s="5"/>
      <c r="F33" s="5"/>
      <c r="G33" s="5"/>
    </row>
    <row r="34" customFormat="false" ht="15" hidden="false" customHeight="false" outlineLevel="0" collapsed="false">
      <c r="A34" s="5"/>
      <c r="B34" s="35" t="s">
        <v>276</v>
      </c>
      <c r="C34" s="40" t="n">
        <f aca="false">C29-C32</f>
        <v>-368152</v>
      </c>
      <c r="D34" s="40" t="n">
        <f aca="false">D29-D32</f>
        <v>-1091852</v>
      </c>
      <c r="E34" s="40" t="n">
        <f aca="false">E29-E32</f>
        <v>3467865</v>
      </c>
      <c r="F34" s="40" t="n">
        <f aca="false">F29-F32</f>
        <v>2622953.201</v>
      </c>
      <c r="G34" s="40" t="n">
        <f aca="false">G29-G32</f>
        <v>2929146.5696</v>
      </c>
    </row>
    <row r="35" customFormat="false" ht="15" hidden="false" customHeight="false" outlineLevel="0" collapsed="false">
      <c r="A35" s="5"/>
      <c r="B35" s="6" t="s">
        <v>277</v>
      </c>
      <c r="C35" s="5"/>
      <c r="D35" s="5"/>
      <c r="E35" s="5"/>
      <c r="F35" s="5"/>
      <c r="G35" s="5"/>
    </row>
    <row r="36" customFormat="false" ht="15" hidden="false" customHeight="false" outlineLevel="0" collapsed="false">
      <c r="A36" s="5"/>
      <c r="B36" s="7" t="s">
        <v>278</v>
      </c>
      <c r="C36" s="34" t="n">
        <f aca="false">Debt_Schedule!C16</f>
        <v>0</v>
      </c>
      <c r="D36" s="34" t="n">
        <f aca="false">Debt_Schedule!D16</f>
        <v>16637.654</v>
      </c>
      <c r="E36" s="34" t="n">
        <f aca="false">Debt_Schedule!E16</f>
        <v>157991.73113</v>
      </c>
      <c r="F36" s="34" t="n">
        <f aca="false">Debt_Schedule!F16</f>
        <v>0</v>
      </c>
      <c r="G36" s="34" t="n">
        <f aca="false">Debt_Schedule!G16</f>
        <v>0</v>
      </c>
    </row>
    <row r="37" customFormat="false" ht="15" hidden="false" customHeight="false" outlineLevel="0" collapsed="false">
      <c r="A37" s="5"/>
      <c r="B37" s="7" t="s">
        <v>279</v>
      </c>
      <c r="C37" s="34" t="n">
        <f aca="false">C36</f>
        <v>0</v>
      </c>
      <c r="D37" s="34" t="n">
        <f aca="false">D36</f>
        <v>16637.654</v>
      </c>
      <c r="E37" s="34" t="n">
        <f aca="false">E36</f>
        <v>157991.73113</v>
      </c>
      <c r="F37" s="34" t="n">
        <f aca="false">F36</f>
        <v>0</v>
      </c>
      <c r="G37" s="34" t="n">
        <f aca="false">G36</f>
        <v>0</v>
      </c>
    </row>
    <row r="38" customFormat="false" ht="15" hidden="false" customHeight="false" outlineLevel="0" collapsed="false">
      <c r="A38" s="5"/>
      <c r="B38" s="5"/>
      <c r="C38" s="5"/>
      <c r="D38" s="5"/>
      <c r="E38" s="5"/>
      <c r="F38" s="5"/>
      <c r="G38" s="5"/>
    </row>
    <row r="39" customFormat="false" ht="15" hidden="false" customHeight="false" outlineLevel="0" collapsed="false">
      <c r="A39" s="5"/>
      <c r="B39" s="35" t="s">
        <v>280</v>
      </c>
      <c r="C39" s="40" t="n">
        <f aca="false">C34-C37</f>
        <v>-368152</v>
      </c>
      <c r="D39" s="40" t="n">
        <f aca="false">D34-D37</f>
        <v>-1108489.654</v>
      </c>
      <c r="E39" s="40" t="n">
        <f aca="false">E34-E37</f>
        <v>3309873.26887</v>
      </c>
      <c r="F39" s="40" t="n">
        <f aca="false">F34-F37</f>
        <v>2622953.201</v>
      </c>
      <c r="G39" s="40" t="n">
        <f aca="false">G34-G37</f>
        <v>2929146.5696</v>
      </c>
    </row>
    <row r="40" customFormat="false" ht="15" hidden="false" customHeight="false" outlineLevel="0" collapsed="false">
      <c r="A40" s="5"/>
      <c r="B40" s="5"/>
      <c r="C40" s="5"/>
      <c r="D40" s="5"/>
      <c r="E40" s="5"/>
      <c r="F40" s="5"/>
      <c r="G40" s="5"/>
    </row>
    <row r="41" customFormat="false" ht="15" hidden="false" customHeight="false" outlineLevel="0" collapsed="false">
      <c r="A41" s="5"/>
      <c r="B41" s="32" t="s">
        <v>281</v>
      </c>
      <c r="C41" s="33"/>
      <c r="D41" s="33"/>
      <c r="E41" s="33"/>
      <c r="F41" s="33"/>
      <c r="G41" s="33"/>
    </row>
    <row r="42" customFormat="false" ht="15" hidden="false" customHeight="false" outlineLevel="0" collapsed="false">
      <c r="A42" s="5"/>
      <c r="B42" s="7" t="s">
        <v>30</v>
      </c>
      <c r="C42" s="34" t="n">
        <f aca="false">NOL_Opening</f>
        <v>0</v>
      </c>
      <c r="D42" s="34" t="n">
        <f aca="false">C45</f>
        <v>368152</v>
      </c>
      <c r="E42" s="34" t="n">
        <f aca="false">D45</f>
        <v>1476641.654</v>
      </c>
      <c r="F42" s="34" t="n">
        <f aca="false">E45</f>
        <v>0</v>
      </c>
      <c r="G42" s="34" t="n">
        <f aca="false">F45</f>
        <v>0</v>
      </c>
    </row>
    <row r="43" customFormat="false" ht="15" hidden="false" customHeight="false" outlineLevel="0" collapsed="false">
      <c r="A43" s="5"/>
      <c r="B43" s="7" t="s">
        <v>282</v>
      </c>
      <c r="C43" s="34" t="n">
        <f aca="false">IF(C39&lt;0,-C39,0)</f>
        <v>368152</v>
      </c>
      <c r="D43" s="34" t="n">
        <f aca="false">IF(D39&lt;0,-D39,0)</f>
        <v>1108489.654</v>
      </c>
      <c r="E43" s="34" t="n">
        <f aca="false">IF(E39&lt;0,-E39,0)</f>
        <v>0</v>
      </c>
      <c r="F43" s="34" t="n">
        <f aca="false">IF(F39&lt;0,-F39,0)</f>
        <v>0</v>
      </c>
      <c r="G43" s="34" t="n">
        <f aca="false">IF(G39&lt;0,-G39,0)</f>
        <v>0</v>
      </c>
    </row>
    <row r="44" customFormat="false" ht="15" hidden="false" customHeight="false" outlineLevel="0" collapsed="false">
      <c r="A44" s="5"/>
      <c r="B44" s="7" t="s">
        <v>283</v>
      </c>
      <c r="C44" s="34" t="n">
        <f aca="false">IF(C39&gt;0,MIN(C42,C39),0)</f>
        <v>0</v>
      </c>
      <c r="D44" s="34" t="n">
        <f aca="false">IF(D39&gt;0,MIN(D42,D39),0)</f>
        <v>0</v>
      </c>
      <c r="E44" s="34" t="n">
        <f aca="false">IF(E39&gt;0,MIN(E42,E39),0)</f>
        <v>1476641.654</v>
      </c>
      <c r="F44" s="34" t="n">
        <f aca="false">IF(F39&gt;0,MIN(F42,F39),0)</f>
        <v>0</v>
      </c>
      <c r="G44" s="34" t="n">
        <f aca="false">IF(G39&gt;0,MIN(G42,G39),0)</f>
        <v>0</v>
      </c>
    </row>
    <row r="45" customFormat="false" ht="15" hidden="false" customHeight="false" outlineLevel="0" collapsed="false">
      <c r="A45" s="5"/>
      <c r="B45" s="7" t="s">
        <v>284</v>
      </c>
      <c r="C45" s="34" t="n">
        <f aca="false">C42+C43-C44</f>
        <v>368152</v>
      </c>
      <c r="D45" s="34" t="n">
        <f aca="false">D42+D43-D44</f>
        <v>1476641.654</v>
      </c>
      <c r="E45" s="34" t="n">
        <f aca="false">E42+E43-E44</f>
        <v>0</v>
      </c>
      <c r="F45" s="34" t="n">
        <f aca="false">F42+F43-F44</f>
        <v>0</v>
      </c>
      <c r="G45" s="34" t="n">
        <f aca="false">G42+G43-G44</f>
        <v>0</v>
      </c>
    </row>
    <row r="46" customFormat="false" ht="15" hidden="false" customHeight="false" outlineLevel="0" collapsed="false">
      <c r="A46" s="5"/>
      <c r="B46" s="7" t="s">
        <v>285</v>
      </c>
      <c r="C46" s="34" t="n">
        <f aca="false">MAX(0,C39-C44)</f>
        <v>0</v>
      </c>
      <c r="D46" s="34" t="n">
        <f aca="false">MAX(0,D39-D44)</f>
        <v>0</v>
      </c>
      <c r="E46" s="34" t="n">
        <f aca="false">MAX(0,E39-E44)</f>
        <v>1833231.61487</v>
      </c>
      <c r="F46" s="34" t="n">
        <f aca="false">MAX(0,F39-F44)</f>
        <v>2622953.201</v>
      </c>
      <c r="G46" s="34" t="n">
        <f aca="false">MAX(0,G39-G44)</f>
        <v>2929146.5696</v>
      </c>
    </row>
    <row r="47" customFormat="false" ht="15" hidden="false" customHeight="false" outlineLevel="0" collapsed="false">
      <c r="A47" s="5"/>
      <c r="B47" s="7" t="s">
        <v>286</v>
      </c>
      <c r="C47" s="34" t="n">
        <f aca="false">C46*Tax_Rate</f>
        <v>0</v>
      </c>
      <c r="D47" s="34" t="n">
        <f aca="false">D46*Tax_Rate</f>
        <v>0</v>
      </c>
      <c r="E47" s="34" t="n">
        <f aca="false">E46*Tax_Rate</f>
        <v>458307.9037175</v>
      </c>
      <c r="F47" s="34" t="n">
        <f aca="false">F46*Tax_Rate</f>
        <v>655738.30025</v>
      </c>
      <c r="G47" s="34" t="n">
        <f aca="false">G46*Tax_Rate</f>
        <v>732286.6424</v>
      </c>
    </row>
    <row r="48" customFormat="false" ht="15" hidden="false" customHeight="false" outlineLevel="0" collapsed="false">
      <c r="A48" s="5"/>
      <c r="B48" s="5"/>
      <c r="C48" s="5"/>
      <c r="D48" s="5"/>
      <c r="E48" s="5"/>
      <c r="F48" s="5"/>
      <c r="G48" s="5"/>
    </row>
    <row r="49" customFormat="false" ht="15" hidden="false" customHeight="false" outlineLevel="0" collapsed="false">
      <c r="A49" s="5"/>
      <c r="B49" s="35" t="s">
        <v>287</v>
      </c>
      <c r="C49" s="40" t="n">
        <f aca="false">C39-C47</f>
        <v>-368152</v>
      </c>
      <c r="D49" s="40" t="n">
        <f aca="false">D39-D47</f>
        <v>-1108489.654</v>
      </c>
      <c r="E49" s="40" t="n">
        <f aca="false">E39-E47</f>
        <v>2851565.3651525</v>
      </c>
      <c r="F49" s="40" t="n">
        <f aca="false">F39-F47</f>
        <v>1967214.90075</v>
      </c>
      <c r="G49" s="40" t="n">
        <f aca="false">G39-G47</f>
        <v>2196859.9272</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ED7D31"/>
    <pageSetUpPr fitToPage="false"/>
  </sheetPr>
  <dimension ref="A1:G35"/>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2"/>
    <col collapsed="false" customWidth="true" hidden="false" outlineLevel="0" max="7" min="3" style="0" width="18"/>
  </cols>
  <sheetData>
    <row r="1" customFormat="false" ht="15" hidden="false" customHeight="false" outlineLevel="0" collapsed="false">
      <c r="A1" s="5"/>
      <c r="B1" s="5"/>
      <c r="C1" s="5"/>
      <c r="D1" s="5"/>
      <c r="E1" s="5"/>
      <c r="F1" s="6" t="s">
        <v>288</v>
      </c>
      <c r="G1" s="5"/>
    </row>
    <row r="2" customFormat="false" ht="22.05" hidden="false" customHeight="false" outlineLevel="0" collapsed="false">
      <c r="A2" s="5"/>
      <c r="B2" s="28" t="s">
        <v>289</v>
      </c>
      <c r="C2" s="5"/>
      <c r="D2" s="5"/>
      <c r="E2" s="5"/>
      <c r="F2" s="5" t="s">
        <v>290</v>
      </c>
      <c r="G2" s="42" t="n">
        <f aca="false">Series_A_Raise</f>
        <v>1500000</v>
      </c>
    </row>
    <row r="3" customFormat="false" ht="15" hidden="false" customHeight="false" outlineLevel="0" collapsed="false">
      <c r="A3" s="5"/>
      <c r="B3" s="8" t="s">
        <v>291</v>
      </c>
      <c r="C3" s="5"/>
      <c r="D3" s="5"/>
      <c r="E3" s="5"/>
      <c r="F3" s="5" t="s">
        <v>292</v>
      </c>
      <c r="G3" s="42" t="n">
        <f aca="false">Series_A_Raise</f>
        <v>1500000</v>
      </c>
    </row>
    <row r="4" customFormat="false" ht="15" hidden="false" customHeight="false" outlineLevel="0" collapsed="false">
      <c r="A4" s="5"/>
      <c r="B4" s="5"/>
      <c r="C4" s="5"/>
      <c r="D4" s="5"/>
      <c r="E4" s="5"/>
      <c r="F4" s="5" t="s">
        <v>293</v>
      </c>
      <c r="G4" s="43" t="n">
        <f aca="false">G2-G3</f>
        <v>0</v>
      </c>
    </row>
    <row r="5" customFormat="false" ht="15" hidden="false" customHeight="false" outlineLevel="0" collapsed="false">
      <c r="A5" s="5"/>
      <c r="B5" s="29"/>
      <c r="C5" s="30" t="n">
        <f aca="false">Model_Start_Year+0</f>
        <v>2025</v>
      </c>
      <c r="D5" s="30" t="n">
        <f aca="false">Model_Start_Year+1</f>
        <v>2026</v>
      </c>
      <c r="E5" s="30" t="n">
        <f aca="false">Model_Start_Year+2</f>
        <v>2027</v>
      </c>
      <c r="F5" s="30" t="n">
        <f aca="false">Model_Start_Year+3</f>
        <v>2028</v>
      </c>
      <c r="G5" s="30" t="n">
        <f aca="false">Model_Start_Year+4</f>
        <v>2029</v>
      </c>
    </row>
    <row r="6" customFormat="false" ht="15" hidden="false" customHeight="false" outlineLevel="0" collapsed="false">
      <c r="A6" s="5"/>
      <c r="B6" s="17" t="s">
        <v>170</v>
      </c>
      <c r="C6" s="31" t="n">
        <v>1</v>
      </c>
      <c r="D6" s="31" t="n">
        <v>2</v>
      </c>
      <c r="E6" s="31" t="n">
        <v>3</v>
      </c>
      <c r="F6" s="31" t="n">
        <v>4</v>
      </c>
      <c r="G6" s="31" t="n">
        <v>5</v>
      </c>
    </row>
    <row r="7" customFormat="false" ht="15" hidden="false" customHeight="false" outlineLevel="0" collapsed="false">
      <c r="A7" s="5"/>
      <c r="B7" s="5"/>
      <c r="C7" s="5"/>
      <c r="D7" s="5"/>
      <c r="E7" s="5"/>
      <c r="F7" s="5"/>
      <c r="G7" s="5"/>
    </row>
    <row r="8" customFormat="false" ht="15" hidden="false" customHeight="false" outlineLevel="0" collapsed="false">
      <c r="A8" s="5"/>
      <c r="B8" s="32" t="s">
        <v>294</v>
      </c>
      <c r="C8" s="33"/>
      <c r="D8" s="33"/>
      <c r="E8" s="33"/>
      <c r="F8" s="33"/>
      <c r="G8" s="33"/>
    </row>
    <row r="9" customFormat="false" ht="15" hidden="false" customHeight="false" outlineLevel="0" collapsed="false">
      <c r="A9" s="5"/>
      <c r="B9" s="35" t="s">
        <v>295</v>
      </c>
      <c r="C9" s="39" t="n">
        <f aca="false">Cash_Flow!C38</f>
        <v>0</v>
      </c>
      <c r="D9" s="39" t="n">
        <f aca="false">Cash_Flow!D38</f>
        <v>0</v>
      </c>
      <c r="E9" s="39" t="n">
        <f aca="false">Cash_Flow!E38</f>
        <v>2380282.9121799</v>
      </c>
      <c r="F9" s="39" t="n">
        <f aca="false">Cash_Flow!F38</f>
        <v>5599371.46493743</v>
      </c>
      <c r="G9" s="39" t="n">
        <f aca="false">Cash_Flow!G38</f>
        <v>8571555.2536488</v>
      </c>
    </row>
    <row r="10" customFormat="false" ht="15" hidden="false" customHeight="false" outlineLevel="0" collapsed="false">
      <c r="A10" s="5"/>
      <c r="B10" s="7" t="s">
        <v>296</v>
      </c>
      <c r="C10" s="34" t="n">
        <f aca="false">Income_Statement!C13*DSO/365</f>
        <v>0</v>
      </c>
      <c r="D10" s="34" t="n">
        <f aca="false">Income_Statement!D13*DSO/365</f>
        <v>0</v>
      </c>
      <c r="E10" s="34" t="n">
        <f aca="false">Income_Statement!E13*DSO/365</f>
        <v>810380.650684931</v>
      </c>
      <c r="F10" s="34" t="n">
        <f aca="false">Income_Statement!F13*DSO/365</f>
        <v>562966.662328767</v>
      </c>
      <c r="G10" s="34" t="n">
        <f aca="false">Income_Statement!G13*DSO/365</f>
        <v>562296.972328767</v>
      </c>
    </row>
    <row r="11" customFormat="false" ht="15" hidden="false" customHeight="false" outlineLevel="0" collapsed="false">
      <c r="A11" s="5"/>
      <c r="B11" s="35" t="s">
        <v>297</v>
      </c>
      <c r="C11" s="36" t="n">
        <f aca="false">C9+C10</f>
        <v>0</v>
      </c>
      <c r="D11" s="36" t="n">
        <f aca="false">D9+D10</f>
        <v>0</v>
      </c>
      <c r="E11" s="36" t="n">
        <f aca="false">E9+E10</f>
        <v>3190663.56286483</v>
      </c>
      <c r="F11" s="36" t="n">
        <f aca="false">F9+F10</f>
        <v>6162338.1272662</v>
      </c>
      <c r="G11" s="36" t="n">
        <f aca="false">G9+G10</f>
        <v>9133852.22597757</v>
      </c>
    </row>
    <row r="12" customFormat="false" ht="15" hidden="false" customHeight="false" outlineLevel="0" collapsed="false">
      <c r="A12" s="5"/>
      <c r="B12" s="5"/>
      <c r="C12" s="5"/>
      <c r="D12" s="5"/>
      <c r="E12" s="5"/>
      <c r="F12" s="5"/>
      <c r="G12" s="5"/>
    </row>
    <row r="13" customFormat="false" ht="15" hidden="false" customHeight="false" outlineLevel="0" collapsed="false">
      <c r="A13" s="5"/>
      <c r="B13" s="32" t="s">
        <v>298</v>
      </c>
      <c r="C13" s="33"/>
      <c r="D13" s="33"/>
      <c r="E13" s="33"/>
      <c r="F13" s="33"/>
      <c r="G13" s="33"/>
    </row>
    <row r="14" customFormat="false" ht="15" hidden="false" customHeight="false" outlineLevel="0" collapsed="false">
      <c r="A14" s="5"/>
      <c r="B14" s="7" t="s">
        <v>251</v>
      </c>
      <c r="C14" s="34" t="n">
        <f aca="false">Capex_Depr!C20</f>
        <v>150000</v>
      </c>
      <c r="D14" s="34" t="n">
        <f aca="false">Capex_Depr!D20</f>
        <v>287500</v>
      </c>
      <c r="E14" s="34" t="n">
        <f aca="false">Capex_Depr!E20</f>
        <v>235000</v>
      </c>
      <c r="F14" s="34" t="n">
        <f aca="false">Capex_Depr!F20</f>
        <v>162500</v>
      </c>
      <c r="G14" s="34" t="n">
        <f aca="false">Capex_Depr!G20</f>
        <v>70000</v>
      </c>
    </row>
    <row r="15" customFormat="false" ht="15" hidden="false" customHeight="false" outlineLevel="0" collapsed="false">
      <c r="A15" s="5"/>
      <c r="B15" s="7" t="s">
        <v>299</v>
      </c>
      <c r="C15" s="34" t="n">
        <f aca="false">Dev_Cost_Schedule!C16</f>
        <v>1204704</v>
      </c>
      <c r="D15" s="34" t="n">
        <f aca="false">Dev_Cost_Schedule!D16</f>
        <v>3545832</v>
      </c>
      <c r="E15" s="34" t="n">
        <f aca="false">Dev_Cost_Schedule!E16</f>
        <v>1772916</v>
      </c>
      <c r="F15" s="34" t="n">
        <f aca="false">Dev_Cost_Schedule!F16</f>
        <v>709166.4</v>
      </c>
      <c r="G15" s="34" t="n">
        <f aca="false">Dev_Cost_Schedule!G16</f>
        <v>0</v>
      </c>
    </row>
    <row r="16" customFormat="false" ht="15" hidden="false" customHeight="false" outlineLevel="0" collapsed="false">
      <c r="A16" s="5"/>
      <c r="B16" s="35" t="s">
        <v>300</v>
      </c>
      <c r="C16" s="36" t="n">
        <f aca="false">C14+C15</f>
        <v>1354704</v>
      </c>
      <c r="D16" s="36" t="n">
        <f aca="false">D14+D15</f>
        <v>3833332</v>
      </c>
      <c r="E16" s="36" t="n">
        <f aca="false">E14+E15</f>
        <v>2007916</v>
      </c>
      <c r="F16" s="36" t="n">
        <f aca="false">F14+F15</f>
        <v>871666.4</v>
      </c>
      <c r="G16" s="36" t="n">
        <f aca="false">G14+G15</f>
        <v>70000</v>
      </c>
    </row>
    <row r="17" customFormat="false" ht="15" hidden="false" customHeight="false" outlineLevel="0" collapsed="false">
      <c r="A17" s="5"/>
      <c r="B17" s="5"/>
      <c r="C17" s="5"/>
      <c r="D17" s="5"/>
      <c r="E17" s="5"/>
      <c r="F17" s="5"/>
      <c r="G17" s="5"/>
    </row>
    <row r="18" customFormat="false" ht="15" hidden="false" customHeight="false" outlineLevel="0" collapsed="false">
      <c r="A18" s="5"/>
      <c r="B18" s="35" t="s">
        <v>301</v>
      </c>
      <c r="C18" s="40" t="n">
        <f aca="false">C11+C16</f>
        <v>1354704</v>
      </c>
      <c r="D18" s="40" t="n">
        <f aca="false">D11+D16</f>
        <v>3833332</v>
      </c>
      <c r="E18" s="40" t="n">
        <f aca="false">E11+E16</f>
        <v>5198579.56286483</v>
      </c>
      <c r="F18" s="40" t="n">
        <f aca="false">F11+F16</f>
        <v>7034004.5272662</v>
      </c>
      <c r="G18" s="40" t="n">
        <f aca="false">G11+G16</f>
        <v>9203852.22597757</v>
      </c>
    </row>
    <row r="19" customFormat="false" ht="15" hidden="false" customHeight="false" outlineLevel="0" collapsed="false">
      <c r="A19" s="5"/>
      <c r="B19" s="5"/>
      <c r="C19" s="5"/>
      <c r="D19" s="5"/>
      <c r="E19" s="5"/>
      <c r="F19" s="5"/>
      <c r="G19" s="5"/>
    </row>
    <row r="20" customFormat="false" ht="15" hidden="false" customHeight="false" outlineLevel="0" collapsed="false">
      <c r="A20" s="5"/>
      <c r="B20" s="32" t="s">
        <v>302</v>
      </c>
      <c r="C20" s="33"/>
      <c r="D20" s="33"/>
      <c r="E20" s="33"/>
      <c r="F20" s="33"/>
      <c r="G20" s="33"/>
    </row>
    <row r="21" customFormat="false" ht="15" hidden="false" customHeight="false" outlineLevel="0" collapsed="false">
      <c r="A21" s="5"/>
      <c r="B21" s="7" t="s">
        <v>303</v>
      </c>
      <c r="C21" s="34" t="n">
        <f aca="false">Income_Statement!C18*DPO/365</f>
        <v>0</v>
      </c>
      <c r="D21" s="34" t="n">
        <f aca="false">Income_Statement!D18*DPO/365</f>
        <v>0</v>
      </c>
      <c r="E21" s="34" t="n">
        <f aca="false">Income_Statement!E18*DPO/365</f>
        <v>148184.876712329</v>
      </c>
      <c r="F21" s="34" t="n">
        <f aca="false">Income_Statement!F18*DPO/365</f>
        <v>93041.0630136986</v>
      </c>
      <c r="G21" s="34" t="n">
        <f aca="false">Income_Statement!G18*DPO/365</f>
        <v>65487.6493150685</v>
      </c>
    </row>
    <row r="22" customFormat="false" ht="15" hidden="false" customHeight="false" outlineLevel="0" collapsed="false">
      <c r="A22" s="5"/>
      <c r="B22" s="7" t="s">
        <v>304</v>
      </c>
      <c r="C22" s="34" t="n">
        <f aca="false">Income_Statement!C27*0.15</f>
        <v>47722.8</v>
      </c>
      <c r="D22" s="34" t="n">
        <f aca="false">Income_Statement!D27*0.15</f>
        <v>146902.8</v>
      </c>
      <c r="E22" s="34" t="n">
        <f aca="false">Income_Statement!E27*0.15</f>
        <v>175470.975</v>
      </c>
      <c r="F22" s="34" t="n">
        <f aca="false">Income_Statement!F27*0.15</f>
        <v>98824.85235</v>
      </c>
      <c r="G22" s="34" t="n">
        <f aca="false">Income_Statement!G27*0.15</f>
        <v>99366.03756</v>
      </c>
    </row>
    <row r="23" customFormat="false" ht="15" hidden="false" customHeight="false" outlineLevel="0" collapsed="false">
      <c r="A23" s="5"/>
      <c r="B23" s="7" t="s">
        <v>305</v>
      </c>
      <c r="C23" s="34" t="n">
        <f aca="false">Debt_Schedule!C15</f>
        <v>175133.2</v>
      </c>
      <c r="D23" s="34" t="n">
        <f aca="false">Debt_Schedule!D15</f>
        <v>1663070.854</v>
      </c>
      <c r="E23" s="34" t="n">
        <f aca="false">Debt_Schedule!E15</f>
        <v>0</v>
      </c>
      <c r="F23" s="34" t="n">
        <f aca="false">Debt_Schedule!F15</f>
        <v>0</v>
      </c>
      <c r="G23" s="34" t="n">
        <f aca="false">Debt_Schedule!G15</f>
        <v>0</v>
      </c>
    </row>
    <row r="24" customFormat="false" ht="15" hidden="false" customHeight="false" outlineLevel="0" collapsed="false">
      <c r="A24" s="5"/>
      <c r="B24" s="35" t="s">
        <v>306</v>
      </c>
      <c r="C24" s="36" t="n">
        <f aca="false">C21+C22+C23</f>
        <v>222856</v>
      </c>
      <c r="D24" s="36" t="n">
        <f aca="false">D21+D22+D23</f>
        <v>1809973.654</v>
      </c>
      <c r="E24" s="36" t="n">
        <f aca="false">E21+E22+E23</f>
        <v>323655.851712329</v>
      </c>
      <c r="F24" s="36" t="n">
        <f aca="false">F21+F22+F23</f>
        <v>191865.915363699</v>
      </c>
      <c r="G24" s="36" t="n">
        <f aca="false">G21+G22+G23</f>
        <v>164853.686875069</v>
      </c>
    </row>
    <row r="25" customFormat="false" ht="15" hidden="false" customHeight="false" outlineLevel="0" collapsed="false">
      <c r="A25" s="5"/>
      <c r="B25" s="5"/>
      <c r="C25" s="5"/>
      <c r="D25" s="5"/>
      <c r="E25" s="5"/>
      <c r="F25" s="5"/>
      <c r="G25" s="5"/>
    </row>
    <row r="26" customFormat="false" ht="15" hidden="false" customHeight="false" outlineLevel="0" collapsed="false">
      <c r="A26" s="5"/>
      <c r="B26" s="35" t="s">
        <v>307</v>
      </c>
      <c r="C26" s="40" t="n">
        <f aca="false">C24</f>
        <v>222856</v>
      </c>
      <c r="D26" s="40" t="n">
        <f aca="false">D24</f>
        <v>1809973.654</v>
      </c>
      <c r="E26" s="40" t="n">
        <f aca="false">E24</f>
        <v>323655.851712329</v>
      </c>
      <c r="F26" s="40" t="n">
        <f aca="false">F24</f>
        <v>191865.915363699</v>
      </c>
      <c r="G26" s="40" t="n">
        <f aca="false">G24</f>
        <v>164853.686875069</v>
      </c>
    </row>
    <row r="27" customFormat="false" ht="15" hidden="false" customHeight="false" outlineLevel="0" collapsed="false">
      <c r="A27" s="5"/>
      <c r="B27" s="5"/>
      <c r="C27" s="5"/>
      <c r="D27" s="5"/>
      <c r="E27" s="5"/>
      <c r="F27" s="5"/>
      <c r="G27" s="5"/>
    </row>
    <row r="28" customFormat="false" ht="15" hidden="false" customHeight="false" outlineLevel="0" collapsed="false">
      <c r="A28" s="5"/>
      <c r="B28" s="32" t="s">
        <v>308</v>
      </c>
      <c r="C28" s="33"/>
      <c r="D28" s="33"/>
      <c r="E28" s="33"/>
      <c r="F28" s="33"/>
      <c r="G28" s="33"/>
    </row>
    <row r="29" customFormat="false" ht="15" hidden="false" customHeight="false" outlineLevel="0" collapsed="false">
      <c r="A29" s="5"/>
      <c r="B29" s="7" t="s">
        <v>309</v>
      </c>
      <c r="C29" s="34" t="n">
        <f aca="false">Series_A_Raise</f>
        <v>1500000</v>
      </c>
      <c r="D29" s="34" t="n">
        <f aca="false">C29+Debt_Schedule!D9</f>
        <v>3500000</v>
      </c>
      <c r="E29" s="34" t="n">
        <f aca="false">D29</f>
        <v>3500000</v>
      </c>
      <c r="F29" s="34" t="n">
        <f aca="false">E29</f>
        <v>3500000</v>
      </c>
      <c r="G29" s="34" t="n">
        <f aca="false">F29</f>
        <v>3500000</v>
      </c>
    </row>
    <row r="30" customFormat="false" ht="15" hidden="false" customHeight="false" outlineLevel="0" collapsed="false">
      <c r="A30" s="5"/>
      <c r="B30" s="7" t="s">
        <v>310</v>
      </c>
      <c r="C30" s="34" t="n">
        <f aca="false">Income_Statement!C49</f>
        <v>-368152</v>
      </c>
      <c r="D30" s="34" t="n">
        <f aca="false">C30+Income_Statement!D49</f>
        <v>-1476641.654</v>
      </c>
      <c r="E30" s="34" t="n">
        <f aca="false">D30+Income_Statement!E49</f>
        <v>1374923.7111525</v>
      </c>
      <c r="F30" s="34" t="n">
        <f aca="false">E30+Income_Statement!F49</f>
        <v>3342138.6119025</v>
      </c>
      <c r="G30" s="34" t="n">
        <f aca="false">F30+Income_Statement!G49</f>
        <v>5538998.5391025</v>
      </c>
    </row>
    <row r="31" customFormat="false" ht="15" hidden="false" customHeight="false" outlineLevel="0" collapsed="false">
      <c r="A31" s="5"/>
      <c r="B31" s="35" t="s">
        <v>311</v>
      </c>
      <c r="C31" s="40" t="n">
        <f aca="false">C29+C30</f>
        <v>1131848</v>
      </c>
      <c r="D31" s="40" t="n">
        <f aca="false">D29+D30</f>
        <v>2023358.346</v>
      </c>
      <c r="E31" s="40" t="n">
        <f aca="false">E29+E30</f>
        <v>4874923.7111525</v>
      </c>
      <c r="F31" s="40" t="n">
        <f aca="false">F29+F30</f>
        <v>6842138.6119025</v>
      </c>
      <c r="G31" s="40" t="n">
        <f aca="false">G29+G30</f>
        <v>9038998.5391025</v>
      </c>
    </row>
    <row r="32" customFormat="false" ht="15" hidden="false" customHeight="false" outlineLevel="0" collapsed="false">
      <c r="A32" s="5"/>
      <c r="B32" s="5"/>
      <c r="C32" s="5"/>
      <c r="D32" s="5"/>
      <c r="E32" s="5"/>
      <c r="F32" s="5"/>
      <c r="G32" s="5"/>
    </row>
    <row r="33" customFormat="false" ht="15" hidden="false" customHeight="false" outlineLevel="0" collapsed="false">
      <c r="A33" s="5"/>
      <c r="B33" s="35" t="s">
        <v>312</v>
      </c>
      <c r="C33" s="40" t="n">
        <f aca="false">C26+C31</f>
        <v>1354704</v>
      </c>
      <c r="D33" s="40" t="n">
        <f aca="false">D26+D31</f>
        <v>3833332</v>
      </c>
      <c r="E33" s="40" t="n">
        <f aca="false">E26+E31</f>
        <v>5198579.56286483</v>
      </c>
      <c r="F33" s="40" t="n">
        <f aca="false">F26+F31</f>
        <v>7034004.5272662</v>
      </c>
      <c r="G33" s="40" t="n">
        <f aca="false">G26+G31</f>
        <v>9203852.22597757</v>
      </c>
    </row>
    <row r="34" customFormat="false" ht="15" hidden="false" customHeight="false" outlineLevel="0" collapsed="false">
      <c r="A34" s="5"/>
      <c r="B34" s="5"/>
      <c r="C34" s="5"/>
      <c r="D34" s="5"/>
      <c r="E34" s="5"/>
      <c r="F34" s="5"/>
      <c r="G34" s="5"/>
    </row>
    <row r="35" customFormat="false" ht="15" hidden="false" customHeight="false" outlineLevel="0" collapsed="false">
      <c r="A35" s="5"/>
      <c r="B35" s="44" t="s">
        <v>313</v>
      </c>
      <c r="C35" s="45" t="n">
        <f aca="false">C18-C33</f>
        <v>0</v>
      </c>
      <c r="D35" s="45" t="n">
        <f aca="false">D18-D33</f>
        <v>0</v>
      </c>
      <c r="E35" s="45" t="n">
        <f aca="false">E18-E33</f>
        <v>0</v>
      </c>
      <c r="F35" s="45" t="n">
        <f aca="false">F18-F33</f>
        <v>0</v>
      </c>
      <c r="G35" s="45" t="n">
        <f aca="false">G18-G33</f>
        <v>0</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ED7D31"/>
    <pageSetUpPr fitToPage="false"/>
  </sheetPr>
  <dimension ref="A1:G38"/>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2"/>
    <col collapsed="false" customWidth="true" hidden="false" outlineLevel="0" max="7" min="3" style="0" width="18"/>
  </cols>
  <sheetData>
    <row r="1" customFormat="false" ht="15" hidden="false" customHeight="false" outlineLevel="0" collapsed="false">
      <c r="A1" s="5"/>
      <c r="B1" s="5"/>
      <c r="C1" s="5"/>
      <c r="D1" s="5"/>
      <c r="E1" s="5"/>
      <c r="F1" s="5"/>
      <c r="G1" s="5"/>
    </row>
    <row r="2" customFormat="false" ht="22.05" hidden="false" customHeight="false" outlineLevel="0" collapsed="false">
      <c r="A2" s="5"/>
      <c r="B2" s="28" t="s">
        <v>314</v>
      </c>
      <c r="C2" s="5"/>
      <c r="D2" s="5"/>
      <c r="E2" s="5"/>
      <c r="F2" s="5"/>
      <c r="G2" s="5"/>
    </row>
    <row r="3" customFormat="false" ht="15" hidden="false" customHeight="false" outlineLevel="0" collapsed="false">
      <c r="A3" s="5"/>
      <c r="B3" s="8" t="s">
        <v>315</v>
      </c>
      <c r="C3" s="5"/>
      <c r="D3" s="5"/>
      <c r="E3" s="5"/>
      <c r="F3" s="5"/>
      <c r="G3" s="5"/>
    </row>
    <row r="4" customFormat="false" ht="15" hidden="false" customHeight="false" outlineLevel="0" collapsed="false">
      <c r="A4" s="5"/>
      <c r="B4" s="5"/>
      <c r="C4" s="5"/>
      <c r="D4" s="5"/>
      <c r="E4" s="5"/>
      <c r="F4" s="5"/>
      <c r="G4" s="5"/>
    </row>
    <row r="5" customFormat="false" ht="15" hidden="false" customHeight="false" outlineLevel="0" collapsed="false">
      <c r="A5" s="5"/>
      <c r="B5" s="29"/>
      <c r="C5" s="30" t="n">
        <f aca="false">Model_Start_Year+0</f>
        <v>2025</v>
      </c>
      <c r="D5" s="30" t="n">
        <f aca="false">Model_Start_Year+1</f>
        <v>2026</v>
      </c>
      <c r="E5" s="30" t="n">
        <f aca="false">Model_Start_Year+2</f>
        <v>2027</v>
      </c>
      <c r="F5" s="30" t="n">
        <f aca="false">Model_Start_Year+3</f>
        <v>2028</v>
      </c>
      <c r="G5" s="30" t="n">
        <f aca="false">Model_Start_Year+4</f>
        <v>2029</v>
      </c>
    </row>
    <row r="6" customFormat="false" ht="15" hidden="false" customHeight="false" outlineLevel="0" collapsed="false">
      <c r="A6" s="5"/>
      <c r="B6" s="17" t="s">
        <v>170</v>
      </c>
      <c r="C6" s="31" t="n">
        <v>1</v>
      </c>
      <c r="D6" s="31" t="n">
        <v>2</v>
      </c>
      <c r="E6" s="31" t="n">
        <v>3</v>
      </c>
      <c r="F6" s="31" t="n">
        <v>4</v>
      </c>
      <c r="G6" s="31" t="n">
        <v>5</v>
      </c>
    </row>
    <row r="7" customFormat="false" ht="15" hidden="false" customHeight="false" outlineLevel="0" collapsed="false">
      <c r="A7" s="5"/>
      <c r="B7" s="5"/>
      <c r="C7" s="5"/>
      <c r="D7" s="5"/>
      <c r="E7" s="5"/>
      <c r="F7" s="5"/>
      <c r="G7" s="5"/>
    </row>
    <row r="8" customFormat="false" ht="15" hidden="false" customHeight="false" outlineLevel="0" collapsed="false">
      <c r="A8" s="5"/>
      <c r="B8" s="32" t="s">
        <v>316</v>
      </c>
      <c r="C8" s="33"/>
      <c r="D8" s="33"/>
      <c r="E8" s="33"/>
      <c r="F8" s="33"/>
      <c r="G8" s="33"/>
    </row>
    <row r="9" customFormat="false" ht="15" hidden="false" customHeight="false" outlineLevel="0" collapsed="false">
      <c r="A9" s="5"/>
      <c r="B9" s="7" t="s">
        <v>287</v>
      </c>
      <c r="C9" s="34" t="n">
        <f aca="false">Income_Statement!C49</f>
        <v>-368152</v>
      </c>
      <c r="D9" s="34" t="n">
        <f aca="false">Income_Statement!D49</f>
        <v>-1108489.654</v>
      </c>
      <c r="E9" s="34" t="n">
        <f aca="false">Income_Statement!E49</f>
        <v>2851565.3651525</v>
      </c>
      <c r="F9" s="34" t="n">
        <f aca="false">Income_Statement!F49</f>
        <v>1967214.90075</v>
      </c>
      <c r="G9" s="34" t="n">
        <f aca="false">Income_Statement!G49</f>
        <v>2196859.9272</v>
      </c>
    </row>
    <row r="10" customFormat="false" ht="15" hidden="false" customHeight="false" outlineLevel="0" collapsed="false">
      <c r="A10" s="5"/>
      <c r="B10" s="5"/>
      <c r="C10" s="5"/>
      <c r="D10" s="5"/>
      <c r="E10" s="5"/>
      <c r="F10" s="5"/>
      <c r="G10" s="5"/>
    </row>
    <row r="11" customFormat="false" ht="15" hidden="false" customHeight="false" outlineLevel="0" collapsed="false">
      <c r="A11" s="5"/>
      <c r="B11" s="6" t="s">
        <v>317</v>
      </c>
      <c r="C11" s="5"/>
      <c r="D11" s="5"/>
      <c r="E11" s="5"/>
      <c r="F11" s="5"/>
      <c r="G11" s="5"/>
    </row>
    <row r="12" customFormat="false" ht="15" hidden="false" customHeight="false" outlineLevel="0" collapsed="false">
      <c r="A12" s="5"/>
      <c r="B12" s="7" t="s">
        <v>318</v>
      </c>
      <c r="C12" s="34" t="n">
        <f aca="false">Income_Statement!C32</f>
        <v>50000</v>
      </c>
      <c r="D12" s="34" t="n">
        <f aca="false">Income_Statement!D32</f>
        <v>112500</v>
      </c>
      <c r="E12" s="34" t="n">
        <f aca="false">Income_Statement!E32</f>
        <v>132500</v>
      </c>
      <c r="F12" s="34" t="n">
        <f aca="false">Income_Statement!F32</f>
        <v>152500</v>
      </c>
      <c r="G12" s="34" t="n">
        <f aca="false">Income_Statement!G32</f>
        <v>172500</v>
      </c>
    </row>
    <row r="13" customFormat="false" ht="15" hidden="false" customHeight="false" outlineLevel="0" collapsed="false">
      <c r="A13" s="5"/>
      <c r="B13" s="7" t="s">
        <v>319</v>
      </c>
      <c r="C13" s="34" t="n">
        <f aca="false">Income_Statement!C17</f>
        <v>0</v>
      </c>
      <c r="D13" s="34" t="n">
        <f aca="false">Income_Statement!D17</f>
        <v>0</v>
      </c>
      <c r="E13" s="34" t="n">
        <f aca="false">Income_Statement!E17</f>
        <v>1772916</v>
      </c>
      <c r="F13" s="34" t="n">
        <f aca="false">Income_Statement!F17</f>
        <v>1063749.6</v>
      </c>
      <c r="G13" s="34" t="n">
        <f aca="false">Income_Statement!G17</f>
        <v>709166.4</v>
      </c>
    </row>
    <row r="14" customFormat="false" ht="15" hidden="false" customHeight="false" outlineLevel="0" collapsed="false">
      <c r="A14" s="5"/>
      <c r="B14" s="5"/>
      <c r="C14" s="5"/>
      <c r="D14" s="5"/>
      <c r="E14" s="5"/>
      <c r="F14" s="5"/>
      <c r="G14" s="5"/>
    </row>
    <row r="15" customFormat="false" ht="15" hidden="false" customHeight="false" outlineLevel="0" collapsed="false">
      <c r="A15" s="5"/>
      <c r="B15" s="6" t="s">
        <v>320</v>
      </c>
      <c r="C15" s="5"/>
      <c r="D15" s="5"/>
      <c r="E15" s="5"/>
      <c r="F15" s="5"/>
      <c r="G15" s="5"/>
    </row>
    <row r="16" customFormat="false" ht="15" hidden="false" customHeight="false" outlineLevel="0" collapsed="false">
      <c r="A16" s="5"/>
      <c r="B16" s="7" t="s">
        <v>321</v>
      </c>
      <c r="C16" s="34" t="n">
        <f aca="false">Balance_Sheet!C10*(-1)</f>
        <v>-0</v>
      </c>
      <c r="D16" s="34" t="n">
        <f aca="false">Balance_Sheet!C10-Balance_Sheet!D10</f>
        <v>0</v>
      </c>
      <c r="E16" s="34" t="n">
        <f aca="false">Balance_Sheet!D10-Balance_Sheet!E10</f>
        <v>-810380.650684931</v>
      </c>
      <c r="F16" s="34" t="n">
        <f aca="false">Balance_Sheet!E10-Balance_Sheet!F10</f>
        <v>247413.988356164</v>
      </c>
      <c r="G16" s="34" t="n">
        <f aca="false">Balance_Sheet!F10-Balance_Sheet!G10</f>
        <v>669.690000000177</v>
      </c>
    </row>
    <row r="17" customFormat="false" ht="15" hidden="false" customHeight="false" outlineLevel="0" collapsed="false">
      <c r="A17" s="5"/>
      <c r="B17" s="7" t="s">
        <v>322</v>
      </c>
      <c r="C17" s="34" t="n">
        <f aca="false">Balance_Sheet!C21</f>
        <v>0</v>
      </c>
      <c r="D17" s="34" t="n">
        <f aca="false">Balance_Sheet!D21-Balance_Sheet!C21</f>
        <v>0</v>
      </c>
      <c r="E17" s="34" t="n">
        <f aca="false">Balance_Sheet!E21-Balance_Sheet!D21</f>
        <v>148184.876712329</v>
      </c>
      <c r="F17" s="34" t="n">
        <f aca="false">Balance_Sheet!F21-Balance_Sheet!E21</f>
        <v>-55143.8136986301</v>
      </c>
      <c r="G17" s="34" t="n">
        <f aca="false">Balance_Sheet!G21-Balance_Sheet!F21</f>
        <v>-27553.4136986301</v>
      </c>
    </row>
    <row r="18" customFormat="false" ht="15" hidden="false" customHeight="false" outlineLevel="0" collapsed="false">
      <c r="A18" s="5"/>
      <c r="B18" s="7" t="s">
        <v>323</v>
      </c>
      <c r="C18" s="34" t="n">
        <f aca="false">Balance_Sheet!C22</f>
        <v>47722.8</v>
      </c>
      <c r="D18" s="34" t="n">
        <f aca="false">Balance_Sheet!D22-Balance_Sheet!C22</f>
        <v>99180</v>
      </c>
      <c r="E18" s="34" t="n">
        <f aca="false">Balance_Sheet!E22-Balance_Sheet!D22</f>
        <v>28568.175</v>
      </c>
      <c r="F18" s="34" t="n">
        <f aca="false">Balance_Sheet!F22-Balance_Sheet!E22</f>
        <v>-76646.12265</v>
      </c>
      <c r="G18" s="34" t="n">
        <f aca="false">Balance_Sheet!G22-Balance_Sheet!F22</f>
        <v>541.185210000011</v>
      </c>
    </row>
    <row r="19" customFormat="false" ht="15" hidden="false" customHeight="false" outlineLevel="0" collapsed="false">
      <c r="A19" s="5"/>
      <c r="B19" s="5"/>
      <c r="C19" s="5"/>
      <c r="D19" s="5"/>
      <c r="E19" s="5"/>
      <c r="F19" s="5"/>
      <c r="G19" s="5"/>
    </row>
    <row r="20" customFormat="false" ht="15" hidden="false" customHeight="false" outlineLevel="0" collapsed="false">
      <c r="A20" s="5"/>
      <c r="B20" s="35" t="s">
        <v>324</v>
      </c>
      <c r="C20" s="36" t="n">
        <f aca="false">SUM(C9:C18)</f>
        <v>-270429.2</v>
      </c>
      <c r="D20" s="36" t="n">
        <f aca="false">SUM(D9:D18)</f>
        <v>-896809.654</v>
      </c>
      <c r="E20" s="36" t="n">
        <f aca="false">SUM(E9:E18)</f>
        <v>4123353.7661799</v>
      </c>
      <c r="F20" s="36" t="n">
        <f aca="false">SUM(F9:F18)</f>
        <v>3299088.55275753</v>
      </c>
      <c r="G20" s="36" t="n">
        <f aca="false">SUM(G9:G18)</f>
        <v>3052183.78871137</v>
      </c>
    </row>
    <row r="21" customFormat="false" ht="15" hidden="false" customHeight="false" outlineLevel="0" collapsed="false">
      <c r="A21" s="5"/>
      <c r="B21" s="5"/>
      <c r="C21" s="5"/>
      <c r="D21" s="5"/>
      <c r="E21" s="5"/>
      <c r="F21" s="5"/>
      <c r="G21" s="5"/>
    </row>
    <row r="22" customFormat="false" ht="15" hidden="false" customHeight="false" outlineLevel="0" collapsed="false">
      <c r="A22" s="5"/>
      <c r="B22" s="32" t="s">
        <v>325</v>
      </c>
      <c r="C22" s="33"/>
      <c r="D22" s="33"/>
      <c r="E22" s="33"/>
      <c r="F22" s="33"/>
      <c r="G22" s="33"/>
    </row>
    <row r="23" customFormat="false" ht="15" hidden="false" customHeight="false" outlineLevel="0" collapsed="false">
      <c r="A23" s="5"/>
      <c r="B23" s="7" t="s">
        <v>326</v>
      </c>
      <c r="C23" s="34" t="n">
        <f aca="false">-Capex_Y1</f>
        <v>-200000</v>
      </c>
      <c r="D23" s="34" t="n">
        <f aca="false">-Capex_Y2</f>
        <v>-250000</v>
      </c>
      <c r="E23" s="34" t="n">
        <f aca="false">-Capex_Y345</f>
        <v>-80000</v>
      </c>
      <c r="F23" s="34" t="n">
        <f aca="false">-Capex_Y345</f>
        <v>-80000</v>
      </c>
      <c r="G23" s="34" t="n">
        <f aca="false">-Capex_Y345</f>
        <v>-80000</v>
      </c>
    </row>
    <row r="24" customFormat="false" ht="15" hidden="false" customHeight="false" outlineLevel="0" collapsed="false">
      <c r="A24" s="5"/>
      <c r="B24" s="7" t="s">
        <v>327</v>
      </c>
      <c r="C24" s="34" t="n">
        <f aca="false">-Staffing!C18</f>
        <v>-1204704</v>
      </c>
      <c r="D24" s="34" t="n">
        <f aca="false">-Staffing!D18</f>
        <v>-2341128</v>
      </c>
      <c r="E24" s="34" t="n">
        <f aca="false">0</f>
        <v>0</v>
      </c>
      <c r="F24" s="34" t="n">
        <f aca="false">0</f>
        <v>0</v>
      </c>
      <c r="G24" s="34" t="n">
        <f aca="false">0</f>
        <v>0</v>
      </c>
    </row>
    <row r="25" customFormat="false" ht="15" hidden="false" customHeight="false" outlineLevel="0" collapsed="false">
      <c r="A25" s="5"/>
      <c r="B25" s="35" t="s">
        <v>328</v>
      </c>
      <c r="C25" s="36" t="n">
        <f aca="false">C23+C24</f>
        <v>-1404704</v>
      </c>
      <c r="D25" s="36" t="n">
        <f aca="false">D23+D24</f>
        <v>-2591128</v>
      </c>
      <c r="E25" s="36" t="n">
        <f aca="false">E23+E24</f>
        <v>-80000</v>
      </c>
      <c r="F25" s="36" t="n">
        <f aca="false">F23+F24</f>
        <v>-80000</v>
      </c>
      <c r="G25" s="36" t="n">
        <f aca="false">G23+G24</f>
        <v>-80000</v>
      </c>
    </row>
    <row r="26" customFormat="false" ht="15" hidden="false" customHeight="false" outlineLevel="0" collapsed="false">
      <c r="A26" s="5"/>
      <c r="B26" s="5"/>
      <c r="C26" s="5"/>
      <c r="D26" s="5"/>
      <c r="E26" s="5"/>
      <c r="F26" s="5"/>
      <c r="G26" s="5"/>
    </row>
    <row r="27" customFormat="false" ht="15" hidden="false" customHeight="false" outlineLevel="0" collapsed="false">
      <c r="A27" s="5"/>
      <c r="B27" s="32" t="s">
        <v>329</v>
      </c>
      <c r="C27" s="33"/>
      <c r="D27" s="33"/>
      <c r="E27" s="33"/>
      <c r="F27" s="33"/>
      <c r="G27" s="33"/>
    </row>
    <row r="28" customFormat="false" ht="15" hidden="false" customHeight="false" outlineLevel="0" collapsed="false">
      <c r="A28" s="5"/>
      <c r="B28" s="7" t="s">
        <v>330</v>
      </c>
      <c r="C28" s="34" t="n">
        <f aca="false">Series_A_Raise</f>
        <v>1500000</v>
      </c>
      <c r="D28" s="34" t="n">
        <f aca="false">0</f>
        <v>0</v>
      </c>
      <c r="E28" s="34" t="n">
        <f aca="false">0</f>
        <v>0</v>
      </c>
      <c r="F28" s="34" t="n">
        <f aca="false">0</f>
        <v>0</v>
      </c>
      <c r="G28" s="34" t="n">
        <f aca="false">0</f>
        <v>0</v>
      </c>
    </row>
    <row r="29" customFormat="false" ht="15" hidden="false" customHeight="false" outlineLevel="0" collapsed="false">
      <c r="A29" s="5"/>
      <c r="B29" s="7" t="s">
        <v>331</v>
      </c>
      <c r="C29" s="34" t="n">
        <f aca="false">0</f>
        <v>0</v>
      </c>
      <c r="D29" s="34" t="n">
        <f aca="false">Debt_Schedule!D9</f>
        <v>2000000</v>
      </c>
      <c r="E29" s="34" t="n">
        <f aca="false">0</f>
        <v>0</v>
      </c>
      <c r="F29" s="34" t="n">
        <f aca="false">0</f>
        <v>0</v>
      </c>
      <c r="G29" s="34" t="n">
        <f aca="false">0</f>
        <v>0</v>
      </c>
    </row>
    <row r="30" customFormat="false" ht="15" hidden="false" customHeight="false" outlineLevel="0" collapsed="false">
      <c r="A30" s="5"/>
      <c r="B30" s="7" t="s">
        <v>332</v>
      </c>
      <c r="C30" s="34" t="n">
        <f aca="false">Debt_Schedule!C13</f>
        <v>175133.2</v>
      </c>
      <c r="D30" s="34" t="n">
        <f aca="false">Debt_Schedule!D13</f>
        <v>1487937.654</v>
      </c>
      <c r="E30" s="34" t="n">
        <f aca="false">Debt_Schedule!E13</f>
        <v>0</v>
      </c>
      <c r="F30" s="34" t="n">
        <f aca="false">Debt_Schedule!F13</f>
        <v>0</v>
      </c>
      <c r="G30" s="34" t="n">
        <f aca="false">Debt_Schedule!G13</f>
        <v>0</v>
      </c>
    </row>
    <row r="31" customFormat="false" ht="15" hidden="false" customHeight="false" outlineLevel="0" collapsed="false">
      <c r="A31" s="5"/>
      <c r="B31" s="7" t="s">
        <v>333</v>
      </c>
      <c r="C31" s="34" t="n">
        <f aca="false">-Debt_Schedule!C14</f>
        <v>-0</v>
      </c>
      <c r="D31" s="34" t="n">
        <f aca="false">-Debt_Schedule!D14</f>
        <v>-0</v>
      </c>
      <c r="E31" s="34" t="n">
        <f aca="false">-Debt_Schedule!E14</f>
        <v>-1663070.854</v>
      </c>
      <c r="F31" s="34" t="n">
        <f aca="false">-Debt_Schedule!F14</f>
        <v>-0</v>
      </c>
      <c r="G31" s="34" t="n">
        <f aca="false">-Debt_Schedule!G14</f>
        <v>-0</v>
      </c>
    </row>
    <row r="32" customFormat="false" ht="15" hidden="false" customHeight="false" outlineLevel="0" collapsed="false">
      <c r="A32" s="5"/>
      <c r="B32" s="35" t="s">
        <v>334</v>
      </c>
      <c r="C32" s="36" t="n">
        <f aca="false">SUM(C28:C31)</f>
        <v>1675133.2</v>
      </c>
      <c r="D32" s="36" t="n">
        <f aca="false">SUM(D28:D31)</f>
        <v>3487937.654</v>
      </c>
      <c r="E32" s="36" t="n">
        <f aca="false">SUM(E28:E31)</f>
        <v>-1663070.854</v>
      </c>
      <c r="F32" s="36" t="n">
        <f aca="false">SUM(F28:F31)</f>
        <v>0</v>
      </c>
      <c r="G32" s="36" t="n">
        <f aca="false">SUM(G28:G31)</f>
        <v>0</v>
      </c>
    </row>
    <row r="33" customFormat="false" ht="15" hidden="false" customHeight="false" outlineLevel="0" collapsed="false">
      <c r="A33" s="5"/>
      <c r="B33" s="8" t="s">
        <v>335</v>
      </c>
      <c r="C33" s="5"/>
      <c r="D33" s="5"/>
      <c r="E33" s="5"/>
      <c r="F33" s="5"/>
      <c r="G33" s="5"/>
    </row>
    <row r="34" customFormat="false" ht="15" hidden="false" customHeight="false" outlineLevel="0" collapsed="false">
      <c r="A34" s="5"/>
      <c r="B34" s="7" t="s">
        <v>336</v>
      </c>
      <c r="C34" s="34" t="n">
        <f aca="false">C36+C20+C25+C28+C29</f>
        <v>-175133.2</v>
      </c>
      <c r="D34" s="34" t="n">
        <f aca="false">D36+D20+D25+D28+D29</f>
        <v>-1487937.654</v>
      </c>
      <c r="E34" s="34" t="n">
        <f aca="false">E36+E20+E25+E28+E29</f>
        <v>4043353.7661799</v>
      </c>
      <c r="F34" s="34" t="n">
        <f aca="false">F36+F20+F25+F28+F29</f>
        <v>5599371.46493743</v>
      </c>
      <c r="G34" s="34" t="n">
        <f aca="false">G36+G20+G25+G28+G29</f>
        <v>8571555.2536488</v>
      </c>
    </row>
    <row r="35" customFormat="false" ht="15" hidden="false" customHeight="false" outlineLevel="0" collapsed="false">
      <c r="A35" s="5"/>
      <c r="B35" s="8" t="s">
        <v>337</v>
      </c>
      <c r="C35" s="5"/>
      <c r="D35" s="5"/>
      <c r="E35" s="5"/>
      <c r="F35" s="5"/>
      <c r="G35" s="5"/>
    </row>
    <row r="36" customFormat="false" ht="15" hidden="false" customHeight="false" outlineLevel="0" collapsed="false">
      <c r="A36" s="5"/>
      <c r="B36" s="35" t="s">
        <v>40</v>
      </c>
      <c r="C36" s="39" t="n">
        <f aca="false">0</f>
        <v>0</v>
      </c>
      <c r="D36" s="39" t="n">
        <f aca="false">C38</f>
        <v>0</v>
      </c>
      <c r="E36" s="39" t="n">
        <f aca="false">D38</f>
        <v>0</v>
      </c>
      <c r="F36" s="39" t="n">
        <f aca="false">E38</f>
        <v>2380282.9121799</v>
      </c>
      <c r="G36" s="39" t="n">
        <f aca="false">F38</f>
        <v>5599371.46493743</v>
      </c>
    </row>
    <row r="37" customFormat="false" ht="15" hidden="false" customHeight="false" outlineLevel="0" collapsed="false">
      <c r="A37" s="5"/>
      <c r="B37" s="7" t="s">
        <v>338</v>
      </c>
      <c r="C37" s="34" t="n">
        <f aca="false">C20+C25+C32</f>
        <v>0</v>
      </c>
      <c r="D37" s="34" t="n">
        <f aca="false">D20+D25+D32</f>
        <v>0</v>
      </c>
      <c r="E37" s="34" t="n">
        <f aca="false">E20+E25+E32</f>
        <v>2380282.9121799</v>
      </c>
      <c r="F37" s="34" t="n">
        <f aca="false">F20+F25+F32</f>
        <v>3219088.55275753</v>
      </c>
      <c r="G37" s="34" t="n">
        <f aca="false">G20+G25+G32</f>
        <v>2972183.78871137</v>
      </c>
    </row>
    <row r="38" customFormat="false" ht="15" hidden="false" customHeight="false" outlineLevel="0" collapsed="false">
      <c r="A38" s="5"/>
      <c r="B38" s="35" t="s">
        <v>339</v>
      </c>
      <c r="C38" s="40" t="n">
        <f aca="false">C36+C37</f>
        <v>0</v>
      </c>
      <c r="D38" s="40" t="n">
        <f aca="false">D36+D37</f>
        <v>0</v>
      </c>
      <c r="E38" s="40" t="n">
        <f aca="false">E36+E37</f>
        <v>2380282.9121799</v>
      </c>
      <c r="F38" s="40" t="n">
        <f aca="false">F36+F37</f>
        <v>5599371.46493743</v>
      </c>
      <c r="G38" s="40" t="n">
        <f aca="false">G36+G37</f>
        <v>8571555.2536488</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FF0000"/>
    <pageSetUpPr fitToPage="false"/>
  </sheetPr>
  <dimension ref="A1:G16"/>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2"/>
    <col collapsed="false" customWidth="true" hidden="false" outlineLevel="0" max="7" min="3" style="0" width="18"/>
  </cols>
  <sheetData>
    <row r="1" customFormat="false" ht="15" hidden="false" customHeight="false" outlineLevel="0" collapsed="false">
      <c r="A1" s="5"/>
      <c r="B1" s="5"/>
      <c r="C1" s="5"/>
      <c r="D1" s="5"/>
      <c r="E1" s="5"/>
      <c r="F1" s="5"/>
      <c r="G1" s="5"/>
    </row>
    <row r="2" customFormat="false" ht="22.05" hidden="false" customHeight="false" outlineLevel="0" collapsed="false">
      <c r="A2" s="5"/>
      <c r="B2" s="28" t="s">
        <v>340</v>
      </c>
      <c r="C2" s="5"/>
      <c r="D2" s="5"/>
      <c r="E2" s="5"/>
      <c r="F2" s="5"/>
      <c r="G2" s="5"/>
    </row>
    <row r="3" customFormat="false" ht="15" hidden="false" customHeight="false" outlineLevel="0" collapsed="false">
      <c r="A3" s="5"/>
      <c r="B3" s="8" t="s">
        <v>341</v>
      </c>
      <c r="C3" s="5"/>
      <c r="D3" s="5"/>
      <c r="E3" s="5"/>
      <c r="F3" s="5"/>
      <c r="G3" s="5"/>
    </row>
    <row r="4" customFormat="false" ht="15" hidden="false" customHeight="false" outlineLevel="0" collapsed="false">
      <c r="A4" s="5"/>
      <c r="B4" s="5"/>
      <c r="C4" s="5"/>
      <c r="D4" s="5"/>
      <c r="E4" s="5"/>
      <c r="F4" s="5"/>
      <c r="G4" s="5"/>
    </row>
    <row r="5" customFormat="false" ht="15" hidden="false" customHeight="false" outlineLevel="0" collapsed="false">
      <c r="A5" s="5"/>
      <c r="B5" s="29"/>
      <c r="C5" s="30" t="n">
        <f aca="false">Model_Start_Year+0</f>
        <v>2025</v>
      </c>
      <c r="D5" s="30" t="n">
        <f aca="false">Model_Start_Year+1</f>
        <v>2026</v>
      </c>
      <c r="E5" s="30" t="n">
        <f aca="false">Model_Start_Year+2</f>
        <v>2027</v>
      </c>
      <c r="F5" s="30" t="n">
        <f aca="false">Model_Start_Year+3</f>
        <v>2028</v>
      </c>
      <c r="G5" s="30" t="n">
        <f aca="false">Model_Start_Year+4</f>
        <v>2029</v>
      </c>
    </row>
    <row r="6" customFormat="false" ht="15" hidden="false" customHeight="false" outlineLevel="0" collapsed="false">
      <c r="A6" s="5"/>
      <c r="B6" s="17" t="s">
        <v>170</v>
      </c>
      <c r="C6" s="31" t="n">
        <v>1</v>
      </c>
      <c r="D6" s="31" t="n">
        <v>2</v>
      </c>
      <c r="E6" s="31" t="n">
        <v>3</v>
      </c>
      <c r="F6" s="31" t="n">
        <v>4</v>
      </c>
      <c r="G6" s="31" t="n">
        <v>5</v>
      </c>
    </row>
    <row r="7" customFormat="false" ht="15" hidden="false" customHeight="false" outlineLevel="0" collapsed="false">
      <c r="A7" s="5"/>
      <c r="B7" s="32" t="s">
        <v>342</v>
      </c>
      <c r="C7" s="33"/>
      <c r="D7" s="33"/>
      <c r="E7" s="33"/>
      <c r="F7" s="33"/>
      <c r="G7" s="33"/>
    </row>
    <row r="8" customFormat="false" ht="15" hidden="false" customHeight="false" outlineLevel="0" collapsed="false">
      <c r="A8" s="5"/>
      <c r="B8" s="7" t="s">
        <v>343</v>
      </c>
      <c r="C8" s="46" t="b">
        <f aca="false">ABS(Balance_Sheet!C18-Balance_Sheet!C33)&lt;1</f>
        <v>1</v>
      </c>
      <c r="D8" s="46" t="b">
        <f aca="false">ABS(Balance_Sheet!D18-Balance_Sheet!D33)&lt;1</f>
        <v>1</v>
      </c>
      <c r="E8" s="46" t="b">
        <f aca="false">ABS(Balance_Sheet!E18-Balance_Sheet!E33)&lt;1</f>
        <v>1</v>
      </c>
      <c r="F8" s="46" t="b">
        <f aca="false">ABS(Balance_Sheet!F18-Balance_Sheet!F33)&lt;1</f>
        <v>1</v>
      </c>
      <c r="G8" s="46" t="b">
        <f aca="false">ABS(Balance_Sheet!G18-Balance_Sheet!G33)&lt;1</f>
        <v>1</v>
      </c>
    </row>
    <row r="9" customFormat="false" ht="15" hidden="false" customHeight="false" outlineLevel="0" collapsed="false">
      <c r="A9" s="5"/>
      <c r="B9" s="7" t="s">
        <v>344</v>
      </c>
      <c r="C9" s="47" t="b">
        <f aca="false">Cash_Flow!C38&gt;=0</f>
        <v>1</v>
      </c>
      <c r="D9" s="47" t="b">
        <f aca="false">Cash_Flow!D38&gt;=0</f>
        <v>1</v>
      </c>
      <c r="E9" s="47" t="b">
        <f aca="false">Cash_Flow!E38&gt;=0</f>
        <v>1</v>
      </c>
      <c r="F9" s="47" t="b">
        <f aca="false">Cash_Flow!F38&gt;=0</f>
        <v>1</v>
      </c>
      <c r="G9" s="47" t="b">
        <f aca="false">Cash_Flow!G38&gt;=0</f>
        <v>1</v>
      </c>
    </row>
    <row r="10" customFormat="false" ht="15" hidden="false" customHeight="false" outlineLevel="0" collapsed="false">
      <c r="A10" s="5"/>
      <c r="B10" s="7" t="s">
        <v>345</v>
      </c>
      <c r="C10" s="47" t="b">
        <f aca="false">Debt_Schedule!C15&lt;=Revolver_Limit</f>
        <v>1</v>
      </c>
      <c r="D10" s="47" t="b">
        <f aca="false">Debt_Schedule!D15&lt;=Revolver_Limit</f>
        <v>0</v>
      </c>
      <c r="E10" s="47" t="b">
        <f aca="false">Debt_Schedule!E15&lt;=Revolver_Limit</f>
        <v>1</v>
      </c>
      <c r="F10" s="47" t="b">
        <f aca="false">Debt_Schedule!F15&lt;=Revolver_Limit</f>
        <v>1</v>
      </c>
      <c r="G10" s="47" t="b">
        <f aca="false">Debt_Schedule!G15&lt;=Revolver_Limit</f>
        <v>1</v>
      </c>
    </row>
    <row r="11" customFormat="false" ht="15" hidden="false" customHeight="false" outlineLevel="0" collapsed="false">
      <c r="A11" s="5"/>
      <c r="B11" s="7" t="s">
        <v>346</v>
      </c>
      <c r="C11" s="47" t="b">
        <f aca="false">ABS(Cash_Flow!C12-Income_Statement!C32)&lt;1</f>
        <v>1</v>
      </c>
      <c r="D11" s="47" t="b">
        <f aca="false">ABS(Cash_Flow!D12-Income_Statement!D32)&lt;1</f>
        <v>1</v>
      </c>
      <c r="E11" s="47" t="b">
        <f aca="false">ABS(Cash_Flow!E12-Income_Statement!E32)&lt;1</f>
        <v>1</v>
      </c>
      <c r="F11" s="47" t="b">
        <f aca="false">ABS(Cash_Flow!F12-Income_Statement!F32)&lt;1</f>
        <v>1</v>
      </c>
      <c r="G11" s="47" t="b">
        <f aca="false">ABS(Cash_Flow!G12-Income_Statement!G32)&lt;1</f>
        <v>1</v>
      </c>
    </row>
    <row r="12" customFormat="false" ht="15" hidden="false" customHeight="false" outlineLevel="0" collapsed="false">
      <c r="A12" s="5"/>
      <c r="B12" s="7" t="s">
        <v>347</v>
      </c>
      <c r="C12" s="47" t="b">
        <f aca="false">ABS(Cash_Flow!C13-Income_Statement!C17)&lt;1</f>
        <v>1</v>
      </c>
      <c r="D12" s="47" t="b">
        <f aca="false">ABS(Cash_Flow!D13-Income_Statement!D17)&lt;1</f>
        <v>1</v>
      </c>
      <c r="E12" s="47" t="b">
        <f aca="false">ABS(Cash_Flow!E13-Income_Statement!E17)&lt;1</f>
        <v>1</v>
      </c>
      <c r="F12" s="47" t="b">
        <f aca="false">ABS(Cash_Flow!F13-Income_Statement!F17)&lt;1</f>
        <v>1</v>
      </c>
      <c r="G12" s="47" t="b">
        <f aca="false">ABS(Cash_Flow!G13-Income_Statement!G17)&lt;1</f>
        <v>1</v>
      </c>
    </row>
    <row r="13" customFormat="false" ht="15" hidden="false" customHeight="false" outlineLevel="0" collapsed="false">
      <c r="A13" s="5"/>
      <c r="B13" s="7" t="s">
        <v>348</v>
      </c>
      <c r="C13" s="47" t="b">
        <f aca="false">Income_Statement!C45&gt;=0</f>
        <v>1</v>
      </c>
      <c r="D13" s="47" t="b">
        <f aca="false">Income_Statement!D45&gt;=0</f>
        <v>1</v>
      </c>
      <c r="E13" s="47" t="b">
        <f aca="false">Income_Statement!E45&gt;=0</f>
        <v>1</v>
      </c>
      <c r="F13" s="47" t="b">
        <f aca="false">Income_Statement!F45&gt;=0</f>
        <v>1</v>
      </c>
      <c r="G13" s="47" t="b">
        <f aca="false">Income_Statement!G45&gt;=0</f>
        <v>1</v>
      </c>
    </row>
    <row r="14" customFormat="false" ht="15" hidden="false" customHeight="false" outlineLevel="0" collapsed="false">
      <c r="A14" s="5"/>
      <c r="B14" s="32" t="s">
        <v>349</v>
      </c>
      <c r="C14" s="33"/>
      <c r="D14" s="33"/>
      <c r="E14" s="33"/>
      <c r="F14" s="33"/>
      <c r="G14" s="33"/>
    </row>
    <row r="15" customFormat="false" ht="15" hidden="false" customHeight="false" outlineLevel="0" collapsed="false">
      <c r="A15" s="5"/>
      <c r="B15" s="48" t="s">
        <v>350</v>
      </c>
      <c r="C15" s="49" t="b">
        <f aca="false">ABS(SUM(Income_Statement!E17:G17)-Dev_Cost_Schedule!D16)&lt;1</f>
        <v>1</v>
      </c>
      <c r="D15" s="5"/>
      <c r="E15" s="5"/>
      <c r="F15" s="5"/>
      <c r="G15" s="5"/>
    </row>
    <row r="16" customFormat="false" ht="15" hidden="false" customHeight="false" outlineLevel="0" collapsed="false">
      <c r="A16" s="5"/>
      <c r="B16" s="48" t="s">
        <v>351</v>
      </c>
      <c r="C16" s="49" t="b">
        <f aca="false">AND(Income_Statement!C13=0,Income_Statement!D13=0)</f>
        <v>1</v>
      </c>
      <c r="D16" s="5"/>
      <c r="E16" s="5"/>
      <c r="F16" s="5"/>
      <c r="G16" s="5"/>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2E75B6"/>
    <pageSetUpPr fitToPage="false"/>
  </sheetPr>
  <dimension ref="A1:AD70"/>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2"/>
    <col collapsed="false" customWidth="true" hidden="false" outlineLevel="0" max="3" min="3" style="0" width="18"/>
    <col collapsed="false" customWidth="true" hidden="false" outlineLevel="0" max="4" min="4" style="0" width="10"/>
    <col collapsed="false" customWidth="true" hidden="false" outlineLevel="0" max="5" min="5" style="0" width="35"/>
  </cols>
  <sheetData>
    <row r="1" customFormat="false" ht="15" hidden="false" customHeight="false" outlineLevel="0" collapsed="false">
      <c r="A1" s="1"/>
      <c r="B1" s="1"/>
      <c r="C1" s="1"/>
      <c r="D1" s="1"/>
      <c r="E1" s="1"/>
      <c r="F1" s="1"/>
      <c r="G1" s="1"/>
      <c r="H1" s="1"/>
      <c r="I1" s="1"/>
      <c r="J1" s="1"/>
      <c r="K1" s="1"/>
      <c r="L1" s="1"/>
      <c r="M1" s="1"/>
      <c r="N1" s="1"/>
      <c r="O1" s="1"/>
      <c r="P1" s="1"/>
      <c r="Q1" s="1"/>
      <c r="R1" s="1"/>
      <c r="S1" s="1"/>
      <c r="T1" s="1"/>
      <c r="U1" s="1"/>
      <c r="V1" s="1"/>
      <c r="W1" s="1"/>
      <c r="X1" s="1"/>
      <c r="Y1" s="1"/>
      <c r="Z1" s="1"/>
      <c r="AA1" s="1"/>
      <c r="AB1" s="1"/>
      <c r="AC1" s="1"/>
      <c r="AD1" s="1"/>
    </row>
    <row r="2" customFormat="false" ht="21.75" hidden="false" customHeight="true" outlineLevel="0" collapsed="false">
      <c r="A2" s="1"/>
      <c r="B2" s="2" t="s">
        <v>16</v>
      </c>
      <c r="C2" s="1"/>
      <c r="D2" s="1"/>
      <c r="E2" s="1"/>
      <c r="F2" s="1"/>
      <c r="G2" s="1"/>
      <c r="H2" s="1"/>
      <c r="I2" s="1"/>
      <c r="J2" s="1"/>
      <c r="K2" s="1"/>
      <c r="L2" s="1"/>
      <c r="M2" s="1"/>
      <c r="N2" s="1"/>
      <c r="O2" s="1"/>
      <c r="P2" s="1"/>
      <c r="Q2" s="1"/>
      <c r="R2" s="1"/>
      <c r="S2" s="1"/>
      <c r="T2" s="1"/>
      <c r="U2" s="1"/>
      <c r="V2" s="1"/>
      <c r="W2" s="1"/>
      <c r="X2" s="1"/>
      <c r="Y2" s="1"/>
      <c r="Z2" s="1"/>
      <c r="AA2" s="1"/>
      <c r="AB2" s="1"/>
      <c r="AC2" s="1"/>
      <c r="AD2" s="1"/>
    </row>
    <row r="3" customFormat="false" ht="15" hidden="false" customHeight="false" outlineLevel="0" collapsed="false">
      <c r="A3" s="1"/>
      <c r="B3" s="4" t="s">
        <v>17</v>
      </c>
      <c r="C3" s="1"/>
      <c r="D3" s="1"/>
      <c r="E3" s="1"/>
      <c r="F3" s="1"/>
      <c r="G3" s="1"/>
      <c r="H3" s="1"/>
      <c r="I3" s="1"/>
      <c r="J3" s="1"/>
      <c r="K3" s="1"/>
      <c r="L3" s="1"/>
      <c r="M3" s="1"/>
      <c r="N3" s="1"/>
      <c r="O3" s="1"/>
      <c r="P3" s="1"/>
      <c r="Q3" s="1"/>
      <c r="R3" s="1"/>
      <c r="S3" s="1"/>
      <c r="T3" s="1"/>
      <c r="U3" s="1"/>
      <c r="V3" s="1"/>
      <c r="W3" s="1"/>
      <c r="X3" s="1"/>
      <c r="Y3" s="1"/>
      <c r="Z3" s="1"/>
      <c r="AA3" s="1"/>
      <c r="AB3" s="1"/>
      <c r="AC3" s="1"/>
      <c r="AD3" s="1"/>
    </row>
    <row r="4" customFormat="false" ht="15" hidden="false" customHeight="false" outlineLevel="0" collapsed="false">
      <c r="A4" s="5"/>
      <c r="B4" s="14" t="s">
        <v>18</v>
      </c>
      <c r="C4" s="14" t="s">
        <v>19</v>
      </c>
      <c r="D4" s="14" t="s">
        <v>20</v>
      </c>
      <c r="E4" s="14" t="s">
        <v>21</v>
      </c>
      <c r="F4" s="5"/>
      <c r="G4" s="5"/>
      <c r="H4" s="5"/>
      <c r="I4" s="5"/>
      <c r="J4" s="5"/>
      <c r="K4" s="5"/>
      <c r="L4" s="5"/>
      <c r="M4" s="5"/>
      <c r="N4" s="5"/>
      <c r="O4" s="5"/>
      <c r="P4" s="5"/>
      <c r="Q4" s="5"/>
      <c r="R4" s="5"/>
      <c r="S4" s="5"/>
      <c r="T4" s="5"/>
      <c r="U4" s="5"/>
      <c r="V4" s="5"/>
      <c r="W4" s="5"/>
      <c r="X4" s="5"/>
      <c r="Y4" s="5"/>
      <c r="Z4" s="5"/>
      <c r="AA4" s="5"/>
      <c r="AB4" s="5"/>
      <c r="AC4" s="5"/>
      <c r="AD4" s="5"/>
    </row>
    <row r="5" customFormat="false" ht="15" hidden="false" customHeight="false" outlineLevel="0" collapsed="false">
      <c r="A5" s="5"/>
      <c r="B5" s="8" t="s">
        <v>22</v>
      </c>
      <c r="C5" s="5"/>
      <c r="D5" s="5"/>
      <c r="E5" s="5"/>
      <c r="F5" s="5"/>
      <c r="G5" s="5"/>
      <c r="H5" s="5"/>
      <c r="I5" s="5"/>
      <c r="J5" s="5"/>
      <c r="K5" s="5"/>
      <c r="L5" s="5"/>
      <c r="M5" s="5"/>
      <c r="N5" s="5"/>
      <c r="O5" s="5"/>
      <c r="P5" s="5"/>
      <c r="Q5" s="5"/>
      <c r="R5" s="5"/>
      <c r="S5" s="5"/>
      <c r="T5" s="5"/>
      <c r="U5" s="5"/>
      <c r="V5" s="5"/>
      <c r="W5" s="5"/>
      <c r="X5" s="5"/>
      <c r="Y5" s="5"/>
      <c r="Z5" s="5"/>
      <c r="AA5" s="5"/>
      <c r="AB5" s="5"/>
      <c r="AC5" s="5"/>
      <c r="AD5" s="5"/>
    </row>
    <row r="6" customFormat="false" ht="15" hidden="false" customHeight="false" outlineLevel="0" collapsed="false">
      <c r="A6" s="5"/>
      <c r="B6" s="14" t="s">
        <v>23</v>
      </c>
      <c r="C6" s="15"/>
      <c r="D6" s="15"/>
      <c r="E6" s="15"/>
      <c r="F6" s="5"/>
      <c r="G6" s="5"/>
      <c r="H6" s="5"/>
      <c r="I6" s="5"/>
      <c r="J6" s="5"/>
      <c r="K6" s="5"/>
      <c r="L6" s="5"/>
      <c r="M6" s="5"/>
      <c r="N6" s="5"/>
      <c r="O6" s="5"/>
      <c r="P6" s="5"/>
      <c r="Q6" s="5"/>
      <c r="R6" s="5"/>
      <c r="S6" s="5"/>
      <c r="T6" s="5"/>
      <c r="U6" s="5"/>
      <c r="V6" s="5"/>
      <c r="W6" s="5"/>
      <c r="X6" s="5"/>
      <c r="Y6" s="5"/>
      <c r="Z6" s="5"/>
      <c r="AA6" s="5"/>
      <c r="AB6" s="5"/>
      <c r="AC6" s="5"/>
      <c r="AD6" s="5"/>
    </row>
    <row r="7" customFormat="false" ht="15" hidden="false" customHeight="false" outlineLevel="0" collapsed="false">
      <c r="A7" s="5"/>
      <c r="B7" s="7" t="s">
        <v>24</v>
      </c>
      <c r="C7" s="16" t="n">
        <v>2025</v>
      </c>
      <c r="D7" s="17" t="s">
        <v>25</v>
      </c>
      <c r="E7" s="17" t="s">
        <v>26</v>
      </c>
      <c r="F7" s="5"/>
      <c r="G7" s="5"/>
      <c r="H7" s="5"/>
      <c r="I7" s="5"/>
      <c r="J7" s="5"/>
      <c r="K7" s="5"/>
      <c r="L7" s="5"/>
      <c r="M7" s="5"/>
      <c r="N7" s="5"/>
      <c r="O7" s="5"/>
      <c r="P7" s="5"/>
      <c r="Q7" s="5"/>
      <c r="R7" s="5"/>
      <c r="S7" s="5"/>
      <c r="T7" s="5"/>
      <c r="U7" s="5"/>
      <c r="V7" s="5"/>
      <c r="W7" s="5"/>
      <c r="X7" s="5"/>
      <c r="Y7" s="5"/>
      <c r="Z7" s="5"/>
      <c r="AA7" s="5"/>
      <c r="AB7" s="5"/>
      <c r="AC7" s="5"/>
      <c r="AD7" s="5"/>
    </row>
    <row r="8" customFormat="false" ht="15" hidden="false" customHeight="false" outlineLevel="0" collapsed="false">
      <c r="A8" s="5"/>
      <c r="B8" s="7" t="s">
        <v>27</v>
      </c>
      <c r="C8" s="18" t="n">
        <v>0.25</v>
      </c>
      <c r="D8" s="17" t="s">
        <v>28</v>
      </c>
      <c r="E8" s="17" t="s">
        <v>29</v>
      </c>
      <c r="F8" s="5"/>
      <c r="G8" s="5"/>
      <c r="H8" s="5"/>
      <c r="I8" s="5"/>
      <c r="J8" s="5"/>
      <c r="K8" s="5"/>
      <c r="L8" s="5"/>
      <c r="M8" s="5"/>
      <c r="N8" s="5"/>
      <c r="O8" s="5"/>
      <c r="P8" s="5"/>
      <c r="Q8" s="5"/>
      <c r="R8" s="5"/>
      <c r="S8" s="5"/>
      <c r="T8" s="5"/>
      <c r="U8" s="5"/>
      <c r="V8" s="5"/>
      <c r="W8" s="5"/>
      <c r="X8" s="5"/>
      <c r="Y8" s="5"/>
      <c r="Z8" s="5"/>
      <c r="AA8" s="5"/>
      <c r="AB8" s="5"/>
      <c r="AC8" s="5"/>
      <c r="AD8" s="5"/>
    </row>
    <row r="9" customFormat="false" ht="15" hidden="false" customHeight="false" outlineLevel="0" collapsed="false">
      <c r="A9" s="5"/>
      <c r="B9" s="7" t="s">
        <v>30</v>
      </c>
      <c r="C9" s="19" t="n">
        <v>0</v>
      </c>
      <c r="D9" s="17" t="s">
        <v>31</v>
      </c>
      <c r="E9" s="17" t="s">
        <v>32</v>
      </c>
      <c r="F9" s="5"/>
      <c r="G9" s="5"/>
      <c r="H9" s="5"/>
      <c r="I9" s="5"/>
      <c r="J9" s="5"/>
      <c r="K9" s="5"/>
      <c r="L9" s="5"/>
      <c r="M9" s="5"/>
      <c r="N9" s="5"/>
      <c r="O9" s="5"/>
      <c r="P9" s="5"/>
      <c r="Q9" s="5"/>
      <c r="R9" s="5"/>
      <c r="S9" s="5"/>
      <c r="T9" s="5"/>
      <c r="U9" s="5"/>
      <c r="V9" s="5"/>
      <c r="W9" s="5"/>
      <c r="X9" s="5"/>
      <c r="Y9" s="5"/>
      <c r="Z9" s="5"/>
      <c r="AA9" s="5"/>
      <c r="AB9" s="5"/>
      <c r="AC9" s="5"/>
      <c r="AD9" s="5"/>
    </row>
    <row r="10" customFormat="false" ht="15" hidden="false" customHeight="false" outlineLevel="0" collapsed="false">
      <c r="A10" s="5"/>
      <c r="B10" s="7" t="s">
        <v>33</v>
      </c>
      <c r="C10" s="18" t="n">
        <v>0.03</v>
      </c>
      <c r="D10" s="17" t="s">
        <v>28</v>
      </c>
      <c r="E10" s="17" t="s">
        <v>34</v>
      </c>
      <c r="F10" s="5"/>
      <c r="G10" s="5"/>
      <c r="H10" s="5"/>
      <c r="I10" s="5"/>
      <c r="J10" s="5"/>
      <c r="K10" s="5"/>
      <c r="L10" s="5"/>
      <c r="M10" s="5"/>
      <c r="N10" s="5"/>
      <c r="O10" s="5"/>
      <c r="P10" s="5"/>
      <c r="Q10" s="5"/>
      <c r="R10" s="5"/>
      <c r="S10" s="5"/>
      <c r="T10" s="5"/>
      <c r="U10" s="5"/>
      <c r="V10" s="5"/>
      <c r="W10" s="5"/>
      <c r="X10" s="5"/>
      <c r="Y10" s="5"/>
      <c r="Z10" s="5"/>
      <c r="AA10" s="5"/>
      <c r="AB10" s="5"/>
      <c r="AC10" s="5"/>
      <c r="AD10" s="5"/>
    </row>
    <row r="11" customFormat="false" ht="15" hidden="false" customHeight="false" outlineLevel="0" collapsed="false">
      <c r="A11" s="5"/>
      <c r="B11" s="14" t="s">
        <v>35</v>
      </c>
      <c r="C11" s="15"/>
      <c r="D11" s="15"/>
      <c r="E11" s="15"/>
      <c r="F11" s="5"/>
      <c r="G11" s="5"/>
      <c r="H11" s="5"/>
      <c r="I11" s="5"/>
      <c r="J11" s="5"/>
      <c r="K11" s="5"/>
      <c r="L11" s="5"/>
      <c r="M11" s="5"/>
      <c r="N11" s="5"/>
      <c r="O11" s="5"/>
      <c r="P11" s="5"/>
      <c r="Q11" s="5"/>
      <c r="R11" s="5"/>
      <c r="S11" s="5"/>
      <c r="T11" s="5"/>
      <c r="U11" s="5"/>
      <c r="V11" s="5"/>
      <c r="W11" s="5"/>
      <c r="X11" s="5"/>
      <c r="Y11" s="5"/>
      <c r="Z11" s="5"/>
      <c r="AA11" s="5"/>
      <c r="AB11" s="5"/>
      <c r="AC11" s="5"/>
      <c r="AD11" s="5"/>
    </row>
    <row r="12" customFormat="false" ht="15" hidden="false" customHeight="false" outlineLevel="0" collapsed="false">
      <c r="A12" s="5"/>
      <c r="B12" s="7" t="s">
        <v>36</v>
      </c>
      <c r="C12" s="19" t="n">
        <v>1500000</v>
      </c>
      <c r="D12" s="17" t="s">
        <v>31</v>
      </c>
      <c r="E12" s="17" t="s">
        <v>37</v>
      </c>
      <c r="F12" s="5"/>
      <c r="G12" s="5"/>
      <c r="H12" s="5"/>
      <c r="I12" s="5"/>
      <c r="J12" s="5"/>
      <c r="K12" s="5"/>
      <c r="L12" s="5"/>
      <c r="M12" s="5"/>
      <c r="N12" s="5"/>
      <c r="O12" s="5"/>
      <c r="P12" s="5"/>
      <c r="Q12" s="5"/>
      <c r="R12" s="5"/>
      <c r="S12" s="5"/>
      <c r="T12" s="5"/>
      <c r="U12" s="5"/>
      <c r="V12" s="5"/>
      <c r="W12" s="5"/>
      <c r="X12" s="5"/>
      <c r="Y12" s="5"/>
      <c r="Z12" s="5"/>
      <c r="AA12" s="5"/>
      <c r="AB12" s="5"/>
      <c r="AC12" s="5"/>
      <c r="AD12" s="5"/>
    </row>
    <row r="13" customFormat="false" ht="15" hidden="false" customHeight="false" outlineLevel="0" collapsed="false">
      <c r="A13" s="5"/>
      <c r="B13" s="7" t="s">
        <v>38</v>
      </c>
      <c r="C13" s="19" t="n">
        <v>2000000</v>
      </c>
      <c r="D13" s="17" t="s">
        <v>31</v>
      </c>
      <c r="E13" s="17" t="s">
        <v>39</v>
      </c>
      <c r="F13" s="5"/>
      <c r="G13" s="5"/>
      <c r="H13" s="5"/>
      <c r="I13" s="5"/>
      <c r="J13" s="5"/>
      <c r="K13" s="5"/>
      <c r="L13" s="5"/>
      <c r="M13" s="5"/>
      <c r="N13" s="5"/>
      <c r="O13" s="5"/>
      <c r="P13" s="5"/>
      <c r="Q13" s="5"/>
      <c r="R13" s="5"/>
      <c r="S13" s="5"/>
      <c r="T13" s="5"/>
      <c r="U13" s="5"/>
      <c r="V13" s="5"/>
      <c r="W13" s="5"/>
      <c r="X13" s="5"/>
      <c r="Y13" s="5"/>
      <c r="Z13" s="5"/>
      <c r="AA13" s="5"/>
      <c r="AB13" s="5"/>
      <c r="AC13" s="5"/>
      <c r="AD13" s="5"/>
    </row>
    <row r="14" customFormat="false" ht="15" hidden="false" customHeight="false" outlineLevel="0" collapsed="false">
      <c r="A14" s="5"/>
      <c r="B14" s="7" t="s">
        <v>40</v>
      </c>
      <c r="C14" s="19" t="n">
        <f aca="false">Series_A_Raise</f>
        <v>1500000</v>
      </c>
      <c r="D14" s="8" t="s">
        <v>31</v>
      </c>
      <c r="E14" s="8" t="s">
        <v>41</v>
      </c>
      <c r="F14" s="5"/>
      <c r="G14" s="5"/>
      <c r="H14" s="5"/>
      <c r="I14" s="5"/>
      <c r="J14" s="5"/>
      <c r="K14" s="5"/>
      <c r="L14" s="5"/>
      <c r="M14" s="5"/>
      <c r="N14" s="5"/>
      <c r="O14" s="5"/>
      <c r="P14" s="5"/>
      <c r="Q14" s="5"/>
      <c r="R14" s="5"/>
      <c r="S14" s="5"/>
      <c r="T14" s="5"/>
      <c r="U14" s="5"/>
      <c r="V14" s="5"/>
      <c r="W14" s="5"/>
      <c r="X14" s="5"/>
      <c r="Y14" s="5"/>
      <c r="Z14" s="5"/>
      <c r="AA14" s="5"/>
      <c r="AB14" s="5"/>
      <c r="AC14" s="5"/>
      <c r="AD14" s="5"/>
    </row>
    <row r="15" customFormat="false" ht="15" hidden="false" customHeight="false" outlineLevel="0" collapsed="false">
      <c r="A15" s="5"/>
      <c r="B15" s="14" t="s">
        <v>42</v>
      </c>
      <c r="C15" s="15"/>
      <c r="D15" s="15"/>
      <c r="E15" s="15"/>
      <c r="F15" s="5"/>
      <c r="G15" s="5"/>
      <c r="H15" s="5"/>
      <c r="I15" s="5"/>
      <c r="J15" s="5"/>
      <c r="K15" s="5"/>
      <c r="L15" s="5"/>
      <c r="M15" s="5"/>
      <c r="N15" s="5"/>
      <c r="O15" s="5"/>
      <c r="P15" s="5"/>
      <c r="Q15" s="5"/>
      <c r="R15" s="5"/>
      <c r="S15" s="5"/>
      <c r="T15" s="5"/>
      <c r="U15" s="5"/>
      <c r="V15" s="5"/>
      <c r="W15" s="5"/>
      <c r="X15" s="5"/>
      <c r="Y15" s="5"/>
      <c r="Z15" s="5"/>
      <c r="AA15" s="5"/>
      <c r="AB15" s="5"/>
      <c r="AC15" s="5"/>
      <c r="AD15" s="5"/>
    </row>
    <row r="16" customFormat="false" ht="15" hidden="false" customHeight="false" outlineLevel="0" collapsed="false">
      <c r="A16" s="5"/>
      <c r="B16" s="7" t="s">
        <v>43</v>
      </c>
      <c r="C16" s="19" t="n">
        <v>250000</v>
      </c>
      <c r="D16" s="17" t="s">
        <v>44</v>
      </c>
      <c r="E16" s="17" t="s">
        <v>45</v>
      </c>
      <c r="F16" s="5"/>
      <c r="G16" s="5"/>
      <c r="H16" s="5"/>
      <c r="I16" s="5"/>
      <c r="J16" s="5"/>
      <c r="K16" s="5"/>
      <c r="L16" s="5"/>
      <c r="M16" s="5"/>
      <c r="N16" s="5"/>
      <c r="O16" s="5"/>
      <c r="P16" s="5"/>
      <c r="Q16" s="5"/>
      <c r="R16" s="5"/>
      <c r="S16" s="5"/>
      <c r="T16" s="5"/>
      <c r="U16" s="5"/>
      <c r="V16" s="5"/>
      <c r="W16" s="5"/>
      <c r="X16" s="5"/>
      <c r="Y16" s="5"/>
      <c r="Z16" s="5"/>
      <c r="AA16" s="5"/>
      <c r="AB16" s="5"/>
      <c r="AC16" s="5"/>
      <c r="AD16" s="5"/>
    </row>
    <row r="17" customFormat="false" ht="15" hidden="false" customHeight="false" outlineLevel="0" collapsed="false">
      <c r="A17" s="5"/>
      <c r="B17" s="7" t="s">
        <v>46</v>
      </c>
      <c r="C17" s="19" t="n">
        <v>75000</v>
      </c>
      <c r="D17" s="17" t="s">
        <v>44</v>
      </c>
      <c r="E17" s="17" t="s">
        <v>47</v>
      </c>
      <c r="F17" s="5"/>
      <c r="G17" s="5"/>
      <c r="H17" s="5"/>
      <c r="I17" s="5"/>
      <c r="J17" s="5"/>
      <c r="K17" s="5"/>
      <c r="L17" s="5"/>
      <c r="M17" s="5"/>
      <c r="N17" s="5"/>
      <c r="O17" s="5"/>
      <c r="P17" s="5"/>
      <c r="Q17" s="5"/>
      <c r="R17" s="5"/>
      <c r="S17" s="5"/>
      <c r="T17" s="5"/>
      <c r="U17" s="5"/>
      <c r="V17" s="5"/>
      <c r="W17" s="5"/>
      <c r="X17" s="5"/>
      <c r="Y17" s="5"/>
      <c r="Z17" s="5"/>
      <c r="AA17" s="5"/>
      <c r="AB17" s="5"/>
      <c r="AC17" s="5"/>
      <c r="AD17" s="5"/>
    </row>
    <row r="18" customFormat="false" ht="15" hidden="false" customHeight="false" outlineLevel="0" collapsed="false">
      <c r="A18" s="5"/>
      <c r="B18" s="7" t="s">
        <v>48</v>
      </c>
      <c r="C18" s="19" t="n">
        <v>40000</v>
      </c>
      <c r="D18" s="17" t="s">
        <v>44</v>
      </c>
      <c r="E18" s="17" t="s">
        <v>49</v>
      </c>
      <c r="F18" s="5"/>
      <c r="G18" s="5"/>
      <c r="H18" s="5"/>
      <c r="I18" s="5"/>
      <c r="J18" s="5"/>
      <c r="K18" s="5"/>
      <c r="L18" s="5"/>
      <c r="M18" s="5"/>
      <c r="N18" s="5"/>
      <c r="O18" s="5"/>
      <c r="P18" s="5"/>
      <c r="Q18" s="5"/>
      <c r="R18" s="5"/>
      <c r="S18" s="5"/>
      <c r="T18" s="5"/>
      <c r="U18" s="5"/>
      <c r="V18" s="5"/>
      <c r="W18" s="5"/>
      <c r="X18" s="5"/>
      <c r="Y18" s="5"/>
      <c r="Z18" s="5"/>
      <c r="AA18" s="5"/>
      <c r="AB18" s="5"/>
      <c r="AC18" s="5"/>
      <c r="AD18" s="5"/>
    </row>
    <row r="19" customFormat="false" ht="15" hidden="false" customHeight="false" outlineLevel="0" collapsed="false">
      <c r="A19" s="5"/>
      <c r="B19" s="7" t="s">
        <v>50</v>
      </c>
      <c r="C19" s="19" t="n">
        <v>34.99</v>
      </c>
      <c r="D19" s="17" t="s">
        <v>31</v>
      </c>
      <c r="E19" s="17" t="s">
        <v>51</v>
      </c>
      <c r="F19" s="5"/>
      <c r="G19" s="5"/>
      <c r="H19" s="5"/>
      <c r="I19" s="5"/>
      <c r="J19" s="5"/>
      <c r="K19" s="5"/>
      <c r="L19" s="5"/>
      <c r="M19" s="5"/>
      <c r="N19" s="5"/>
      <c r="O19" s="5"/>
      <c r="P19" s="5"/>
      <c r="Q19" s="5"/>
      <c r="R19" s="5"/>
      <c r="S19" s="5"/>
      <c r="T19" s="5"/>
      <c r="U19" s="5"/>
      <c r="V19" s="5"/>
      <c r="W19" s="5"/>
      <c r="X19" s="5"/>
      <c r="Y19" s="5"/>
      <c r="Z19" s="5"/>
      <c r="AA19" s="5"/>
      <c r="AB19" s="5"/>
      <c r="AC19" s="5"/>
      <c r="AD19" s="5"/>
    </row>
    <row r="20" customFormat="false" ht="15" hidden="false" customHeight="false" outlineLevel="0" collapsed="false">
      <c r="A20" s="5"/>
      <c r="B20" s="7" t="s">
        <v>52</v>
      </c>
      <c r="C20" s="18" t="n">
        <v>0.3</v>
      </c>
      <c r="D20" s="17" t="s">
        <v>28</v>
      </c>
      <c r="E20" s="17" t="s">
        <v>53</v>
      </c>
      <c r="F20" s="5"/>
      <c r="G20" s="5"/>
      <c r="H20" s="5"/>
      <c r="I20" s="5"/>
      <c r="J20" s="5"/>
      <c r="K20" s="5"/>
      <c r="L20" s="5"/>
      <c r="M20" s="5"/>
      <c r="N20" s="5"/>
      <c r="O20" s="5"/>
      <c r="P20" s="5"/>
      <c r="Q20" s="5"/>
      <c r="R20" s="5"/>
      <c r="S20" s="5"/>
      <c r="T20" s="5"/>
      <c r="U20" s="5"/>
      <c r="V20" s="5"/>
      <c r="W20" s="5"/>
      <c r="X20" s="5"/>
      <c r="Y20" s="5"/>
      <c r="Z20" s="5"/>
      <c r="AA20" s="5"/>
      <c r="AB20" s="5"/>
      <c r="AC20" s="5"/>
      <c r="AD20" s="5"/>
    </row>
    <row r="21" customFormat="false" ht="15" hidden="false" customHeight="false" outlineLevel="0" collapsed="false">
      <c r="A21" s="5"/>
      <c r="B21" s="7" t="s">
        <v>54</v>
      </c>
      <c r="C21" s="18" t="n">
        <v>0.05</v>
      </c>
      <c r="D21" s="17" t="s">
        <v>28</v>
      </c>
      <c r="E21" s="17" t="s">
        <v>55</v>
      </c>
      <c r="F21" s="5"/>
      <c r="G21" s="5"/>
      <c r="H21" s="5"/>
      <c r="I21" s="5"/>
      <c r="J21" s="5"/>
      <c r="K21" s="5"/>
      <c r="L21" s="5"/>
      <c r="M21" s="5"/>
      <c r="N21" s="5"/>
      <c r="O21" s="5"/>
      <c r="P21" s="5"/>
      <c r="Q21" s="5"/>
      <c r="R21" s="5"/>
      <c r="S21" s="5"/>
      <c r="T21" s="5"/>
      <c r="U21" s="5"/>
      <c r="V21" s="5"/>
      <c r="W21" s="5"/>
      <c r="X21" s="5"/>
      <c r="Y21" s="5"/>
      <c r="Z21" s="5"/>
      <c r="AA21" s="5"/>
      <c r="AB21" s="5"/>
      <c r="AC21" s="5"/>
      <c r="AD21" s="5"/>
    </row>
    <row r="22" customFormat="false" ht="15" hidden="false" customHeight="false" outlineLevel="0" collapsed="false">
      <c r="A22" s="5"/>
      <c r="B22" s="7" t="s">
        <v>56</v>
      </c>
      <c r="C22" s="19" t="n">
        <v>2</v>
      </c>
      <c r="D22" s="17" t="s">
        <v>57</v>
      </c>
      <c r="E22" s="17" t="s">
        <v>58</v>
      </c>
      <c r="F22" s="5"/>
      <c r="G22" s="5"/>
      <c r="H22" s="5"/>
      <c r="I22" s="5"/>
      <c r="J22" s="5"/>
      <c r="K22" s="5"/>
      <c r="L22" s="5"/>
      <c r="M22" s="5"/>
      <c r="N22" s="5"/>
      <c r="O22" s="5"/>
      <c r="P22" s="5"/>
      <c r="Q22" s="5"/>
      <c r="R22" s="5"/>
      <c r="S22" s="5"/>
      <c r="T22" s="5"/>
      <c r="U22" s="5"/>
      <c r="V22" s="5"/>
      <c r="W22" s="5"/>
      <c r="X22" s="5"/>
      <c r="Y22" s="5"/>
      <c r="Z22" s="5"/>
      <c r="AA22" s="5"/>
      <c r="AB22" s="5"/>
      <c r="AC22" s="5"/>
      <c r="AD22" s="5"/>
    </row>
    <row r="23" customFormat="false" ht="15" hidden="false" customHeight="false" outlineLevel="0" collapsed="false">
      <c r="A23" s="5"/>
      <c r="B23" s="7" t="s">
        <v>59</v>
      </c>
      <c r="C23" s="19" t="n">
        <v>1</v>
      </c>
      <c r="D23" s="17" t="s">
        <v>57</v>
      </c>
      <c r="E23" s="17" t="s">
        <v>60</v>
      </c>
      <c r="F23" s="5"/>
      <c r="G23" s="5"/>
      <c r="H23" s="5"/>
      <c r="I23" s="5"/>
      <c r="J23" s="5"/>
      <c r="K23" s="5"/>
      <c r="L23" s="5"/>
      <c r="M23" s="5"/>
      <c r="N23" s="5"/>
      <c r="O23" s="5"/>
      <c r="P23" s="5"/>
      <c r="Q23" s="5"/>
      <c r="R23" s="5"/>
      <c r="S23" s="5"/>
      <c r="T23" s="5"/>
      <c r="U23" s="5"/>
      <c r="V23" s="5"/>
      <c r="W23" s="5"/>
      <c r="X23" s="5"/>
      <c r="Y23" s="5"/>
      <c r="Z23" s="5"/>
      <c r="AA23" s="5"/>
      <c r="AB23" s="5"/>
      <c r="AC23" s="5"/>
      <c r="AD23" s="5"/>
    </row>
    <row r="24" customFormat="false" ht="15" hidden="false" customHeight="false" outlineLevel="0" collapsed="false">
      <c r="A24" s="5"/>
      <c r="B24" s="7" t="s">
        <v>61</v>
      </c>
      <c r="C24" s="18" t="n">
        <v>0.18</v>
      </c>
      <c r="D24" s="17" t="s">
        <v>28</v>
      </c>
      <c r="E24" s="17" t="s">
        <v>62</v>
      </c>
      <c r="F24" s="5"/>
      <c r="G24" s="5"/>
      <c r="H24" s="5"/>
      <c r="I24" s="5"/>
      <c r="J24" s="5"/>
      <c r="K24" s="5"/>
      <c r="L24" s="5"/>
      <c r="M24" s="5"/>
      <c r="N24" s="5"/>
      <c r="O24" s="5"/>
      <c r="P24" s="5"/>
      <c r="Q24" s="5"/>
      <c r="R24" s="5"/>
      <c r="S24" s="5"/>
      <c r="T24" s="5"/>
      <c r="U24" s="5"/>
      <c r="V24" s="5"/>
      <c r="W24" s="5"/>
      <c r="X24" s="5"/>
      <c r="Y24" s="5"/>
      <c r="Z24" s="5"/>
      <c r="AA24" s="5"/>
      <c r="AB24" s="5"/>
      <c r="AC24" s="5"/>
      <c r="AD24" s="5"/>
    </row>
    <row r="25" customFormat="false" ht="15" hidden="false" customHeight="false" outlineLevel="0" collapsed="false">
      <c r="A25" s="5"/>
      <c r="B25" s="7" t="s">
        <v>63</v>
      </c>
      <c r="C25" s="19" t="n">
        <v>8.99</v>
      </c>
      <c r="D25" s="17" t="s">
        <v>31</v>
      </c>
      <c r="E25" s="17" t="s">
        <v>64</v>
      </c>
      <c r="F25" s="5"/>
      <c r="G25" s="5"/>
      <c r="H25" s="5"/>
      <c r="I25" s="5"/>
      <c r="J25" s="5"/>
      <c r="K25" s="5"/>
      <c r="L25" s="5"/>
      <c r="M25" s="5"/>
      <c r="N25" s="5"/>
      <c r="O25" s="5"/>
      <c r="P25" s="5"/>
      <c r="Q25" s="5"/>
      <c r="R25" s="5"/>
      <c r="S25" s="5"/>
      <c r="T25" s="5"/>
      <c r="U25" s="5"/>
      <c r="V25" s="5"/>
      <c r="W25" s="5"/>
      <c r="X25" s="5"/>
      <c r="Y25" s="5"/>
      <c r="Z25" s="5"/>
      <c r="AA25" s="5"/>
      <c r="AB25" s="5"/>
      <c r="AC25" s="5"/>
      <c r="AD25" s="5"/>
    </row>
    <row r="26" customFormat="false" ht="15" hidden="false" customHeight="false" outlineLevel="0" collapsed="false">
      <c r="A26" s="5"/>
      <c r="B26" s="7" t="s">
        <v>65</v>
      </c>
      <c r="C26" s="18" t="n">
        <v>0.2</v>
      </c>
      <c r="D26" s="17" t="s">
        <v>28</v>
      </c>
      <c r="E26" s="17" t="s">
        <v>66</v>
      </c>
      <c r="F26" s="5"/>
      <c r="G26" s="5"/>
      <c r="H26" s="5"/>
      <c r="I26" s="5"/>
      <c r="J26" s="5"/>
      <c r="K26" s="5"/>
      <c r="L26" s="5"/>
      <c r="M26" s="5"/>
      <c r="N26" s="5"/>
      <c r="O26" s="5"/>
      <c r="P26" s="5"/>
      <c r="Q26" s="5"/>
      <c r="R26" s="5"/>
      <c r="S26" s="5"/>
      <c r="T26" s="5"/>
      <c r="U26" s="5"/>
      <c r="V26" s="5"/>
      <c r="W26" s="5"/>
      <c r="X26" s="5"/>
      <c r="Y26" s="5"/>
      <c r="Z26" s="5"/>
      <c r="AA26" s="5"/>
      <c r="AB26" s="5"/>
      <c r="AC26" s="5"/>
      <c r="AD26" s="5"/>
    </row>
    <row r="27" customFormat="false" ht="15" hidden="false" customHeight="false" outlineLevel="0" collapsed="false">
      <c r="A27" s="5"/>
      <c r="B27" s="7" t="s">
        <v>67</v>
      </c>
      <c r="C27" s="18" t="n">
        <v>0.35</v>
      </c>
      <c r="D27" s="17" t="s">
        <v>28</v>
      </c>
      <c r="E27" s="17" t="s">
        <v>68</v>
      </c>
      <c r="F27" s="5"/>
      <c r="G27" s="5"/>
      <c r="H27" s="5"/>
      <c r="I27" s="5"/>
      <c r="J27" s="5"/>
      <c r="K27" s="5"/>
      <c r="L27" s="5"/>
      <c r="M27" s="5"/>
      <c r="N27" s="5"/>
      <c r="O27" s="5"/>
      <c r="P27" s="5"/>
      <c r="Q27" s="5"/>
      <c r="R27" s="5"/>
      <c r="S27" s="5"/>
      <c r="T27" s="5"/>
      <c r="U27" s="5"/>
      <c r="V27" s="5"/>
      <c r="W27" s="5"/>
      <c r="X27" s="5"/>
      <c r="Y27" s="5"/>
      <c r="Z27" s="5"/>
      <c r="AA27" s="5"/>
      <c r="AB27" s="5"/>
      <c r="AC27" s="5"/>
      <c r="AD27" s="5"/>
    </row>
    <row r="28" customFormat="false" ht="15" hidden="false" customHeight="false" outlineLevel="0" collapsed="false">
      <c r="A28" s="5"/>
      <c r="B28" s="7" t="s">
        <v>69</v>
      </c>
      <c r="C28" s="18" t="n">
        <v>0.4</v>
      </c>
      <c r="D28" s="17" t="s">
        <v>28</v>
      </c>
      <c r="E28" s="17" t="s">
        <v>70</v>
      </c>
      <c r="F28" s="5"/>
      <c r="G28" s="5"/>
      <c r="H28" s="5"/>
      <c r="I28" s="5"/>
      <c r="J28" s="5"/>
      <c r="K28" s="5"/>
      <c r="L28" s="5"/>
      <c r="M28" s="5"/>
      <c r="N28" s="5"/>
      <c r="O28" s="5"/>
      <c r="P28" s="5"/>
      <c r="Q28" s="5"/>
      <c r="R28" s="5"/>
      <c r="S28" s="5"/>
      <c r="T28" s="5"/>
      <c r="U28" s="5"/>
      <c r="V28" s="5"/>
      <c r="W28" s="5"/>
      <c r="X28" s="5"/>
      <c r="Y28" s="5"/>
      <c r="Z28" s="5"/>
      <c r="AA28" s="5"/>
      <c r="AB28" s="5"/>
      <c r="AC28" s="5"/>
      <c r="AD28" s="5"/>
    </row>
    <row r="29" customFormat="false" ht="15" hidden="false" customHeight="false" outlineLevel="0" collapsed="false">
      <c r="A29" s="5"/>
      <c r="B29" s="7" t="s">
        <v>71</v>
      </c>
      <c r="C29" s="19" t="n">
        <v>1.8</v>
      </c>
      <c r="D29" s="17" t="s">
        <v>31</v>
      </c>
      <c r="E29" s="17" t="s">
        <v>72</v>
      </c>
      <c r="F29" s="5"/>
      <c r="G29" s="5"/>
      <c r="H29" s="5"/>
      <c r="I29" s="5"/>
      <c r="J29" s="5"/>
      <c r="K29" s="5"/>
      <c r="L29" s="5"/>
      <c r="M29" s="5"/>
      <c r="N29" s="5"/>
      <c r="O29" s="5"/>
      <c r="P29" s="5"/>
      <c r="Q29" s="5"/>
      <c r="R29" s="5"/>
      <c r="S29" s="5"/>
      <c r="T29" s="5"/>
      <c r="U29" s="5"/>
      <c r="V29" s="5"/>
      <c r="W29" s="5"/>
      <c r="X29" s="5"/>
      <c r="Y29" s="5"/>
      <c r="Z29" s="5"/>
      <c r="AA29" s="5"/>
      <c r="AB29" s="5"/>
      <c r="AC29" s="5"/>
      <c r="AD29" s="5"/>
    </row>
    <row r="30" customFormat="false" ht="15" hidden="false" customHeight="false" outlineLevel="0" collapsed="false">
      <c r="A30" s="5"/>
      <c r="B30" s="7" t="s">
        <v>73</v>
      </c>
      <c r="C30" s="19" t="n">
        <v>2.2</v>
      </c>
      <c r="D30" s="17" t="s">
        <v>31</v>
      </c>
      <c r="E30" s="17" t="s">
        <v>74</v>
      </c>
      <c r="F30" s="5"/>
      <c r="G30" s="5"/>
      <c r="H30" s="5"/>
      <c r="I30" s="5"/>
      <c r="J30" s="5"/>
      <c r="K30" s="5"/>
      <c r="L30" s="5"/>
      <c r="M30" s="5"/>
      <c r="N30" s="5"/>
      <c r="O30" s="5"/>
      <c r="P30" s="5"/>
      <c r="Q30" s="5"/>
      <c r="R30" s="5"/>
      <c r="S30" s="5"/>
      <c r="T30" s="5"/>
      <c r="U30" s="5"/>
      <c r="V30" s="5"/>
      <c r="W30" s="5"/>
      <c r="X30" s="5"/>
      <c r="Y30" s="5"/>
      <c r="Z30" s="5"/>
      <c r="AA30" s="5"/>
      <c r="AB30" s="5"/>
      <c r="AC30" s="5"/>
      <c r="AD30" s="5"/>
    </row>
    <row r="31" customFormat="false" ht="15" hidden="false" customHeight="false" outlineLevel="0" collapsed="false">
      <c r="A31" s="5"/>
      <c r="B31" s="7" t="s">
        <v>75</v>
      </c>
      <c r="C31" s="19" t="n">
        <v>2.5</v>
      </c>
      <c r="D31" s="17" t="s">
        <v>31</v>
      </c>
      <c r="E31" s="17" t="s">
        <v>76</v>
      </c>
      <c r="F31" s="5"/>
      <c r="G31" s="5"/>
      <c r="H31" s="5"/>
      <c r="I31" s="5"/>
      <c r="J31" s="5"/>
      <c r="K31" s="5"/>
      <c r="L31" s="5"/>
      <c r="M31" s="5"/>
      <c r="N31" s="5"/>
      <c r="O31" s="5"/>
      <c r="P31" s="5"/>
      <c r="Q31" s="5"/>
      <c r="R31" s="5"/>
      <c r="S31" s="5"/>
      <c r="T31" s="5"/>
      <c r="U31" s="5"/>
      <c r="V31" s="5"/>
      <c r="W31" s="5"/>
      <c r="X31" s="5"/>
      <c r="Y31" s="5"/>
      <c r="Z31" s="5"/>
      <c r="AA31" s="5"/>
      <c r="AB31" s="5"/>
      <c r="AC31" s="5"/>
      <c r="AD31" s="5"/>
    </row>
    <row r="32" customFormat="false" ht="15" hidden="false" customHeight="false" outlineLevel="0" collapsed="false">
      <c r="A32" s="5"/>
      <c r="B32" s="7" t="s">
        <v>77</v>
      </c>
      <c r="C32" s="19" t="n">
        <v>7.99</v>
      </c>
      <c r="D32" s="17" t="s">
        <v>31</v>
      </c>
      <c r="E32" s="17" t="s">
        <v>78</v>
      </c>
      <c r="F32" s="5"/>
      <c r="G32" s="5"/>
      <c r="H32" s="5"/>
      <c r="I32" s="5"/>
      <c r="J32" s="5"/>
      <c r="K32" s="5"/>
      <c r="L32" s="5"/>
      <c r="M32" s="5"/>
      <c r="N32" s="5"/>
      <c r="O32" s="5"/>
      <c r="P32" s="5"/>
      <c r="Q32" s="5"/>
      <c r="R32" s="5"/>
      <c r="S32" s="5"/>
      <c r="T32" s="5"/>
      <c r="U32" s="5"/>
      <c r="V32" s="5"/>
      <c r="W32" s="5"/>
      <c r="X32" s="5"/>
      <c r="Y32" s="5"/>
      <c r="Z32" s="5"/>
      <c r="AA32" s="5"/>
      <c r="AB32" s="5"/>
      <c r="AC32" s="5"/>
      <c r="AD32" s="5"/>
    </row>
    <row r="33" customFormat="false" ht="15" hidden="false" customHeight="false" outlineLevel="0" collapsed="false">
      <c r="A33" s="5"/>
      <c r="B33" s="7" t="s">
        <v>79</v>
      </c>
      <c r="C33" s="19" t="n">
        <v>2</v>
      </c>
      <c r="D33" s="17" t="s">
        <v>57</v>
      </c>
      <c r="E33" s="17" t="s">
        <v>80</v>
      </c>
      <c r="F33" s="5"/>
      <c r="G33" s="5"/>
      <c r="H33" s="5"/>
      <c r="I33" s="5"/>
      <c r="J33" s="5"/>
      <c r="K33" s="5"/>
      <c r="L33" s="5"/>
      <c r="M33" s="5"/>
      <c r="N33" s="5"/>
      <c r="O33" s="5"/>
      <c r="P33" s="5"/>
      <c r="Q33" s="5"/>
      <c r="R33" s="5"/>
      <c r="S33" s="5"/>
      <c r="T33" s="5"/>
      <c r="U33" s="5"/>
      <c r="V33" s="5"/>
      <c r="W33" s="5"/>
      <c r="X33" s="5"/>
      <c r="Y33" s="5"/>
      <c r="Z33" s="5"/>
      <c r="AA33" s="5"/>
      <c r="AB33" s="5"/>
      <c r="AC33" s="5"/>
      <c r="AD33" s="5"/>
    </row>
    <row r="34" customFormat="false" ht="15" hidden="false" customHeight="false" outlineLevel="0" collapsed="false">
      <c r="A34" s="5"/>
      <c r="B34" s="7" t="s">
        <v>81</v>
      </c>
      <c r="C34" s="18" t="n">
        <v>0.12</v>
      </c>
      <c r="D34" s="17" t="s">
        <v>28</v>
      </c>
      <c r="E34" s="17" t="s">
        <v>82</v>
      </c>
      <c r="F34" s="5"/>
      <c r="G34" s="5"/>
      <c r="H34" s="5"/>
      <c r="I34" s="5"/>
      <c r="J34" s="5"/>
      <c r="K34" s="5"/>
      <c r="L34" s="5"/>
      <c r="M34" s="5"/>
      <c r="N34" s="5"/>
      <c r="O34" s="5"/>
      <c r="P34" s="5"/>
      <c r="Q34" s="5"/>
      <c r="R34" s="5"/>
      <c r="S34" s="5"/>
      <c r="T34" s="5"/>
      <c r="U34" s="5"/>
      <c r="V34" s="5"/>
      <c r="W34" s="5"/>
      <c r="X34" s="5"/>
      <c r="Y34" s="5"/>
      <c r="Z34" s="5"/>
      <c r="AA34" s="5"/>
      <c r="AB34" s="5"/>
      <c r="AC34" s="5"/>
      <c r="AD34" s="5"/>
    </row>
    <row r="35" customFormat="false" ht="15" hidden="false" customHeight="false" outlineLevel="0" collapsed="false">
      <c r="A35" s="5"/>
      <c r="B35" s="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row>
    <row r="36" customFormat="false" ht="15" hidden="false" customHeight="false" outlineLevel="0" collapsed="false">
      <c r="A36" s="5"/>
      <c r="B36" s="5"/>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row>
    <row r="37" customFormat="false" ht="15" hidden="false" customHeight="false" outlineLevel="0" collapsed="false">
      <c r="A37" s="5"/>
      <c r="B37" s="14" t="s">
        <v>83</v>
      </c>
      <c r="C37" s="15"/>
      <c r="D37" s="15"/>
      <c r="E37" s="15"/>
      <c r="F37" s="5"/>
      <c r="G37" s="5"/>
      <c r="H37" s="5"/>
      <c r="I37" s="5"/>
      <c r="J37" s="5"/>
      <c r="K37" s="5"/>
      <c r="L37" s="5"/>
      <c r="M37" s="5"/>
      <c r="N37" s="5"/>
      <c r="O37" s="5"/>
      <c r="P37" s="5"/>
      <c r="Q37" s="5"/>
      <c r="R37" s="5"/>
      <c r="S37" s="5"/>
      <c r="T37" s="5"/>
      <c r="U37" s="5"/>
      <c r="V37" s="5"/>
      <c r="W37" s="5"/>
      <c r="X37" s="5"/>
      <c r="Y37" s="5"/>
      <c r="Z37" s="5"/>
      <c r="AA37" s="5"/>
      <c r="AB37" s="5"/>
      <c r="AC37" s="5"/>
      <c r="AD37" s="5"/>
    </row>
    <row r="38" customFormat="false" ht="15" hidden="false" customHeight="false" outlineLevel="0" collapsed="false">
      <c r="A38" s="5"/>
      <c r="B38" s="7" t="s">
        <v>84</v>
      </c>
      <c r="C38" s="19" t="n">
        <v>72000</v>
      </c>
      <c r="D38" s="17" t="s">
        <v>31</v>
      </c>
      <c r="E38" s="17" t="s">
        <v>85</v>
      </c>
      <c r="F38" s="5"/>
      <c r="G38" s="5"/>
      <c r="H38" s="5"/>
      <c r="I38" s="5"/>
      <c r="J38" s="5"/>
      <c r="K38" s="5"/>
      <c r="L38" s="5"/>
      <c r="M38" s="5"/>
      <c r="N38" s="5"/>
      <c r="O38" s="5"/>
      <c r="P38" s="5"/>
      <c r="Q38" s="5"/>
      <c r="R38" s="5"/>
      <c r="S38" s="5"/>
      <c r="T38" s="5"/>
      <c r="U38" s="5"/>
      <c r="V38" s="5"/>
      <c r="W38" s="5"/>
      <c r="X38" s="5"/>
      <c r="Y38" s="5"/>
      <c r="Z38" s="5"/>
      <c r="AA38" s="5"/>
      <c r="AB38" s="5"/>
      <c r="AC38" s="5"/>
      <c r="AD38" s="5"/>
    </row>
    <row r="39" customFormat="false" ht="15" hidden="false" customHeight="false" outlineLevel="0" collapsed="false">
      <c r="A39" s="5"/>
      <c r="B39" s="7" t="s">
        <v>86</v>
      </c>
      <c r="C39" s="19" t="n">
        <v>58000</v>
      </c>
      <c r="D39" s="17" t="s">
        <v>31</v>
      </c>
      <c r="E39" s="17" t="s">
        <v>87</v>
      </c>
      <c r="F39" s="5"/>
      <c r="G39" s="5"/>
      <c r="H39" s="5"/>
      <c r="I39" s="5"/>
      <c r="J39" s="5"/>
      <c r="K39" s="5"/>
      <c r="L39" s="5"/>
      <c r="M39" s="5"/>
      <c r="N39" s="5"/>
      <c r="O39" s="5"/>
      <c r="P39" s="5"/>
      <c r="Q39" s="5"/>
      <c r="R39" s="5"/>
      <c r="S39" s="5"/>
      <c r="T39" s="5"/>
      <c r="U39" s="5"/>
      <c r="V39" s="5"/>
      <c r="W39" s="5"/>
      <c r="X39" s="5"/>
      <c r="Y39" s="5"/>
      <c r="Z39" s="5"/>
      <c r="AA39" s="5"/>
      <c r="AB39" s="5"/>
      <c r="AC39" s="5"/>
      <c r="AD39" s="5"/>
    </row>
    <row r="40" customFormat="false" ht="15" hidden="false" customHeight="false" outlineLevel="0" collapsed="false">
      <c r="A40" s="5"/>
      <c r="B40" s="7" t="s">
        <v>88</v>
      </c>
      <c r="C40" s="19" t="n">
        <v>42000</v>
      </c>
      <c r="D40" s="17" t="s">
        <v>31</v>
      </c>
      <c r="E40" s="17" t="s">
        <v>89</v>
      </c>
      <c r="F40" s="5"/>
      <c r="G40" s="5"/>
      <c r="H40" s="5"/>
      <c r="I40" s="5"/>
      <c r="J40" s="5"/>
      <c r="K40" s="5"/>
      <c r="L40" s="5"/>
      <c r="M40" s="5"/>
      <c r="N40" s="5"/>
      <c r="O40" s="5"/>
      <c r="P40" s="5"/>
      <c r="Q40" s="5"/>
      <c r="R40" s="5"/>
      <c r="S40" s="5"/>
      <c r="T40" s="5"/>
      <c r="U40" s="5"/>
      <c r="V40" s="5"/>
      <c r="W40" s="5"/>
      <c r="X40" s="5"/>
      <c r="Y40" s="5"/>
      <c r="Z40" s="5"/>
      <c r="AA40" s="5"/>
      <c r="AB40" s="5"/>
      <c r="AC40" s="5"/>
      <c r="AD40" s="5"/>
    </row>
    <row r="41" customFormat="false" ht="15" hidden="false" customHeight="false" outlineLevel="0" collapsed="false">
      <c r="A41" s="5"/>
      <c r="B41" s="7" t="s">
        <v>90</v>
      </c>
      <c r="C41" s="19" t="n">
        <v>52000</v>
      </c>
      <c r="D41" s="17" t="s">
        <v>31</v>
      </c>
      <c r="E41" s="17" t="s">
        <v>91</v>
      </c>
      <c r="F41" s="5"/>
      <c r="G41" s="5"/>
      <c r="H41" s="5"/>
      <c r="I41" s="5"/>
      <c r="J41" s="5"/>
      <c r="K41" s="5"/>
      <c r="L41" s="5"/>
      <c r="M41" s="5"/>
      <c r="N41" s="5"/>
      <c r="O41" s="5"/>
      <c r="P41" s="5"/>
      <c r="Q41" s="5"/>
      <c r="R41" s="5"/>
      <c r="S41" s="5"/>
      <c r="T41" s="5"/>
      <c r="U41" s="5"/>
      <c r="V41" s="5"/>
      <c r="W41" s="5"/>
      <c r="X41" s="5"/>
      <c r="Y41" s="5"/>
      <c r="Z41" s="5"/>
      <c r="AA41" s="5"/>
      <c r="AB41" s="5"/>
      <c r="AC41" s="5"/>
      <c r="AD41" s="5"/>
    </row>
    <row r="42" customFormat="false" ht="15" hidden="false" customHeight="false" outlineLevel="0" collapsed="false">
      <c r="A42" s="5"/>
      <c r="B42" s="7" t="s">
        <v>92</v>
      </c>
      <c r="C42" s="18" t="n">
        <v>0.138</v>
      </c>
      <c r="D42" s="17" t="s">
        <v>28</v>
      </c>
      <c r="E42" s="17" t="s">
        <v>93</v>
      </c>
      <c r="F42" s="5"/>
      <c r="G42" s="5"/>
      <c r="H42" s="5"/>
      <c r="I42" s="5"/>
      <c r="J42" s="5"/>
      <c r="K42" s="5"/>
      <c r="L42" s="5"/>
      <c r="M42" s="5"/>
      <c r="N42" s="5"/>
      <c r="O42" s="5"/>
      <c r="P42" s="5"/>
      <c r="Q42" s="5"/>
      <c r="R42" s="5"/>
      <c r="S42" s="5"/>
      <c r="T42" s="5"/>
      <c r="U42" s="5"/>
      <c r="V42" s="5"/>
      <c r="W42" s="5"/>
      <c r="X42" s="5"/>
      <c r="Y42" s="5"/>
      <c r="Z42" s="5"/>
      <c r="AA42" s="5"/>
      <c r="AB42" s="5"/>
      <c r="AC42" s="5"/>
      <c r="AD42" s="5"/>
    </row>
    <row r="43" customFormat="false" ht="15" hidden="false" customHeight="false" outlineLevel="0" collapsed="false">
      <c r="A43" s="5"/>
      <c r="B43" s="7" t="s">
        <v>94</v>
      </c>
      <c r="C43" s="19" t="n">
        <v>8</v>
      </c>
      <c r="D43" s="17" t="s">
        <v>95</v>
      </c>
      <c r="E43" s="17" t="s">
        <v>96</v>
      </c>
      <c r="F43" s="5"/>
      <c r="G43" s="5"/>
      <c r="H43" s="5"/>
      <c r="I43" s="5"/>
      <c r="J43" s="5"/>
      <c r="K43" s="5"/>
      <c r="L43" s="5"/>
      <c r="M43" s="5"/>
      <c r="N43" s="5"/>
      <c r="O43" s="5"/>
      <c r="P43" s="5"/>
      <c r="Q43" s="5"/>
      <c r="R43" s="5"/>
      <c r="S43" s="5"/>
      <c r="T43" s="5"/>
      <c r="U43" s="5"/>
      <c r="V43" s="5"/>
      <c r="W43" s="5"/>
      <c r="X43" s="5"/>
      <c r="Y43" s="5"/>
      <c r="Z43" s="5"/>
      <c r="AA43" s="5"/>
      <c r="AB43" s="5"/>
      <c r="AC43" s="5"/>
      <c r="AD43" s="5"/>
    </row>
    <row r="44" customFormat="false" ht="15" hidden="false" customHeight="false" outlineLevel="0" collapsed="false">
      <c r="A44" s="5"/>
      <c r="B44" s="7" t="s">
        <v>97</v>
      </c>
      <c r="C44" s="19" t="n">
        <v>14</v>
      </c>
      <c r="D44" s="17" t="s">
        <v>95</v>
      </c>
      <c r="E44" s="17" t="s">
        <v>98</v>
      </c>
      <c r="F44" s="5"/>
      <c r="G44" s="5"/>
      <c r="H44" s="5"/>
      <c r="I44" s="5"/>
      <c r="J44" s="5"/>
      <c r="K44" s="5"/>
      <c r="L44" s="5"/>
      <c r="M44" s="5"/>
      <c r="N44" s="5"/>
      <c r="O44" s="5"/>
      <c r="P44" s="5"/>
      <c r="Q44" s="5"/>
      <c r="R44" s="5"/>
      <c r="S44" s="5"/>
      <c r="T44" s="5"/>
      <c r="U44" s="5"/>
      <c r="V44" s="5"/>
      <c r="W44" s="5"/>
      <c r="X44" s="5"/>
      <c r="Y44" s="5"/>
      <c r="Z44" s="5"/>
      <c r="AA44" s="5"/>
      <c r="AB44" s="5"/>
      <c r="AC44" s="5"/>
      <c r="AD44" s="5"/>
    </row>
    <row r="45" customFormat="false" ht="15" hidden="false" customHeight="false" outlineLevel="0" collapsed="false">
      <c r="A45" s="5"/>
      <c r="B45" s="7" t="s">
        <v>99</v>
      </c>
      <c r="C45" s="19" t="n">
        <v>6</v>
      </c>
      <c r="D45" s="17" t="s">
        <v>95</v>
      </c>
      <c r="E45" s="17" t="s">
        <v>100</v>
      </c>
      <c r="F45" s="5"/>
      <c r="G45" s="5"/>
      <c r="H45" s="5"/>
      <c r="I45" s="5"/>
      <c r="J45" s="5"/>
      <c r="K45" s="5"/>
      <c r="L45" s="5"/>
      <c r="M45" s="5"/>
      <c r="N45" s="5"/>
      <c r="O45" s="5"/>
      <c r="P45" s="5"/>
      <c r="Q45" s="5"/>
      <c r="R45" s="5"/>
      <c r="S45" s="5"/>
      <c r="T45" s="5"/>
      <c r="U45" s="5"/>
      <c r="V45" s="5"/>
      <c r="W45" s="5"/>
      <c r="X45" s="5"/>
      <c r="Y45" s="5"/>
      <c r="Z45" s="5"/>
      <c r="AA45" s="5"/>
      <c r="AB45" s="5"/>
      <c r="AC45" s="5"/>
      <c r="AD45" s="5"/>
    </row>
    <row r="46" customFormat="false" ht="15" hidden="false" customHeight="false" outlineLevel="0" collapsed="false">
      <c r="A46" s="5"/>
      <c r="B46" s="7" t="s">
        <v>101</v>
      </c>
      <c r="C46" s="19" t="n">
        <v>12</v>
      </c>
      <c r="D46" s="17" t="s">
        <v>95</v>
      </c>
      <c r="E46" s="17" t="s">
        <v>102</v>
      </c>
      <c r="F46" s="5"/>
      <c r="G46" s="5"/>
      <c r="H46" s="5"/>
      <c r="I46" s="5"/>
      <c r="J46" s="5"/>
      <c r="K46" s="5"/>
      <c r="L46" s="5"/>
      <c r="M46" s="5"/>
      <c r="N46" s="5"/>
      <c r="O46" s="5"/>
      <c r="P46" s="5"/>
      <c r="Q46" s="5"/>
      <c r="R46" s="5"/>
      <c r="S46" s="5"/>
      <c r="T46" s="5"/>
      <c r="U46" s="5"/>
      <c r="V46" s="5"/>
      <c r="W46" s="5"/>
      <c r="X46" s="5"/>
      <c r="Y46" s="5"/>
      <c r="Z46" s="5"/>
      <c r="AA46" s="5"/>
      <c r="AB46" s="5"/>
      <c r="AC46" s="5"/>
      <c r="AD46" s="5"/>
    </row>
    <row r="47" customFormat="false" ht="15" hidden="false" customHeight="false" outlineLevel="0" collapsed="false">
      <c r="A47" s="5"/>
      <c r="B47" s="7" t="s">
        <v>103</v>
      </c>
      <c r="C47" s="19" t="n">
        <v>2</v>
      </c>
      <c r="D47" s="17" t="s">
        <v>95</v>
      </c>
      <c r="E47" s="17" t="s">
        <v>104</v>
      </c>
      <c r="F47" s="5"/>
      <c r="G47" s="5"/>
      <c r="H47" s="5"/>
      <c r="I47" s="5"/>
      <c r="J47" s="5"/>
      <c r="K47" s="5"/>
      <c r="L47" s="5"/>
      <c r="M47" s="5"/>
      <c r="N47" s="5"/>
      <c r="O47" s="5"/>
      <c r="P47" s="5"/>
      <c r="Q47" s="5"/>
      <c r="R47" s="5"/>
      <c r="S47" s="5"/>
      <c r="T47" s="5"/>
      <c r="U47" s="5"/>
      <c r="V47" s="5"/>
      <c r="W47" s="5"/>
      <c r="X47" s="5"/>
      <c r="Y47" s="5"/>
      <c r="Z47" s="5"/>
      <c r="AA47" s="5"/>
      <c r="AB47" s="5"/>
      <c r="AC47" s="5"/>
      <c r="AD47" s="5"/>
    </row>
    <row r="48" customFormat="false" ht="15" hidden="false" customHeight="false" outlineLevel="0" collapsed="false">
      <c r="A48" s="5"/>
      <c r="B48" s="7" t="s">
        <v>105</v>
      </c>
      <c r="C48" s="19" t="n">
        <v>6</v>
      </c>
      <c r="D48" s="17" t="s">
        <v>95</v>
      </c>
      <c r="E48" s="17" t="s">
        <v>106</v>
      </c>
      <c r="F48" s="5"/>
      <c r="G48" s="5"/>
      <c r="H48" s="5"/>
      <c r="I48" s="5"/>
      <c r="J48" s="5"/>
      <c r="K48" s="5"/>
      <c r="L48" s="5"/>
      <c r="M48" s="5"/>
      <c r="N48" s="5"/>
      <c r="O48" s="5"/>
      <c r="P48" s="5"/>
      <c r="Q48" s="5"/>
      <c r="R48" s="5"/>
      <c r="S48" s="5"/>
      <c r="T48" s="5"/>
      <c r="U48" s="5"/>
      <c r="V48" s="5"/>
      <c r="W48" s="5"/>
      <c r="X48" s="5"/>
      <c r="Y48" s="5"/>
      <c r="Z48" s="5"/>
      <c r="AA48" s="5"/>
      <c r="AB48" s="5"/>
      <c r="AC48" s="5"/>
      <c r="AD48" s="5"/>
    </row>
    <row r="49" customFormat="false" ht="15" hidden="false" customHeight="false" outlineLevel="0" collapsed="false">
      <c r="A49" s="5"/>
      <c r="B49" s="7" t="s">
        <v>107</v>
      </c>
      <c r="C49" s="19" t="n">
        <v>6</v>
      </c>
      <c r="D49" s="17" t="s">
        <v>95</v>
      </c>
      <c r="E49" s="17" t="s">
        <v>108</v>
      </c>
      <c r="F49" s="5"/>
      <c r="G49" s="5"/>
      <c r="H49" s="5"/>
      <c r="I49" s="5"/>
      <c r="J49" s="5"/>
      <c r="K49" s="5"/>
      <c r="L49" s="5"/>
      <c r="M49" s="5"/>
      <c r="N49" s="5"/>
      <c r="O49" s="5"/>
      <c r="P49" s="5"/>
      <c r="Q49" s="5"/>
      <c r="R49" s="5"/>
      <c r="S49" s="5"/>
      <c r="T49" s="5"/>
      <c r="U49" s="5"/>
      <c r="V49" s="5"/>
      <c r="W49" s="5"/>
      <c r="X49" s="5"/>
      <c r="Y49" s="5"/>
      <c r="Z49" s="5"/>
      <c r="AA49" s="5"/>
      <c r="AB49" s="5"/>
      <c r="AC49" s="5"/>
      <c r="AD49" s="5"/>
    </row>
    <row r="50" customFormat="false" ht="15" hidden="false" customHeight="false" outlineLevel="0" collapsed="false">
      <c r="A50" s="5"/>
      <c r="B50" s="7" t="s">
        <v>109</v>
      </c>
      <c r="C50" s="19" t="n">
        <v>5</v>
      </c>
      <c r="D50" s="17" t="s">
        <v>95</v>
      </c>
      <c r="E50" s="17" t="s">
        <v>110</v>
      </c>
      <c r="F50" s="5"/>
      <c r="G50" s="5"/>
      <c r="H50" s="5"/>
      <c r="I50" s="5"/>
      <c r="J50" s="5"/>
      <c r="K50" s="5"/>
      <c r="L50" s="5"/>
      <c r="M50" s="5"/>
      <c r="N50" s="5"/>
      <c r="O50" s="5"/>
      <c r="P50" s="5"/>
      <c r="Q50" s="5"/>
      <c r="R50" s="5"/>
      <c r="S50" s="5"/>
      <c r="T50" s="5"/>
      <c r="U50" s="5"/>
      <c r="V50" s="5"/>
      <c r="W50" s="5"/>
      <c r="X50" s="5"/>
      <c r="Y50" s="5"/>
      <c r="Z50" s="5"/>
      <c r="AA50" s="5"/>
      <c r="AB50" s="5"/>
      <c r="AC50" s="5"/>
      <c r="AD50" s="5"/>
    </row>
    <row r="51" customFormat="false" ht="15" hidden="false" customHeight="false" outlineLevel="0" collapsed="false">
      <c r="A51" s="5"/>
      <c r="B51" s="7" t="s">
        <v>111</v>
      </c>
      <c r="C51" s="19" t="n">
        <v>3</v>
      </c>
      <c r="D51" s="17" t="s">
        <v>95</v>
      </c>
      <c r="E51" s="17" t="s">
        <v>112</v>
      </c>
      <c r="F51" s="5"/>
      <c r="G51" s="5"/>
      <c r="H51" s="5"/>
      <c r="I51" s="5"/>
      <c r="J51" s="5"/>
      <c r="K51" s="5"/>
      <c r="L51" s="5"/>
      <c r="M51" s="5"/>
      <c r="N51" s="5"/>
      <c r="O51" s="5"/>
      <c r="P51" s="5"/>
      <c r="Q51" s="5"/>
      <c r="R51" s="5"/>
      <c r="S51" s="5"/>
      <c r="T51" s="5"/>
      <c r="U51" s="5"/>
      <c r="V51" s="5"/>
      <c r="W51" s="5"/>
      <c r="X51" s="5"/>
      <c r="Y51" s="5"/>
      <c r="Z51" s="5"/>
      <c r="AA51" s="5"/>
      <c r="AB51" s="5"/>
      <c r="AC51" s="5"/>
      <c r="AD51" s="5"/>
    </row>
    <row r="52" customFormat="false" ht="15" hidden="false" customHeight="false" outlineLevel="0" collapsed="false">
      <c r="A52" s="5"/>
      <c r="B52" s="14" t="s">
        <v>113</v>
      </c>
      <c r="C52" s="15"/>
      <c r="D52" s="15"/>
      <c r="E52" s="15"/>
      <c r="F52" s="5"/>
      <c r="G52" s="5"/>
      <c r="H52" s="5"/>
      <c r="I52" s="5"/>
      <c r="J52" s="5"/>
      <c r="K52" s="5"/>
      <c r="L52" s="5"/>
      <c r="M52" s="5"/>
      <c r="N52" s="5"/>
      <c r="O52" s="5"/>
      <c r="P52" s="5"/>
      <c r="Q52" s="5"/>
      <c r="R52" s="5"/>
      <c r="S52" s="5"/>
      <c r="T52" s="5"/>
      <c r="U52" s="5"/>
      <c r="V52" s="5"/>
      <c r="W52" s="5"/>
      <c r="X52" s="5"/>
      <c r="Y52" s="5"/>
      <c r="Z52" s="5"/>
      <c r="AA52" s="5"/>
      <c r="AB52" s="5"/>
      <c r="AC52" s="5"/>
      <c r="AD52" s="5"/>
    </row>
    <row r="53" customFormat="false" ht="15" hidden="false" customHeight="false" outlineLevel="0" collapsed="false">
      <c r="A53" s="5"/>
      <c r="B53" s="7" t="s">
        <v>114</v>
      </c>
      <c r="C53" s="19" t="n">
        <v>600000</v>
      </c>
      <c r="D53" s="17" t="s">
        <v>31</v>
      </c>
      <c r="E53" s="17" t="s">
        <v>115</v>
      </c>
      <c r="F53" s="5"/>
      <c r="G53" s="5"/>
      <c r="H53" s="5"/>
      <c r="I53" s="5"/>
      <c r="J53" s="5"/>
      <c r="K53" s="5"/>
      <c r="L53" s="5"/>
      <c r="M53" s="5"/>
      <c r="N53" s="5"/>
      <c r="O53" s="5"/>
      <c r="P53" s="5"/>
      <c r="Q53" s="5"/>
      <c r="R53" s="5"/>
      <c r="S53" s="5"/>
      <c r="T53" s="5"/>
      <c r="U53" s="5"/>
      <c r="V53" s="5"/>
      <c r="W53" s="5"/>
      <c r="X53" s="5"/>
      <c r="Y53" s="5"/>
      <c r="Z53" s="5"/>
      <c r="AA53" s="5"/>
      <c r="AB53" s="5"/>
      <c r="AC53" s="5"/>
      <c r="AD53" s="5"/>
    </row>
    <row r="54" customFormat="false" ht="15" hidden="false" customHeight="false" outlineLevel="0" collapsed="false">
      <c r="A54" s="5"/>
      <c r="B54" s="7" t="s">
        <v>116</v>
      </c>
      <c r="C54" s="18" t="n">
        <v>0.12</v>
      </c>
      <c r="D54" s="17" t="s">
        <v>28</v>
      </c>
      <c r="E54" s="17" t="s">
        <v>117</v>
      </c>
      <c r="F54" s="5"/>
      <c r="G54" s="5"/>
      <c r="H54" s="5"/>
      <c r="I54" s="5"/>
      <c r="J54" s="5"/>
      <c r="K54" s="5"/>
      <c r="L54" s="5"/>
      <c r="M54" s="5"/>
      <c r="N54" s="5"/>
      <c r="O54" s="5"/>
      <c r="P54" s="5"/>
      <c r="Q54" s="5"/>
      <c r="R54" s="5"/>
      <c r="S54" s="5"/>
      <c r="T54" s="5"/>
      <c r="U54" s="5"/>
      <c r="V54" s="5"/>
      <c r="W54" s="5"/>
      <c r="X54" s="5"/>
      <c r="Y54" s="5"/>
      <c r="Z54" s="5"/>
      <c r="AA54" s="5"/>
      <c r="AB54" s="5"/>
      <c r="AC54" s="5"/>
      <c r="AD54" s="5"/>
    </row>
    <row r="55" customFormat="false" ht="15" hidden="false" customHeight="false" outlineLevel="0" collapsed="false">
      <c r="A55" s="5"/>
      <c r="B55" s="7" t="s">
        <v>118</v>
      </c>
      <c r="C55" s="18" t="n">
        <v>0.06</v>
      </c>
      <c r="D55" s="17" t="s">
        <v>28</v>
      </c>
      <c r="E55" s="17" t="s">
        <v>119</v>
      </c>
      <c r="F55" s="5"/>
      <c r="G55" s="5"/>
      <c r="H55" s="5"/>
      <c r="I55" s="5"/>
      <c r="J55" s="5"/>
      <c r="K55" s="5"/>
      <c r="L55" s="5"/>
      <c r="M55" s="5"/>
      <c r="N55" s="5"/>
      <c r="O55" s="5"/>
      <c r="P55" s="5"/>
      <c r="Q55" s="5"/>
      <c r="R55" s="5"/>
      <c r="S55" s="5"/>
      <c r="T55" s="5"/>
      <c r="U55" s="5"/>
      <c r="V55" s="5"/>
      <c r="W55" s="5"/>
      <c r="X55" s="5"/>
      <c r="Y55" s="5"/>
      <c r="Z55" s="5"/>
      <c r="AA55" s="5"/>
      <c r="AB55" s="5"/>
      <c r="AC55" s="5"/>
      <c r="AD55" s="5"/>
    </row>
    <row r="56" customFormat="false" ht="15" hidden="false" customHeight="false" outlineLevel="0" collapsed="false">
      <c r="A56" s="5"/>
      <c r="B56" s="7" t="s">
        <v>120</v>
      </c>
      <c r="C56" s="19" t="n">
        <v>15000</v>
      </c>
      <c r="D56" s="17" t="s">
        <v>31</v>
      </c>
      <c r="E56" s="17" t="s">
        <v>121</v>
      </c>
      <c r="F56" s="5"/>
      <c r="G56" s="5"/>
      <c r="H56" s="5"/>
      <c r="I56" s="5"/>
      <c r="J56" s="5"/>
      <c r="K56" s="5"/>
      <c r="L56" s="5"/>
      <c r="M56" s="5"/>
      <c r="N56" s="5"/>
      <c r="O56" s="5"/>
      <c r="P56" s="5"/>
      <c r="Q56" s="5"/>
      <c r="R56" s="5"/>
      <c r="S56" s="5"/>
      <c r="T56" s="5"/>
      <c r="U56" s="5"/>
      <c r="V56" s="5"/>
      <c r="W56" s="5"/>
      <c r="X56" s="5"/>
      <c r="Y56" s="5"/>
      <c r="Z56" s="5"/>
      <c r="AA56" s="5"/>
      <c r="AB56" s="5"/>
      <c r="AC56" s="5"/>
      <c r="AD56" s="5"/>
    </row>
    <row r="57" customFormat="false" ht="15" hidden="false" customHeight="false" outlineLevel="0" collapsed="false">
      <c r="A57" s="5"/>
      <c r="B57" s="7" t="s">
        <v>122</v>
      </c>
      <c r="C57" s="19" t="n">
        <v>120000</v>
      </c>
      <c r="D57" s="17" t="s">
        <v>31</v>
      </c>
      <c r="E57" s="17" t="s">
        <v>123</v>
      </c>
      <c r="F57" s="5"/>
      <c r="G57" s="5"/>
      <c r="H57" s="5"/>
      <c r="I57" s="5"/>
      <c r="J57" s="5"/>
      <c r="K57" s="5"/>
      <c r="L57" s="5"/>
      <c r="M57" s="5"/>
      <c r="N57" s="5"/>
      <c r="O57" s="5"/>
      <c r="P57" s="5"/>
      <c r="Q57" s="5"/>
      <c r="R57" s="5"/>
      <c r="S57" s="5"/>
      <c r="T57" s="5"/>
      <c r="U57" s="5"/>
      <c r="V57" s="5"/>
      <c r="W57" s="5"/>
      <c r="X57" s="5"/>
      <c r="Y57" s="5"/>
      <c r="Z57" s="5"/>
      <c r="AA57" s="5"/>
      <c r="AB57" s="5"/>
      <c r="AC57" s="5"/>
      <c r="AD57" s="5"/>
    </row>
    <row r="58" customFormat="false" ht="15" hidden="false" customHeight="false" outlineLevel="0" collapsed="false">
      <c r="A58" s="5"/>
      <c r="B58" s="7" t="s">
        <v>124</v>
      </c>
      <c r="C58" s="19" t="n">
        <v>3600</v>
      </c>
      <c r="D58" s="17" t="s">
        <v>125</v>
      </c>
      <c r="E58" s="17" t="s">
        <v>126</v>
      </c>
      <c r="F58" s="5"/>
      <c r="G58" s="5"/>
      <c r="H58" s="5"/>
      <c r="I58" s="5"/>
      <c r="J58" s="5"/>
      <c r="K58" s="5"/>
      <c r="L58" s="5"/>
      <c r="M58" s="5"/>
      <c r="N58" s="5"/>
      <c r="O58" s="5"/>
      <c r="P58" s="5"/>
      <c r="Q58" s="5"/>
      <c r="R58" s="5"/>
      <c r="S58" s="5"/>
      <c r="T58" s="5"/>
      <c r="U58" s="5"/>
      <c r="V58" s="5"/>
      <c r="W58" s="5"/>
      <c r="X58" s="5"/>
      <c r="Y58" s="5"/>
      <c r="Z58" s="5"/>
      <c r="AA58" s="5"/>
      <c r="AB58" s="5"/>
      <c r="AC58" s="5"/>
      <c r="AD58" s="5"/>
    </row>
    <row r="59" customFormat="false" ht="15" hidden="false" customHeight="false" outlineLevel="0" collapsed="false">
      <c r="A59" s="5"/>
      <c r="B59" s="7" t="s">
        <v>127</v>
      </c>
      <c r="C59" s="19" t="n">
        <v>0.6</v>
      </c>
      <c r="D59" s="17" t="s">
        <v>31</v>
      </c>
      <c r="E59" s="17" t="s">
        <v>128</v>
      </c>
      <c r="F59" s="5"/>
      <c r="G59" s="5"/>
      <c r="H59" s="5"/>
      <c r="I59" s="5"/>
      <c r="J59" s="5"/>
      <c r="K59" s="5"/>
      <c r="L59" s="5"/>
      <c r="M59" s="5"/>
      <c r="N59" s="5"/>
      <c r="O59" s="5"/>
      <c r="P59" s="5"/>
      <c r="Q59" s="5"/>
      <c r="R59" s="5"/>
      <c r="S59" s="5"/>
      <c r="T59" s="5"/>
      <c r="U59" s="5"/>
      <c r="V59" s="5"/>
      <c r="W59" s="5"/>
      <c r="X59" s="5"/>
      <c r="Y59" s="5"/>
      <c r="Z59" s="5"/>
      <c r="AA59" s="5"/>
      <c r="AB59" s="5"/>
      <c r="AC59" s="5"/>
      <c r="AD59" s="5"/>
    </row>
    <row r="60" customFormat="false" ht="15" hidden="false" customHeight="false" outlineLevel="0" collapsed="false">
      <c r="A60" s="5"/>
      <c r="B60" s="14" t="s">
        <v>129</v>
      </c>
      <c r="C60" s="15"/>
      <c r="D60" s="15"/>
      <c r="E60" s="15"/>
      <c r="F60" s="5"/>
      <c r="G60" s="5"/>
      <c r="H60" s="5"/>
      <c r="I60" s="5"/>
      <c r="J60" s="5"/>
      <c r="K60" s="5"/>
      <c r="L60" s="5"/>
      <c r="M60" s="5"/>
      <c r="N60" s="5"/>
      <c r="O60" s="5"/>
      <c r="P60" s="5"/>
      <c r="Q60" s="5"/>
      <c r="R60" s="5"/>
      <c r="S60" s="5"/>
      <c r="T60" s="5"/>
      <c r="U60" s="5"/>
      <c r="V60" s="5"/>
      <c r="W60" s="5"/>
      <c r="X60" s="5"/>
      <c r="Y60" s="5"/>
      <c r="Z60" s="5"/>
      <c r="AA60" s="5"/>
      <c r="AB60" s="5"/>
      <c r="AC60" s="5"/>
      <c r="AD60" s="5"/>
    </row>
    <row r="61" customFormat="false" ht="15" hidden="false" customHeight="false" outlineLevel="0" collapsed="false">
      <c r="A61" s="5"/>
      <c r="B61" s="7" t="s">
        <v>130</v>
      </c>
      <c r="C61" s="19" t="n">
        <v>200000</v>
      </c>
      <c r="D61" s="17" t="s">
        <v>31</v>
      </c>
      <c r="E61" s="17" t="s">
        <v>131</v>
      </c>
      <c r="F61" s="5"/>
      <c r="G61" s="5"/>
      <c r="H61" s="5"/>
      <c r="I61" s="5"/>
      <c r="J61" s="5"/>
      <c r="K61" s="5"/>
      <c r="L61" s="5"/>
      <c r="M61" s="5"/>
      <c r="N61" s="5"/>
      <c r="O61" s="5"/>
      <c r="P61" s="5"/>
      <c r="Q61" s="5"/>
      <c r="R61" s="5"/>
      <c r="S61" s="5"/>
      <c r="T61" s="5"/>
      <c r="U61" s="5"/>
      <c r="V61" s="5"/>
      <c r="W61" s="5"/>
      <c r="X61" s="5"/>
      <c r="Y61" s="5"/>
      <c r="Z61" s="5"/>
      <c r="AA61" s="5"/>
      <c r="AB61" s="5"/>
      <c r="AC61" s="5"/>
      <c r="AD61" s="5"/>
    </row>
    <row r="62" customFormat="false" ht="15" hidden="false" customHeight="false" outlineLevel="0" collapsed="false">
      <c r="A62" s="5"/>
      <c r="B62" s="7" t="s">
        <v>132</v>
      </c>
      <c r="C62" s="19" t="n">
        <v>250000</v>
      </c>
      <c r="D62" s="17" t="s">
        <v>31</v>
      </c>
      <c r="E62" s="17" t="s">
        <v>133</v>
      </c>
      <c r="F62" s="5"/>
      <c r="G62" s="5"/>
      <c r="H62" s="5"/>
      <c r="I62" s="5"/>
      <c r="J62" s="5"/>
      <c r="K62" s="5"/>
      <c r="L62" s="5"/>
      <c r="M62" s="5"/>
      <c r="N62" s="5"/>
      <c r="O62" s="5"/>
      <c r="P62" s="5"/>
      <c r="Q62" s="5"/>
      <c r="R62" s="5"/>
      <c r="S62" s="5"/>
      <c r="T62" s="5"/>
      <c r="U62" s="5"/>
      <c r="V62" s="5"/>
      <c r="W62" s="5"/>
      <c r="X62" s="5"/>
      <c r="Y62" s="5"/>
      <c r="Z62" s="5"/>
      <c r="AA62" s="5"/>
      <c r="AB62" s="5"/>
      <c r="AC62" s="5"/>
      <c r="AD62" s="5"/>
    </row>
    <row r="63" customFormat="false" ht="15" hidden="false" customHeight="false" outlineLevel="0" collapsed="false">
      <c r="A63" s="5"/>
      <c r="B63" s="7" t="s">
        <v>134</v>
      </c>
      <c r="C63" s="19" t="n">
        <v>80000</v>
      </c>
      <c r="D63" s="17" t="s">
        <v>31</v>
      </c>
      <c r="E63" s="17" t="s">
        <v>135</v>
      </c>
      <c r="F63" s="5"/>
      <c r="G63" s="5"/>
      <c r="H63" s="5"/>
      <c r="I63" s="5"/>
      <c r="J63" s="5"/>
      <c r="K63" s="5"/>
      <c r="L63" s="5"/>
      <c r="M63" s="5"/>
      <c r="N63" s="5"/>
      <c r="O63" s="5"/>
      <c r="P63" s="5"/>
      <c r="Q63" s="5"/>
      <c r="R63" s="5"/>
      <c r="S63" s="5"/>
      <c r="T63" s="5"/>
      <c r="U63" s="5"/>
      <c r="V63" s="5"/>
      <c r="W63" s="5"/>
      <c r="X63" s="5"/>
      <c r="Y63" s="5"/>
      <c r="Z63" s="5"/>
      <c r="AA63" s="5"/>
      <c r="AB63" s="5"/>
      <c r="AC63" s="5"/>
      <c r="AD63" s="5"/>
    </row>
    <row r="64" customFormat="false" ht="15" hidden="false" customHeight="false" outlineLevel="0" collapsed="false">
      <c r="A64" s="5"/>
      <c r="B64" s="7" t="s">
        <v>136</v>
      </c>
      <c r="C64" s="19" t="n">
        <v>4</v>
      </c>
      <c r="D64" s="17" t="s">
        <v>137</v>
      </c>
      <c r="E64" s="17" t="s">
        <v>138</v>
      </c>
      <c r="F64" s="5"/>
      <c r="G64" s="5"/>
      <c r="H64" s="5"/>
      <c r="I64" s="5"/>
      <c r="J64" s="5"/>
      <c r="K64" s="5"/>
      <c r="L64" s="5"/>
      <c r="M64" s="5"/>
      <c r="N64" s="5"/>
      <c r="O64" s="5"/>
      <c r="P64" s="5"/>
      <c r="Q64" s="5"/>
      <c r="R64" s="5"/>
      <c r="S64" s="5"/>
      <c r="T64" s="5"/>
      <c r="U64" s="5"/>
      <c r="V64" s="5"/>
      <c r="W64" s="5"/>
      <c r="X64" s="5"/>
      <c r="Y64" s="5"/>
      <c r="Z64" s="5"/>
      <c r="AA64" s="5"/>
      <c r="AB64" s="5"/>
      <c r="AC64" s="5"/>
      <c r="AD64" s="5"/>
    </row>
    <row r="65" customFormat="false" ht="15" hidden="false" customHeight="false" outlineLevel="0" collapsed="false">
      <c r="A65" s="5"/>
      <c r="B65" s="7" t="s">
        <v>139</v>
      </c>
      <c r="C65" s="19" t="n">
        <v>3600</v>
      </c>
      <c r="D65" s="17" t="s">
        <v>125</v>
      </c>
      <c r="E65" s="17" t="s">
        <v>140</v>
      </c>
      <c r="F65" s="5"/>
      <c r="G65" s="5"/>
      <c r="H65" s="5"/>
      <c r="I65" s="5"/>
      <c r="J65" s="5"/>
      <c r="K65" s="5"/>
      <c r="L65" s="5"/>
      <c r="M65" s="5"/>
      <c r="N65" s="5"/>
      <c r="O65" s="5"/>
      <c r="P65" s="5"/>
      <c r="Q65" s="5"/>
      <c r="R65" s="5"/>
      <c r="S65" s="5"/>
      <c r="T65" s="5"/>
      <c r="U65" s="5"/>
      <c r="V65" s="5"/>
      <c r="W65" s="5"/>
      <c r="X65" s="5"/>
      <c r="Y65" s="5"/>
      <c r="Z65" s="5"/>
      <c r="AA65" s="5"/>
      <c r="AB65" s="5"/>
      <c r="AC65" s="5"/>
      <c r="AD65" s="5"/>
    </row>
    <row r="66" customFormat="false" ht="15" hidden="false" customHeight="false" outlineLevel="0" collapsed="false">
      <c r="A66" s="5"/>
      <c r="B66" s="14" t="s">
        <v>141</v>
      </c>
      <c r="C66" s="15"/>
      <c r="D66" s="15"/>
      <c r="E66" s="15"/>
      <c r="F66" s="5"/>
      <c r="G66" s="5"/>
      <c r="H66" s="5"/>
      <c r="I66" s="5"/>
      <c r="J66" s="5"/>
      <c r="K66" s="5"/>
      <c r="L66" s="5"/>
      <c r="M66" s="5"/>
      <c r="N66" s="5"/>
      <c r="O66" s="5"/>
      <c r="P66" s="5"/>
      <c r="Q66" s="5"/>
      <c r="R66" s="5"/>
      <c r="S66" s="5"/>
      <c r="T66" s="5"/>
      <c r="U66" s="5"/>
      <c r="V66" s="5"/>
      <c r="W66" s="5"/>
      <c r="X66" s="5"/>
      <c r="Y66" s="5"/>
      <c r="Z66" s="5"/>
      <c r="AA66" s="5"/>
      <c r="AB66" s="5"/>
      <c r="AC66" s="5"/>
      <c r="AD66" s="5"/>
    </row>
    <row r="67" customFormat="false" ht="15" hidden="false" customHeight="false" outlineLevel="0" collapsed="false">
      <c r="A67" s="5"/>
      <c r="B67" s="7" t="s">
        <v>142</v>
      </c>
      <c r="C67" s="19" t="n">
        <v>1000000</v>
      </c>
      <c r="D67" s="17" t="s">
        <v>31</v>
      </c>
      <c r="E67" s="17" t="s">
        <v>143</v>
      </c>
      <c r="F67" s="5"/>
      <c r="G67" s="5"/>
      <c r="H67" s="5"/>
      <c r="I67" s="5"/>
      <c r="J67" s="5"/>
      <c r="K67" s="5"/>
      <c r="L67" s="5"/>
      <c r="M67" s="5"/>
      <c r="N67" s="5"/>
      <c r="O67" s="5"/>
      <c r="P67" s="5"/>
      <c r="Q67" s="5"/>
      <c r="R67" s="5"/>
      <c r="S67" s="5"/>
      <c r="T67" s="5"/>
      <c r="U67" s="5"/>
      <c r="V67" s="5"/>
      <c r="W67" s="5"/>
      <c r="X67" s="5"/>
      <c r="Y67" s="5"/>
      <c r="Z67" s="5"/>
      <c r="AA67" s="5"/>
      <c r="AB67" s="5"/>
      <c r="AC67" s="5"/>
      <c r="AD67" s="5"/>
    </row>
    <row r="68" customFormat="false" ht="15" hidden="false" customHeight="false" outlineLevel="0" collapsed="false">
      <c r="A68" s="5"/>
      <c r="B68" s="7" t="s">
        <v>144</v>
      </c>
      <c r="C68" s="18" t="n">
        <v>0.095</v>
      </c>
      <c r="D68" s="17" t="s">
        <v>28</v>
      </c>
      <c r="E68" s="17" t="s">
        <v>145</v>
      </c>
      <c r="F68" s="5"/>
      <c r="G68" s="5"/>
      <c r="H68" s="5"/>
      <c r="I68" s="5"/>
      <c r="J68" s="5"/>
      <c r="K68" s="5"/>
      <c r="L68" s="5"/>
      <c r="M68" s="5"/>
      <c r="N68" s="5"/>
      <c r="O68" s="5"/>
      <c r="P68" s="5"/>
      <c r="Q68" s="5"/>
      <c r="R68" s="5"/>
      <c r="S68" s="5"/>
      <c r="T68" s="5"/>
      <c r="U68" s="5"/>
      <c r="V68" s="5"/>
      <c r="W68" s="5"/>
      <c r="X68" s="5"/>
      <c r="Y68" s="5"/>
      <c r="Z68" s="5"/>
      <c r="AA68" s="5"/>
      <c r="AB68" s="5"/>
      <c r="AC68" s="5"/>
      <c r="AD68" s="5"/>
    </row>
    <row r="69" customFormat="false" ht="15" hidden="false" customHeight="false" outlineLevel="0" collapsed="false">
      <c r="A69" s="5"/>
      <c r="B69" s="7" t="s">
        <v>146</v>
      </c>
      <c r="C69" s="19" t="n">
        <v>45</v>
      </c>
      <c r="D69" s="17" t="s">
        <v>147</v>
      </c>
      <c r="E69" s="17" t="s">
        <v>148</v>
      </c>
      <c r="F69" s="5"/>
      <c r="G69" s="5"/>
      <c r="H69" s="5"/>
      <c r="I69" s="5"/>
      <c r="J69" s="5"/>
      <c r="K69" s="5"/>
      <c r="L69" s="5"/>
      <c r="M69" s="5"/>
      <c r="N69" s="5"/>
      <c r="O69" s="5"/>
      <c r="P69" s="5"/>
      <c r="Q69" s="5"/>
      <c r="R69" s="5"/>
      <c r="S69" s="5"/>
      <c r="T69" s="5"/>
      <c r="U69" s="5"/>
      <c r="V69" s="5"/>
      <c r="W69" s="5"/>
      <c r="X69" s="5"/>
      <c r="Y69" s="5"/>
      <c r="Z69" s="5"/>
      <c r="AA69" s="5"/>
      <c r="AB69" s="5"/>
      <c r="AC69" s="5"/>
      <c r="AD69" s="5"/>
    </row>
    <row r="70" customFormat="false" ht="15" hidden="false" customHeight="false" outlineLevel="0" collapsed="false">
      <c r="A70" s="5"/>
      <c r="B70" s="7" t="s">
        <v>149</v>
      </c>
      <c r="C70" s="19" t="n">
        <v>30</v>
      </c>
      <c r="D70" s="17" t="s">
        <v>147</v>
      </c>
      <c r="E70" s="17" t="s">
        <v>150</v>
      </c>
      <c r="F70" s="5"/>
      <c r="G70" s="5"/>
      <c r="H70" s="5"/>
      <c r="I70" s="5"/>
      <c r="J70" s="5"/>
      <c r="K70" s="5"/>
      <c r="L70" s="5"/>
      <c r="M70" s="5"/>
      <c r="N70" s="5"/>
      <c r="O70" s="5"/>
      <c r="P70" s="5"/>
      <c r="Q70" s="5"/>
      <c r="R70" s="5"/>
      <c r="S70" s="5"/>
      <c r="T70" s="5"/>
      <c r="U70" s="5"/>
      <c r="V70" s="5"/>
      <c r="W70" s="5"/>
      <c r="X70" s="5"/>
      <c r="Y70" s="5"/>
      <c r="Z70" s="5"/>
      <c r="AA70" s="5"/>
      <c r="AB70" s="5"/>
      <c r="AC70" s="5"/>
      <c r="AD70" s="5"/>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28"/>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2"/>
    <col collapsed="false" customWidth="true" hidden="false" outlineLevel="0" max="2" min="2" style="0" width="90"/>
    <col collapsed="false" customWidth="true" hidden="false" outlineLevel="0" max="3" min="3" style="0" width="2"/>
  </cols>
  <sheetData>
    <row r="1" customFormat="false" ht="15" hidden="false" customHeight="false" outlineLevel="0" collapsed="false">
      <c r="A1" s="5"/>
      <c r="B1" s="5"/>
    </row>
    <row r="2" customFormat="false" ht="31.5" hidden="false" customHeight="true" outlineLevel="0" collapsed="false">
      <c r="A2" s="5"/>
      <c r="B2" s="20" t="s">
        <v>151</v>
      </c>
    </row>
    <row r="3" customFormat="false" ht="3.75" hidden="false" customHeight="true" outlineLevel="0" collapsed="false">
      <c r="A3" s="5"/>
      <c r="B3" s="21"/>
    </row>
    <row r="4" customFormat="false" ht="15" hidden="false" customHeight="false" outlineLevel="0" collapsed="false">
      <c r="A4" s="5"/>
      <c r="B4" s="5"/>
    </row>
    <row r="5" customFormat="false" ht="19.5" hidden="false" customHeight="true" outlineLevel="0" collapsed="false">
      <c r="A5" s="5"/>
      <c r="B5" s="22" t="s">
        <v>152</v>
      </c>
    </row>
    <row r="6" customFormat="false" ht="48" hidden="false" customHeight="true" outlineLevel="0" collapsed="false">
      <c r="A6" s="5"/>
      <c r="B6" s="23" t="s">
        <v>153</v>
      </c>
    </row>
    <row r="7" customFormat="false" ht="15" hidden="false" customHeight="false" outlineLevel="0" collapsed="false">
      <c r="A7" s="5"/>
      <c r="B7" s="5"/>
    </row>
    <row r="8" customFormat="false" ht="19.5" hidden="false" customHeight="true" outlineLevel="0" collapsed="false">
      <c r="A8" s="5"/>
      <c r="B8" s="22" t="s">
        <v>154</v>
      </c>
    </row>
    <row r="9" customFormat="false" ht="61.5" hidden="false" customHeight="true" outlineLevel="0" collapsed="false">
      <c r="A9" s="5"/>
      <c r="B9" s="23" t="s">
        <v>155</v>
      </c>
    </row>
    <row r="10" customFormat="false" ht="15" hidden="false" customHeight="false" outlineLevel="0" collapsed="false">
      <c r="A10" s="5"/>
      <c r="B10" s="5"/>
    </row>
    <row r="11" customFormat="false" ht="19.5" hidden="false" customHeight="true" outlineLevel="0" collapsed="false">
      <c r="A11" s="5"/>
      <c r="B11" s="22" t="s">
        <v>156</v>
      </c>
    </row>
    <row r="12" customFormat="false" ht="75.75" hidden="false" customHeight="true" outlineLevel="0" collapsed="false">
      <c r="A12" s="5"/>
      <c r="B12" s="23" t="s">
        <v>157</v>
      </c>
    </row>
    <row r="13" customFormat="false" ht="15" hidden="false" customHeight="false" outlineLevel="0" collapsed="false">
      <c r="A13" s="5"/>
      <c r="B13" s="5"/>
    </row>
    <row r="14" customFormat="false" ht="19.5" hidden="false" customHeight="true" outlineLevel="0" collapsed="false">
      <c r="A14" s="5"/>
      <c r="B14" s="22" t="s">
        <v>158</v>
      </c>
    </row>
    <row r="15" customFormat="false" ht="61.5" hidden="false" customHeight="true" outlineLevel="0" collapsed="false">
      <c r="A15" s="5"/>
      <c r="B15" s="23" t="s">
        <v>159</v>
      </c>
    </row>
    <row r="16" customFormat="false" ht="15" hidden="false" customHeight="false" outlineLevel="0" collapsed="false">
      <c r="A16" s="5"/>
      <c r="B16" s="5"/>
    </row>
    <row r="17" customFormat="false" ht="19.5" hidden="false" customHeight="true" outlineLevel="0" collapsed="false">
      <c r="A17" s="5"/>
      <c r="B17" s="22" t="s">
        <v>160</v>
      </c>
    </row>
    <row r="18" customFormat="false" ht="33.75" hidden="false" customHeight="true" outlineLevel="0" collapsed="false">
      <c r="A18" s="5"/>
      <c r="B18" s="23" t="s">
        <v>161</v>
      </c>
    </row>
    <row r="19" customFormat="false" ht="15" hidden="false" customHeight="false" outlineLevel="0" collapsed="false">
      <c r="A19" s="5"/>
      <c r="B19" s="5"/>
    </row>
    <row r="20" customFormat="false" ht="19.5" hidden="false" customHeight="true" outlineLevel="0" collapsed="false">
      <c r="A20" s="5"/>
      <c r="B20" s="22" t="s">
        <v>162</v>
      </c>
    </row>
    <row r="21" customFormat="false" ht="33.75" hidden="false" customHeight="true" outlineLevel="0" collapsed="false">
      <c r="A21" s="5"/>
      <c r="B21" s="23" t="s">
        <v>163</v>
      </c>
    </row>
    <row r="22" customFormat="false" ht="15" hidden="false" customHeight="false" outlineLevel="0" collapsed="false">
      <c r="A22" s="5"/>
      <c r="B22" s="5"/>
    </row>
    <row r="23" customFormat="false" ht="21.75" hidden="false" customHeight="true" outlineLevel="0" collapsed="false">
      <c r="A23" s="5"/>
      <c r="B23" s="24" t="s">
        <v>164</v>
      </c>
    </row>
    <row r="24" customFormat="false" ht="15" hidden="false" customHeight="false" outlineLevel="0" collapsed="false">
      <c r="A24" s="5"/>
      <c r="B24" s="5"/>
    </row>
    <row r="25" customFormat="false" ht="18" hidden="false" customHeight="true" outlineLevel="0" collapsed="false">
      <c r="A25" s="5"/>
      <c r="B25" s="25" t="s">
        <v>165</v>
      </c>
    </row>
    <row r="26" customFormat="false" ht="201.75" hidden="false" customHeight="true" outlineLevel="0" collapsed="false">
      <c r="A26" s="5"/>
      <c r="B26" s="26" t="s">
        <v>166</v>
      </c>
    </row>
    <row r="27" customFormat="false" ht="15" hidden="false" customHeight="false" outlineLevel="0" collapsed="false">
      <c r="A27" s="5"/>
      <c r="B27" s="5"/>
    </row>
    <row r="28" customFormat="false" ht="18" hidden="false" customHeight="true" outlineLevel="0" collapsed="false">
      <c r="A28" s="5"/>
      <c r="B28" s="27" t="s">
        <v>167</v>
      </c>
    </row>
  </sheetData>
  <printOptions headings="false" gridLines="false" gridLinesSet="true" horizontalCentered="true" verticalCentered="false"/>
  <pageMargins left="0.4" right="0.4" top="1" bottom="1"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70AD47"/>
    <pageSetUpPr fitToPage="false"/>
  </sheetPr>
  <dimension ref="A1:G39"/>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2"/>
    <col collapsed="false" customWidth="true" hidden="false" outlineLevel="0" max="7" min="3" style="0" width="18"/>
  </cols>
  <sheetData>
    <row r="1" customFormat="false" ht="15" hidden="false" customHeight="false" outlineLevel="0" collapsed="false">
      <c r="A1" s="5"/>
      <c r="B1" s="5"/>
      <c r="C1" s="5"/>
      <c r="D1" s="5"/>
      <c r="E1" s="5"/>
      <c r="F1" s="5"/>
      <c r="G1" s="5"/>
    </row>
    <row r="2" customFormat="false" ht="22.05" hidden="false" customHeight="false" outlineLevel="0" collapsed="false">
      <c r="A2" s="5"/>
      <c r="B2" s="28" t="s">
        <v>168</v>
      </c>
      <c r="C2" s="5"/>
      <c r="D2" s="5"/>
      <c r="E2" s="5"/>
      <c r="F2" s="5"/>
      <c r="G2" s="5"/>
    </row>
    <row r="3" customFormat="false" ht="15" hidden="false" customHeight="false" outlineLevel="0" collapsed="false">
      <c r="A3" s="5"/>
      <c r="B3" s="8" t="s">
        <v>169</v>
      </c>
      <c r="C3" s="5"/>
      <c r="D3" s="5"/>
      <c r="E3" s="5"/>
      <c r="F3" s="5"/>
      <c r="G3" s="5"/>
    </row>
    <row r="4" customFormat="false" ht="15" hidden="false" customHeight="false" outlineLevel="0" collapsed="false">
      <c r="A4" s="5"/>
      <c r="B4" s="5"/>
      <c r="C4" s="5"/>
      <c r="D4" s="5"/>
      <c r="E4" s="5"/>
      <c r="F4" s="5"/>
      <c r="G4" s="5"/>
    </row>
    <row r="5" customFormat="false" ht="15" hidden="false" customHeight="false" outlineLevel="0" collapsed="false">
      <c r="A5" s="5"/>
      <c r="B5" s="29"/>
      <c r="C5" s="30" t="n">
        <f aca="false">Model_Start_Year+0</f>
        <v>2025</v>
      </c>
      <c r="D5" s="30" t="n">
        <f aca="false">Model_Start_Year+1</f>
        <v>2026</v>
      </c>
      <c r="E5" s="30" t="n">
        <f aca="false">Model_Start_Year+2</f>
        <v>2027</v>
      </c>
      <c r="F5" s="30" t="n">
        <f aca="false">Model_Start_Year+3</f>
        <v>2028</v>
      </c>
      <c r="G5" s="30" t="n">
        <f aca="false">Model_Start_Year+4</f>
        <v>2029</v>
      </c>
    </row>
    <row r="6" customFormat="false" ht="15" hidden="false" customHeight="false" outlineLevel="0" collapsed="false">
      <c r="A6" s="5"/>
      <c r="B6" s="17" t="s">
        <v>170</v>
      </c>
      <c r="C6" s="31" t="n">
        <v>1</v>
      </c>
      <c r="D6" s="31" t="n">
        <v>2</v>
      </c>
      <c r="E6" s="31" t="n">
        <v>3</v>
      </c>
      <c r="F6" s="31" t="n">
        <v>4</v>
      </c>
      <c r="G6" s="31" t="n">
        <v>5</v>
      </c>
    </row>
    <row r="7" customFormat="false" ht="15" hidden="false" customHeight="false" outlineLevel="0" collapsed="false">
      <c r="A7" s="5"/>
      <c r="B7" s="5"/>
      <c r="C7" s="5"/>
      <c r="D7" s="5"/>
      <c r="E7" s="5"/>
      <c r="F7" s="5"/>
      <c r="G7" s="5"/>
    </row>
    <row r="8" customFormat="false" ht="15" hidden="false" customHeight="false" outlineLevel="0" collapsed="false">
      <c r="A8" s="5"/>
      <c r="B8" s="32" t="s">
        <v>171</v>
      </c>
      <c r="C8" s="33"/>
      <c r="D8" s="33"/>
      <c r="E8" s="33"/>
      <c r="F8" s="33"/>
      <c r="G8" s="33"/>
    </row>
    <row r="9" customFormat="false" ht="15" hidden="false" customHeight="false" outlineLevel="0" collapsed="false">
      <c r="A9" s="5"/>
      <c r="B9" s="7" t="s">
        <v>172</v>
      </c>
      <c r="C9" s="34" t="n">
        <f aca="false">Dev_Eng_Y1</f>
        <v>8</v>
      </c>
      <c r="D9" s="34" t="n">
        <f aca="false">Dev_Eng_Y2</f>
        <v>14</v>
      </c>
      <c r="E9" s="34" t="n">
        <f aca="false">0</f>
        <v>0</v>
      </c>
      <c r="F9" s="34" t="n">
        <f aca="false">0</f>
        <v>0</v>
      </c>
      <c r="G9" s="34" t="n">
        <f aca="false">0</f>
        <v>0</v>
      </c>
    </row>
    <row r="10" customFormat="false" ht="15" hidden="false" customHeight="false" outlineLevel="0" collapsed="false">
      <c r="A10" s="5"/>
      <c r="B10" s="7" t="s">
        <v>173</v>
      </c>
      <c r="C10" s="34" t="n">
        <f aca="false">Dev_Art_Y1</f>
        <v>6</v>
      </c>
      <c r="D10" s="34" t="n">
        <f aca="false">Dev_Art_Y2</f>
        <v>12</v>
      </c>
      <c r="E10" s="34" t="n">
        <f aca="false">0</f>
        <v>0</v>
      </c>
      <c r="F10" s="34" t="n">
        <f aca="false">0</f>
        <v>0</v>
      </c>
      <c r="G10" s="34" t="n">
        <f aca="false">0</f>
        <v>0</v>
      </c>
    </row>
    <row r="11" customFormat="false" ht="15" hidden="false" customHeight="false" outlineLevel="0" collapsed="false">
      <c r="A11" s="5"/>
      <c r="B11" s="7" t="s">
        <v>174</v>
      </c>
      <c r="C11" s="34" t="n">
        <f aca="false">Dev_QA_Y1</f>
        <v>2</v>
      </c>
      <c r="D11" s="34" t="n">
        <f aca="false">Dev_QA_Y2</f>
        <v>6</v>
      </c>
      <c r="E11" s="34" t="n">
        <f aca="false">0</f>
        <v>0</v>
      </c>
      <c r="F11" s="34" t="n">
        <f aca="false">0</f>
        <v>0</v>
      </c>
      <c r="G11" s="34" t="n">
        <f aca="false">0</f>
        <v>0</v>
      </c>
    </row>
    <row r="12" customFormat="false" ht="15" hidden="false" customHeight="false" outlineLevel="0" collapsed="false">
      <c r="A12" s="5"/>
      <c r="B12" s="35" t="s">
        <v>175</v>
      </c>
      <c r="C12" s="36" t="n">
        <f aca="false">C9+C10+C11</f>
        <v>16</v>
      </c>
      <c r="D12" s="36" t="n">
        <f aca="false">D9+D10+D11</f>
        <v>32</v>
      </c>
      <c r="E12" s="36" t="n">
        <f aca="false">0</f>
        <v>0</v>
      </c>
      <c r="F12" s="36" t="n">
        <f aca="false">0</f>
        <v>0</v>
      </c>
      <c r="G12" s="36" t="n">
        <f aca="false">0</f>
        <v>0</v>
      </c>
    </row>
    <row r="13" customFormat="false" ht="15" hidden="false" customHeight="false" outlineLevel="0" collapsed="false">
      <c r="A13" s="5"/>
      <c r="B13" s="37" t="s">
        <v>176</v>
      </c>
      <c r="C13" s="38"/>
      <c r="D13" s="38"/>
      <c r="E13" s="38"/>
      <c r="F13" s="38"/>
      <c r="G13" s="38"/>
    </row>
    <row r="14" customFormat="false" ht="15" hidden="false" customHeight="false" outlineLevel="0" collapsed="false">
      <c r="A14" s="5"/>
      <c r="B14" s="7" t="s">
        <v>177</v>
      </c>
      <c r="C14" s="34" t="n">
        <f aca="false">C9*Eng_Salary*(1+Employer_NI)</f>
        <v>655488</v>
      </c>
      <c r="D14" s="34" t="n">
        <f aca="false">D9*Eng_Salary*(1+Employer_NI)</f>
        <v>1147104</v>
      </c>
      <c r="E14" s="34" t="n">
        <f aca="false">0</f>
        <v>0</v>
      </c>
      <c r="F14" s="34" t="n">
        <f aca="false">0</f>
        <v>0</v>
      </c>
      <c r="G14" s="34" t="n">
        <f aca="false">0</f>
        <v>0</v>
      </c>
    </row>
    <row r="15" customFormat="false" ht="15" hidden="false" customHeight="false" outlineLevel="0" collapsed="false">
      <c r="A15" s="5"/>
      <c r="B15" s="7" t="s">
        <v>178</v>
      </c>
      <c r="C15" s="34" t="n">
        <f aca="false">C10*Art_Salary*(1+Employer_NI)</f>
        <v>396024</v>
      </c>
      <c r="D15" s="34" t="n">
        <f aca="false">D10*Art_Salary*(1+Employer_NI)</f>
        <v>792048</v>
      </c>
      <c r="E15" s="34" t="n">
        <f aca="false">0</f>
        <v>0</v>
      </c>
      <c r="F15" s="34" t="n">
        <f aca="false">0</f>
        <v>0</v>
      </c>
      <c r="G15" s="34" t="n">
        <f aca="false">0</f>
        <v>0</v>
      </c>
    </row>
    <row r="16" customFormat="false" ht="15" hidden="false" customHeight="false" outlineLevel="0" collapsed="false">
      <c r="A16" s="5"/>
      <c r="B16" s="7" t="s">
        <v>179</v>
      </c>
      <c r="C16" s="34" t="n">
        <f aca="false">C11*QA_Salary*(1+Employer_NI)</f>
        <v>95592</v>
      </c>
      <c r="D16" s="34" t="n">
        <f aca="false">D11*QA_Salary*(1+Employer_NI)</f>
        <v>286776</v>
      </c>
      <c r="E16" s="34" t="n">
        <f aca="false">0</f>
        <v>0</v>
      </c>
      <c r="F16" s="34" t="n">
        <f aca="false">0</f>
        <v>0</v>
      </c>
      <c r="G16" s="34" t="n">
        <f aca="false">0</f>
        <v>0</v>
      </c>
    </row>
    <row r="17" customFormat="false" ht="15" hidden="false" customHeight="false" outlineLevel="0" collapsed="false">
      <c r="A17" s="5"/>
      <c r="B17" s="7" t="s">
        <v>180</v>
      </c>
      <c r="C17" s="34" t="n">
        <f aca="false">C12*Dev_Licence_Rate</f>
        <v>57600</v>
      </c>
      <c r="D17" s="34" t="n">
        <f aca="false">D12*Dev_Licence_Rate</f>
        <v>115200</v>
      </c>
      <c r="E17" s="34" t="n">
        <f aca="false">0</f>
        <v>0</v>
      </c>
      <c r="F17" s="34" t="n">
        <f aca="false">0</f>
        <v>0</v>
      </c>
      <c r="G17" s="34" t="n">
        <f aca="false">0</f>
        <v>0</v>
      </c>
    </row>
    <row r="18" customFormat="false" ht="15" hidden="false" customHeight="false" outlineLevel="0" collapsed="false">
      <c r="A18" s="5"/>
      <c r="B18" s="35" t="s">
        <v>181</v>
      </c>
      <c r="C18" s="36" t="n">
        <f aca="false">C14+C15+C16+C17</f>
        <v>1204704</v>
      </c>
      <c r="D18" s="36" t="n">
        <f aca="false">D14+D15+D16+D17</f>
        <v>2341128</v>
      </c>
      <c r="E18" s="36" t="n">
        <f aca="false">0</f>
        <v>0</v>
      </c>
      <c r="F18" s="36" t="n">
        <f aca="false">0</f>
        <v>0</v>
      </c>
      <c r="G18" s="36" t="n">
        <f aca="false">0</f>
        <v>0</v>
      </c>
    </row>
    <row r="19" customFormat="false" ht="15" hidden="false" customHeight="false" outlineLevel="0" collapsed="false">
      <c r="A19" s="5"/>
      <c r="B19" s="5"/>
      <c r="C19" s="5"/>
      <c r="D19" s="5"/>
      <c r="E19" s="5"/>
      <c r="F19" s="5"/>
      <c r="G19" s="5"/>
    </row>
    <row r="20" customFormat="false" ht="15" hidden="false" customHeight="false" outlineLevel="0" collapsed="false">
      <c r="A20" s="5"/>
      <c r="B20" s="32" t="s">
        <v>182</v>
      </c>
      <c r="C20" s="33"/>
      <c r="D20" s="33"/>
      <c r="E20" s="33"/>
      <c r="F20" s="33"/>
      <c r="G20" s="33"/>
    </row>
    <row r="21" customFormat="false" ht="15" hidden="false" customHeight="false" outlineLevel="0" collapsed="false">
      <c r="A21" s="5"/>
      <c r="B21" s="7" t="s">
        <v>183</v>
      </c>
      <c r="C21" s="34" t="n">
        <f aca="false">0</f>
        <v>0</v>
      </c>
      <c r="D21" s="34" t="n">
        <f aca="false">0</f>
        <v>0</v>
      </c>
      <c r="E21" s="34" t="n">
        <f aca="false">PL_Eng</f>
        <v>6</v>
      </c>
      <c r="F21" s="34" t="n">
        <f aca="false">PL_Eng</f>
        <v>6</v>
      </c>
      <c r="G21" s="34" t="n">
        <f aca="false">PL_Eng</f>
        <v>6</v>
      </c>
    </row>
    <row r="22" customFormat="false" ht="15" hidden="false" customHeight="false" outlineLevel="0" collapsed="false">
      <c r="A22" s="5"/>
      <c r="B22" s="7" t="s">
        <v>184</v>
      </c>
      <c r="C22" s="34" t="n">
        <f aca="false">0</f>
        <v>0</v>
      </c>
      <c r="D22" s="34" t="n">
        <f aca="false">0</f>
        <v>0</v>
      </c>
      <c r="E22" s="34" t="n">
        <f aca="false">PL_Art</f>
        <v>5</v>
      </c>
      <c r="F22" s="34" t="n">
        <f aca="false">PL_Art</f>
        <v>5</v>
      </c>
      <c r="G22" s="34" t="n">
        <f aca="false">PL_Art</f>
        <v>5</v>
      </c>
    </row>
    <row r="23" customFormat="false" ht="15" hidden="false" customHeight="false" outlineLevel="0" collapsed="false">
      <c r="A23" s="5"/>
      <c r="B23" s="7" t="s">
        <v>111</v>
      </c>
      <c r="C23" s="34" t="n">
        <f aca="false">0</f>
        <v>0</v>
      </c>
      <c r="D23" s="34" t="n">
        <f aca="false">0</f>
        <v>0</v>
      </c>
      <c r="E23" s="34" t="n">
        <f aca="false">PL_QA</f>
        <v>3</v>
      </c>
      <c r="F23" s="34" t="n">
        <f aca="false">PL_QA</f>
        <v>3</v>
      </c>
      <c r="G23" s="34" t="n">
        <f aca="false">PL_QA</f>
        <v>3</v>
      </c>
    </row>
    <row r="24" customFormat="false" ht="15" hidden="false" customHeight="false" outlineLevel="0" collapsed="false">
      <c r="A24" s="5"/>
      <c r="B24" s="35" t="s">
        <v>185</v>
      </c>
      <c r="C24" s="36" t="n">
        <f aca="false">0</f>
        <v>0</v>
      </c>
      <c r="D24" s="36" t="n">
        <f aca="false">0</f>
        <v>0</v>
      </c>
      <c r="E24" s="36" t="n">
        <f aca="false">E21+E22+E23</f>
        <v>14</v>
      </c>
      <c r="F24" s="36" t="n">
        <f aca="false">F21+F22+F23</f>
        <v>14</v>
      </c>
      <c r="G24" s="36" t="n">
        <f aca="false">G21+G22+G23</f>
        <v>14</v>
      </c>
    </row>
    <row r="25" customFormat="false" ht="15" hidden="false" customHeight="false" outlineLevel="0" collapsed="false">
      <c r="A25" s="5"/>
      <c r="B25" s="37" t="s">
        <v>186</v>
      </c>
      <c r="C25" s="38"/>
      <c r="D25" s="38"/>
      <c r="E25" s="38"/>
      <c r="F25" s="38"/>
      <c r="G25" s="38"/>
    </row>
    <row r="26" customFormat="false" ht="15" hidden="false" customHeight="false" outlineLevel="0" collapsed="false">
      <c r="A26" s="5"/>
      <c r="B26" s="7" t="s">
        <v>187</v>
      </c>
      <c r="C26" s="34" t="n">
        <f aca="false">0</f>
        <v>0</v>
      </c>
      <c r="D26" s="34" t="n">
        <f aca="false">0</f>
        <v>0</v>
      </c>
      <c r="E26" s="34" t="n">
        <f aca="false">E21*Eng_Salary*(1+Employer_NI)</f>
        <v>491616</v>
      </c>
      <c r="F26" s="34" t="n">
        <f aca="false">F21*Eng_Salary*(1+Employer_NI)</f>
        <v>491616</v>
      </c>
      <c r="G26" s="34" t="n">
        <f aca="false">G21*Eng_Salary*(1+Employer_NI)</f>
        <v>491616</v>
      </c>
    </row>
    <row r="27" customFormat="false" ht="15" hidden="false" customHeight="false" outlineLevel="0" collapsed="false">
      <c r="A27" s="5"/>
      <c r="B27" s="7" t="s">
        <v>188</v>
      </c>
      <c r="C27" s="34" t="n">
        <f aca="false">0</f>
        <v>0</v>
      </c>
      <c r="D27" s="34" t="n">
        <f aca="false">0</f>
        <v>0</v>
      </c>
      <c r="E27" s="34" t="n">
        <f aca="false">E22*Art_Salary*(1+Employer_NI)</f>
        <v>330020</v>
      </c>
      <c r="F27" s="34" t="n">
        <f aca="false">F22*Art_Salary*(1+Employer_NI)</f>
        <v>330020</v>
      </c>
      <c r="G27" s="34" t="n">
        <f aca="false">G22*Art_Salary*(1+Employer_NI)</f>
        <v>330020</v>
      </c>
    </row>
    <row r="28" customFormat="false" ht="15" hidden="false" customHeight="false" outlineLevel="0" collapsed="false">
      <c r="A28" s="5"/>
      <c r="B28" s="7" t="s">
        <v>189</v>
      </c>
      <c r="C28" s="34" t="n">
        <f aca="false">0</f>
        <v>0</v>
      </c>
      <c r="D28" s="34" t="n">
        <f aca="false">0</f>
        <v>0</v>
      </c>
      <c r="E28" s="34" t="n">
        <f aca="false">E23*QA_Salary*(1+Employer_NI)</f>
        <v>143388</v>
      </c>
      <c r="F28" s="34" t="n">
        <f aca="false">F23*QA_Salary*(1+Employer_NI)</f>
        <v>143388</v>
      </c>
      <c r="G28" s="34" t="n">
        <f aca="false">G23*QA_Salary*(1+Employer_NI)</f>
        <v>143388</v>
      </c>
    </row>
    <row r="29" customFormat="false" ht="15" hidden="false" customHeight="false" outlineLevel="0" collapsed="false">
      <c r="A29" s="5"/>
      <c r="B29" s="35" t="s">
        <v>190</v>
      </c>
      <c r="C29" s="36" t="n">
        <f aca="false">0</f>
        <v>0</v>
      </c>
      <c r="D29" s="36" t="n">
        <f aca="false">0</f>
        <v>0</v>
      </c>
      <c r="E29" s="36" t="n">
        <f aca="false">E26+E27+E28</f>
        <v>965024</v>
      </c>
      <c r="F29" s="36" t="n">
        <f aca="false">F26+F27+F28</f>
        <v>965024</v>
      </c>
      <c r="G29" s="36" t="n">
        <f aca="false">G26+G27+G28</f>
        <v>965024</v>
      </c>
    </row>
    <row r="30" customFormat="false" ht="15" hidden="false" customHeight="false" outlineLevel="0" collapsed="false">
      <c r="A30" s="5"/>
      <c r="B30" s="5"/>
      <c r="C30" s="5"/>
      <c r="D30" s="5"/>
      <c r="E30" s="5"/>
      <c r="F30" s="5"/>
      <c r="G30" s="5"/>
    </row>
    <row r="31" customFormat="false" ht="15" hidden="false" customHeight="false" outlineLevel="0" collapsed="false">
      <c r="A31" s="5"/>
      <c r="B31" s="5"/>
      <c r="C31" s="5"/>
      <c r="D31" s="5"/>
      <c r="E31" s="5"/>
      <c r="F31" s="5"/>
      <c r="G31" s="5"/>
    </row>
    <row r="32" customFormat="false" ht="15" hidden="false" customHeight="false" outlineLevel="0" collapsed="false">
      <c r="A32" s="5"/>
      <c r="B32" s="32" t="s">
        <v>191</v>
      </c>
      <c r="C32" s="33"/>
      <c r="D32" s="33"/>
      <c r="E32" s="33"/>
      <c r="F32" s="33"/>
      <c r="G32" s="33"/>
    </row>
    <row r="33" customFormat="false" ht="15" hidden="false" customHeight="false" outlineLevel="0" collapsed="false">
      <c r="A33" s="5"/>
      <c r="B33" s="7" t="s">
        <v>192</v>
      </c>
      <c r="C33" s="34" t="n">
        <f aca="false">2</f>
        <v>2</v>
      </c>
      <c r="D33" s="34" t="n">
        <f aca="false">2</f>
        <v>2</v>
      </c>
      <c r="E33" s="34" t="n">
        <f aca="false">3</f>
        <v>3</v>
      </c>
      <c r="F33" s="34" t="n">
        <f aca="false">3</f>
        <v>3</v>
      </c>
      <c r="G33" s="34" t="n">
        <f aca="false">3</f>
        <v>3</v>
      </c>
    </row>
    <row r="34" customFormat="false" ht="15" hidden="false" customHeight="false" outlineLevel="0" collapsed="false">
      <c r="A34" s="5"/>
      <c r="B34" s="35" t="s">
        <v>193</v>
      </c>
      <c r="C34" s="36" t="n">
        <f aca="false">C33*Admin_Salary*(1+Employer_NI)</f>
        <v>118352</v>
      </c>
      <c r="D34" s="36" t="n">
        <f aca="false">D33*Admin_Salary*(1+Employer_NI)</f>
        <v>118352</v>
      </c>
      <c r="E34" s="36" t="n">
        <f aca="false">E33*Admin_Salary*(1+Employer_NI)</f>
        <v>177528</v>
      </c>
      <c r="F34" s="36" t="n">
        <f aca="false">F33*Admin_Salary*(1+Employer_NI)</f>
        <v>177528</v>
      </c>
      <c r="G34" s="36" t="n">
        <f aca="false">G33*Admin_Salary*(1+Employer_NI)</f>
        <v>177528</v>
      </c>
    </row>
    <row r="35" customFormat="false" ht="15" hidden="false" customHeight="false" outlineLevel="0" collapsed="false">
      <c r="A35" s="5"/>
      <c r="B35" s="5"/>
      <c r="C35" s="5"/>
      <c r="D35" s="5"/>
      <c r="E35" s="5"/>
      <c r="F35" s="5"/>
      <c r="G35" s="5"/>
    </row>
    <row r="36" customFormat="false" ht="15" hidden="false" customHeight="false" outlineLevel="0" collapsed="false">
      <c r="A36" s="5"/>
      <c r="B36" s="5"/>
      <c r="C36" s="5"/>
      <c r="D36" s="5"/>
      <c r="E36" s="5"/>
      <c r="F36" s="5"/>
      <c r="G36" s="5"/>
    </row>
    <row r="37" customFormat="false" ht="15" hidden="false" customHeight="false" outlineLevel="0" collapsed="false">
      <c r="A37" s="5"/>
      <c r="B37" s="32" t="s">
        <v>194</v>
      </c>
      <c r="C37" s="33"/>
      <c r="D37" s="33"/>
      <c r="E37" s="33"/>
      <c r="F37" s="33"/>
      <c r="G37" s="33"/>
    </row>
    <row r="38" customFormat="false" ht="15" hidden="false" customHeight="false" outlineLevel="0" collapsed="false">
      <c r="A38" s="5"/>
      <c r="B38" s="35" t="s">
        <v>195</v>
      </c>
      <c r="C38" s="39" t="n">
        <f aca="false">C12+C24+C33</f>
        <v>18</v>
      </c>
      <c r="D38" s="39" t="n">
        <f aca="false">D12+D24+D33</f>
        <v>34</v>
      </c>
      <c r="E38" s="39" t="n">
        <f aca="false">E12+E24+E33</f>
        <v>17</v>
      </c>
      <c r="F38" s="39" t="n">
        <f aca="false">F12+F24+F33</f>
        <v>17</v>
      </c>
      <c r="G38" s="39" t="n">
        <f aca="false">G12+G24+G33</f>
        <v>17</v>
      </c>
    </row>
    <row r="39" customFormat="false" ht="15" hidden="false" customHeight="false" outlineLevel="0" collapsed="false">
      <c r="A39" s="5"/>
      <c r="B39" s="35" t="s">
        <v>196</v>
      </c>
      <c r="C39" s="40" t="n">
        <f aca="false">C18+C29+C34</f>
        <v>1323056</v>
      </c>
      <c r="D39" s="40" t="n">
        <f aca="false">D18+D29+D34</f>
        <v>2459480</v>
      </c>
      <c r="E39" s="40" t="n">
        <f aca="false">E18+E29+E34</f>
        <v>1142552</v>
      </c>
      <c r="F39" s="40" t="n">
        <f aca="false">F18+F29+F34</f>
        <v>1142552</v>
      </c>
      <c r="G39" s="40" t="n">
        <f aca="false">G18+G29+G34</f>
        <v>1142552</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70AD47"/>
    <pageSetUpPr fitToPage="false"/>
  </sheetPr>
  <dimension ref="A1:G40"/>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2"/>
    <col collapsed="false" customWidth="true" hidden="false" outlineLevel="0" max="7" min="3" style="0" width="18"/>
  </cols>
  <sheetData>
    <row r="1" customFormat="false" ht="15" hidden="false" customHeight="false" outlineLevel="0" collapsed="false">
      <c r="A1" s="5"/>
      <c r="B1" s="5"/>
      <c r="C1" s="5"/>
      <c r="D1" s="5"/>
      <c r="E1" s="5"/>
      <c r="F1" s="5"/>
      <c r="G1" s="5"/>
    </row>
    <row r="2" customFormat="false" ht="22.05" hidden="false" customHeight="false" outlineLevel="0" collapsed="false">
      <c r="A2" s="5"/>
      <c r="B2" s="28" t="s">
        <v>197</v>
      </c>
      <c r="C2" s="5"/>
      <c r="D2" s="5"/>
      <c r="E2" s="5"/>
      <c r="F2" s="5"/>
      <c r="G2" s="5"/>
    </row>
    <row r="3" customFormat="false" ht="15" hidden="false" customHeight="false" outlineLevel="0" collapsed="false">
      <c r="A3" s="5"/>
      <c r="B3" s="8" t="s">
        <v>198</v>
      </c>
      <c r="C3" s="5"/>
      <c r="D3" s="5"/>
      <c r="E3" s="5"/>
      <c r="F3" s="5"/>
      <c r="G3" s="5"/>
    </row>
    <row r="4" customFormat="false" ht="15" hidden="false" customHeight="false" outlineLevel="0" collapsed="false">
      <c r="A4" s="5"/>
      <c r="B4" s="5"/>
      <c r="C4" s="5"/>
      <c r="D4" s="5"/>
      <c r="E4" s="5"/>
      <c r="F4" s="5"/>
      <c r="G4" s="5"/>
    </row>
    <row r="5" customFormat="false" ht="15" hidden="false" customHeight="false" outlineLevel="0" collapsed="false">
      <c r="A5" s="5"/>
      <c r="B5" s="29"/>
      <c r="C5" s="30" t="n">
        <f aca="false">Model_Start_Year+0</f>
        <v>2025</v>
      </c>
      <c r="D5" s="30" t="n">
        <f aca="false">Model_Start_Year+1</f>
        <v>2026</v>
      </c>
      <c r="E5" s="30" t="n">
        <f aca="false">Model_Start_Year+2</f>
        <v>2027</v>
      </c>
      <c r="F5" s="30" t="n">
        <f aca="false">Model_Start_Year+3</f>
        <v>2028</v>
      </c>
      <c r="G5" s="30" t="n">
        <f aca="false">Model_Start_Year+4</f>
        <v>2029</v>
      </c>
    </row>
    <row r="6" customFormat="false" ht="15" hidden="false" customHeight="false" outlineLevel="0" collapsed="false">
      <c r="A6" s="5"/>
      <c r="B6" s="17" t="s">
        <v>170</v>
      </c>
      <c r="C6" s="31" t="n">
        <v>1</v>
      </c>
      <c r="D6" s="31" t="n">
        <v>2</v>
      </c>
      <c r="E6" s="31" t="n">
        <v>3</v>
      </c>
      <c r="F6" s="31" t="n">
        <v>4</v>
      </c>
      <c r="G6" s="31" t="n">
        <v>5</v>
      </c>
    </row>
    <row r="7" customFormat="false" ht="15" hidden="false" customHeight="false" outlineLevel="0" collapsed="false">
      <c r="A7" s="5"/>
      <c r="B7" s="5"/>
      <c r="C7" s="5"/>
      <c r="D7" s="5"/>
      <c r="E7" s="5"/>
      <c r="F7" s="5"/>
      <c r="G7" s="5"/>
    </row>
    <row r="8" customFormat="false" ht="15" hidden="false" customHeight="false" outlineLevel="0" collapsed="false">
      <c r="A8" s="5"/>
      <c r="B8" s="32" t="s">
        <v>199</v>
      </c>
      <c r="C8" s="33"/>
      <c r="D8" s="33"/>
      <c r="E8" s="33"/>
      <c r="F8" s="33"/>
      <c r="G8" s="33"/>
    </row>
    <row r="9" customFormat="false" ht="15" hidden="false" customHeight="false" outlineLevel="0" collapsed="false">
      <c r="A9" s="5"/>
      <c r="B9" s="7" t="s">
        <v>200</v>
      </c>
      <c r="C9" s="34" t="n">
        <f aca="false">0</f>
        <v>0</v>
      </c>
      <c r="D9" s="34" t="n">
        <f aca="false">0</f>
        <v>0</v>
      </c>
      <c r="E9" s="34" t="n">
        <f aca="false">Units_Y3</f>
        <v>250000</v>
      </c>
      <c r="F9" s="34" t="n">
        <f aca="false">Units_Y4</f>
        <v>75000</v>
      </c>
      <c r="G9" s="34" t="n">
        <f aca="false">Units_Y5</f>
        <v>40000</v>
      </c>
    </row>
    <row r="10" customFormat="false" ht="15" hidden="false" customHeight="false" outlineLevel="0" collapsed="false">
      <c r="A10" s="5"/>
      <c r="B10" s="7" t="s">
        <v>50</v>
      </c>
      <c r="C10" s="34" t="n">
        <f aca="false">0</f>
        <v>0</v>
      </c>
      <c r="D10" s="34" t="n">
        <f aca="false">0</f>
        <v>0</v>
      </c>
      <c r="E10" s="34" t="n">
        <f aca="false">Gross_Price</f>
        <v>34.99</v>
      </c>
      <c r="F10" s="34" t="n">
        <f aca="false">Gross_Price</f>
        <v>34.99</v>
      </c>
      <c r="G10" s="34" t="n">
        <f aca="false">Gross_Price</f>
        <v>34.99</v>
      </c>
    </row>
    <row r="11" customFormat="false" ht="15" hidden="false" customHeight="false" outlineLevel="0" collapsed="false">
      <c r="A11" s="5"/>
      <c r="B11" s="7" t="s">
        <v>52</v>
      </c>
      <c r="C11" s="41" t="n">
        <f aca="false">0</f>
        <v>0</v>
      </c>
      <c r="D11" s="41" t="n">
        <f aca="false">0</f>
        <v>0</v>
      </c>
      <c r="E11" s="41" t="n">
        <f aca="false">Platform_Fee</f>
        <v>0.3</v>
      </c>
      <c r="F11" s="41" t="n">
        <f aca="false">Platform_Fee</f>
        <v>0.3</v>
      </c>
      <c r="G11" s="41" t="n">
        <f aca="false">Platform_Fee</f>
        <v>0.3</v>
      </c>
    </row>
    <row r="12" customFormat="false" ht="15" hidden="false" customHeight="false" outlineLevel="0" collapsed="false">
      <c r="A12" s="5"/>
      <c r="B12" s="7" t="s">
        <v>54</v>
      </c>
      <c r="C12" s="41" t="n">
        <f aca="false">0</f>
        <v>0</v>
      </c>
      <c r="D12" s="41" t="n">
        <f aca="false">0</f>
        <v>0</v>
      </c>
      <c r="E12" s="41" t="n">
        <f aca="false">Refund_Rate</f>
        <v>0.05</v>
      </c>
      <c r="F12" s="41" t="n">
        <f aca="false">Refund_Rate</f>
        <v>0.05</v>
      </c>
      <c r="G12" s="41" t="n">
        <f aca="false">Refund_Rate</f>
        <v>0.05</v>
      </c>
    </row>
    <row r="13" customFormat="false" ht="15" hidden="false" customHeight="false" outlineLevel="0" collapsed="false">
      <c r="A13" s="5"/>
      <c r="B13" s="7" t="s">
        <v>201</v>
      </c>
      <c r="C13" s="34" t="n">
        <f aca="false">0</f>
        <v>0</v>
      </c>
      <c r="D13" s="34" t="n">
        <f aca="false">0</f>
        <v>0</v>
      </c>
      <c r="E13" s="34" t="n">
        <f aca="false">E10*(1-E11)*(1-E12)</f>
        <v>23.26835</v>
      </c>
      <c r="F13" s="34" t="n">
        <f aca="false">F10*(1-F11)*(1-F12)</f>
        <v>23.26835</v>
      </c>
      <c r="G13" s="34" t="n">
        <f aca="false">G10*(1-G11)*(1-G12)</f>
        <v>23.26835</v>
      </c>
    </row>
    <row r="14" customFormat="false" ht="15" hidden="false" customHeight="false" outlineLevel="0" collapsed="false">
      <c r="A14" s="5"/>
      <c r="B14" s="35" t="s">
        <v>202</v>
      </c>
      <c r="C14" s="36" t="n">
        <f aca="false">0</f>
        <v>0</v>
      </c>
      <c r="D14" s="36" t="n">
        <f aca="false">0</f>
        <v>0</v>
      </c>
      <c r="E14" s="36" t="n">
        <f aca="false">E9*E13</f>
        <v>5817087.5</v>
      </c>
      <c r="F14" s="36" t="n">
        <f aca="false">F9*F13</f>
        <v>1745126.25</v>
      </c>
      <c r="G14" s="36" t="n">
        <f aca="false">G9*G13</f>
        <v>930734</v>
      </c>
    </row>
    <row r="15" customFormat="false" ht="15" hidden="false" customHeight="false" outlineLevel="0" collapsed="false">
      <c r="A15" s="5"/>
      <c r="B15" s="5"/>
      <c r="C15" s="5"/>
      <c r="D15" s="5"/>
      <c r="E15" s="5"/>
      <c r="F15" s="5"/>
      <c r="G15" s="5"/>
    </row>
    <row r="16" customFormat="false" ht="15" hidden="false" customHeight="false" outlineLevel="0" collapsed="false">
      <c r="A16" s="5"/>
      <c r="B16" s="5"/>
      <c r="C16" s="5"/>
      <c r="D16" s="5"/>
      <c r="E16" s="5"/>
      <c r="F16" s="5"/>
      <c r="G16" s="5"/>
    </row>
    <row r="17" customFormat="false" ht="15" hidden="false" customHeight="false" outlineLevel="0" collapsed="false">
      <c r="A17" s="5"/>
      <c r="B17" s="32" t="s">
        <v>203</v>
      </c>
      <c r="C17" s="33"/>
      <c r="D17" s="33"/>
      <c r="E17" s="33"/>
      <c r="F17" s="33"/>
      <c r="G17" s="33"/>
    </row>
    <row r="18" customFormat="false" ht="15" hidden="false" customHeight="false" outlineLevel="0" collapsed="false">
      <c r="A18" s="5"/>
      <c r="B18" s="7" t="s">
        <v>204</v>
      </c>
      <c r="C18" s="34" t="n">
        <f aca="false">0</f>
        <v>0</v>
      </c>
      <c r="D18" s="34" t="n">
        <f aca="false">0</f>
        <v>0</v>
      </c>
      <c r="E18" s="34" t="n">
        <f aca="false">E9</f>
        <v>250000</v>
      </c>
      <c r="F18" s="34" t="n">
        <f aca="false">E18+F9</f>
        <v>325000</v>
      </c>
      <c r="G18" s="34" t="n">
        <f aca="false">F18+G9</f>
        <v>365000</v>
      </c>
    </row>
    <row r="19" customFormat="false" ht="15" hidden="false" customHeight="false" outlineLevel="0" collapsed="false">
      <c r="A19" s="5"/>
      <c r="B19" s="5"/>
      <c r="C19" s="5"/>
      <c r="D19" s="5"/>
      <c r="E19" s="5"/>
      <c r="F19" s="5"/>
      <c r="G19" s="5"/>
    </row>
    <row r="20" customFormat="false" ht="15" hidden="false" customHeight="false" outlineLevel="0" collapsed="false">
      <c r="A20" s="5"/>
      <c r="B20" s="32" t="s">
        <v>205</v>
      </c>
      <c r="C20" s="33"/>
      <c r="D20" s="33"/>
      <c r="E20" s="33"/>
      <c r="F20" s="33"/>
      <c r="G20" s="33"/>
    </row>
    <row r="21" customFormat="false" ht="15" hidden="false" customHeight="false" outlineLevel="0" collapsed="false">
      <c r="A21" s="5"/>
      <c r="B21" s="7" t="s">
        <v>206</v>
      </c>
      <c r="C21" s="34" t="n">
        <f aca="false">0</f>
        <v>0</v>
      </c>
      <c r="D21" s="34" t="n">
        <f aca="false">0</f>
        <v>0</v>
      </c>
      <c r="E21" s="34" t="n">
        <f aca="false">0</f>
        <v>0</v>
      </c>
      <c r="F21" s="34" t="n">
        <f aca="false">DLC_Packs_Y4</f>
        <v>2</v>
      </c>
      <c r="G21" s="34" t="n">
        <f aca="false">DLC_Packs_Y5</f>
        <v>1</v>
      </c>
    </row>
    <row r="22" customFormat="false" ht="15" hidden="false" customHeight="false" outlineLevel="0" collapsed="false">
      <c r="A22" s="5"/>
      <c r="B22" s="7" t="s">
        <v>61</v>
      </c>
      <c r="C22" s="41" t="n">
        <f aca="false">0</f>
        <v>0</v>
      </c>
      <c r="D22" s="41" t="n">
        <f aca="false">0</f>
        <v>0</v>
      </c>
      <c r="E22" s="41" t="n">
        <f aca="false">0</f>
        <v>0</v>
      </c>
      <c r="F22" s="41" t="n">
        <f aca="false">DLC_Attach_Rate</f>
        <v>0.18</v>
      </c>
      <c r="G22" s="41" t="n">
        <f aca="false">DLC_Attach_Rate</f>
        <v>0.18</v>
      </c>
    </row>
    <row r="23" customFormat="false" ht="15" hidden="false" customHeight="false" outlineLevel="0" collapsed="false">
      <c r="A23" s="5"/>
      <c r="B23" s="7" t="s">
        <v>207</v>
      </c>
      <c r="C23" s="34" t="n">
        <f aca="false">0</f>
        <v>0</v>
      </c>
      <c r="D23" s="34" t="n">
        <f aca="false">0</f>
        <v>0</v>
      </c>
      <c r="E23" s="34" t="n">
        <f aca="false">0</f>
        <v>0</v>
      </c>
      <c r="F23" s="34" t="n">
        <f aca="false">DLC_Price*(1-Platform_Fee)</f>
        <v>6.293</v>
      </c>
      <c r="G23" s="34" t="n">
        <f aca="false">DLC_Price*(1-Platform_Fee)</f>
        <v>6.293</v>
      </c>
    </row>
    <row r="24" customFormat="false" ht="15" hidden="false" customHeight="false" outlineLevel="0" collapsed="false">
      <c r="A24" s="5"/>
      <c r="B24" s="7" t="s">
        <v>208</v>
      </c>
      <c r="C24" s="34" t="n">
        <f aca="false">0</f>
        <v>0</v>
      </c>
      <c r="D24" s="34" t="n">
        <f aca="false">0</f>
        <v>0</v>
      </c>
      <c r="E24" s="34" t="n">
        <f aca="false">0</f>
        <v>0</v>
      </c>
      <c r="F24" s="34" t="n">
        <f aca="false">E18</f>
        <v>250000</v>
      </c>
      <c r="G24" s="34" t="n">
        <f aca="false">F18</f>
        <v>325000</v>
      </c>
    </row>
    <row r="25" customFormat="false" ht="15" hidden="false" customHeight="false" outlineLevel="0" collapsed="false">
      <c r="A25" s="5"/>
      <c r="B25" s="35" t="s">
        <v>209</v>
      </c>
      <c r="C25" s="36" t="n">
        <f aca="false">0</f>
        <v>0</v>
      </c>
      <c r="D25" s="36" t="n">
        <f aca="false">0</f>
        <v>0</v>
      </c>
      <c r="E25" s="36" t="n">
        <f aca="false">0</f>
        <v>0</v>
      </c>
      <c r="F25" s="36" t="n">
        <f aca="false">F21*F22*F23*F24</f>
        <v>566370</v>
      </c>
      <c r="G25" s="36" t="n">
        <f aca="false">G21*G22*G23*G24</f>
        <v>368140.5</v>
      </c>
    </row>
    <row r="26" customFormat="false" ht="15" hidden="false" customHeight="false" outlineLevel="0" collapsed="false">
      <c r="A26" s="5"/>
      <c r="B26" s="5"/>
      <c r="C26" s="5"/>
      <c r="D26" s="5"/>
      <c r="E26" s="5"/>
      <c r="F26" s="5"/>
      <c r="G26" s="5"/>
    </row>
    <row r="27" customFormat="false" ht="15" hidden="false" customHeight="false" outlineLevel="0" collapsed="false">
      <c r="A27" s="5"/>
      <c r="B27" s="32" t="s">
        <v>210</v>
      </c>
      <c r="C27" s="33"/>
      <c r="D27" s="33"/>
      <c r="E27" s="33"/>
      <c r="F27" s="33"/>
      <c r="G27" s="33"/>
    </row>
    <row r="28" customFormat="false" ht="15" hidden="false" customHeight="false" outlineLevel="0" collapsed="false">
      <c r="A28" s="5"/>
      <c r="B28" s="7" t="s">
        <v>211</v>
      </c>
      <c r="C28" s="41" t="n">
        <f aca="false">0</f>
        <v>0</v>
      </c>
      <c r="D28" s="41" t="n">
        <f aca="false">0</f>
        <v>0</v>
      </c>
      <c r="E28" s="41" t="n">
        <f aca="false">MAU_Rate_Y3</f>
        <v>0.2</v>
      </c>
      <c r="F28" s="41" t="n">
        <f aca="false">MAU_Rate_Y4</f>
        <v>0.35</v>
      </c>
      <c r="G28" s="41" t="n">
        <f aca="false">MAU_Rate_Y5</f>
        <v>0.4</v>
      </c>
    </row>
    <row r="29" customFormat="false" ht="15" hidden="false" customHeight="false" outlineLevel="0" collapsed="false">
      <c r="A29" s="5"/>
      <c r="B29" s="7" t="s">
        <v>212</v>
      </c>
      <c r="C29" s="34" t="n">
        <f aca="false">0</f>
        <v>0</v>
      </c>
      <c r="D29" s="34" t="n">
        <f aca="false">0</f>
        <v>0</v>
      </c>
      <c r="E29" s="34" t="n">
        <f aca="false">E18*E28</f>
        <v>50000</v>
      </c>
      <c r="F29" s="34" t="n">
        <f aca="false">F18*F28</f>
        <v>113750</v>
      </c>
      <c r="G29" s="34" t="n">
        <f aca="false">G18*G28</f>
        <v>146000</v>
      </c>
    </row>
    <row r="30" customFormat="false" ht="15" hidden="false" customHeight="false" outlineLevel="0" collapsed="false">
      <c r="A30" s="5"/>
      <c r="B30" s="7" t="s">
        <v>213</v>
      </c>
      <c r="C30" s="34" t="n">
        <f aca="false">0</f>
        <v>0</v>
      </c>
      <c r="D30" s="34" t="n">
        <f aca="false">0</f>
        <v>0</v>
      </c>
      <c r="E30" s="34" t="n">
        <f aca="false">Monthly_ARPU_Y3</f>
        <v>1.8</v>
      </c>
      <c r="F30" s="34" t="n">
        <f aca="false">Monthly_ARPU_Y4</f>
        <v>2.2</v>
      </c>
      <c r="G30" s="34" t="n">
        <f aca="false">Monthly_ARPU_Y5</f>
        <v>2.5</v>
      </c>
    </row>
    <row r="31" customFormat="false" ht="15" hidden="false" customHeight="false" outlineLevel="0" collapsed="false">
      <c r="A31" s="5"/>
      <c r="B31" s="35" t="s">
        <v>214</v>
      </c>
      <c r="C31" s="36" t="n">
        <f aca="false">0</f>
        <v>0</v>
      </c>
      <c r="D31" s="36" t="n">
        <f aca="false">0</f>
        <v>0</v>
      </c>
      <c r="E31" s="36" t="n">
        <f aca="false">E29*E30*12*(1-Platform_Fee)</f>
        <v>756000</v>
      </c>
      <c r="F31" s="36" t="n">
        <f aca="false">F29*F30*12*(1-Platform_Fee)</f>
        <v>2102100</v>
      </c>
      <c r="G31" s="36" t="n">
        <f aca="false">G29*G30*12*(1-Platform_Fee)</f>
        <v>3066000</v>
      </c>
    </row>
    <row r="32" customFormat="false" ht="15" hidden="false" customHeight="false" outlineLevel="0" collapsed="false">
      <c r="A32" s="5"/>
      <c r="B32" s="5"/>
      <c r="C32" s="5"/>
      <c r="D32" s="5"/>
      <c r="E32" s="5"/>
      <c r="F32" s="5"/>
      <c r="G32" s="5"/>
    </row>
    <row r="33" customFormat="false" ht="15" hidden="false" customHeight="false" outlineLevel="0" collapsed="false">
      <c r="A33" s="5"/>
      <c r="B33" s="32" t="s">
        <v>215</v>
      </c>
      <c r="C33" s="33"/>
      <c r="D33" s="33"/>
      <c r="E33" s="33"/>
      <c r="F33" s="33"/>
      <c r="G33" s="33"/>
    </row>
    <row r="34" customFormat="false" ht="15" hidden="false" customHeight="false" outlineLevel="0" collapsed="false">
      <c r="A34" s="5"/>
      <c r="B34" s="7" t="s">
        <v>216</v>
      </c>
      <c r="C34" s="41" t="n">
        <f aca="false">0</f>
        <v>0</v>
      </c>
      <c r="D34" s="41" t="n">
        <f aca="false">0</f>
        <v>0</v>
      </c>
      <c r="E34" s="41" t="n">
        <f aca="false">0</f>
        <v>0</v>
      </c>
      <c r="F34" s="41" t="n">
        <f aca="false">Battle_Pass_Adopt</f>
        <v>0.12</v>
      </c>
      <c r="G34" s="41" t="n">
        <f aca="false">Battle_Pass_Adopt</f>
        <v>0.12</v>
      </c>
    </row>
    <row r="35" customFormat="false" ht="15" hidden="false" customHeight="false" outlineLevel="0" collapsed="false">
      <c r="A35" s="5"/>
      <c r="B35" s="7" t="s">
        <v>217</v>
      </c>
      <c r="C35" s="34" t="n">
        <f aca="false">0</f>
        <v>0</v>
      </c>
      <c r="D35" s="34" t="n">
        <f aca="false">0</f>
        <v>0</v>
      </c>
      <c r="E35" s="34" t="n">
        <f aca="false">0</f>
        <v>0</v>
      </c>
      <c r="F35" s="34" t="n">
        <f aca="false">Battle_Pass_Seasons</f>
        <v>2</v>
      </c>
      <c r="G35" s="34" t="n">
        <f aca="false">Battle_Pass_Seasons</f>
        <v>2</v>
      </c>
    </row>
    <row r="36" customFormat="false" ht="15" hidden="false" customHeight="false" outlineLevel="0" collapsed="false">
      <c r="A36" s="5"/>
      <c r="B36" s="7" t="s">
        <v>218</v>
      </c>
      <c r="C36" s="34" t="n">
        <f aca="false">0</f>
        <v>0</v>
      </c>
      <c r="D36" s="34" t="n">
        <f aca="false">0</f>
        <v>0</v>
      </c>
      <c r="E36" s="34" t="n">
        <f aca="false">0</f>
        <v>0</v>
      </c>
      <c r="F36" s="34" t="n">
        <f aca="false">Battle_Pass_Price*(1-Platform_Fee)</f>
        <v>5.593</v>
      </c>
      <c r="G36" s="34" t="n">
        <f aca="false">Battle_Pass_Price*(1-Platform_Fee)</f>
        <v>5.593</v>
      </c>
    </row>
    <row r="37" customFormat="false" ht="15" hidden="false" customHeight="false" outlineLevel="0" collapsed="false">
      <c r="A37" s="5"/>
      <c r="B37" s="35" t="s">
        <v>219</v>
      </c>
      <c r="C37" s="36" t="n">
        <f aca="false">0</f>
        <v>0</v>
      </c>
      <c r="D37" s="36" t="n">
        <f aca="false">0</f>
        <v>0</v>
      </c>
      <c r="E37" s="36" t="n">
        <f aca="false">0</f>
        <v>0</v>
      </c>
      <c r="F37" s="36" t="n">
        <f aca="false">F29*F34*F35*F36</f>
        <v>152688.9</v>
      </c>
      <c r="G37" s="36" t="n">
        <f aca="false">G29*G34*G35*G36</f>
        <v>195978.72</v>
      </c>
    </row>
    <row r="38" customFormat="false" ht="15" hidden="false" customHeight="false" outlineLevel="0" collapsed="false">
      <c r="A38" s="5"/>
      <c r="B38" s="5"/>
      <c r="C38" s="5"/>
      <c r="D38" s="5"/>
      <c r="E38" s="5"/>
      <c r="F38" s="5"/>
      <c r="G38" s="5"/>
    </row>
    <row r="39" customFormat="false" ht="15" hidden="false" customHeight="false" outlineLevel="0" collapsed="false">
      <c r="A39" s="5"/>
      <c r="B39" s="32" t="s">
        <v>220</v>
      </c>
      <c r="C39" s="33"/>
      <c r="D39" s="33"/>
      <c r="E39" s="33"/>
      <c r="F39" s="33"/>
      <c r="G39" s="33"/>
    </row>
    <row r="40" customFormat="false" ht="15" hidden="false" customHeight="false" outlineLevel="0" collapsed="false">
      <c r="A40" s="5"/>
      <c r="B40" s="35" t="s">
        <v>221</v>
      </c>
      <c r="C40" s="40" t="n">
        <f aca="false">C14+C25+C31+C37</f>
        <v>0</v>
      </c>
      <c r="D40" s="40" t="n">
        <f aca="false">D14+D25+D31+D37</f>
        <v>0</v>
      </c>
      <c r="E40" s="40" t="n">
        <f aca="false">E14+E25+E31+E37</f>
        <v>6573087.5</v>
      </c>
      <c r="F40" s="40" t="n">
        <f aca="false">F14+F25+F31+F37</f>
        <v>4566285.15</v>
      </c>
      <c r="G40" s="40" t="n">
        <f aca="false">G14+G25+G31+G37</f>
        <v>4560853.22</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70AD47"/>
    <pageSetUpPr fitToPage="false"/>
  </sheetPr>
  <dimension ref="A1:G16"/>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2"/>
    <col collapsed="false" customWidth="true" hidden="false" outlineLevel="0" max="7" min="3" style="0" width="18"/>
  </cols>
  <sheetData>
    <row r="1" customFormat="false" ht="15" hidden="false" customHeight="false" outlineLevel="0" collapsed="false">
      <c r="A1" s="5"/>
      <c r="B1" s="5"/>
      <c r="C1" s="5"/>
      <c r="D1" s="5"/>
      <c r="E1" s="5"/>
      <c r="F1" s="5"/>
      <c r="G1" s="5"/>
    </row>
    <row r="2" customFormat="false" ht="22.05" hidden="false" customHeight="false" outlineLevel="0" collapsed="false">
      <c r="A2" s="5"/>
      <c r="B2" s="28" t="s">
        <v>222</v>
      </c>
      <c r="C2" s="5"/>
      <c r="D2" s="5"/>
      <c r="E2" s="5"/>
      <c r="F2" s="5"/>
      <c r="G2" s="5"/>
    </row>
    <row r="3" customFormat="false" ht="15" hidden="false" customHeight="false" outlineLevel="0" collapsed="false">
      <c r="A3" s="5"/>
      <c r="B3" s="8" t="s">
        <v>223</v>
      </c>
      <c r="C3" s="5"/>
      <c r="D3" s="5"/>
      <c r="E3" s="5"/>
      <c r="F3" s="5"/>
      <c r="G3" s="5"/>
    </row>
    <row r="4" customFormat="false" ht="15" hidden="false" customHeight="false" outlineLevel="0" collapsed="false">
      <c r="A4" s="5"/>
      <c r="B4" s="5"/>
      <c r="C4" s="5"/>
      <c r="D4" s="5"/>
      <c r="E4" s="5"/>
      <c r="F4" s="5"/>
      <c r="G4" s="5"/>
    </row>
    <row r="5" customFormat="false" ht="15" hidden="false" customHeight="false" outlineLevel="0" collapsed="false">
      <c r="A5" s="5"/>
      <c r="B5" s="29"/>
      <c r="C5" s="30" t="n">
        <f aca="false">Model_Start_Year+0</f>
        <v>2025</v>
      </c>
      <c r="D5" s="30" t="n">
        <f aca="false">Model_Start_Year+1</f>
        <v>2026</v>
      </c>
      <c r="E5" s="30" t="n">
        <f aca="false">Model_Start_Year+2</f>
        <v>2027</v>
      </c>
      <c r="F5" s="30" t="n">
        <f aca="false">Model_Start_Year+3</f>
        <v>2028</v>
      </c>
      <c r="G5" s="30" t="n">
        <f aca="false">Model_Start_Year+4</f>
        <v>2029</v>
      </c>
    </row>
    <row r="6" customFormat="false" ht="15" hidden="false" customHeight="false" outlineLevel="0" collapsed="false">
      <c r="A6" s="5"/>
      <c r="B6" s="17" t="s">
        <v>170</v>
      </c>
      <c r="C6" s="31" t="n">
        <v>1</v>
      </c>
      <c r="D6" s="31" t="n">
        <v>2</v>
      </c>
      <c r="E6" s="31" t="n">
        <v>3</v>
      </c>
      <c r="F6" s="31" t="n">
        <v>4</v>
      </c>
      <c r="G6" s="31" t="n">
        <v>5</v>
      </c>
    </row>
    <row r="7" customFormat="false" ht="15" hidden="false" customHeight="false" outlineLevel="0" collapsed="false">
      <c r="A7" s="5"/>
      <c r="B7" s="5"/>
      <c r="C7" s="5"/>
      <c r="D7" s="5"/>
      <c r="E7" s="5"/>
      <c r="F7" s="5"/>
      <c r="G7" s="5"/>
    </row>
    <row r="8" customFormat="false" ht="15" hidden="false" customHeight="false" outlineLevel="0" collapsed="false">
      <c r="A8" s="5"/>
      <c r="B8" s="32" t="s">
        <v>224</v>
      </c>
      <c r="C8" s="33"/>
      <c r="D8" s="33"/>
      <c r="E8" s="33"/>
      <c r="F8" s="33"/>
      <c r="G8" s="33"/>
    </row>
    <row r="9" customFormat="false" ht="15" hidden="false" customHeight="false" outlineLevel="0" collapsed="false">
      <c r="A9" s="5"/>
      <c r="B9" s="7" t="s">
        <v>225</v>
      </c>
      <c r="C9" s="34" t="n">
        <f aca="false">Staffing!C18</f>
        <v>1204704</v>
      </c>
      <c r="D9" s="34" t="n">
        <f aca="false">Staffing!D18</f>
        <v>2341128</v>
      </c>
      <c r="E9" s="34" t="n">
        <f aca="false">0</f>
        <v>0</v>
      </c>
      <c r="F9" s="34" t="n">
        <f aca="false">0</f>
        <v>0</v>
      </c>
      <c r="G9" s="34" t="n">
        <f aca="false">0</f>
        <v>0</v>
      </c>
    </row>
    <row r="10" customFormat="false" ht="15" hidden="false" customHeight="false" outlineLevel="0" collapsed="false">
      <c r="A10" s="5"/>
      <c r="B10" s="5"/>
      <c r="C10" s="5"/>
      <c r="D10" s="5"/>
      <c r="E10" s="5"/>
      <c r="F10" s="5"/>
      <c r="G10" s="5"/>
    </row>
    <row r="11" customFormat="false" ht="15" hidden="false" customHeight="false" outlineLevel="0" collapsed="false">
      <c r="A11" s="5"/>
      <c r="B11" s="5"/>
      <c r="C11" s="5"/>
      <c r="D11" s="5"/>
      <c r="E11" s="5"/>
      <c r="F11" s="5"/>
      <c r="G11" s="5"/>
    </row>
    <row r="12" customFormat="false" ht="15" hidden="false" customHeight="false" outlineLevel="0" collapsed="false">
      <c r="A12" s="5"/>
      <c r="B12" s="32" t="s">
        <v>226</v>
      </c>
      <c r="C12" s="33"/>
      <c r="D12" s="33"/>
      <c r="E12" s="33"/>
      <c r="F12" s="33"/>
      <c r="G12" s="33"/>
    </row>
    <row r="13" customFormat="false" ht="15" hidden="false" customHeight="false" outlineLevel="0" collapsed="false">
      <c r="A13" s="5"/>
      <c r="B13" s="7" t="s">
        <v>227</v>
      </c>
      <c r="C13" s="34" t="n">
        <f aca="false">0</f>
        <v>0</v>
      </c>
      <c r="D13" s="34" t="n">
        <f aca="false">C16</f>
        <v>1204704</v>
      </c>
      <c r="E13" s="34" t="n">
        <f aca="false">D16</f>
        <v>3545832</v>
      </c>
      <c r="F13" s="34" t="n">
        <f aca="false">E16</f>
        <v>1772916</v>
      </c>
      <c r="G13" s="34" t="n">
        <f aca="false">F16</f>
        <v>709166.4</v>
      </c>
    </row>
    <row r="14" customFormat="false" ht="15" hidden="false" customHeight="false" outlineLevel="0" collapsed="false">
      <c r="A14" s="5"/>
      <c r="B14" s="7" t="s">
        <v>228</v>
      </c>
      <c r="C14" s="34" t="n">
        <f aca="false">C9</f>
        <v>1204704</v>
      </c>
      <c r="D14" s="34" t="n">
        <f aca="false">D9</f>
        <v>2341128</v>
      </c>
      <c r="E14" s="34" t="n">
        <f aca="false">E9</f>
        <v>0</v>
      </c>
      <c r="F14" s="34" t="n">
        <f aca="false">F9</f>
        <v>0</v>
      </c>
      <c r="G14" s="34" t="n">
        <f aca="false">G9</f>
        <v>0</v>
      </c>
    </row>
    <row r="15" customFormat="false" ht="15" hidden="false" customHeight="false" outlineLevel="0" collapsed="false">
      <c r="A15" s="5"/>
      <c r="B15" s="7" t="s">
        <v>229</v>
      </c>
      <c r="C15" s="34" t="n">
        <f aca="false">0</f>
        <v>0</v>
      </c>
      <c r="D15" s="34" t="n">
        <f aca="false">0</f>
        <v>0</v>
      </c>
      <c r="E15" s="34" t="n">
        <f aca="false">Dev_Cost_Basis*0.5</f>
        <v>1772916</v>
      </c>
      <c r="F15" s="34" t="n">
        <f aca="false">Dev_Cost_Basis*0.3</f>
        <v>1063749.6</v>
      </c>
      <c r="G15" s="34" t="n">
        <f aca="false">Dev_Cost_Basis*0.2</f>
        <v>709166.4</v>
      </c>
    </row>
    <row r="16" customFormat="false" ht="15" hidden="false" customHeight="false" outlineLevel="0" collapsed="false">
      <c r="A16" s="5"/>
      <c r="B16" s="35" t="s">
        <v>230</v>
      </c>
      <c r="C16" s="36" t="n">
        <f aca="false">C13+C14-C15</f>
        <v>1204704</v>
      </c>
      <c r="D16" s="36" t="n">
        <f aca="false">D13+D14-D15</f>
        <v>3545832</v>
      </c>
      <c r="E16" s="36" t="n">
        <f aca="false">E13+E14-E15</f>
        <v>1772916</v>
      </c>
      <c r="F16" s="36" t="n">
        <f aca="false">F13+F14-F15</f>
        <v>709166.4</v>
      </c>
      <c r="G16" s="36" t="n">
        <f aca="false">G13+G14-G15</f>
        <v>0</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70AD47"/>
    <pageSetUpPr fitToPage="false"/>
  </sheetPr>
  <dimension ref="A1:G15"/>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2"/>
    <col collapsed="false" customWidth="true" hidden="false" outlineLevel="0" max="7" min="3" style="0" width="18"/>
  </cols>
  <sheetData>
    <row r="1" customFormat="false" ht="15" hidden="false" customHeight="false" outlineLevel="0" collapsed="false">
      <c r="A1" s="5"/>
      <c r="B1" s="5"/>
      <c r="C1" s="5"/>
      <c r="D1" s="5"/>
      <c r="E1" s="5"/>
      <c r="F1" s="5"/>
      <c r="G1" s="5"/>
    </row>
    <row r="2" customFormat="false" ht="22.05" hidden="false" customHeight="false" outlineLevel="0" collapsed="false">
      <c r="A2" s="5"/>
      <c r="B2" s="28" t="s">
        <v>231</v>
      </c>
      <c r="C2" s="5"/>
      <c r="D2" s="5"/>
      <c r="E2" s="5"/>
      <c r="F2" s="5"/>
      <c r="G2" s="5"/>
    </row>
    <row r="3" customFormat="false" ht="15" hidden="false" customHeight="false" outlineLevel="0" collapsed="false">
      <c r="A3" s="5"/>
      <c r="B3" s="8" t="s">
        <v>232</v>
      </c>
      <c r="C3" s="5"/>
      <c r="D3" s="5"/>
      <c r="E3" s="5"/>
      <c r="F3" s="5"/>
      <c r="G3" s="5"/>
    </row>
    <row r="4" customFormat="false" ht="15" hidden="false" customHeight="false" outlineLevel="0" collapsed="false">
      <c r="A4" s="5"/>
      <c r="B4" s="5"/>
      <c r="C4" s="5"/>
      <c r="D4" s="5"/>
      <c r="E4" s="5"/>
      <c r="F4" s="5"/>
      <c r="G4" s="5"/>
    </row>
    <row r="5" customFormat="false" ht="15" hidden="false" customHeight="false" outlineLevel="0" collapsed="false">
      <c r="A5" s="5"/>
      <c r="B5" s="29"/>
      <c r="C5" s="30" t="n">
        <f aca="false">Model_Start_Year+0</f>
        <v>2025</v>
      </c>
      <c r="D5" s="30" t="n">
        <f aca="false">Model_Start_Year+1</f>
        <v>2026</v>
      </c>
      <c r="E5" s="30" t="n">
        <f aca="false">Model_Start_Year+2</f>
        <v>2027</v>
      </c>
      <c r="F5" s="30" t="n">
        <f aca="false">Model_Start_Year+3</f>
        <v>2028</v>
      </c>
      <c r="G5" s="30" t="n">
        <f aca="false">Model_Start_Year+4</f>
        <v>2029</v>
      </c>
    </row>
    <row r="6" customFormat="false" ht="15" hidden="false" customHeight="false" outlineLevel="0" collapsed="false">
      <c r="A6" s="5"/>
      <c r="B6" s="17" t="s">
        <v>170</v>
      </c>
      <c r="C6" s="31" t="n">
        <v>1</v>
      </c>
      <c r="D6" s="31" t="n">
        <v>2</v>
      </c>
      <c r="E6" s="31" t="n">
        <v>3</v>
      </c>
      <c r="F6" s="31" t="n">
        <v>4</v>
      </c>
      <c r="G6" s="31" t="n">
        <v>5</v>
      </c>
    </row>
    <row r="7" customFormat="false" ht="15" hidden="false" customHeight="false" outlineLevel="0" collapsed="false">
      <c r="A7" s="5"/>
      <c r="B7" s="5"/>
      <c r="C7" s="5"/>
      <c r="D7" s="5"/>
      <c r="E7" s="5"/>
      <c r="F7" s="5"/>
      <c r="G7" s="5"/>
    </row>
    <row r="8" customFormat="false" ht="15" hidden="false" customHeight="false" outlineLevel="0" collapsed="false">
      <c r="A8" s="5"/>
      <c r="B8" s="32" t="s">
        <v>231</v>
      </c>
      <c r="C8" s="33"/>
      <c r="D8" s="33"/>
      <c r="E8" s="33"/>
      <c r="F8" s="33"/>
      <c r="G8" s="33"/>
    </row>
    <row r="9" customFormat="false" ht="15" hidden="false" customHeight="false" outlineLevel="0" collapsed="false">
      <c r="A9" s="5"/>
      <c r="B9" s="7" t="s">
        <v>233</v>
      </c>
      <c r="C9" s="34" t="n">
        <f aca="false">0</f>
        <v>0</v>
      </c>
      <c r="D9" s="34" t="n">
        <f aca="false">Pre_Launch_Mktg</f>
        <v>600000</v>
      </c>
      <c r="E9" s="34" t="n">
        <f aca="false">Revenue!E40*Mktg_Rate_Y3</f>
        <v>788770.5</v>
      </c>
      <c r="F9" s="34" t="n">
        <f aca="false">Revenue!F40*Mktg_Rate_Y45</f>
        <v>273977.109</v>
      </c>
      <c r="G9" s="34" t="n">
        <f aca="false">Revenue!G40*Mktg_Rate_Y45</f>
        <v>273651.1932</v>
      </c>
    </row>
    <row r="10" customFormat="false" ht="15" hidden="false" customHeight="false" outlineLevel="0" collapsed="false">
      <c r="A10" s="5"/>
      <c r="B10" s="7" t="s">
        <v>234</v>
      </c>
      <c r="C10" s="34" t="n">
        <f aca="false">Staffing!C34+Other_Admin</f>
        <v>133352</v>
      </c>
      <c r="D10" s="34" t="n">
        <f aca="false">Staffing!D34+Other_Admin</f>
        <v>133352</v>
      </c>
      <c r="E10" s="34" t="n">
        <f aca="false">Staffing!E34+Other_Admin</f>
        <v>192528</v>
      </c>
      <c r="F10" s="34" t="n">
        <f aca="false">Staffing!F34+Other_Admin</f>
        <v>192528</v>
      </c>
      <c r="G10" s="34" t="n">
        <f aca="false">Staffing!G34+Other_Admin</f>
        <v>192528</v>
      </c>
    </row>
    <row r="11" customFormat="false" ht="15" hidden="false" customHeight="false" outlineLevel="0" collapsed="false">
      <c r="A11" s="5"/>
      <c r="B11" s="7" t="s">
        <v>235</v>
      </c>
      <c r="C11" s="34" t="n">
        <f aca="false">Rent_Base</f>
        <v>120000</v>
      </c>
      <c r="D11" s="34" t="n">
        <f aca="false">Rent_Base*(1+Inflation_Rate)^(D6-1)</f>
        <v>123600</v>
      </c>
      <c r="E11" s="34" t="n">
        <f aca="false">Rent_Base*(1+Inflation_Rate)^(E6-1)</f>
        <v>127308</v>
      </c>
      <c r="F11" s="34" t="n">
        <f aca="false">Rent_Base*(1+Inflation_Rate)^(F6-1)</f>
        <v>131127.24</v>
      </c>
      <c r="G11" s="34" t="n">
        <f aca="false">Rent_Base*(1+Inflation_Rate)^(G6-1)</f>
        <v>135061.0572</v>
      </c>
    </row>
    <row r="12" customFormat="false" ht="15" hidden="false" customHeight="false" outlineLevel="0" collapsed="false">
      <c r="A12" s="5"/>
      <c r="B12" s="7" t="s">
        <v>236</v>
      </c>
      <c r="C12" s="34" t="n">
        <f aca="false">Staffing!C38*Licence_Rate</f>
        <v>64800</v>
      </c>
      <c r="D12" s="34" t="n">
        <f aca="false">Staffing!D38*Licence_Rate</f>
        <v>122400</v>
      </c>
      <c r="E12" s="34" t="n">
        <f aca="false">Staffing!E38*Licence_Rate</f>
        <v>61200</v>
      </c>
      <c r="F12" s="34" t="n">
        <f aca="false">Staffing!F38*Licence_Rate</f>
        <v>61200</v>
      </c>
      <c r="G12" s="34" t="n">
        <f aca="false">Staffing!G38*Licence_Rate</f>
        <v>61200</v>
      </c>
    </row>
    <row r="13" customFormat="false" ht="15" hidden="false" customHeight="false" outlineLevel="0" collapsed="false">
      <c r="A13" s="5"/>
      <c r="B13" s="7" t="s">
        <v>237</v>
      </c>
      <c r="C13" s="34" t="n">
        <f aca="false">0</f>
        <v>0</v>
      </c>
      <c r="D13" s="34" t="n">
        <f aca="false">0</f>
        <v>0</v>
      </c>
      <c r="E13" s="34" t="n">
        <f aca="false">Revenue!E29*Server_Cost_Per_MAU</f>
        <v>30000</v>
      </c>
      <c r="F13" s="34" t="n">
        <f aca="false">Revenue!F29*Server_Cost_Per_MAU</f>
        <v>68250</v>
      </c>
      <c r="G13" s="34" t="n">
        <f aca="false">Revenue!G29*Server_Cost_Per_MAU</f>
        <v>87600</v>
      </c>
    </row>
    <row r="14" customFormat="false" ht="15" hidden="false" customHeight="false" outlineLevel="0" collapsed="false">
      <c r="A14" s="5"/>
      <c r="B14" s="5"/>
      <c r="C14" s="5"/>
      <c r="D14" s="5"/>
      <c r="E14" s="5"/>
      <c r="F14" s="5"/>
      <c r="G14" s="5"/>
    </row>
    <row r="15" customFormat="false" ht="15" hidden="false" customHeight="false" outlineLevel="0" collapsed="false">
      <c r="A15" s="5"/>
      <c r="B15" s="35" t="s">
        <v>238</v>
      </c>
      <c r="C15" s="40" t="n">
        <f aca="false">SUM(C9:C13)</f>
        <v>318152</v>
      </c>
      <c r="D15" s="40" t="n">
        <f aca="false">SUM(D9:D13)</f>
        <v>979352</v>
      </c>
      <c r="E15" s="40" t="n">
        <f aca="false">SUM(E9:E13)</f>
        <v>1199806.5</v>
      </c>
      <c r="F15" s="40" t="n">
        <f aca="false">SUM(F9:F13)</f>
        <v>727082.349</v>
      </c>
      <c r="G15" s="40" t="n">
        <f aca="false">SUM(G9:G13)</f>
        <v>750040.2504</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70AD47"/>
    <pageSetUpPr fitToPage="false"/>
  </sheetPr>
  <dimension ref="A1:G20"/>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2"/>
    <col collapsed="false" customWidth="true" hidden="false" outlineLevel="0" max="7" min="3" style="0" width="18"/>
  </cols>
  <sheetData>
    <row r="1" customFormat="false" ht="15" hidden="false" customHeight="false" outlineLevel="0" collapsed="false">
      <c r="A1" s="5"/>
      <c r="B1" s="5"/>
      <c r="C1" s="5"/>
      <c r="D1" s="5"/>
      <c r="E1" s="5"/>
      <c r="F1" s="5"/>
      <c r="G1" s="5"/>
    </row>
    <row r="2" customFormat="false" ht="22.05" hidden="false" customHeight="false" outlineLevel="0" collapsed="false">
      <c r="A2" s="5"/>
      <c r="B2" s="28" t="s">
        <v>239</v>
      </c>
      <c r="C2" s="5"/>
      <c r="D2" s="5"/>
      <c r="E2" s="5"/>
      <c r="F2" s="5"/>
      <c r="G2" s="5"/>
    </row>
    <row r="3" customFormat="false" ht="15" hidden="false" customHeight="false" outlineLevel="0" collapsed="false">
      <c r="A3" s="5"/>
      <c r="B3" s="8" t="s">
        <v>240</v>
      </c>
      <c r="C3" s="5"/>
      <c r="D3" s="5"/>
      <c r="E3" s="5"/>
      <c r="F3" s="5"/>
      <c r="G3" s="5"/>
    </row>
    <row r="4" customFormat="false" ht="15" hidden="false" customHeight="false" outlineLevel="0" collapsed="false">
      <c r="A4" s="5"/>
      <c r="B4" s="5"/>
      <c r="C4" s="5"/>
      <c r="D4" s="5"/>
      <c r="E4" s="5"/>
      <c r="F4" s="5"/>
      <c r="G4" s="5"/>
    </row>
    <row r="5" customFormat="false" ht="15" hidden="false" customHeight="false" outlineLevel="0" collapsed="false">
      <c r="A5" s="5"/>
      <c r="B5" s="29"/>
      <c r="C5" s="30" t="n">
        <f aca="false">Model_Start_Year+0</f>
        <v>2025</v>
      </c>
      <c r="D5" s="30" t="n">
        <f aca="false">Model_Start_Year+1</f>
        <v>2026</v>
      </c>
      <c r="E5" s="30" t="n">
        <f aca="false">Model_Start_Year+2</f>
        <v>2027</v>
      </c>
      <c r="F5" s="30" t="n">
        <f aca="false">Model_Start_Year+3</f>
        <v>2028</v>
      </c>
      <c r="G5" s="30" t="n">
        <f aca="false">Model_Start_Year+4</f>
        <v>2029</v>
      </c>
    </row>
    <row r="6" customFormat="false" ht="15" hidden="false" customHeight="false" outlineLevel="0" collapsed="false">
      <c r="A6" s="5"/>
      <c r="B6" s="17" t="s">
        <v>170</v>
      </c>
      <c r="C6" s="31" t="n">
        <v>1</v>
      </c>
      <c r="D6" s="31" t="n">
        <v>2</v>
      </c>
      <c r="E6" s="31" t="n">
        <v>3</v>
      </c>
      <c r="F6" s="31" t="n">
        <v>4</v>
      </c>
      <c r="G6" s="31" t="n">
        <v>5</v>
      </c>
    </row>
    <row r="7" customFormat="false" ht="15" hidden="false" customHeight="false" outlineLevel="0" collapsed="false">
      <c r="A7" s="5"/>
      <c r="B7" s="5"/>
      <c r="C7" s="5"/>
      <c r="D7" s="5"/>
      <c r="E7" s="5"/>
      <c r="F7" s="5"/>
      <c r="G7" s="5"/>
    </row>
    <row r="8" customFormat="false" ht="15" hidden="false" customHeight="false" outlineLevel="0" collapsed="false">
      <c r="A8" s="5"/>
      <c r="B8" s="32" t="s">
        <v>241</v>
      </c>
      <c r="C8" s="33"/>
      <c r="D8" s="33"/>
      <c r="E8" s="33"/>
      <c r="F8" s="33"/>
      <c r="G8" s="33"/>
    </row>
    <row r="9" customFormat="false" ht="15" hidden="false" customHeight="false" outlineLevel="0" collapsed="false">
      <c r="A9" s="5"/>
      <c r="B9" s="35" t="s">
        <v>242</v>
      </c>
      <c r="C9" s="39" t="n">
        <f aca="false">Capex_Y1</f>
        <v>200000</v>
      </c>
      <c r="D9" s="39" t="n">
        <f aca="false">Capex_Y2</f>
        <v>250000</v>
      </c>
      <c r="E9" s="39" t="n">
        <f aca="false">Capex_Y345</f>
        <v>80000</v>
      </c>
      <c r="F9" s="39" t="n">
        <f aca="false">Capex_Y345</f>
        <v>80000</v>
      </c>
      <c r="G9" s="39" t="n">
        <f aca="false">Capex_Y345</f>
        <v>80000</v>
      </c>
    </row>
    <row r="10" customFormat="false" ht="15" hidden="false" customHeight="false" outlineLevel="0" collapsed="false">
      <c r="A10" s="5"/>
      <c r="B10" s="5"/>
      <c r="C10" s="5"/>
      <c r="D10" s="5"/>
      <c r="E10" s="5"/>
      <c r="F10" s="5"/>
      <c r="G10" s="5"/>
    </row>
    <row r="11" customFormat="false" ht="15" hidden="false" customHeight="false" outlineLevel="0" collapsed="false">
      <c r="A11" s="5"/>
      <c r="B11" s="32" t="s">
        <v>243</v>
      </c>
      <c r="C11" s="33"/>
      <c r="D11" s="33"/>
      <c r="E11" s="33"/>
      <c r="F11" s="33"/>
      <c r="G11" s="33"/>
    </row>
    <row r="12" customFormat="false" ht="15" hidden="false" customHeight="false" outlineLevel="0" collapsed="false">
      <c r="A12" s="5"/>
      <c r="B12" s="7" t="s">
        <v>244</v>
      </c>
      <c r="C12" s="34" t="n">
        <f aca="false">0</f>
        <v>0</v>
      </c>
      <c r="D12" s="34" t="n">
        <f aca="false">C14</f>
        <v>200000</v>
      </c>
      <c r="E12" s="34" t="n">
        <f aca="false">D14</f>
        <v>450000</v>
      </c>
      <c r="F12" s="34" t="n">
        <f aca="false">E14</f>
        <v>530000</v>
      </c>
      <c r="G12" s="34" t="n">
        <f aca="false">F14</f>
        <v>610000</v>
      </c>
    </row>
    <row r="13" customFormat="false" ht="15" hidden="false" customHeight="false" outlineLevel="0" collapsed="false">
      <c r="A13" s="5"/>
      <c r="B13" s="7" t="s">
        <v>245</v>
      </c>
      <c r="C13" s="34" t="n">
        <f aca="false">C9</f>
        <v>200000</v>
      </c>
      <c r="D13" s="34" t="n">
        <f aca="false">D9</f>
        <v>250000</v>
      </c>
      <c r="E13" s="34" t="n">
        <f aca="false">E9</f>
        <v>80000</v>
      </c>
      <c r="F13" s="34" t="n">
        <f aca="false">F9</f>
        <v>80000</v>
      </c>
      <c r="G13" s="34" t="n">
        <f aca="false">G9</f>
        <v>80000</v>
      </c>
    </row>
    <row r="14" customFormat="false" ht="15" hidden="false" customHeight="false" outlineLevel="0" collapsed="false">
      <c r="A14" s="5"/>
      <c r="B14" s="35" t="s">
        <v>246</v>
      </c>
      <c r="C14" s="36" t="n">
        <f aca="false">C12+C13</f>
        <v>200000</v>
      </c>
      <c r="D14" s="36" t="n">
        <f aca="false">D12+D13</f>
        <v>450000</v>
      </c>
      <c r="E14" s="36" t="n">
        <f aca="false">E12+E13</f>
        <v>530000</v>
      </c>
      <c r="F14" s="36" t="n">
        <f aca="false">F12+F13</f>
        <v>610000</v>
      </c>
      <c r="G14" s="36" t="n">
        <f aca="false">G12+G13</f>
        <v>690000</v>
      </c>
    </row>
    <row r="15" customFormat="false" ht="15" hidden="false" customHeight="false" outlineLevel="0" collapsed="false">
      <c r="A15" s="5"/>
      <c r="B15" s="5"/>
      <c r="C15" s="5"/>
      <c r="D15" s="5"/>
      <c r="E15" s="5"/>
      <c r="F15" s="5"/>
      <c r="G15" s="5"/>
    </row>
    <row r="16" customFormat="false" ht="15" hidden="false" customHeight="false" outlineLevel="0" collapsed="false">
      <c r="A16" s="5"/>
      <c r="B16" s="32" t="s">
        <v>247</v>
      </c>
      <c r="C16" s="33"/>
      <c r="D16" s="33"/>
      <c r="E16" s="33"/>
      <c r="F16" s="33"/>
      <c r="G16" s="33"/>
    </row>
    <row r="17" customFormat="false" ht="15" hidden="false" customHeight="false" outlineLevel="0" collapsed="false">
      <c r="A17" s="5"/>
      <c r="B17" s="35" t="s">
        <v>248</v>
      </c>
      <c r="C17" s="39" t="n">
        <f aca="false">SUM($C$9:C9)/PPE_Life</f>
        <v>50000</v>
      </c>
      <c r="D17" s="39" t="n">
        <f aca="false">SUM($C$9:D9)/PPE_Life</f>
        <v>112500</v>
      </c>
      <c r="E17" s="39" t="n">
        <f aca="false">SUM($C$9:E9)/PPE_Life</f>
        <v>132500</v>
      </c>
      <c r="F17" s="39" t="n">
        <f aca="false">SUM($C$9:F9)/PPE_Life</f>
        <v>152500</v>
      </c>
      <c r="G17" s="39" t="n">
        <f aca="false">SUM($C$9:G9)/PPE_Life</f>
        <v>172500</v>
      </c>
    </row>
    <row r="18" customFormat="false" ht="15" hidden="false" customHeight="false" outlineLevel="0" collapsed="false">
      <c r="A18" s="5"/>
      <c r="B18" s="7" t="s">
        <v>249</v>
      </c>
      <c r="C18" s="34" t="n">
        <f aca="false">0</f>
        <v>0</v>
      </c>
      <c r="D18" s="34" t="n">
        <f aca="false">C19</f>
        <v>50000</v>
      </c>
      <c r="E18" s="34" t="n">
        <f aca="false">D19</f>
        <v>162500</v>
      </c>
      <c r="F18" s="34" t="n">
        <f aca="false">E19</f>
        <v>295000</v>
      </c>
      <c r="G18" s="34" t="n">
        <f aca="false">F19</f>
        <v>447500</v>
      </c>
    </row>
    <row r="19" customFormat="false" ht="15" hidden="false" customHeight="false" outlineLevel="0" collapsed="false">
      <c r="A19" s="5"/>
      <c r="B19" s="35" t="s">
        <v>250</v>
      </c>
      <c r="C19" s="36" t="n">
        <f aca="false">C18+C17</f>
        <v>50000</v>
      </c>
      <c r="D19" s="36" t="n">
        <f aca="false">D18+D17</f>
        <v>162500</v>
      </c>
      <c r="E19" s="36" t="n">
        <f aca="false">E18+E17</f>
        <v>295000</v>
      </c>
      <c r="F19" s="36" t="n">
        <f aca="false">F18+F17</f>
        <v>447500</v>
      </c>
      <c r="G19" s="36" t="n">
        <f aca="false">G18+G17</f>
        <v>620000</v>
      </c>
    </row>
    <row r="20" customFormat="false" ht="15" hidden="false" customHeight="false" outlineLevel="0" collapsed="false">
      <c r="A20" s="5"/>
      <c r="B20" s="35" t="s">
        <v>251</v>
      </c>
      <c r="C20" s="40" t="n">
        <f aca="false">C14-C19</f>
        <v>150000</v>
      </c>
      <c r="D20" s="40" t="n">
        <f aca="false">D14-D19</f>
        <v>287500</v>
      </c>
      <c r="E20" s="40" t="n">
        <f aca="false">E14-E19</f>
        <v>235000</v>
      </c>
      <c r="F20" s="40" t="n">
        <f aca="false">F14-F19</f>
        <v>162500</v>
      </c>
      <c r="G20" s="40" t="n">
        <f aca="false">G14-G19</f>
        <v>70000</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FF0000"/>
    <pageSetUpPr fitToPage="false"/>
  </sheetPr>
  <dimension ref="A1:G16"/>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2"/>
    <col collapsed="false" customWidth="true" hidden="false" outlineLevel="0" max="7" min="3" style="0" width="18"/>
  </cols>
  <sheetData>
    <row r="1" customFormat="false" ht="15" hidden="false" customHeight="false" outlineLevel="0" collapsed="false">
      <c r="A1" s="5"/>
      <c r="B1" s="5"/>
      <c r="C1" s="5"/>
      <c r="D1" s="5"/>
      <c r="E1" s="5"/>
      <c r="F1" s="5"/>
      <c r="G1" s="5"/>
    </row>
    <row r="2" customFormat="false" ht="22.05" hidden="false" customHeight="false" outlineLevel="0" collapsed="false">
      <c r="A2" s="5"/>
      <c r="B2" s="28" t="s">
        <v>252</v>
      </c>
      <c r="C2" s="5"/>
      <c r="D2" s="5"/>
      <c r="E2" s="5"/>
      <c r="F2" s="5"/>
      <c r="G2" s="5"/>
    </row>
    <row r="3" customFormat="false" ht="15" hidden="false" customHeight="false" outlineLevel="0" collapsed="false">
      <c r="A3" s="5"/>
      <c r="B3" s="8" t="s">
        <v>253</v>
      </c>
      <c r="C3" s="5"/>
      <c r="D3" s="5"/>
      <c r="E3" s="5"/>
      <c r="F3" s="5"/>
      <c r="G3" s="5"/>
    </row>
    <row r="4" customFormat="false" ht="15" hidden="false" customHeight="false" outlineLevel="0" collapsed="false">
      <c r="A4" s="5"/>
      <c r="B4" s="5"/>
      <c r="C4" s="5"/>
      <c r="D4" s="5"/>
      <c r="E4" s="5"/>
      <c r="F4" s="5"/>
      <c r="G4" s="5"/>
    </row>
    <row r="5" customFormat="false" ht="15" hidden="false" customHeight="false" outlineLevel="0" collapsed="false">
      <c r="A5" s="5"/>
      <c r="B5" s="29"/>
      <c r="C5" s="30" t="n">
        <f aca="false">Model_Start_Year+0</f>
        <v>2025</v>
      </c>
      <c r="D5" s="30" t="n">
        <f aca="false">Model_Start_Year+1</f>
        <v>2026</v>
      </c>
      <c r="E5" s="30" t="n">
        <f aca="false">Model_Start_Year+2</f>
        <v>2027</v>
      </c>
      <c r="F5" s="30" t="n">
        <f aca="false">Model_Start_Year+3</f>
        <v>2028</v>
      </c>
      <c r="G5" s="30" t="n">
        <f aca="false">Model_Start_Year+4</f>
        <v>2029</v>
      </c>
    </row>
    <row r="6" customFormat="false" ht="15" hidden="false" customHeight="false" outlineLevel="0" collapsed="false">
      <c r="A6" s="5"/>
      <c r="B6" s="17" t="s">
        <v>170</v>
      </c>
      <c r="C6" s="31" t="n">
        <v>1</v>
      </c>
      <c r="D6" s="31" t="n">
        <v>2</v>
      </c>
      <c r="E6" s="31" t="n">
        <v>3</v>
      </c>
      <c r="F6" s="31" t="n">
        <v>4</v>
      </c>
      <c r="G6" s="31" t="n">
        <v>5</v>
      </c>
    </row>
    <row r="7" customFormat="false" ht="15" hidden="false" customHeight="false" outlineLevel="0" collapsed="false">
      <c r="A7" s="5"/>
      <c r="B7" s="5"/>
      <c r="C7" s="5"/>
      <c r="D7" s="5"/>
      <c r="E7" s="5"/>
      <c r="F7" s="5"/>
      <c r="G7" s="5"/>
    </row>
    <row r="8" customFormat="false" ht="15" hidden="false" customHeight="false" outlineLevel="0" collapsed="false">
      <c r="A8" s="5"/>
      <c r="B8" s="32" t="s">
        <v>254</v>
      </c>
      <c r="C8" s="33"/>
      <c r="D8" s="33"/>
      <c r="E8" s="33"/>
      <c r="F8" s="33"/>
      <c r="G8" s="33"/>
    </row>
    <row r="9" customFormat="false" ht="15" hidden="false" customHeight="false" outlineLevel="0" collapsed="false">
      <c r="A9" s="5"/>
      <c r="B9" s="35" t="s">
        <v>255</v>
      </c>
      <c r="C9" s="39" t="n">
        <f aca="false">0</f>
        <v>0</v>
      </c>
      <c r="D9" s="39" t="n">
        <f aca="false">Series_B_Raise</f>
        <v>2000000</v>
      </c>
      <c r="E9" s="39" t="n">
        <f aca="false">0</f>
        <v>0</v>
      </c>
      <c r="F9" s="39" t="n">
        <f aca="false">0</f>
        <v>0</v>
      </c>
      <c r="G9" s="39" t="n">
        <f aca="false">0</f>
        <v>0</v>
      </c>
    </row>
    <row r="10" customFormat="false" ht="15" hidden="false" customHeight="false" outlineLevel="0" collapsed="false">
      <c r="A10" s="5"/>
      <c r="B10" s="5"/>
      <c r="C10" s="5"/>
      <c r="D10" s="5"/>
      <c r="E10" s="5"/>
      <c r="F10" s="5"/>
      <c r="G10" s="5"/>
    </row>
    <row r="11" customFormat="false" ht="15" hidden="false" customHeight="false" outlineLevel="0" collapsed="false">
      <c r="A11" s="5"/>
      <c r="B11" s="32" t="s">
        <v>256</v>
      </c>
      <c r="C11" s="33"/>
      <c r="D11" s="33"/>
      <c r="E11" s="33"/>
      <c r="F11" s="33"/>
      <c r="G11" s="33"/>
    </row>
    <row r="12" customFormat="false" ht="15" hidden="false" customHeight="false" outlineLevel="0" collapsed="false">
      <c r="A12" s="5"/>
      <c r="B12" s="7" t="s">
        <v>227</v>
      </c>
      <c r="C12" s="34" t="n">
        <f aca="false">0</f>
        <v>0</v>
      </c>
      <c r="D12" s="34" t="n">
        <f aca="false">C15</f>
        <v>175133.2</v>
      </c>
      <c r="E12" s="34" t="n">
        <f aca="false">D15</f>
        <v>1663070.854</v>
      </c>
      <c r="F12" s="34" t="n">
        <f aca="false">E15</f>
        <v>0</v>
      </c>
      <c r="G12" s="34" t="n">
        <f aca="false">F15</f>
        <v>0</v>
      </c>
    </row>
    <row r="13" customFormat="false" ht="15" hidden="false" customHeight="false" outlineLevel="0" collapsed="false">
      <c r="A13" s="5"/>
      <c r="B13" s="7" t="s">
        <v>257</v>
      </c>
      <c r="C13" s="34" t="n">
        <f aca="false">MAX(0,-Cash_Flow!C34)</f>
        <v>175133.2</v>
      </c>
      <c r="D13" s="34" t="n">
        <f aca="false">MAX(0,-Cash_Flow!D34)</f>
        <v>1487937.654</v>
      </c>
      <c r="E13" s="34" t="n">
        <f aca="false">MAX(0,-Cash_Flow!E34)</f>
        <v>0</v>
      </c>
      <c r="F13" s="34" t="n">
        <f aca="false">MAX(0,-Cash_Flow!F34)</f>
        <v>0</v>
      </c>
      <c r="G13" s="34" t="n">
        <f aca="false">MAX(0,-Cash_Flow!G34)</f>
        <v>0</v>
      </c>
    </row>
    <row r="14" customFormat="false" ht="15" hidden="false" customHeight="false" outlineLevel="0" collapsed="false">
      <c r="A14" s="5"/>
      <c r="B14" s="7" t="s">
        <v>258</v>
      </c>
      <c r="C14" s="34" t="n">
        <f aca="false">MIN(C12,MAX(0,Cash_Flow!C34))</f>
        <v>0</v>
      </c>
      <c r="D14" s="34" t="n">
        <f aca="false">MIN(D12,MAX(0,Cash_Flow!D34))</f>
        <v>0</v>
      </c>
      <c r="E14" s="34" t="n">
        <f aca="false">MIN(E12,MAX(0,Cash_Flow!E34))</f>
        <v>1663070.854</v>
      </c>
      <c r="F14" s="34" t="n">
        <f aca="false">MIN(F12,MAX(0,Cash_Flow!F34))</f>
        <v>0</v>
      </c>
      <c r="G14" s="34" t="n">
        <f aca="false">MIN(G12,MAX(0,Cash_Flow!G34))</f>
        <v>0</v>
      </c>
    </row>
    <row r="15" customFormat="false" ht="15" hidden="false" customHeight="false" outlineLevel="0" collapsed="false">
      <c r="A15" s="5"/>
      <c r="B15" s="35" t="s">
        <v>230</v>
      </c>
      <c r="C15" s="36" t="n">
        <f aca="false">C12+C13-C14</f>
        <v>175133.2</v>
      </c>
      <c r="D15" s="36" t="n">
        <f aca="false">D12+D13-D14</f>
        <v>1663070.854</v>
      </c>
      <c r="E15" s="36" t="n">
        <f aca="false">E12+E13-E14</f>
        <v>0</v>
      </c>
      <c r="F15" s="36" t="n">
        <f aca="false">F12+F13-F14</f>
        <v>0</v>
      </c>
      <c r="G15" s="36" t="n">
        <f aca="false">G12+G13-G14</f>
        <v>0</v>
      </c>
    </row>
    <row r="16" customFormat="false" ht="15" hidden="false" customHeight="false" outlineLevel="0" collapsed="false">
      <c r="A16" s="5"/>
      <c r="B16" s="7" t="s">
        <v>259</v>
      </c>
      <c r="C16" s="34" t="n">
        <f aca="false">C12*Revolver_Rate</f>
        <v>0</v>
      </c>
      <c r="D16" s="34" t="n">
        <f aca="false">D12*Revolver_Rate</f>
        <v>16637.654</v>
      </c>
      <c r="E16" s="34" t="n">
        <f aca="false">E12*Revolver_Rate</f>
        <v>157991.73113</v>
      </c>
      <c r="F16" s="34" t="n">
        <f aca="false">F12*Revolver_Rate</f>
        <v>0</v>
      </c>
      <c r="G16" s="34" t="n">
        <f aca="false">G12*Revolver_Rate</f>
        <v>0</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LibreOffice/26.2.0.3$MacOSX_AARCH64 LibreOffice_project/afbbd0df0edb6d40b450b0337ac646b0913a760c</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2026-05-15T18:53:16Z</dcterms:created>
  <dc:creator>openpyxl</dc:creator>
  <dc:description/>
  <dc:language>en-GB</dc:language>
  <cp:lastModifiedBy/>
  <dcterms:modified xsi:type="dcterms:W3CDTF">2026-05-15T18:53:17Z</dcterms:modified>
  <cp:revision>0</cp:revision>
  <dc:subject/>
  <dc:title/>
</cp:coreProperties>
</file>

<file path=docProps/custom.xml><?xml version="1.0" encoding="utf-8"?>
<Properties xmlns="http://schemas.openxmlformats.org/officeDocument/2006/custom-properties" xmlns:vt="http://schemas.openxmlformats.org/officeDocument/2006/docPropsVTypes"/>
</file>