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Rent_Schedule" sheetId="4" state="visible" r:id="rId6"/>
    <sheet name="Operating_Expenses" sheetId="5" state="visible" r:id="rId7"/>
    <sheet name="Debt_Schedule" sheetId="6" state="visible" r:id="rId8"/>
    <sheet name="Cash_Flow" sheetId="7" state="visible" r:id="rId9"/>
    <sheet name="Checks" sheetId="8" state="visible" r:id="rId10"/>
  </sheets>
  <definedNames>
    <definedName function="false" hidden="false" name="Amort_Term" vbProcedure="false">Assumptions!$C$25</definedName>
    <definedName function="false" hidden="false" name="Annual_Debt_Constant" vbProcedure="false">Assumptions!$C$33</definedName>
    <definedName function="false" hidden="false" name="Base_Rent" vbProcedure="false">Assumptions!$C$32</definedName>
    <definedName function="false" hidden="false" name="CF_Lev_IRR" vbProcedure="false">Cash_Flow!$C$35</definedName>
    <definedName function="false" hidden="false" name="CF_MOIC" vbProcedure="false">Cash_Flow!$C$37</definedName>
    <definedName function="false" hidden="false" name="CF_Unlev_IRR" vbProcedure="false">Cash_Flow!$C$36</definedName>
    <definedName function="false" hidden="false" name="DSCR_Cap_Loan" vbProcedure="false">Assumptions!$C$35</definedName>
    <definedName function="false" hidden="false" name="DS_Closing_Yr10" vbProcedure="false">Debt_Schedule!$L$18</definedName>
    <definedName function="false" hidden="false" name="DS_Loan_Amount" vbProcedure="false">Debt_Schedule!$C$10</definedName>
    <definedName function="false" hidden="false" name="Equity_Invested" vbProcedure="false">Assumptions!$C$37</definedName>
    <definedName function="false" hidden="false" name="Exit_Cap_Rate" vbProcedure="false">Assumptions!$C$28</definedName>
    <definedName function="false" hidden="false" name="Hold_Period" vbProcedure="false">Assumptions!$C$14</definedName>
    <definedName function="false" hidden="false" name="Initial_Rent_Yield" vbProcedure="false">Assumptions!$C$10</definedName>
    <definedName function="false" hidden="false" name="Interest_Rate" vbProcedure="false">Assumptions!$C$24</definedName>
    <definedName function="false" hidden="false" name="Land_Value" vbProcedure="false">Assumptions!$C$8</definedName>
    <definedName function="false" hidden="false" name="Lease_Term" vbProcedure="false">Assumptions!$C$13</definedName>
    <definedName function="false" hidden="false" name="Loan_Amount" vbProcedure="false">Assumptions!$C$36</definedName>
    <definedName function="false" hidden="false" name="LTV_Cap_Loan" vbProcedure="false">Assumptions!$C$34</definedName>
    <definedName function="false" hidden="false" name="LTV_Ratio" vbProcedure="false">Assumptions!$C$22</definedName>
    <definedName function="false" hidden="false" name="OE_NOI_Yr1" vbProcedure="false">Operating_Expenses!$C$12</definedName>
    <definedName function="false" hidden="false" name="OpEx_Escalation" vbProcedure="false">Assumptions!$C$19</definedName>
    <definedName function="false" hidden="false" name="OpEx_Pct_Rent" vbProcedure="false">Assumptions!$C$18</definedName>
    <definedName function="false" hidden="false" name="Rent_Escalation" vbProcedure="false">Assumptions!$C$15</definedName>
    <definedName function="false" hidden="false" name="RS_Rent_Yr1" vbProcedure="false">Rent_Schedule!$C$8</definedName>
    <definedName function="false" hidden="false" name="Selling_Costs_Pct" vbProcedure="false">Assumptions!$C$29</definedName>
    <definedName function="false" hidden="false" name="Target_CoC" vbProcedure="false">Assumptions!$C$41</definedName>
    <definedName function="false" hidden="false" name="Target_DSCR" vbProcedure="false">Assumptions!$C$23</definedName>
    <definedName function="false" hidden="false" name="Target_IRR" vbProcedure="false">Assumptions!$C$40</definedName>
    <definedName function="false" hidden="false" name="Target_MOIC" vbProcedure="false">Assumptions!$C$42</definedName>
    <definedName function="false" hidden="false" name="Transaction_Costs_Pct" vbProcedure="false">Assumptions!$C$9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<sst xmlns="http://schemas.openxmlformats.org/spreadsheetml/2006/main" count="228" uniqueCount="199">
  <si>
    <t xml:space="preserve">Ground Lease Investment Model</t>
  </si>
  <si>
    <t xml:space="preserve">FINAMODEL.com</t>
  </si>
  <si>
    <t xml:space="preserve">Lessor analysis — 10-year hold</t>
  </si>
  <si>
    <t xml:space="preserve">Model Structure</t>
  </si>
  <si>
    <t xml:space="preserve">Cover</t>
  </si>
  <si>
    <t xml:space="preserve">Title and navigation</t>
  </si>
  <si>
    <t xml:space="preserve">Assumptions</t>
  </si>
  <si>
    <t xml:space="preserve">Model inputs and derivations</t>
  </si>
  <si>
    <t xml:space="preserve">Rent_Schedule</t>
  </si>
  <si>
    <t xml:space="preserve">Annual ground rent escalation</t>
  </si>
  <si>
    <t xml:space="preserve">Operating_Expenses</t>
  </si>
  <si>
    <t xml:space="preserve">OpEx and NOI</t>
  </si>
  <si>
    <t xml:space="preserve">Debt_Schedule</t>
  </si>
  <si>
    <t xml:space="preserve">Loan sizing and amortisation</t>
  </si>
  <si>
    <t xml:space="preserve">Cash_Flow</t>
  </si>
  <si>
    <t xml:space="preserve">Investment cash flows + IRR</t>
  </si>
  <si>
    <t xml:space="preserve">Checks</t>
  </si>
  <si>
    <t xml:space="preserve">Model integrity checks</t>
  </si>
  <si>
    <t xml:space="preserve">Tab Colour Legend</t>
  </si>
  <si>
    <t xml:space="preserve">Dark Blue</t>
  </si>
  <si>
    <t xml:space="preserve">Light Blue</t>
  </si>
  <si>
    <t xml:space="preserve">Assumptions / Inputs</t>
  </si>
  <si>
    <t xml:space="preserve">Green</t>
  </si>
  <si>
    <t xml:space="preserve">Revenue schedules</t>
  </si>
  <si>
    <t xml:space="preserve">Orange</t>
  </si>
  <si>
    <t xml:space="preserve">Cost schedules</t>
  </si>
  <si>
    <t xml:space="preserve">Red</t>
  </si>
  <si>
    <t xml:space="preserve">Debt / Risk</t>
  </si>
  <si>
    <t xml:space="preserve">Grey</t>
  </si>
  <si>
    <t xml:space="preserve">Summary / Output</t>
  </si>
  <si>
    <t xml:space="preserve">Purple</t>
  </si>
  <si>
    <t xml:space="preserve">Model checks</t>
  </si>
  <si>
    <t xml:space="preserve">About this model</t>
  </si>
  <si>
    <t xml:space="preserve">This project finance model values a ground lease investment by forecasting rent escalation, calculating debt service coverage, and projecting levered and unlevered IRR over a 10-year hold. Answer: does the lessor generate sufficient NOI to support the debt and achieve target returns (8â14% levered IRR), and are refinancing/buyout economics attractive? Model a 99-year ground lease on a $20â50M commercial asset.
The workbook projects annual ground rent (base rent escalating at 2% p.a., typical for institutional ground leases), minimal operating expenses (3% of rent for legal/admin/insuranceâtriple-net structure shifts costs to lessee), and NOI approaching 97% of rent. Senior debt is sized at 55% LTV (conservative for non-recourse ground lease lending) and subjected to a 1.25Ã DSCR constraint, whichever binds first. Debt service using standard amortisation (25-year tenor matching the perpetual income stream). Exit valuation at Year 10 using forward NOI (Year 11) capitalised at 5% cap rate (50 bps wider than entry 4.5% reflecting shorter remaining term).
Used by institutional investors (pension funds, infra funds) acquiring fee-simple land under long-term leases, lenders structuring non-recourse mortgages on ground lease cash flows, and landowners evaluating whether to lease vs. develop. Ground leases offer ultra-long-duration income with near-zero operating cost. Reversion value (improvements revert to landowner at lease expiry) is typically not modelled in a 10-year hold (assumption is sale of leasehold interest). Benchmarks: Safehold (SAFE) operates 60â70% LTV; ground lease cap rates 3.5â5.5% depending on credit quality and term length.</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</si>
  <si>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</si>
  <si>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</si>
  <si>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</si>
  <si>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</si>
  <si>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</si>
  <si>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</si>
  <si>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</si>
  <si>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</si>
  <si>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</si>
  <si>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</si>
  <si>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</si>
  <si>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</si>
  <si>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</si>
  <si>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</si>
  <si>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</si>
  <si>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</si>
  <si>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</si>
  <si>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</si>
  <si>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</si>
  <si>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</si>
  <si>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</si>
  <si>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 — blue cells are editable</t>
  </si>
  <si>
    <t xml:space="preserve">Parameter</t>
  </si>
  <si>
    <t xml:space="preserve">Value</t>
  </si>
  <si>
    <t xml:space="preserve">Unit</t>
  </si>
  <si>
    <t xml:space="preserve">Notes</t>
  </si>
  <si>
    <t xml:space="preserve">Land &amp; Acquisition</t>
  </si>
  <si>
    <t xml:space="preserve">Land Value</t>
  </si>
  <si>
    <t xml:space="preserve">$</t>
  </si>
  <si>
    <t xml:space="preserve">Fee-simple land parcel</t>
  </si>
  <si>
    <t xml:space="preserve">Transaction Costs</t>
  </si>
  <si>
    <t xml:space="preserve">%</t>
  </si>
  <si>
    <t xml:space="preserve">Title, legal, transfer taxes</t>
  </si>
  <si>
    <t xml:space="preserve">Initial Rent Yield</t>
  </si>
  <si>
    <t xml:space="preserve">Base rent as % of land value</t>
  </si>
  <si>
    <t xml:space="preserve">Ground Lease Terms</t>
  </si>
  <si>
    <t xml:space="preserve">Lease Term</t>
  </si>
  <si>
    <t xml:space="preserve">Years</t>
  </si>
  <si>
    <t xml:space="preserve">Full lease term</t>
  </si>
  <si>
    <t xml:space="preserve">Hold Period</t>
  </si>
  <si>
    <t xml:space="preserve">Investment horizon</t>
  </si>
  <si>
    <t xml:space="preserve">Rent Escalation</t>
  </si>
  <si>
    <t xml:space="preserve">%/yr</t>
  </si>
  <si>
    <t xml:space="preserve">CPI-linked annual step-up</t>
  </si>
  <si>
    <t xml:space="preserve">Operating Expenses</t>
  </si>
  <si>
    <t xml:space="preserve">OpEx (% of Rent, Year 1)</t>
  </si>
  <si>
    <t xml:space="preserve">Year 1 OpEx as % of ground rent</t>
  </si>
  <si>
    <t xml:space="preserve">OpEx Escalation</t>
  </si>
  <si>
    <t xml:space="preserve">Annual OpEx cost inflation</t>
  </si>
  <si>
    <t xml:space="preserve">Debt</t>
  </si>
  <si>
    <t xml:space="preserve">LTV Ratio</t>
  </si>
  <si>
    <t xml:space="preserve">Senior mortgage LTV cap</t>
  </si>
  <si>
    <t xml:space="preserve">Target DSCR</t>
  </si>
  <si>
    <t xml:space="preserve">x</t>
  </si>
  <si>
    <t xml:space="preserve">Minimum DSCR for loan sizing</t>
  </si>
  <si>
    <t xml:space="preserve">Interest Rate</t>
  </si>
  <si>
    <t xml:space="preserve">Fixed annual rate</t>
  </si>
  <si>
    <t xml:space="preserve">Amortisation Term</t>
  </si>
  <si>
    <t xml:space="preserve">Amortisation period</t>
  </si>
  <si>
    <t xml:space="preserve">Exit</t>
  </si>
  <si>
    <t xml:space="preserve">Exit Cap Rate</t>
  </si>
  <si>
    <t xml:space="preserve">Exit cap rate (25 bps below entry)</t>
  </si>
  <si>
    <t xml:space="preserve">Selling Costs</t>
  </si>
  <si>
    <t xml:space="preserve">Brokerage and legal at disposal</t>
  </si>
  <si>
    <t xml:space="preserve">Derived — formula (do not edit)</t>
  </si>
  <si>
    <t xml:space="preserve">Base Rent (Year 1)</t>
  </si>
  <si>
    <t xml:space="preserve">Year 1 ground rent</t>
  </si>
  <si>
    <t xml:space="preserve">Annual Debt Constant</t>
  </si>
  <si>
    <t xml:space="preserve">—</t>
  </si>
  <si>
    <t xml:space="preserve">Annual payment per $1 loan</t>
  </si>
  <si>
    <t xml:space="preserve">LTV Cap Loan</t>
  </si>
  <si>
    <t xml:space="preserve">Maximum loan from LTV</t>
  </si>
  <si>
    <t xml:space="preserve">DSCR Cap Loan</t>
  </si>
  <si>
    <t xml:space="preserve">Maximum loan from DSCR</t>
  </si>
  <si>
    <t xml:space="preserve">Loan Amount</t>
  </si>
  <si>
    <t xml:space="preserve">Actual loan amount</t>
  </si>
  <si>
    <t xml:space="preserve">Equity Invested</t>
  </si>
  <si>
    <t xml:space="preserve">Equity at close (reference)</t>
  </si>
  <si>
    <t xml:space="preserve">Return Hurdles</t>
  </si>
  <si>
    <t xml:space="preserve">Target IRR</t>
  </si>
  <si>
    <t xml:space="preserve">Minimum levered IRR</t>
  </si>
  <si>
    <t xml:space="preserve">Target Cash-on-Cash</t>
  </si>
  <si>
    <t xml:space="preserve">Minimum cash-on-cash</t>
  </si>
  <si>
    <t xml:space="preserve">Target MOIC</t>
  </si>
  <si>
    <t xml:space="preserve">Minimum equity multiple</t>
  </si>
  <si>
    <t xml:space="preserve">Rent Schedule</t>
  </si>
  <si>
    <t xml:space="preserve">Annual ground rent with CPI escalation</t>
  </si>
  <si>
    <t xml:space="preserve">Year</t>
  </si>
  <si>
    <t xml:space="preserve">Year Number</t>
  </si>
  <si>
    <t xml:space="preserve">Annual Ground Rent</t>
  </si>
  <si>
    <t xml:space="preserve">OpEx and Net Operating Income</t>
  </si>
  <si>
    <t xml:space="preserve">Ground Rent</t>
  </si>
  <si>
    <t xml:space="preserve">Total OpEx</t>
  </si>
  <si>
    <t xml:space="preserve">NET OPERATING INCOME</t>
  </si>
  <si>
    <t xml:space="preserve">NOI Margin</t>
  </si>
  <si>
    <t xml:space="preserve">Debt Schedule</t>
  </si>
  <si>
    <t xml:space="preserve">Loan sizing, amortisation, and coverage metrics</t>
  </si>
  <si>
    <t xml:space="preserve">Loan Sizing</t>
  </si>
  <si>
    <t xml:space="preserve">LTV Cap</t>
  </si>
  <si>
    <t xml:space="preserve">DSCR Cap</t>
  </si>
  <si>
    <t xml:space="preserve">LOAN AMOUNT</t>
  </si>
  <si>
    <t xml:space="preserve">Binding Constraint</t>
  </si>
  <si>
    <t xml:space="preserve">Amortisation Schedule</t>
  </si>
  <si>
    <t xml:space="preserve">Opening Balance</t>
  </si>
  <si>
    <t xml:space="preserve">Total Payment</t>
  </si>
  <si>
    <t xml:space="preserve">Interest</t>
  </si>
  <si>
    <t xml:space="preserve">Principal</t>
  </si>
  <si>
    <t xml:space="preserve">Closing Balance</t>
  </si>
  <si>
    <t xml:space="preserve">Coverage Metrics</t>
  </si>
  <si>
    <t xml:space="preserve">DSCR</t>
  </si>
  <si>
    <t xml:space="preserve">Current LTV</t>
  </si>
  <si>
    <t xml:space="preserve">Cash Flow Analysis</t>
  </si>
  <si>
    <t xml:space="preserve">Investment cash flows, disposition, and return metrics</t>
  </si>
  <si>
    <t xml:space="preserve">Year 0</t>
  </si>
  <si>
    <t xml:space="preserve">Year 0 — Acquisition &amp; Financing</t>
  </si>
  <si>
    <t xml:space="preserve">Land Purchase</t>
  </si>
  <si>
    <t xml:space="preserve">TOTAL ACQUISITION</t>
  </si>
  <si>
    <t xml:space="preserve">Loan Proceeds</t>
  </si>
  <si>
    <t xml:space="preserve">NET EQUITY INVESTED</t>
  </si>
  <si>
    <t xml:space="preserve">Operating Cash Flow — Years 1-10</t>
  </si>
  <si>
    <t xml:space="preserve">Net Operating Income</t>
  </si>
  <si>
    <t xml:space="preserve">Interest Expense</t>
  </si>
  <si>
    <t xml:space="preserve">Principal Repayment</t>
  </si>
  <si>
    <t xml:space="preserve">FREE CASH FLOW</t>
  </si>
  <si>
    <t xml:space="preserve">Exit / Disposition — Year 10</t>
  </si>
  <si>
    <t xml:space="preserve">Forward Rent (Year 11)</t>
  </si>
  <si>
    <t xml:space="preserve">Forward OpEx (Year 11)</t>
  </si>
  <si>
    <t xml:space="preserve">Forward NOI (Year 11)</t>
  </si>
  <si>
    <t xml:space="preserve">Exit Land Value</t>
  </si>
  <si>
    <t xml:space="preserve">Loan Repayment (Balloon)</t>
  </si>
  <si>
    <t xml:space="preserve">NET DISPOSITION PROCEEDS</t>
  </si>
  <si>
    <t xml:space="preserve">Cash Flow Streams</t>
  </si>
  <si>
    <t xml:space="preserve">Equity Cash Flow</t>
  </si>
  <si>
    <t xml:space="preserve">Unleveraged CF</t>
  </si>
  <si>
    <t xml:space="preserve">Return Metrics</t>
  </si>
  <si>
    <t xml:space="preserve">LEVERED IRR</t>
  </si>
  <si>
    <t xml:space="preserve">UNLEVERAGED IRR</t>
  </si>
  <si>
    <t xml:space="preserve">EQUITY MULTIPLE</t>
  </si>
  <si>
    <t xml:space="preserve">Cash-on-Cash (Year 1)</t>
  </si>
  <si>
    <t xml:space="preserve">Min DSCR</t>
  </si>
  <si>
    <t xml:space="preserve">Model Integrity Checks</t>
  </si>
  <si>
    <t xml:space="preserve">PASS / FAIL verification of key model outputs</t>
  </si>
  <si>
    <t xml:space="preserve">Check</t>
  </si>
  <si>
    <t xml:space="preserve">Result</t>
  </si>
  <si>
    <t xml:space="preserve">Criteria</t>
  </si>
  <si>
    <t xml:space="preserve">Min DSCR &gt;= 1.20x</t>
  </si>
  <si>
    <t xml:space="preserve">Must be &gt;= 1.20x</t>
  </si>
  <si>
    <t xml:space="preserve">Min DSCR &gt;= Target DSCR</t>
  </si>
  <si>
    <t xml:space="preserve">&gt;= Target_DSCR assumption</t>
  </si>
  <si>
    <t xml:space="preserve">Loan &lt;= LTV Cap</t>
  </si>
  <si>
    <t xml:space="preserve">&lt;= Land x LTV</t>
  </si>
  <si>
    <t xml:space="preserve">Loan &lt;= DSCR Cap</t>
  </si>
  <si>
    <t xml:space="preserve">&lt;= NOI/(DSCR x ADC)</t>
  </si>
  <si>
    <t xml:space="preserve">Debt Balance Declining</t>
  </si>
  <si>
    <t xml:space="preserve">Y10 closing &lt; Y1 opening</t>
  </si>
  <si>
    <t xml:space="preserve">Closing Balance &gt;= 0</t>
  </si>
  <si>
    <t xml:space="preserve">Must not go negative</t>
  </si>
  <si>
    <t xml:space="preserve">Exit Covers Balloon</t>
  </si>
  <si>
    <t xml:space="preserve">Net disposition &gt; 0</t>
  </si>
  <si>
    <t xml:space="preserve">IRR Is Numeric</t>
  </si>
  <si>
    <t xml:space="preserve">Must be a number</t>
  </si>
  <si>
    <t xml:space="preserve">Y0 Equity Negative</t>
  </si>
  <si>
    <t xml:space="preserve">Must be &lt; 0</t>
  </si>
  <si>
    <t xml:space="preserve">NOI Always Positive</t>
  </si>
  <si>
    <t xml:space="preserve">All years &gt; 0</t>
  </si>
</sst>
</file>

<file path=xl/styles.xml><?xml version="1.0" encoding="utf-8"?>
<styleSheet xmlns="http://schemas.openxmlformats.org/spreadsheetml/2006/main">
  <numFmts count="7">
    <numFmt numFmtId="164" formatCode="General"/>
    <numFmt numFmtId="165" formatCode="#,##0.00"/>
    <numFmt numFmtId="166" formatCode="0.00%"/>
    <numFmt numFmtId="167" formatCode="0"/>
    <numFmt numFmtId="168" formatCode="0.00\x"/>
    <numFmt numFmtId="169" formatCode="0.0000000"/>
    <numFmt numFmtId="170" formatCode="@"/>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7030A0"/>
        <bgColor rgb="FF993366"/>
      </patternFill>
    </fill>
    <fill>
      <patternFill patternType="solid">
        <fgColor rgb="FFD6E4F0"/>
        <bgColor rgb="FFF2F2F2"/>
      </patternFill>
    </fill>
    <fill>
      <patternFill patternType="solid">
        <fgColor rgb="FF1F4E79"/>
        <bgColor rgb="FF1F497D"/>
      </patternFill>
    </fill>
    <fill>
      <patternFill patternType="solid">
        <fgColor rgb="FFF2F2F2"/>
        <bgColor rgb="FFFFFFFF"/>
      </patternFill>
    </fill>
    <fill>
      <patternFill patternType="solid">
        <fgColor rgb="FFFFF2CC"/>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1" fillId="9" borderId="0" xfId="0" applyFont="true" applyBorder="false" applyAlignment="true" applyProtection="false">
      <alignment horizontal="left" vertical="center"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10"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1"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10" borderId="0" xfId="0" applyFont="true" applyBorder="false" applyAlignment="true" applyProtection="false">
      <alignment horizontal="left" vertical="center" textRotation="0" wrapText="false" indent="0" shrinkToFit="false"/>
      <protection locked="true" hidden="false"/>
    </xf>
    <xf numFmtId="164" fontId="16" fillId="10" borderId="0" xfId="0" applyFont="true" applyBorder="false" applyAlignment="true" applyProtection="false">
      <alignment horizontal="center" vertical="center" textRotation="0" wrapText="false" indent="0" shrinkToFit="false"/>
      <protection locked="true" hidden="false"/>
    </xf>
    <xf numFmtId="164" fontId="8" fillId="1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5" fontId="21" fillId="12"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2" borderId="0" xfId="0" applyFont="true" applyBorder="false" applyAlignment="true" applyProtection="false">
      <alignment horizontal="right" vertical="center" textRotation="0" wrapText="false" indent="0" shrinkToFit="false"/>
      <protection locked="true" hidden="false"/>
    </xf>
    <xf numFmtId="167" fontId="21" fillId="12" borderId="0" xfId="0" applyFont="true" applyBorder="false" applyAlignment="true" applyProtection="false">
      <alignment horizontal="right" vertical="center" textRotation="0" wrapText="false" indent="0" shrinkToFit="false"/>
      <protection locked="true" hidden="false"/>
    </xf>
    <xf numFmtId="168" fontId="21" fillId="12" borderId="0" xfId="0" applyFont="true" applyBorder="false" applyAlignment="true" applyProtection="false">
      <alignment horizontal="right" vertical="center" textRotation="0" wrapText="false" indent="0" shrinkToFit="false"/>
      <protection locked="true" hidden="false"/>
    </xf>
    <xf numFmtId="169" fontId="21" fillId="12" borderId="0" xfId="0" applyFont="true" applyBorder="false" applyAlignment="true" applyProtection="false">
      <alignment horizontal="right" vertical="center" textRotation="0" wrapText="false" indent="0" shrinkToFit="false"/>
      <protection locked="true" hidden="false"/>
    </xf>
    <xf numFmtId="167" fontId="16" fillId="1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7" fontId="10"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70" fontId="22" fillId="0" borderId="0" xfId="0" applyFont="true" applyBorder="fals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2"/>
    <col collapsed="false" customWidth="true" hidden="false" outlineLevel="0" max="4" min="4" style="0" width="10"/>
    <col collapsed="false" customWidth="true" hidden="false" outlineLevel="0" max="5" min="5"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3"/>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4"/>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18</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19</v>
      </c>
      <c r="C17" s="8" t="s">
        <v>4</v>
      </c>
      <c r="D17" s="9"/>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20</v>
      </c>
      <c r="C18" s="8" t="s">
        <v>21</v>
      </c>
      <c r="D18" s="10"/>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22</v>
      </c>
      <c r="C19" s="8" t="s">
        <v>23</v>
      </c>
      <c r="D19" s="11"/>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24</v>
      </c>
      <c r="C20" s="8" t="s">
        <v>25</v>
      </c>
      <c r="D20" s="12"/>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26</v>
      </c>
      <c r="C21" s="8" t="s">
        <v>27</v>
      </c>
      <c r="D21" s="13"/>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29</v>
      </c>
      <c r="D22" s="14"/>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9.5" hidden="false" customHeight="true" outlineLevel="0" collapsed="false">
      <c r="A26" s="5"/>
      <c r="B26" s="16" t="s">
        <v>32</v>
      </c>
      <c r="C26" s="17"/>
      <c r="D26" s="17"/>
      <c r="E26" s="17"/>
      <c r="F26" s="17"/>
      <c r="G26" s="17"/>
      <c r="H26" s="5"/>
      <c r="I26" s="5"/>
      <c r="J26" s="5"/>
      <c r="K26" s="5"/>
      <c r="L26" s="5"/>
      <c r="M26" s="5"/>
      <c r="N26" s="5"/>
      <c r="O26" s="5"/>
      <c r="P26" s="5"/>
      <c r="Q26" s="5"/>
      <c r="R26" s="5"/>
      <c r="S26" s="5"/>
      <c r="T26" s="5"/>
      <c r="U26" s="5"/>
      <c r="V26" s="5"/>
      <c r="W26" s="5"/>
      <c r="X26" s="5"/>
      <c r="Y26" s="5"/>
      <c r="Z26" s="5"/>
      <c r="AA26" s="5"/>
      <c r="AB26" s="5"/>
      <c r="AC26" s="5"/>
      <c r="AD26" s="5"/>
    </row>
    <row r="27" customFormat="false" ht="233.25" hidden="false" customHeight="true" outlineLevel="0" collapsed="false">
      <c r="A27" s="5"/>
      <c r="B27" s="18" t="s">
        <v>33</v>
      </c>
      <c r="C27" s="18"/>
      <c r="D27" s="18"/>
      <c r="E27" s="18"/>
      <c r="F27" s="18"/>
      <c r="G27" s="18"/>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16" t="s">
        <v>34</v>
      </c>
      <c r="C29" s="17"/>
      <c r="D29" s="17"/>
      <c r="E29" s="17"/>
      <c r="F29" s="17"/>
      <c r="G29" s="17"/>
      <c r="H29" s="5"/>
      <c r="I29" s="5"/>
      <c r="J29" s="5"/>
      <c r="K29" s="5"/>
      <c r="L29" s="5"/>
      <c r="M29" s="5"/>
      <c r="N29" s="5"/>
      <c r="O29" s="5"/>
      <c r="P29" s="5"/>
      <c r="Q29" s="5"/>
      <c r="R29" s="5"/>
      <c r="S29" s="5"/>
      <c r="T29" s="5"/>
      <c r="U29" s="5"/>
      <c r="V29" s="5"/>
      <c r="W29" s="5"/>
      <c r="X29" s="5"/>
      <c r="Y29" s="5"/>
      <c r="Z29" s="5"/>
      <c r="AA29" s="5"/>
      <c r="AB29" s="5"/>
      <c r="AC29" s="5"/>
      <c r="AD29" s="5"/>
    </row>
    <row r="30" customFormat="false" ht="57" hidden="false" customHeight="true" outlineLevel="0" collapsed="false">
      <c r="A30" s="5"/>
      <c r="B30" s="18" t="s">
        <v>35</v>
      </c>
      <c r="C30" s="18"/>
      <c r="D30" s="18"/>
      <c r="E30" s="18"/>
      <c r="F30" s="18"/>
      <c r="G30" s="18"/>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19" t="s">
        <v>36</v>
      </c>
      <c r="C31" s="19"/>
      <c r="D31" s="19"/>
      <c r="E31" s="19"/>
      <c r="F31" s="19"/>
      <c r="G31" s="19"/>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20" t="s">
        <v>37</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sheetData>
  <mergeCells count="3">
    <mergeCell ref="B27:G27"/>
    <mergeCell ref="B30:G30"/>
    <mergeCell ref="B31:G3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1" t="s">
        <v>38</v>
      </c>
    </row>
    <row r="3" customFormat="false" ht="3.75" hidden="false" customHeight="true" outlineLevel="0" collapsed="false">
      <c r="A3" s="5"/>
      <c r="B3" s="22"/>
    </row>
    <row r="4" customFormat="false" ht="15" hidden="false" customHeight="false" outlineLevel="0" collapsed="false">
      <c r="A4" s="5"/>
      <c r="B4" s="5"/>
    </row>
    <row r="5" customFormat="false" ht="19.5" hidden="false" customHeight="true" outlineLevel="0" collapsed="false">
      <c r="A5" s="5"/>
      <c r="B5" s="23" t="s">
        <v>39</v>
      </c>
    </row>
    <row r="6" customFormat="false" ht="48" hidden="false" customHeight="true" outlineLevel="0" collapsed="false">
      <c r="A6" s="5"/>
      <c r="B6" s="24" t="s">
        <v>40</v>
      </c>
    </row>
    <row r="7" customFormat="false" ht="15" hidden="false" customHeight="false" outlineLevel="0" collapsed="false">
      <c r="A7" s="5"/>
      <c r="B7" s="5"/>
    </row>
    <row r="8" customFormat="false" ht="19.5" hidden="false" customHeight="true" outlineLevel="0" collapsed="false">
      <c r="A8" s="5"/>
      <c r="B8" s="23" t="s">
        <v>41</v>
      </c>
    </row>
    <row r="9" customFormat="false" ht="61.5" hidden="false" customHeight="true" outlineLevel="0" collapsed="false">
      <c r="A9" s="5"/>
      <c r="B9" s="24" t="s">
        <v>42</v>
      </c>
    </row>
    <row r="10" customFormat="false" ht="15" hidden="false" customHeight="false" outlineLevel="0" collapsed="false">
      <c r="A10" s="5"/>
      <c r="B10" s="5"/>
    </row>
    <row r="11" customFormat="false" ht="19.5" hidden="false" customHeight="true" outlineLevel="0" collapsed="false">
      <c r="A11" s="5"/>
      <c r="B11" s="23" t="s">
        <v>43</v>
      </c>
    </row>
    <row r="12" customFormat="false" ht="75.75" hidden="false" customHeight="true" outlineLevel="0" collapsed="false">
      <c r="A12" s="5"/>
      <c r="B12" s="24" t="s">
        <v>44</v>
      </c>
    </row>
    <row r="13" customFormat="false" ht="15" hidden="false" customHeight="false" outlineLevel="0" collapsed="false">
      <c r="A13" s="5"/>
      <c r="B13" s="5"/>
    </row>
    <row r="14" customFormat="false" ht="19.5" hidden="false" customHeight="true" outlineLevel="0" collapsed="false">
      <c r="A14" s="5"/>
      <c r="B14" s="23" t="s">
        <v>45</v>
      </c>
    </row>
    <row r="15" customFormat="false" ht="61.5" hidden="false" customHeight="true" outlineLevel="0" collapsed="false">
      <c r="A15" s="5"/>
      <c r="B15" s="24" t="s">
        <v>46</v>
      </c>
    </row>
    <row r="16" customFormat="false" ht="15" hidden="false" customHeight="false" outlineLevel="0" collapsed="false">
      <c r="A16" s="5"/>
      <c r="B16" s="5"/>
    </row>
    <row r="17" customFormat="false" ht="19.5" hidden="false" customHeight="true" outlineLevel="0" collapsed="false">
      <c r="A17" s="5"/>
      <c r="B17" s="23" t="s">
        <v>47</v>
      </c>
    </row>
    <row r="18" customFormat="false" ht="33.75" hidden="false" customHeight="true" outlineLevel="0" collapsed="false">
      <c r="A18" s="5"/>
      <c r="B18" s="24" t="s">
        <v>48</v>
      </c>
    </row>
    <row r="19" customFormat="false" ht="15" hidden="false" customHeight="false" outlineLevel="0" collapsed="false">
      <c r="A19" s="5"/>
      <c r="B19" s="5"/>
    </row>
    <row r="20" customFormat="false" ht="19.5" hidden="false" customHeight="true" outlineLevel="0" collapsed="false">
      <c r="A20" s="5"/>
      <c r="B20" s="23" t="s">
        <v>49</v>
      </c>
    </row>
    <row r="21" customFormat="false" ht="33.75" hidden="false" customHeight="true" outlineLevel="0" collapsed="false">
      <c r="A21" s="5"/>
      <c r="B21" s="24" t="s">
        <v>50</v>
      </c>
    </row>
    <row r="22" customFormat="false" ht="15" hidden="false" customHeight="false" outlineLevel="0" collapsed="false">
      <c r="A22" s="5"/>
      <c r="B22" s="5"/>
    </row>
    <row r="23" customFormat="false" ht="21.75" hidden="false" customHeight="true" outlineLevel="0" collapsed="false">
      <c r="A23" s="5"/>
      <c r="B23" s="25" t="s">
        <v>51</v>
      </c>
    </row>
    <row r="24" customFormat="false" ht="15" hidden="false" customHeight="false" outlineLevel="0" collapsed="false">
      <c r="A24" s="5"/>
      <c r="B24" s="5"/>
    </row>
    <row r="25" customFormat="false" ht="18" hidden="false" customHeight="true" outlineLevel="0" collapsed="false">
      <c r="A25" s="5"/>
      <c r="B25" s="26" t="s">
        <v>52</v>
      </c>
    </row>
    <row r="26" customFormat="false" ht="201.75" hidden="false" customHeight="true" outlineLevel="0" collapsed="false">
      <c r="A26" s="5"/>
      <c r="B26" s="27" t="s">
        <v>53</v>
      </c>
    </row>
    <row r="27" customFormat="false" ht="15" hidden="false" customHeight="false" outlineLevel="0" collapsed="false">
      <c r="A27" s="5"/>
      <c r="B27" s="5"/>
    </row>
    <row r="28" customFormat="false" ht="18" hidden="false" customHeight="true" outlineLevel="0" collapsed="false">
      <c r="A28" s="5"/>
      <c r="B28" s="28" t="s">
        <v>54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9" t="s">
        <v>6</v>
      </c>
      <c r="C2" s="5"/>
      <c r="D2" s="5"/>
      <c r="E2" s="5"/>
    </row>
    <row r="3" customFormat="false" ht="15" hidden="false" customHeight="false" outlineLevel="0" collapsed="false">
      <c r="A3" s="5"/>
      <c r="B3" s="8" t="s">
        <v>55</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56</v>
      </c>
      <c r="C5" s="31" t="s">
        <v>57</v>
      </c>
      <c r="D5" s="31" t="s">
        <v>58</v>
      </c>
      <c r="E5" s="31" t="s">
        <v>59</v>
      </c>
    </row>
    <row r="6" customFormat="false" ht="15" hidden="false" customHeight="false" outlineLevel="0" collapsed="false">
      <c r="A6" s="5"/>
      <c r="B6" s="5"/>
      <c r="C6" s="5"/>
      <c r="D6" s="5"/>
      <c r="E6" s="5"/>
    </row>
    <row r="7" customFormat="false" ht="15" hidden="false" customHeight="false" outlineLevel="0" collapsed="false">
      <c r="A7" s="5"/>
      <c r="B7" s="30" t="s">
        <v>60</v>
      </c>
      <c r="C7" s="32"/>
      <c r="D7" s="32"/>
      <c r="E7" s="32"/>
    </row>
    <row r="8" customFormat="false" ht="15" hidden="false" customHeight="false" outlineLevel="0" collapsed="false">
      <c r="A8" s="5"/>
      <c r="B8" s="33" t="s">
        <v>61</v>
      </c>
      <c r="C8" s="34" t="n">
        <v>25000000</v>
      </c>
      <c r="D8" s="35" t="s">
        <v>62</v>
      </c>
      <c r="E8" s="8" t="s">
        <v>63</v>
      </c>
    </row>
    <row r="9" customFormat="false" ht="15" hidden="false" customHeight="false" outlineLevel="0" collapsed="false">
      <c r="A9" s="5"/>
      <c r="B9" s="33" t="s">
        <v>64</v>
      </c>
      <c r="C9" s="36" t="n">
        <v>0.02</v>
      </c>
      <c r="D9" s="35" t="s">
        <v>65</v>
      </c>
      <c r="E9" s="8" t="s">
        <v>66</v>
      </c>
    </row>
    <row r="10" customFormat="false" ht="15" hidden="false" customHeight="false" outlineLevel="0" collapsed="false">
      <c r="A10" s="5"/>
      <c r="B10" s="33" t="s">
        <v>67</v>
      </c>
      <c r="C10" s="36" t="n">
        <v>0.05</v>
      </c>
      <c r="D10" s="35" t="s">
        <v>65</v>
      </c>
      <c r="E10" s="8" t="s">
        <v>68</v>
      </c>
    </row>
    <row r="11" customFormat="false" ht="15" hidden="false" customHeight="false" outlineLevel="0" collapsed="false">
      <c r="A11" s="5"/>
      <c r="B11" s="5"/>
      <c r="C11" s="5"/>
      <c r="D11" s="5"/>
      <c r="E11" s="5"/>
    </row>
    <row r="12" customFormat="false" ht="15" hidden="false" customHeight="false" outlineLevel="0" collapsed="false">
      <c r="A12" s="5"/>
      <c r="B12" s="30" t="s">
        <v>69</v>
      </c>
      <c r="C12" s="32"/>
      <c r="D12" s="32"/>
      <c r="E12" s="32"/>
    </row>
    <row r="13" customFormat="false" ht="15" hidden="false" customHeight="false" outlineLevel="0" collapsed="false">
      <c r="A13" s="5"/>
      <c r="B13" s="33" t="s">
        <v>70</v>
      </c>
      <c r="C13" s="37" t="n">
        <v>99</v>
      </c>
      <c r="D13" s="35" t="s">
        <v>71</v>
      </c>
      <c r="E13" s="8" t="s">
        <v>72</v>
      </c>
    </row>
    <row r="14" customFormat="false" ht="15" hidden="false" customHeight="false" outlineLevel="0" collapsed="false">
      <c r="A14" s="5"/>
      <c r="B14" s="33" t="s">
        <v>73</v>
      </c>
      <c r="C14" s="37" t="n">
        <v>10</v>
      </c>
      <c r="D14" s="35" t="s">
        <v>71</v>
      </c>
      <c r="E14" s="8" t="s">
        <v>74</v>
      </c>
    </row>
    <row r="15" customFormat="false" ht="15" hidden="false" customHeight="false" outlineLevel="0" collapsed="false">
      <c r="A15" s="5"/>
      <c r="B15" s="33" t="s">
        <v>75</v>
      </c>
      <c r="C15" s="36" t="n">
        <v>0.025</v>
      </c>
      <c r="D15" s="35" t="s">
        <v>76</v>
      </c>
      <c r="E15" s="8" t="s">
        <v>77</v>
      </c>
    </row>
    <row r="16" customFormat="false" ht="15" hidden="false" customHeight="false" outlineLevel="0" collapsed="false">
      <c r="A16" s="5"/>
      <c r="B16" s="5"/>
      <c r="C16" s="5"/>
      <c r="D16" s="5"/>
      <c r="E16" s="5"/>
    </row>
    <row r="17" customFormat="false" ht="15" hidden="false" customHeight="false" outlineLevel="0" collapsed="false">
      <c r="A17" s="5"/>
      <c r="B17" s="30" t="s">
        <v>78</v>
      </c>
      <c r="C17" s="32"/>
      <c r="D17" s="32"/>
      <c r="E17" s="32"/>
    </row>
    <row r="18" customFormat="false" ht="15" hidden="false" customHeight="false" outlineLevel="0" collapsed="false">
      <c r="A18" s="5"/>
      <c r="B18" s="33" t="s">
        <v>79</v>
      </c>
      <c r="C18" s="36" t="n">
        <v>0.03</v>
      </c>
      <c r="D18" s="35" t="s">
        <v>65</v>
      </c>
      <c r="E18" s="8" t="s">
        <v>80</v>
      </c>
    </row>
    <row r="19" customFormat="false" ht="15" hidden="false" customHeight="false" outlineLevel="0" collapsed="false">
      <c r="A19" s="5"/>
      <c r="B19" s="33" t="s">
        <v>81</v>
      </c>
      <c r="C19" s="36" t="n">
        <v>0.025</v>
      </c>
      <c r="D19" s="35" t="s">
        <v>76</v>
      </c>
      <c r="E19" s="8" t="s">
        <v>82</v>
      </c>
    </row>
    <row r="20" customFormat="false" ht="15" hidden="false" customHeight="false" outlineLevel="0" collapsed="false">
      <c r="A20" s="5"/>
      <c r="B20" s="5"/>
      <c r="C20" s="5"/>
      <c r="D20" s="5"/>
      <c r="E20" s="5"/>
    </row>
    <row r="21" customFormat="false" ht="15" hidden="false" customHeight="false" outlineLevel="0" collapsed="false">
      <c r="A21" s="5"/>
      <c r="B21" s="30" t="s">
        <v>83</v>
      </c>
      <c r="C21" s="32"/>
      <c r="D21" s="32"/>
      <c r="E21" s="32"/>
    </row>
    <row r="22" customFormat="false" ht="15" hidden="false" customHeight="false" outlineLevel="0" collapsed="false">
      <c r="A22" s="5"/>
      <c r="B22" s="33" t="s">
        <v>84</v>
      </c>
      <c r="C22" s="36" t="n">
        <v>0.55</v>
      </c>
      <c r="D22" s="35" t="s">
        <v>65</v>
      </c>
      <c r="E22" s="8" t="s">
        <v>85</v>
      </c>
    </row>
    <row r="23" customFormat="false" ht="15" hidden="false" customHeight="false" outlineLevel="0" collapsed="false">
      <c r="A23" s="5"/>
      <c r="B23" s="33" t="s">
        <v>86</v>
      </c>
      <c r="C23" s="38" t="n">
        <v>1.25</v>
      </c>
      <c r="D23" s="35" t="s">
        <v>87</v>
      </c>
      <c r="E23" s="8" t="s">
        <v>88</v>
      </c>
    </row>
    <row r="24" customFormat="false" ht="15" hidden="false" customHeight="false" outlineLevel="0" collapsed="false">
      <c r="A24" s="5"/>
      <c r="B24" s="33" t="s">
        <v>89</v>
      </c>
      <c r="C24" s="36" t="n">
        <v>0.0575</v>
      </c>
      <c r="D24" s="35" t="s">
        <v>65</v>
      </c>
      <c r="E24" s="8" t="s">
        <v>90</v>
      </c>
    </row>
    <row r="25" customFormat="false" ht="15" hidden="false" customHeight="false" outlineLevel="0" collapsed="false">
      <c r="A25" s="5"/>
      <c r="B25" s="33" t="s">
        <v>91</v>
      </c>
      <c r="C25" s="37" t="n">
        <v>25</v>
      </c>
      <c r="D25" s="35" t="s">
        <v>71</v>
      </c>
      <c r="E25" s="8" t="s">
        <v>92</v>
      </c>
    </row>
    <row r="26" customFormat="false" ht="15" hidden="false" customHeight="false" outlineLevel="0" collapsed="false">
      <c r="A26" s="5"/>
      <c r="B26" s="5"/>
      <c r="C26" s="5"/>
      <c r="D26" s="5"/>
      <c r="E26" s="5"/>
    </row>
    <row r="27" customFormat="false" ht="15" hidden="false" customHeight="false" outlineLevel="0" collapsed="false">
      <c r="A27" s="5"/>
      <c r="B27" s="30" t="s">
        <v>93</v>
      </c>
      <c r="C27" s="32"/>
      <c r="D27" s="32"/>
      <c r="E27" s="32"/>
    </row>
    <row r="28" customFormat="false" ht="15" hidden="false" customHeight="false" outlineLevel="0" collapsed="false">
      <c r="A28" s="5"/>
      <c r="B28" s="33" t="s">
        <v>94</v>
      </c>
      <c r="C28" s="36" t="n">
        <v>0.0475</v>
      </c>
      <c r="D28" s="35" t="s">
        <v>65</v>
      </c>
      <c r="E28" s="8" t="s">
        <v>95</v>
      </c>
    </row>
    <row r="29" customFormat="false" ht="15" hidden="false" customHeight="false" outlineLevel="0" collapsed="false">
      <c r="A29" s="5"/>
      <c r="B29" s="33" t="s">
        <v>96</v>
      </c>
      <c r="C29" s="36" t="n">
        <v>0.015</v>
      </c>
      <c r="D29" s="35" t="s">
        <v>65</v>
      </c>
      <c r="E29" s="8" t="s">
        <v>97</v>
      </c>
    </row>
    <row r="30" customFormat="false" ht="15" hidden="false" customHeight="false" outlineLevel="0" collapsed="false">
      <c r="A30" s="5"/>
      <c r="B30" s="5"/>
      <c r="C30" s="5"/>
      <c r="D30" s="5"/>
      <c r="E30" s="5"/>
    </row>
    <row r="31" customFormat="false" ht="15" hidden="false" customHeight="false" outlineLevel="0" collapsed="false">
      <c r="A31" s="5"/>
      <c r="B31" s="30" t="s">
        <v>98</v>
      </c>
      <c r="C31" s="32"/>
      <c r="D31" s="32"/>
      <c r="E31" s="32"/>
    </row>
    <row r="32" customFormat="false" ht="15" hidden="false" customHeight="false" outlineLevel="0" collapsed="false">
      <c r="A32" s="5"/>
      <c r="B32" s="33" t="s">
        <v>99</v>
      </c>
      <c r="C32" s="34" t="n">
        <f aca="false">Land_Value*Initial_Rent_Yield</f>
        <v>1250000</v>
      </c>
      <c r="D32" s="35" t="s">
        <v>62</v>
      </c>
      <c r="E32" s="8" t="s">
        <v>100</v>
      </c>
    </row>
    <row r="33" customFormat="false" ht="15" hidden="false" customHeight="false" outlineLevel="0" collapsed="false">
      <c r="A33" s="5"/>
      <c r="B33" s="33" t="s">
        <v>101</v>
      </c>
      <c r="C33" s="39" t="n">
        <f aca="false">-PMT(Interest_Rate,Amort_Term,1)</f>
        <v>0.076378167388264</v>
      </c>
      <c r="D33" s="35" t="s">
        <v>102</v>
      </c>
      <c r="E33" s="8" t="s">
        <v>103</v>
      </c>
    </row>
    <row r="34" customFormat="false" ht="15" hidden="false" customHeight="false" outlineLevel="0" collapsed="false">
      <c r="A34" s="5"/>
      <c r="B34" s="33" t="s">
        <v>104</v>
      </c>
      <c r="C34" s="34" t="n">
        <f aca="false">Land_Value*LTV_Ratio</f>
        <v>13750000</v>
      </c>
      <c r="D34" s="35" t="s">
        <v>62</v>
      </c>
      <c r="E34" s="8" t="s">
        <v>105</v>
      </c>
    </row>
    <row r="35" customFormat="false" ht="15" hidden="false" customHeight="false" outlineLevel="0" collapsed="false">
      <c r="A35" s="5"/>
      <c r="B35" s="33" t="s">
        <v>106</v>
      </c>
      <c r="C35" s="34" t="n">
        <f aca="false">Base_Rent*(1-OpEx_Pct_Rent)/(Target_DSCR*Annual_Debt_Constant)</f>
        <v>12699964.3113858</v>
      </c>
      <c r="D35" s="35" t="s">
        <v>62</v>
      </c>
      <c r="E35" s="8" t="s">
        <v>107</v>
      </c>
    </row>
    <row r="36" customFormat="false" ht="15" hidden="false" customHeight="false" outlineLevel="0" collapsed="false">
      <c r="A36" s="5"/>
      <c r="B36" s="33" t="s">
        <v>108</v>
      </c>
      <c r="C36" s="34" t="n">
        <f aca="false">MIN(LTV_Cap_Loan,DSCR_Cap_Loan)</f>
        <v>12699964.3113858</v>
      </c>
      <c r="D36" s="35" t="s">
        <v>62</v>
      </c>
      <c r="E36" s="8" t="s">
        <v>109</v>
      </c>
    </row>
    <row r="37" customFormat="false" ht="15" hidden="false" customHeight="false" outlineLevel="0" collapsed="false">
      <c r="A37" s="5"/>
      <c r="B37" s="33" t="s">
        <v>110</v>
      </c>
      <c r="C37" s="34" t="n">
        <f aca="false">Land_Value*(1+Transaction_Costs_Pct)-Loan_Amount</f>
        <v>12800035.6886142</v>
      </c>
      <c r="D37" s="35" t="s">
        <v>62</v>
      </c>
      <c r="E37" s="8" t="s">
        <v>111</v>
      </c>
    </row>
    <row r="38" customFormat="false" ht="15" hidden="false" customHeight="false" outlineLevel="0" collapsed="false">
      <c r="A38" s="5"/>
      <c r="B38" s="5"/>
      <c r="C38" s="5"/>
      <c r="D38" s="5"/>
      <c r="E38" s="5"/>
    </row>
    <row r="39" customFormat="false" ht="15" hidden="false" customHeight="false" outlineLevel="0" collapsed="false">
      <c r="A39" s="5"/>
      <c r="B39" s="30" t="s">
        <v>112</v>
      </c>
      <c r="C39" s="32"/>
      <c r="D39" s="32"/>
      <c r="E39" s="32"/>
    </row>
    <row r="40" customFormat="false" ht="15" hidden="false" customHeight="false" outlineLevel="0" collapsed="false">
      <c r="A40" s="5"/>
      <c r="B40" s="33" t="s">
        <v>113</v>
      </c>
      <c r="C40" s="36" t="n">
        <v>0.09</v>
      </c>
      <c r="D40" s="35" t="s">
        <v>65</v>
      </c>
      <c r="E40" s="8" t="s">
        <v>114</v>
      </c>
    </row>
    <row r="41" customFormat="false" ht="15" hidden="false" customHeight="false" outlineLevel="0" collapsed="false">
      <c r="A41" s="5"/>
      <c r="B41" s="33" t="s">
        <v>115</v>
      </c>
      <c r="C41" s="36" t="n">
        <v>0.04</v>
      </c>
      <c r="D41" s="35" t="s">
        <v>65</v>
      </c>
      <c r="E41" s="8" t="s">
        <v>116</v>
      </c>
    </row>
    <row r="42" customFormat="false" ht="15" hidden="false" customHeight="false" outlineLevel="0" collapsed="false">
      <c r="A42" s="5"/>
      <c r="B42" s="33" t="s">
        <v>117</v>
      </c>
      <c r="C42" s="38" t="n">
        <v>1.8</v>
      </c>
      <c r="D42" s="35" t="s">
        <v>87</v>
      </c>
      <c r="E42" s="8" t="s">
        <v>118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119</v>
      </c>
      <c r="C2" s="5"/>
      <c r="D2" s="5"/>
      <c r="E2" s="5"/>
      <c r="F2" s="5"/>
      <c r="G2" s="5"/>
      <c r="H2" s="5"/>
      <c r="I2" s="5"/>
      <c r="J2" s="5"/>
      <c r="K2" s="5"/>
      <c r="L2" s="5"/>
    </row>
    <row r="3" customFormat="false" ht="15" hidden="false" customHeight="false" outlineLevel="0" collapsed="false">
      <c r="A3" s="5"/>
      <c r="B3" s="8" t="s">
        <v>120</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0" t="s">
        <v>121</v>
      </c>
      <c r="C5" s="40" t="n">
        <f aca="false">2025+0</f>
        <v>2025</v>
      </c>
      <c r="D5" s="40" t="n">
        <f aca="false">2025+1</f>
        <v>2026</v>
      </c>
      <c r="E5" s="40" t="n">
        <f aca="false">2025+2</f>
        <v>2027</v>
      </c>
      <c r="F5" s="40" t="n">
        <f aca="false">2025+3</f>
        <v>2028</v>
      </c>
      <c r="G5" s="40" t="n">
        <f aca="false">2025+4</f>
        <v>2029</v>
      </c>
      <c r="H5" s="40" t="n">
        <f aca="false">2025+5</f>
        <v>2030</v>
      </c>
      <c r="I5" s="40" t="n">
        <f aca="false">2025+6</f>
        <v>2031</v>
      </c>
      <c r="J5" s="40" t="n">
        <f aca="false">2025+7</f>
        <v>2032</v>
      </c>
      <c r="K5" s="40" t="n">
        <f aca="false">2025+8</f>
        <v>2033</v>
      </c>
      <c r="L5" s="40" t="n">
        <f aca="false">2025+9</f>
        <v>2034</v>
      </c>
    </row>
    <row r="6" customFormat="false" ht="15" hidden="false" customHeight="false" outlineLevel="0" collapsed="false">
      <c r="A6" s="5"/>
      <c r="B6" s="41" t="s">
        <v>122</v>
      </c>
      <c r="C6" s="42" t="n">
        <f aca="false">COLUMN(C1)-2</f>
        <v>1</v>
      </c>
      <c r="D6" s="42" t="n">
        <f aca="false">COLUMN(D1)-2</f>
        <v>2</v>
      </c>
      <c r="E6" s="42" t="n">
        <f aca="false">COLUMN(E1)-2</f>
        <v>3</v>
      </c>
      <c r="F6" s="42" t="n">
        <f aca="false">COLUMN(F1)-2</f>
        <v>4</v>
      </c>
      <c r="G6" s="42" t="n">
        <f aca="false">COLUMN(G1)-2</f>
        <v>5</v>
      </c>
      <c r="H6" s="42" t="n">
        <f aca="false">COLUMN(H1)-2</f>
        <v>6</v>
      </c>
      <c r="I6" s="42" t="n">
        <f aca="false">COLUMN(I1)-2</f>
        <v>7</v>
      </c>
      <c r="J6" s="42" t="n">
        <f aca="false">COLUMN(J1)-2</f>
        <v>8</v>
      </c>
      <c r="K6" s="42" t="n">
        <f aca="false">COLUMN(K1)-2</f>
        <v>9</v>
      </c>
      <c r="L6" s="42"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43" t="s">
        <v>123</v>
      </c>
      <c r="C8" s="44" t="n">
        <f aca="false">Base_Rent</f>
        <v>1250000</v>
      </c>
      <c r="D8" s="44" t="n">
        <f aca="false">C8*(1+Rent_Escalation)</f>
        <v>1281250</v>
      </c>
      <c r="E8" s="44" t="n">
        <f aca="false">D8*(1+Rent_Escalation)</f>
        <v>1313281.25</v>
      </c>
      <c r="F8" s="44" t="n">
        <f aca="false">E8*(1+Rent_Escalation)</f>
        <v>1346113.28125</v>
      </c>
      <c r="G8" s="44" t="n">
        <f aca="false">F8*(1+Rent_Escalation)</f>
        <v>1379766.11328125</v>
      </c>
      <c r="H8" s="44" t="n">
        <f aca="false">G8*(1+Rent_Escalation)</f>
        <v>1414260.26611328</v>
      </c>
      <c r="I8" s="44" t="n">
        <f aca="false">H8*(1+Rent_Escalation)</f>
        <v>1449616.77276611</v>
      </c>
      <c r="J8" s="44" t="n">
        <f aca="false">I8*(1+Rent_Escalation)</f>
        <v>1485857.19208527</v>
      </c>
      <c r="K8" s="44" t="n">
        <f aca="false">J8*(1+Rent_Escalation)</f>
        <v>1523003.6218874</v>
      </c>
      <c r="L8" s="44" t="n">
        <f aca="false">K8*(1+Rent_Escalation)</f>
        <v>1561078.71243458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78</v>
      </c>
      <c r="C2" s="5"/>
      <c r="D2" s="5"/>
      <c r="E2" s="5"/>
      <c r="F2" s="5"/>
      <c r="G2" s="5"/>
      <c r="H2" s="5"/>
      <c r="I2" s="5"/>
      <c r="J2" s="5"/>
      <c r="K2" s="5"/>
      <c r="L2" s="5"/>
    </row>
    <row r="3" customFormat="false" ht="15" hidden="false" customHeight="false" outlineLevel="0" collapsed="false">
      <c r="A3" s="5"/>
      <c r="B3" s="8" t="s">
        <v>124</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0" t="s">
        <v>121</v>
      </c>
      <c r="C5" s="40" t="n">
        <f aca="false">2025+0</f>
        <v>2025</v>
      </c>
      <c r="D5" s="40" t="n">
        <f aca="false">2025+1</f>
        <v>2026</v>
      </c>
      <c r="E5" s="40" t="n">
        <f aca="false">2025+2</f>
        <v>2027</v>
      </c>
      <c r="F5" s="40" t="n">
        <f aca="false">2025+3</f>
        <v>2028</v>
      </c>
      <c r="G5" s="40" t="n">
        <f aca="false">2025+4</f>
        <v>2029</v>
      </c>
      <c r="H5" s="40" t="n">
        <f aca="false">2025+5</f>
        <v>2030</v>
      </c>
      <c r="I5" s="40" t="n">
        <f aca="false">2025+6</f>
        <v>2031</v>
      </c>
      <c r="J5" s="40" t="n">
        <f aca="false">2025+7</f>
        <v>2032</v>
      </c>
      <c r="K5" s="40" t="n">
        <f aca="false">2025+8</f>
        <v>2033</v>
      </c>
      <c r="L5" s="40" t="n">
        <f aca="false">2025+9</f>
        <v>2034</v>
      </c>
    </row>
    <row r="6" customFormat="false" ht="15" hidden="false" customHeight="false" outlineLevel="0" collapsed="false">
      <c r="A6" s="5"/>
      <c r="B6" s="41" t="s">
        <v>122</v>
      </c>
      <c r="C6" s="42" t="n">
        <f aca="false">COLUMN(C1)-2</f>
        <v>1</v>
      </c>
      <c r="D6" s="42" t="n">
        <f aca="false">COLUMN(D1)-2</f>
        <v>2</v>
      </c>
      <c r="E6" s="42" t="n">
        <f aca="false">COLUMN(E1)-2</f>
        <v>3</v>
      </c>
      <c r="F6" s="42" t="n">
        <f aca="false">COLUMN(F1)-2</f>
        <v>4</v>
      </c>
      <c r="G6" s="42" t="n">
        <f aca="false">COLUMN(G1)-2</f>
        <v>5</v>
      </c>
      <c r="H6" s="42" t="n">
        <f aca="false">COLUMN(H1)-2</f>
        <v>6</v>
      </c>
      <c r="I6" s="42" t="n">
        <f aca="false">COLUMN(I1)-2</f>
        <v>7</v>
      </c>
      <c r="J6" s="42" t="n">
        <f aca="false">COLUMN(J1)-2</f>
        <v>8</v>
      </c>
      <c r="K6" s="42" t="n">
        <f aca="false">COLUMN(K1)-2</f>
        <v>9</v>
      </c>
      <c r="L6" s="42"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3" t="s">
        <v>125</v>
      </c>
      <c r="C8" s="45" t="n">
        <f aca="false">Rent_Schedule!C8</f>
        <v>1250000</v>
      </c>
      <c r="D8" s="45" t="n">
        <f aca="false">Rent_Schedule!D8</f>
        <v>1281250</v>
      </c>
      <c r="E8" s="45" t="n">
        <f aca="false">Rent_Schedule!E8</f>
        <v>1313281.25</v>
      </c>
      <c r="F8" s="45" t="n">
        <f aca="false">Rent_Schedule!F8</f>
        <v>1346113.28125</v>
      </c>
      <c r="G8" s="45" t="n">
        <f aca="false">Rent_Schedule!G8</f>
        <v>1379766.11328125</v>
      </c>
      <c r="H8" s="45" t="n">
        <f aca="false">Rent_Schedule!H8</f>
        <v>1414260.26611328</v>
      </c>
      <c r="I8" s="45" t="n">
        <f aca="false">Rent_Schedule!I8</f>
        <v>1449616.77276611</v>
      </c>
      <c r="J8" s="45" t="n">
        <f aca="false">Rent_Schedule!J8</f>
        <v>1485857.19208527</v>
      </c>
      <c r="K8" s="45" t="n">
        <f aca="false">Rent_Schedule!K8</f>
        <v>1523003.6218874</v>
      </c>
      <c r="L8" s="45" t="n">
        <f aca="false">Rent_Schedule!L8</f>
        <v>1561078.71243458</v>
      </c>
    </row>
    <row r="9" customFormat="false" ht="15" hidden="false" customHeight="false" outlineLevel="0" collapsed="false">
      <c r="A9" s="5"/>
      <c r="B9" s="5"/>
      <c r="C9" s="5"/>
      <c r="D9" s="5"/>
      <c r="E9" s="5"/>
      <c r="F9" s="5"/>
      <c r="G9" s="5"/>
      <c r="H9" s="5"/>
      <c r="I9" s="5"/>
      <c r="J9" s="5"/>
      <c r="K9" s="5"/>
      <c r="L9" s="5"/>
    </row>
    <row r="10" customFormat="false" ht="15" hidden="false" customHeight="false" outlineLevel="0" collapsed="false">
      <c r="A10" s="5"/>
      <c r="B10" s="46" t="s">
        <v>126</v>
      </c>
      <c r="C10" s="45" t="n">
        <f aca="false">C8*OpEx_Pct_Rent</f>
        <v>37500</v>
      </c>
      <c r="D10" s="45" t="n">
        <f aca="false">C10*(1+OpEx_Escalation)</f>
        <v>38437.5</v>
      </c>
      <c r="E10" s="45" t="n">
        <f aca="false">D10*(1+OpEx_Escalation)</f>
        <v>39398.4375</v>
      </c>
      <c r="F10" s="45" t="n">
        <f aca="false">E10*(1+OpEx_Escalation)</f>
        <v>40383.3984375</v>
      </c>
      <c r="G10" s="45" t="n">
        <f aca="false">F10*(1+OpEx_Escalation)</f>
        <v>41392.9833984375</v>
      </c>
      <c r="H10" s="45" t="n">
        <f aca="false">G10*(1+OpEx_Escalation)</f>
        <v>42427.8079833984</v>
      </c>
      <c r="I10" s="45" t="n">
        <f aca="false">H10*(1+OpEx_Escalation)</f>
        <v>43488.5031829834</v>
      </c>
      <c r="J10" s="45" t="n">
        <f aca="false">I10*(1+OpEx_Escalation)</f>
        <v>44575.715762558</v>
      </c>
      <c r="K10" s="45" t="n">
        <f aca="false">J10*(1+OpEx_Escalation)</f>
        <v>45690.1086566219</v>
      </c>
      <c r="L10" s="45" t="n">
        <f aca="false">K10*(1+OpEx_Escalation)</f>
        <v>46832.3613730375</v>
      </c>
    </row>
    <row r="11" customFormat="false" ht="15" hidden="false" customHeight="false" outlineLevel="0" collapsed="false">
      <c r="A11" s="5"/>
      <c r="B11" s="5"/>
      <c r="C11" s="5"/>
      <c r="D11" s="5"/>
      <c r="E11" s="5"/>
      <c r="F11" s="5"/>
      <c r="G11" s="5"/>
      <c r="H11" s="5"/>
      <c r="I11" s="5"/>
      <c r="J11" s="5"/>
      <c r="K11" s="5"/>
      <c r="L11" s="5"/>
    </row>
    <row r="12" customFormat="false" ht="15" hidden="false" customHeight="false" outlineLevel="0" collapsed="false">
      <c r="A12" s="5"/>
      <c r="B12" s="47" t="s">
        <v>127</v>
      </c>
      <c r="C12" s="48" t="n">
        <f aca="false">C8-C10</f>
        <v>1212500</v>
      </c>
      <c r="D12" s="48" t="n">
        <f aca="false">D8-D10</f>
        <v>1242812.5</v>
      </c>
      <c r="E12" s="48" t="n">
        <f aca="false">E8-E10</f>
        <v>1273882.8125</v>
      </c>
      <c r="F12" s="48" t="n">
        <f aca="false">F8-F10</f>
        <v>1305729.8828125</v>
      </c>
      <c r="G12" s="48" t="n">
        <f aca="false">G8-G10</f>
        <v>1338373.12988281</v>
      </c>
      <c r="H12" s="48" t="n">
        <f aca="false">H8-H10</f>
        <v>1371832.45812988</v>
      </c>
      <c r="I12" s="48" t="n">
        <f aca="false">I8-I10</f>
        <v>1406128.26958313</v>
      </c>
      <c r="J12" s="48" t="n">
        <f aca="false">J8-J10</f>
        <v>1441281.47632271</v>
      </c>
      <c r="K12" s="48" t="n">
        <f aca="false">K8-K10</f>
        <v>1477313.51323077</v>
      </c>
      <c r="L12" s="48" t="n">
        <f aca="false">L8-L10</f>
        <v>1514246.35106154</v>
      </c>
    </row>
    <row r="13" customFormat="false" ht="15" hidden="false" customHeight="false" outlineLevel="0" collapsed="false">
      <c r="A13" s="5"/>
      <c r="B13" s="46" t="s">
        <v>128</v>
      </c>
      <c r="C13" s="49" t="n">
        <f aca="false">IFERROR(C12/C8,0)</f>
        <v>0.97</v>
      </c>
      <c r="D13" s="49" t="n">
        <f aca="false">IFERROR(D12/D8,0)</f>
        <v>0.97</v>
      </c>
      <c r="E13" s="49" t="n">
        <f aca="false">IFERROR(E12/E8,0)</f>
        <v>0.97</v>
      </c>
      <c r="F13" s="49" t="n">
        <f aca="false">IFERROR(F12/F8,0)</f>
        <v>0.97</v>
      </c>
      <c r="G13" s="49" t="n">
        <f aca="false">IFERROR(G12/G8,0)</f>
        <v>0.97</v>
      </c>
      <c r="H13" s="49" t="n">
        <f aca="false">IFERROR(H12/H8,0)</f>
        <v>0.97</v>
      </c>
      <c r="I13" s="49" t="n">
        <f aca="false">IFERROR(I12/I8,0)</f>
        <v>0.97</v>
      </c>
      <c r="J13" s="49" t="n">
        <f aca="false">IFERROR(J12/J8,0)</f>
        <v>0.97</v>
      </c>
      <c r="K13" s="49" t="n">
        <f aca="false">IFERROR(K12/K8,0)</f>
        <v>0.97</v>
      </c>
      <c r="L13" s="49" t="n">
        <f aca="false">IFERROR(L12/L8,0)</f>
        <v>0.97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129</v>
      </c>
      <c r="C2" s="5"/>
      <c r="D2" s="5"/>
      <c r="E2" s="5"/>
      <c r="F2" s="5"/>
      <c r="G2" s="5"/>
      <c r="H2" s="5"/>
      <c r="I2" s="5"/>
      <c r="J2" s="5"/>
      <c r="K2" s="5"/>
      <c r="L2" s="5"/>
    </row>
    <row r="3" customFormat="false" ht="15" hidden="false" customHeight="false" outlineLevel="0" collapsed="false">
      <c r="A3" s="5"/>
      <c r="B3" s="8" t="s">
        <v>130</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30" t="s">
        <v>121</v>
      </c>
      <c r="C5" s="40" t="n">
        <f aca="false">2025+0</f>
        <v>2025</v>
      </c>
      <c r="D5" s="40" t="n">
        <f aca="false">2025+1</f>
        <v>2026</v>
      </c>
      <c r="E5" s="40" t="n">
        <f aca="false">2025+2</f>
        <v>2027</v>
      </c>
      <c r="F5" s="40" t="n">
        <f aca="false">2025+3</f>
        <v>2028</v>
      </c>
      <c r="G5" s="40" t="n">
        <f aca="false">2025+4</f>
        <v>2029</v>
      </c>
      <c r="H5" s="40" t="n">
        <f aca="false">2025+5</f>
        <v>2030</v>
      </c>
      <c r="I5" s="40" t="n">
        <f aca="false">2025+6</f>
        <v>2031</v>
      </c>
      <c r="J5" s="40" t="n">
        <f aca="false">2025+7</f>
        <v>2032</v>
      </c>
      <c r="K5" s="40" t="n">
        <f aca="false">2025+8</f>
        <v>2033</v>
      </c>
      <c r="L5" s="40" t="n">
        <f aca="false">2025+9</f>
        <v>2034</v>
      </c>
    </row>
    <row r="6" customFormat="false" ht="15" hidden="false" customHeight="false" outlineLevel="0" collapsed="false">
      <c r="A6" s="5"/>
      <c r="B6" s="41" t="s">
        <v>122</v>
      </c>
      <c r="C6" s="42" t="n">
        <f aca="false">COLUMN(C1)-2</f>
        <v>1</v>
      </c>
      <c r="D6" s="42" t="n">
        <f aca="false">COLUMN(D1)-2</f>
        <v>2</v>
      </c>
      <c r="E6" s="42" t="n">
        <f aca="false">COLUMN(E1)-2</f>
        <v>3</v>
      </c>
      <c r="F6" s="42" t="n">
        <f aca="false">COLUMN(F1)-2</f>
        <v>4</v>
      </c>
      <c r="G6" s="42" t="n">
        <f aca="false">COLUMN(G1)-2</f>
        <v>5</v>
      </c>
      <c r="H6" s="42" t="n">
        <f aca="false">COLUMN(H1)-2</f>
        <v>6</v>
      </c>
      <c r="I6" s="42" t="n">
        <f aca="false">COLUMN(I1)-2</f>
        <v>7</v>
      </c>
      <c r="J6" s="42" t="n">
        <f aca="false">COLUMN(J1)-2</f>
        <v>8</v>
      </c>
      <c r="K6" s="42" t="n">
        <f aca="false">COLUMN(K1)-2</f>
        <v>9</v>
      </c>
      <c r="L6" s="42" t="n">
        <f aca="false">COLUMN(L1)-2</f>
        <v>10</v>
      </c>
    </row>
    <row r="7" customFormat="false" ht="15" hidden="false" customHeight="false" outlineLevel="0" collapsed="false">
      <c r="A7" s="5"/>
      <c r="B7" s="30" t="s">
        <v>131</v>
      </c>
      <c r="C7" s="32"/>
      <c r="D7" s="32"/>
      <c r="E7" s="32"/>
      <c r="F7" s="32"/>
      <c r="G7" s="32"/>
      <c r="H7" s="32"/>
      <c r="I7" s="32"/>
      <c r="J7" s="32"/>
      <c r="K7" s="32"/>
      <c r="L7" s="32"/>
    </row>
    <row r="8" customFormat="false" ht="15" hidden="false" customHeight="false" outlineLevel="0" collapsed="false">
      <c r="A8" s="5"/>
      <c r="B8" s="33" t="s">
        <v>132</v>
      </c>
      <c r="C8" s="45" t="n">
        <f aca="false">LTV_Cap_Loan</f>
        <v>13750000</v>
      </c>
      <c r="D8" s="5"/>
      <c r="E8" s="5"/>
      <c r="F8" s="5"/>
      <c r="G8" s="5"/>
      <c r="H8" s="5"/>
      <c r="I8" s="5"/>
      <c r="J8" s="5"/>
      <c r="K8" s="5"/>
      <c r="L8" s="5"/>
    </row>
    <row r="9" customFormat="false" ht="15" hidden="false" customHeight="false" outlineLevel="0" collapsed="false">
      <c r="A9" s="5"/>
      <c r="B9" s="33" t="s">
        <v>133</v>
      </c>
      <c r="C9" s="45" t="n">
        <f aca="false">DSCR_Cap_Loan</f>
        <v>12699964.3113858</v>
      </c>
      <c r="D9" s="5"/>
      <c r="E9" s="5"/>
      <c r="F9" s="5"/>
      <c r="G9" s="5"/>
      <c r="H9" s="5"/>
      <c r="I9" s="5"/>
      <c r="J9" s="5"/>
      <c r="K9" s="5"/>
      <c r="L9" s="5"/>
    </row>
    <row r="10" customFormat="false" ht="15" hidden="false" customHeight="false" outlineLevel="0" collapsed="false">
      <c r="A10" s="5"/>
      <c r="B10" s="47" t="s">
        <v>134</v>
      </c>
      <c r="C10" s="48" t="n">
        <f aca="false">Loan_Amount</f>
        <v>12699964.3113858</v>
      </c>
      <c r="D10" s="5"/>
      <c r="E10" s="5"/>
      <c r="F10" s="5"/>
      <c r="G10" s="5"/>
      <c r="H10" s="5"/>
      <c r="I10" s="5"/>
      <c r="J10" s="5"/>
      <c r="K10" s="5"/>
      <c r="L10" s="5"/>
    </row>
    <row r="11" customFormat="false" ht="15" hidden="false" customHeight="false" outlineLevel="0" collapsed="false">
      <c r="A11" s="5"/>
      <c r="B11" s="33" t="s">
        <v>135</v>
      </c>
      <c r="C11" s="50" t="str">
        <f aca="false">IF(LTV_Cap_Loan&lt;=DSCR_Cap_Loan,"LTV","DSCR")</f>
        <v>DSCR</v>
      </c>
      <c r="D11" s="5"/>
      <c r="E11" s="5"/>
      <c r="F11" s="5"/>
      <c r="G11" s="5"/>
      <c r="H11" s="5"/>
      <c r="I11" s="5"/>
      <c r="J11" s="5"/>
      <c r="K11" s="5"/>
      <c r="L11" s="5"/>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30" t="s">
        <v>136</v>
      </c>
      <c r="C13" s="32"/>
      <c r="D13" s="32"/>
      <c r="E13" s="32"/>
      <c r="F13" s="32"/>
      <c r="G13" s="32"/>
      <c r="H13" s="32"/>
      <c r="I13" s="32"/>
      <c r="J13" s="32"/>
      <c r="K13" s="32"/>
      <c r="L13" s="32"/>
    </row>
    <row r="14" customFormat="false" ht="15" hidden="false" customHeight="false" outlineLevel="0" collapsed="false">
      <c r="A14" s="5"/>
      <c r="B14" s="33" t="s">
        <v>137</v>
      </c>
      <c r="C14" s="45" t="n">
        <f aca="false">DS_Loan_Amount</f>
        <v>12699964.3113858</v>
      </c>
      <c r="D14" s="45" t="n">
        <f aca="false">C18</f>
        <v>12460212.2592904</v>
      </c>
      <c r="E14" s="45" t="n">
        <f aca="false">D18</f>
        <v>12206674.4641996</v>
      </c>
      <c r="F14" s="45" t="n">
        <f aca="false">E18</f>
        <v>11938558.2458911</v>
      </c>
      <c r="G14" s="45" t="n">
        <f aca="false">F18</f>
        <v>11655025.3450299</v>
      </c>
      <c r="H14" s="45" t="n">
        <f aca="false">G18</f>
        <v>11355189.3023691</v>
      </c>
      <c r="I14" s="45" t="n">
        <f aca="false">H18</f>
        <v>11038112.6872553</v>
      </c>
      <c r="J14" s="45" t="n">
        <f aca="false">I18</f>
        <v>10702804.1667725</v>
      </c>
      <c r="K14" s="45" t="n">
        <f aca="false">J18</f>
        <v>10348215.4063619</v>
      </c>
      <c r="L14" s="45" t="n">
        <f aca="false">K18</f>
        <v>9973237.79222771</v>
      </c>
    </row>
    <row r="15" customFormat="false" ht="15" hidden="false" customHeight="false" outlineLevel="0" collapsed="false">
      <c r="A15" s="5"/>
      <c r="B15" s="33" t="s">
        <v>138</v>
      </c>
      <c r="C15" s="45" t="n">
        <f aca="false">-PMT(Interest_Rate,Amort_Term-C6+1,C14)</f>
        <v>970000</v>
      </c>
      <c r="D15" s="45" t="n">
        <f aca="false">-PMT(Interest_Rate,Amort_Term-D6+1,D14)</f>
        <v>970000</v>
      </c>
      <c r="E15" s="45" t="n">
        <f aca="false">-PMT(Interest_Rate,Amort_Term-E6+1,E14)</f>
        <v>970000</v>
      </c>
      <c r="F15" s="45" t="n">
        <f aca="false">-PMT(Interest_Rate,Amort_Term-F6+1,F14)</f>
        <v>970000</v>
      </c>
      <c r="G15" s="45" t="n">
        <f aca="false">-PMT(Interest_Rate,Amort_Term-G6+1,G14)</f>
        <v>970000</v>
      </c>
      <c r="H15" s="45" t="n">
        <f aca="false">-PMT(Interest_Rate,Amort_Term-H6+1,H14)</f>
        <v>970000</v>
      </c>
      <c r="I15" s="45" t="n">
        <f aca="false">-PMT(Interest_Rate,Amort_Term-I6+1,I14)</f>
        <v>970000</v>
      </c>
      <c r="J15" s="45" t="n">
        <f aca="false">-PMT(Interest_Rate,Amort_Term-J6+1,J14)</f>
        <v>970000</v>
      </c>
      <c r="K15" s="45" t="n">
        <f aca="false">-PMT(Interest_Rate,Amort_Term-K6+1,K14)</f>
        <v>970000</v>
      </c>
      <c r="L15" s="45" t="n">
        <f aca="false">-PMT(Interest_Rate,Amort_Term-L6+1,L14)</f>
        <v>970000</v>
      </c>
    </row>
    <row r="16" customFormat="false" ht="15" hidden="false" customHeight="false" outlineLevel="0" collapsed="false">
      <c r="A16" s="5"/>
      <c r="B16" s="46" t="s">
        <v>139</v>
      </c>
      <c r="C16" s="45" t="n">
        <f aca="false">C14*Interest_Rate</f>
        <v>730247.947904681</v>
      </c>
      <c r="D16" s="45" t="n">
        <f aca="false">D14*Interest_Rate</f>
        <v>716462.204909201</v>
      </c>
      <c r="E16" s="45" t="n">
        <f aca="false">E14*Interest_Rate</f>
        <v>701883.78169148</v>
      </c>
      <c r="F16" s="45" t="n">
        <f aca="false">F14*Interest_Rate</f>
        <v>686467.09913874</v>
      </c>
      <c r="G16" s="45" t="n">
        <f aca="false">G14*Interest_Rate</f>
        <v>670163.957339217</v>
      </c>
      <c r="H16" s="45" t="n">
        <f aca="false">H14*Interest_Rate</f>
        <v>652923.384886222</v>
      </c>
      <c r="I16" s="45" t="n">
        <f aca="false">I14*Interest_Rate</f>
        <v>634691.47951718</v>
      </c>
      <c r="J16" s="45" t="n">
        <f aca="false">J14*Interest_Rate</f>
        <v>615411.239589418</v>
      </c>
      <c r="K16" s="45" t="n">
        <f aca="false">K14*Interest_Rate</f>
        <v>595022.385865809</v>
      </c>
      <c r="L16" s="45" t="n">
        <f aca="false">L14*Interest_Rate</f>
        <v>573461.173053094</v>
      </c>
    </row>
    <row r="17" customFormat="false" ht="15" hidden="false" customHeight="false" outlineLevel="0" collapsed="false">
      <c r="A17" s="5"/>
      <c r="B17" s="46" t="s">
        <v>140</v>
      </c>
      <c r="C17" s="45" t="n">
        <f aca="false">C15-C16</f>
        <v>239752.052095319</v>
      </c>
      <c r="D17" s="45" t="n">
        <f aca="false">D15-D16</f>
        <v>253537.795090799</v>
      </c>
      <c r="E17" s="45" t="n">
        <f aca="false">E15-E16</f>
        <v>268116.218308521</v>
      </c>
      <c r="F17" s="45" t="n">
        <f aca="false">F15-F16</f>
        <v>283532.90086126</v>
      </c>
      <c r="G17" s="45" t="n">
        <f aca="false">G15-G16</f>
        <v>299836.042660783</v>
      </c>
      <c r="H17" s="45" t="n">
        <f aca="false">H15-H16</f>
        <v>317076.615113778</v>
      </c>
      <c r="I17" s="45" t="n">
        <f aca="false">I15-I16</f>
        <v>335308.52048282</v>
      </c>
      <c r="J17" s="45" t="n">
        <f aca="false">J15-J16</f>
        <v>354588.760410582</v>
      </c>
      <c r="K17" s="45" t="n">
        <f aca="false">K15-K16</f>
        <v>374977.614134191</v>
      </c>
      <c r="L17" s="45" t="n">
        <f aca="false">L15-L16</f>
        <v>396538.826946907</v>
      </c>
    </row>
    <row r="18" customFormat="false" ht="15" hidden="false" customHeight="false" outlineLevel="0" collapsed="false">
      <c r="A18" s="5"/>
      <c r="B18" s="51" t="s">
        <v>141</v>
      </c>
      <c r="C18" s="52" t="n">
        <f aca="false">C14-C17</f>
        <v>12460212.2592904</v>
      </c>
      <c r="D18" s="52" t="n">
        <f aca="false">D14-D17</f>
        <v>12206674.4641996</v>
      </c>
      <c r="E18" s="52" t="n">
        <f aca="false">E14-E17</f>
        <v>11938558.2458911</v>
      </c>
      <c r="F18" s="52" t="n">
        <f aca="false">F14-F17</f>
        <v>11655025.3450299</v>
      </c>
      <c r="G18" s="52" t="n">
        <f aca="false">G14-G17</f>
        <v>11355189.3023691</v>
      </c>
      <c r="H18" s="52" t="n">
        <f aca="false">H14-H17</f>
        <v>11038112.6872553</v>
      </c>
      <c r="I18" s="52" t="n">
        <f aca="false">I14-I17</f>
        <v>10702804.1667725</v>
      </c>
      <c r="J18" s="52" t="n">
        <f aca="false">J14-J17</f>
        <v>10348215.4063619</v>
      </c>
      <c r="K18" s="52" t="n">
        <f aca="false">K14-K17</f>
        <v>9973237.79222771</v>
      </c>
      <c r="L18" s="52" t="n">
        <f aca="false">L14-L17</f>
        <v>9576698.96528081</v>
      </c>
    </row>
    <row r="19" customFormat="false" ht="15" hidden="false" customHeight="false" outlineLevel="0" collapsed="false">
      <c r="A19" s="5"/>
      <c r="B19" s="30" t="s">
        <v>142</v>
      </c>
      <c r="C19" s="32"/>
      <c r="D19" s="32"/>
      <c r="E19" s="32"/>
      <c r="F19" s="32"/>
      <c r="G19" s="32"/>
      <c r="H19" s="32"/>
      <c r="I19" s="32"/>
      <c r="J19" s="32"/>
      <c r="K19" s="32"/>
      <c r="L19" s="32"/>
    </row>
    <row r="20" customFormat="false" ht="15" hidden="false" customHeight="false" outlineLevel="0" collapsed="false">
      <c r="A20" s="5"/>
      <c r="B20" s="33" t="s">
        <v>143</v>
      </c>
      <c r="C20" s="53" t="n">
        <f aca="false">Operating_Expenses!C12/C15</f>
        <v>1.25</v>
      </c>
      <c r="D20" s="53" t="n">
        <f aca="false">Operating_Expenses!D12/D15</f>
        <v>1.28125</v>
      </c>
      <c r="E20" s="53" t="n">
        <f aca="false">Operating_Expenses!E12/E15</f>
        <v>1.31328125</v>
      </c>
      <c r="F20" s="53" t="n">
        <f aca="false">Operating_Expenses!F12/F15</f>
        <v>1.34611328125</v>
      </c>
      <c r="G20" s="53" t="n">
        <f aca="false">Operating_Expenses!G12/G15</f>
        <v>1.37976611328125</v>
      </c>
      <c r="H20" s="53" t="n">
        <f aca="false">Operating_Expenses!H12/H15</f>
        <v>1.41426026611328</v>
      </c>
      <c r="I20" s="53" t="n">
        <f aca="false">Operating_Expenses!I12/I15</f>
        <v>1.44961677276611</v>
      </c>
      <c r="J20" s="53" t="n">
        <f aca="false">Operating_Expenses!J12/J15</f>
        <v>1.48585719208526</v>
      </c>
      <c r="K20" s="53" t="n">
        <f aca="false">Operating_Expenses!K12/K15</f>
        <v>1.5230036218874</v>
      </c>
      <c r="L20" s="53" t="n">
        <f aca="false">Operating_Expenses!L12/L15</f>
        <v>1.56107871243458</v>
      </c>
    </row>
    <row r="21" customFormat="false" ht="15" hidden="false" customHeight="false" outlineLevel="0" collapsed="false">
      <c r="A21" s="5"/>
      <c r="B21" s="33" t="s">
        <v>144</v>
      </c>
      <c r="C21" s="49" t="n">
        <f aca="false">C18/(Operating_Expenses!C12/Exit_Cap_Rate)</f>
        <v>0.488132026652615</v>
      </c>
      <c r="D21" s="49" t="n">
        <f aca="false">D18/(Operating_Expenses!D12/Exit_Cap_Rate)</f>
        <v>0.466536212863552</v>
      </c>
      <c r="E21" s="49" t="n">
        <f aca="false">E18/(Operating_Expenses!E12/Exit_Cap_Rate)</f>
        <v>0.445159877435609</v>
      </c>
      <c r="F21" s="49" t="n">
        <f aca="false">F18/(Operating_Expenses!F12/Exit_Cap_Rate)</f>
        <v>0.423987925202763</v>
      </c>
      <c r="G21" s="49" t="n">
        <f aca="false">G18/(Operating_Expenses!G12/Exit_Cap_Rate)</f>
        <v>0.403005320279972</v>
      </c>
      <c r="H21" s="49" t="n">
        <f aca="false">H18/(Operating_Expenses!H12/Exit_Cap_Rate)</f>
        <v>0.382197074823102</v>
      </c>
      <c r="I21" s="49" t="n">
        <f aca="false">I18/(Operating_Expenses!I12/Exit_Cap_Rate)</f>
        <v>0.361548237752458</v>
      </c>
      <c r="J21" s="49" t="n">
        <f aca="false">J18/(Operating_Expenses!J12/Exit_Cap_Rate)</f>
        <v>0.341043883430951</v>
      </c>
      <c r="K21" s="49" t="n">
        <f aca="false">K18/(Operating_Expenses!K12/Exit_Cap_Rate)</f>
        <v>0.320669100287864</v>
      </c>
      <c r="L21" s="49" t="n">
        <f aca="false">L18/(Operating_Expenses!L12/Exit_Cap_Rate)</f>
        <v>0.300408979379043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M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3" min="3" style="0" width="14"/>
  </cols>
  <sheetData>
    <row r="1" customFormat="false" ht="15" hidden="false" customHeight="false" outlineLevel="0" collapsed="false">
      <c r="A1" s="5"/>
      <c r="B1" s="5"/>
      <c r="C1" s="5"/>
      <c r="D1" s="5"/>
      <c r="E1" s="5"/>
      <c r="F1" s="5"/>
      <c r="G1" s="5"/>
      <c r="H1" s="5"/>
      <c r="I1" s="5"/>
      <c r="J1" s="5"/>
      <c r="K1" s="5"/>
      <c r="L1" s="5"/>
      <c r="M1" s="5"/>
    </row>
    <row r="2" customFormat="false" ht="22.05" hidden="false" customHeight="false" outlineLevel="0" collapsed="false">
      <c r="A2" s="5"/>
      <c r="B2" s="29" t="s">
        <v>145</v>
      </c>
      <c r="C2" s="5"/>
      <c r="D2" s="5"/>
      <c r="E2" s="5"/>
      <c r="F2" s="5"/>
      <c r="G2" s="5"/>
      <c r="H2" s="5"/>
      <c r="I2" s="5"/>
      <c r="J2" s="5"/>
      <c r="K2" s="5"/>
      <c r="L2" s="5"/>
      <c r="M2" s="5"/>
    </row>
    <row r="3" customFormat="false" ht="15" hidden="false" customHeight="false" outlineLevel="0" collapsed="false">
      <c r="A3" s="5"/>
      <c r="B3" s="8" t="s">
        <v>146</v>
      </c>
      <c r="C3" s="5"/>
      <c r="D3" s="5"/>
      <c r="E3" s="5"/>
      <c r="F3" s="5"/>
      <c r="G3" s="5"/>
      <c r="H3" s="5"/>
      <c r="I3" s="5"/>
      <c r="J3" s="5"/>
      <c r="K3" s="5"/>
      <c r="L3" s="5"/>
      <c r="M3" s="5"/>
    </row>
    <row r="4" customFormat="false" ht="15" hidden="false" customHeight="false" outlineLevel="0" collapsed="false">
      <c r="A4" s="5"/>
      <c r="B4" s="5"/>
      <c r="C4" s="5"/>
      <c r="D4" s="5"/>
      <c r="E4" s="5"/>
      <c r="F4" s="5"/>
      <c r="G4" s="5"/>
      <c r="H4" s="5"/>
      <c r="I4" s="5"/>
      <c r="J4" s="5"/>
      <c r="K4" s="5"/>
      <c r="L4" s="5"/>
      <c r="M4" s="5"/>
    </row>
    <row r="5" customFormat="false" ht="15" hidden="false" customHeight="false" outlineLevel="0" collapsed="false">
      <c r="A5" s="5"/>
      <c r="B5" s="30" t="s">
        <v>121</v>
      </c>
      <c r="C5" s="31" t="s">
        <v>147</v>
      </c>
      <c r="D5" s="40" t="n">
        <f aca="false">2025+0</f>
        <v>2025</v>
      </c>
      <c r="E5" s="40" t="n">
        <f aca="false">2025+1</f>
        <v>2026</v>
      </c>
      <c r="F5" s="40" t="n">
        <f aca="false">2025+2</f>
        <v>2027</v>
      </c>
      <c r="G5" s="40" t="n">
        <f aca="false">2025+3</f>
        <v>2028</v>
      </c>
      <c r="H5" s="40" t="n">
        <f aca="false">2025+4</f>
        <v>2029</v>
      </c>
      <c r="I5" s="40" t="n">
        <f aca="false">2025+5</f>
        <v>2030</v>
      </c>
      <c r="J5" s="40" t="n">
        <f aca="false">2025+6</f>
        <v>2031</v>
      </c>
      <c r="K5" s="40" t="n">
        <f aca="false">2025+7</f>
        <v>2032</v>
      </c>
      <c r="L5" s="40" t="n">
        <f aca="false">2025+8</f>
        <v>2033</v>
      </c>
      <c r="M5" s="40" t="n">
        <f aca="false">2025+9</f>
        <v>2034</v>
      </c>
    </row>
    <row r="6" customFormat="false" ht="15" hidden="false" customHeight="false" outlineLevel="0" collapsed="false">
      <c r="A6" s="5"/>
      <c r="B6" s="41" t="s">
        <v>122</v>
      </c>
      <c r="C6" s="42" t="n">
        <v>0</v>
      </c>
      <c r="D6" s="42" t="n">
        <v>1</v>
      </c>
      <c r="E6" s="42" t="n">
        <v>2</v>
      </c>
      <c r="F6" s="42" t="n">
        <v>3</v>
      </c>
      <c r="G6" s="42" t="n">
        <v>4</v>
      </c>
      <c r="H6" s="42" t="n">
        <v>5</v>
      </c>
      <c r="I6" s="42" t="n">
        <v>6</v>
      </c>
      <c r="J6" s="42" t="n">
        <v>7</v>
      </c>
      <c r="K6" s="42" t="n">
        <v>8</v>
      </c>
      <c r="L6" s="42" t="n">
        <v>9</v>
      </c>
      <c r="M6" s="42" t="n">
        <v>10</v>
      </c>
    </row>
    <row r="7" customFormat="false" ht="15" hidden="false" customHeight="false" outlineLevel="0" collapsed="false">
      <c r="A7" s="5"/>
      <c r="B7" s="30" t="s">
        <v>148</v>
      </c>
      <c r="C7" s="32"/>
      <c r="D7" s="32"/>
      <c r="E7" s="32"/>
      <c r="F7" s="32"/>
      <c r="G7" s="32"/>
      <c r="H7" s="32"/>
      <c r="I7" s="32"/>
      <c r="J7" s="32"/>
      <c r="K7" s="32"/>
      <c r="L7" s="32"/>
      <c r="M7" s="32"/>
    </row>
    <row r="8" customFormat="false" ht="15" hidden="false" customHeight="false" outlineLevel="0" collapsed="false">
      <c r="A8" s="5"/>
      <c r="B8" s="46" t="s">
        <v>149</v>
      </c>
      <c r="C8" s="45" t="n">
        <f aca="false">-Land_Value</f>
        <v>-25000000</v>
      </c>
      <c r="D8" s="5"/>
      <c r="E8" s="5"/>
      <c r="F8" s="5"/>
      <c r="G8" s="5"/>
      <c r="H8" s="5"/>
      <c r="I8" s="5"/>
      <c r="J8" s="5"/>
      <c r="K8" s="5"/>
      <c r="L8" s="5"/>
      <c r="M8" s="5"/>
    </row>
    <row r="9" customFormat="false" ht="15" hidden="false" customHeight="false" outlineLevel="0" collapsed="false">
      <c r="A9" s="5"/>
      <c r="B9" s="46" t="s">
        <v>64</v>
      </c>
      <c r="C9" s="45" t="n">
        <f aca="false">-Land_Value*Transaction_Costs_Pct</f>
        <v>-500000</v>
      </c>
      <c r="D9" s="5"/>
      <c r="E9" s="5"/>
      <c r="F9" s="5"/>
      <c r="G9" s="5"/>
      <c r="H9" s="5"/>
      <c r="I9" s="5"/>
      <c r="J9" s="5"/>
      <c r="K9" s="5"/>
      <c r="L9" s="5"/>
      <c r="M9" s="5"/>
    </row>
    <row r="10" customFormat="false" ht="15" hidden="false" customHeight="false" outlineLevel="0" collapsed="false">
      <c r="A10" s="5"/>
      <c r="B10" s="54" t="s">
        <v>150</v>
      </c>
      <c r="C10" s="48" t="n">
        <f aca="false">C8+C9</f>
        <v>-25500000</v>
      </c>
      <c r="D10" s="5"/>
      <c r="E10" s="5"/>
      <c r="F10" s="5"/>
      <c r="G10" s="5"/>
      <c r="H10" s="5"/>
      <c r="I10" s="5"/>
      <c r="J10" s="5"/>
      <c r="K10" s="5"/>
      <c r="L10" s="5"/>
      <c r="M10" s="5"/>
    </row>
    <row r="11" customFormat="false" ht="15" hidden="false" customHeight="false" outlineLevel="0" collapsed="false">
      <c r="A11" s="5"/>
      <c r="B11" s="5"/>
      <c r="C11" s="5"/>
      <c r="D11" s="5"/>
      <c r="E11" s="5"/>
      <c r="F11" s="5"/>
      <c r="G11" s="5"/>
      <c r="H11" s="5"/>
      <c r="I11" s="5"/>
      <c r="J11" s="5"/>
      <c r="K11" s="5"/>
      <c r="L11" s="5"/>
      <c r="M11" s="5"/>
    </row>
    <row r="12" customFormat="false" ht="15" hidden="false" customHeight="false" outlineLevel="0" collapsed="false">
      <c r="A12" s="5"/>
      <c r="B12" s="46" t="s">
        <v>151</v>
      </c>
      <c r="C12" s="45" t="n">
        <f aca="false">Loan_Amount</f>
        <v>12699964.3113858</v>
      </c>
      <c r="D12" s="5"/>
      <c r="E12" s="5"/>
      <c r="F12" s="5"/>
      <c r="G12" s="5"/>
      <c r="H12" s="5"/>
      <c r="I12" s="5"/>
      <c r="J12" s="5"/>
      <c r="K12" s="5"/>
      <c r="L12" s="5"/>
      <c r="M12" s="5"/>
    </row>
    <row r="13" customFormat="false" ht="15" hidden="false" customHeight="false" outlineLevel="0" collapsed="false">
      <c r="A13" s="5"/>
      <c r="B13" s="54" t="s">
        <v>152</v>
      </c>
      <c r="C13" s="48" t="n">
        <f aca="false">C10+C12</f>
        <v>-12800035.6886142</v>
      </c>
      <c r="D13" s="5"/>
      <c r="E13" s="5"/>
      <c r="F13" s="5"/>
      <c r="G13" s="5"/>
      <c r="H13" s="5"/>
      <c r="I13" s="5"/>
      <c r="J13" s="5"/>
      <c r="K13" s="5"/>
      <c r="L13" s="5"/>
      <c r="M13" s="5"/>
    </row>
    <row r="14" customFormat="false" ht="15" hidden="false" customHeight="false" outlineLevel="0" collapsed="false">
      <c r="A14" s="5"/>
      <c r="B14" s="5"/>
      <c r="C14" s="5"/>
      <c r="D14" s="5"/>
      <c r="E14" s="5"/>
      <c r="F14" s="5"/>
      <c r="G14" s="5"/>
      <c r="H14" s="5"/>
      <c r="I14" s="5"/>
      <c r="J14" s="5"/>
      <c r="K14" s="5"/>
      <c r="L14" s="5"/>
      <c r="M14" s="5"/>
    </row>
    <row r="15" customFormat="false" ht="15" hidden="false" customHeight="false" outlineLevel="0" collapsed="false">
      <c r="A15" s="5"/>
      <c r="B15" s="30" t="s">
        <v>153</v>
      </c>
      <c r="C15" s="32"/>
      <c r="D15" s="32"/>
      <c r="E15" s="32"/>
      <c r="F15" s="32"/>
      <c r="G15" s="32"/>
      <c r="H15" s="32"/>
      <c r="I15" s="32"/>
      <c r="J15" s="32"/>
      <c r="K15" s="32"/>
      <c r="L15" s="32"/>
      <c r="M15" s="32"/>
    </row>
    <row r="16" customFormat="false" ht="15" hidden="false" customHeight="false" outlineLevel="0" collapsed="false">
      <c r="A16" s="5"/>
      <c r="B16" s="46" t="s">
        <v>154</v>
      </c>
      <c r="C16" s="5"/>
      <c r="D16" s="45" t="n">
        <f aca="false">Operating_Expenses!C12</f>
        <v>1212500</v>
      </c>
      <c r="E16" s="45" t="n">
        <f aca="false">Operating_Expenses!D12</f>
        <v>1242812.5</v>
      </c>
      <c r="F16" s="45" t="n">
        <f aca="false">Operating_Expenses!E12</f>
        <v>1273882.8125</v>
      </c>
      <c r="G16" s="45" t="n">
        <f aca="false">Operating_Expenses!F12</f>
        <v>1305729.8828125</v>
      </c>
      <c r="H16" s="45" t="n">
        <f aca="false">Operating_Expenses!G12</f>
        <v>1338373.12988281</v>
      </c>
      <c r="I16" s="45" t="n">
        <f aca="false">Operating_Expenses!H12</f>
        <v>1371832.45812988</v>
      </c>
      <c r="J16" s="45" t="n">
        <f aca="false">Operating_Expenses!I12</f>
        <v>1406128.26958313</v>
      </c>
      <c r="K16" s="45" t="n">
        <f aca="false">Operating_Expenses!J12</f>
        <v>1441281.47632271</v>
      </c>
      <c r="L16" s="45" t="n">
        <f aca="false">Operating_Expenses!K12</f>
        <v>1477313.51323077</v>
      </c>
      <c r="M16" s="45" t="n">
        <f aca="false">Operating_Expenses!L12</f>
        <v>1514246.35106154</v>
      </c>
    </row>
    <row r="17" customFormat="false" ht="15" hidden="false" customHeight="false" outlineLevel="0" collapsed="false">
      <c r="A17" s="5"/>
      <c r="B17" s="46" t="s">
        <v>155</v>
      </c>
      <c r="C17" s="5"/>
      <c r="D17" s="45" t="n">
        <f aca="false">-Debt_Schedule!C16</f>
        <v>-730247.947904681</v>
      </c>
      <c r="E17" s="45" t="n">
        <f aca="false">-Debt_Schedule!D16</f>
        <v>-716462.204909201</v>
      </c>
      <c r="F17" s="45" t="n">
        <f aca="false">-Debt_Schedule!E16</f>
        <v>-701883.78169148</v>
      </c>
      <c r="G17" s="45" t="n">
        <f aca="false">-Debt_Schedule!F16</f>
        <v>-686467.09913874</v>
      </c>
      <c r="H17" s="45" t="n">
        <f aca="false">-Debt_Schedule!G16</f>
        <v>-670163.957339217</v>
      </c>
      <c r="I17" s="45" t="n">
        <f aca="false">-Debt_Schedule!H16</f>
        <v>-652923.384886222</v>
      </c>
      <c r="J17" s="45" t="n">
        <f aca="false">-Debt_Schedule!I16</f>
        <v>-634691.47951718</v>
      </c>
      <c r="K17" s="45" t="n">
        <f aca="false">-Debt_Schedule!J16</f>
        <v>-615411.239589418</v>
      </c>
      <c r="L17" s="45" t="n">
        <f aca="false">-Debt_Schedule!K16</f>
        <v>-595022.385865809</v>
      </c>
      <c r="M17" s="45" t="n">
        <f aca="false">-Debt_Schedule!L16</f>
        <v>-573461.173053094</v>
      </c>
    </row>
    <row r="18" customFormat="false" ht="15" hidden="false" customHeight="false" outlineLevel="0" collapsed="false">
      <c r="A18" s="5"/>
      <c r="B18" s="46" t="s">
        <v>156</v>
      </c>
      <c r="C18" s="5"/>
      <c r="D18" s="45" t="n">
        <f aca="false">-Debt_Schedule!C17</f>
        <v>-239752.052095319</v>
      </c>
      <c r="E18" s="45" t="n">
        <f aca="false">-Debt_Schedule!D17</f>
        <v>-253537.795090799</v>
      </c>
      <c r="F18" s="45" t="n">
        <f aca="false">-Debt_Schedule!E17</f>
        <v>-268116.218308521</v>
      </c>
      <c r="G18" s="45" t="n">
        <f aca="false">-Debt_Schedule!F17</f>
        <v>-283532.90086126</v>
      </c>
      <c r="H18" s="45" t="n">
        <f aca="false">-Debt_Schedule!G17</f>
        <v>-299836.042660783</v>
      </c>
      <c r="I18" s="45" t="n">
        <f aca="false">-Debt_Schedule!H17</f>
        <v>-317076.615113778</v>
      </c>
      <c r="J18" s="45" t="n">
        <f aca="false">-Debt_Schedule!I17</f>
        <v>-335308.52048282</v>
      </c>
      <c r="K18" s="45" t="n">
        <f aca="false">-Debt_Schedule!J17</f>
        <v>-354588.760410582</v>
      </c>
      <c r="L18" s="45" t="n">
        <f aca="false">-Debt_Schedule!K17</f>
        <v>-374977.614134191</v>
      </c>
      <c r="M18" s="45" t="n">
        <f aca="false">-Debt_Schedule!L17</f>
        <v>-396538.826946907</v>
      </c>
    </row>
    <row r="19" customFormat="false" ht="15" hidden="false" customHeight="false" outlineLevel="0" collapsed="false">
      <c r="A19" s="5"/>
      <c r="B19" s="54" t="s">
        <v>157</v>
      </c>
      <c r="C19" s="5"/>
      <c r="D19" s="48" t="n">
        <f aca="false">D16+D17+D18</f>
        <v>242500</v>
      </c>
      <c r="E19" s="48" t="n">
        <f aca="false">E16+E17+E18</f>
        <v>272812.5</v>
      </c>
      <c r="F19" s="48" t="n">
        <f aca="false">F16+F17+F18</f>
        <v>303882.8125</v>
      </c>
      <c r="G19" s="48" t="n">
        <f aca="false">G16+G17+G18</f>
        <v>335729.8828125</v>
      </c>
      <c r="H19" s="48" t="n">
        <f aca="false">H16+H17+H18</f>
        <v>368373.129882812</v>
      </c>
      <c r="I19" s="48" t="n">
        <f aca="false">I16+I17+I18</f>
        <v>401832.458129882</v>
      </c>
      <c r="J19" s="48" t="n">
        <f aca="false">J16+J17+J18</f>
        <v>436128.269583129</v>
      </c>
      <c r="K19" s="48" t="n">
        <f aca="false">K16+K17+K18</f>
        <v>471281.476322707</v>
      </c>
      <c r="L19" s="48" t="n">
        <f aca="false">L16+L17+L18</f>
        <v>507313.513230775</v>
      </c>
      <c r="M19" s="48" t="n">
        <f aca="false">M16+M17+M18</f>
        <v>544246.351061543</v>
      </c>
    </row>
    <row r="20" customFormat="false" ht="15" hidden="false" customHeight="false" outlineLevel="0" collapsed="false">
      <c r="A20" s="5"/>
      <c r="B20" s="5"/>
      <c r="C20" s="5"/>
      <c r="D20" s="5"/>
      <c r="E20" s="5"/>
      <c r="F20" s="5"/>
      <c r="G20" s="5"/>
      <c r="H20" s="5"/>
      <c r="I20" s="5"/>
      <c r="J20" s="5"/>
      <c r="K20" s="5"/>
      <c r="L20" s="5"/>
      <c r="M20" s="5"/>
    </row>
    <row r="21" customFormat="false" ht="15" hidden="false" customHeight="false" outlineLevel="0" collapsed="false">
      <c r="A21" s="5"/>
      <c r="B21" s="30" t="s">
        <v>158</v>
      </c>
      <c r="C21" s="32"/>
      <c r="D21" s="32"/>
      <c r="E21" s="32"/>
      <c r="F21" s="32"/>
      <c r="G21" s="32"/>
      <c r="H21" s="32"/>
      <c r="I21" s="32"/>
      <c r="J21" s="32"/>
      <c r="K21" s="32"/>
      <c r="L21" s="32"/>
      <c r="M21" s="32"/>
    </row>
    <row r="22" customFormat="false" ht="15" hidden="false" customHeight="false" outlineLevel="0" collapsed="false">
      <c r="A22" s="5"/>
      <c r="B22" s="46" t="s">
        <v>159</v>
      </c>
      <c r="C22" s="5"/>
      <c r="D22" s="5"/>
      <c r="E22" s="5"/>
      <c r="F22" s="5"/>
      <c r="G22" s="5"/>
      <c r="H22" s="5"/>
      <c r="I22" s="5"/>
      <c r="J22" s="5"/>
      <c r="K22" s="5"/>
      <c r="L22" s="5"/>
      <c r="M22" s="45" t="n">
        <f aca="false">Rent_Schedule!L8*(1+Rent_Escalation)</f>
        <v>1600105.68024545</v>
      </c>
    </row>
    <row r="23" customFormat="false" ht="15" hidden="false" customHeight="false" outlineLevel="0" collapsed="false">
      <c r="A23" s="5"/>
      <c r="B23" s="46" t="s">
        <v>160</v>
      </c>
      <c r="C23" s="5"/>
      <c r="D23" s="5"/>
      <c r="E23" s="5"/>
      <c r="F23" s="5"/>
      <c r="G23" s="5"/>
      <c r="H23" s="5"/>
      <c r="I23" s="5"/>
      <c r="J23" s="5"/>
      <c r="K23" s="5"/>
      <c r="L23" s="5"/>
      <c r="M23" s="45" t="n">
        <f aca="false">Operating_Expenses!L10*(1+OpEx_Escalation)</f>
        <v>48003.1704073634</v>
      </c>
    </row>
    <row r="24" customFormat="false" ht="15" hidden="false" customHeight="false" outlineLevel="0" collapsed="false">
      <c r="A24" s="5"/>
      <c r="B24" s="6" t="s">
        <v>161</v>
      </c>
      <c r="C24" s="5"/>
      <c r="D24" s="5"/>
      <c r="E24" s="5"/>
      <c r="F24" s="5"/>
      <c r="G24" s="5"/>
      <c r="H24" s="5"/>
      <c r="I24" s="5"/>
      <c r="J24" s="5"/>
      <c r="K24" s="5"/>
      <c r="L24" s="5"/>
      <c r="M24" s="44" t="n">
        <f aca="false">M22-M23</f>
        <v>1552102.50983808</v>
      </c>
    </row>
    <row r="25" customFormat="false" ht="15" hidden="false" customHeight="false" outlineLevel="0" collapsed="false">
      <c r="A25" s="5"/>
      <c r="B25" s="46" t="s">
        <v>162</v>
      </c>
      <c r="C25" s="5"/>
      <c r="D25" s="5"/>
      <c r="E25" s="5"/>
      <c r="F25" s="5"/>
      <c r="G25" s="5"/>
      <c r="H25" s="5"/>
      <c r="I25" s="5"/>
      <c r="J25" s="5"/>
      <c r="K25" s="5"/>
      <c r="L25" s="5"/>
      <c r="M25" s="45" t="n">
        <f aca="false">M24/Exit_Cap_Rate</f>
        <v>32675842.3123807</v>
      </c>
    </row>
    <row r="26" customFormat="false" ht="15" hidden="false" customHeight="false" outlineLevel="0" collapsed="false">
      <c r="A26" s="5"/>
      <c r="B26" s="46" t="s">
        <v>96</v>
      </c>
      <c r="C26" s="5"/>
      <c r="D26" s="5"/>
      <c r="E26" s="5"/>
      <c r="F26" s="5"/>
      <c r="G26" s="5"/>
      <c r="H26" s="5"/>
      <c r="I26" s="5"/>
      <c r="J26" s="5"/>
      <c r="K26" s="5"/>
      <c r="L26" s="5"/>
      <c r="M26" s="45" t="n">
        <f aca="false">-M25*Selling_Costs_Pct</f>
        <v>-490137.63468571</v>
      </c>
    </row>
    <row r="27" customFormat="false" ht="15" hidden="false" customHeight="false" outlineLevel="0" collapsed="false">
      <c r="A27" s="5"/>
      <c r="B27" s="46" t="s">
        <v>163</v>
      </c>
      <c r="C27" s="5"/>
      <c r="D27" s="5"/>
      <c r="E27" s="5"/>
      <c r="F27" s="5"/>
      <c r="G27" s="5"/>
      <c r="H27" s="5"/>
      <c r="I27" s="5"/>
      <c r="J27" s="5"/>
      <c r="K27" s="5"/>
      <c r="L27" s="5"/>
      <c r="M27" s="45" t="n">
        <f aca="false">-DS_Closing_Yr10</f>
        <v>-9576698.96528081</v>
      </c>
    </row>
    <row r="28" customFormat="false" ht="15" hidden="false" customHeight="false" outlineLevel="0" collapsed="false">
      <c r="A28" s="5"/>
      <c r="B28" s="54" t="s">
        <v>164</v>
      </c>
      <c r="C28" s="5"/>
      <c r="D28" s="5"/>
      <c r="E28" s="5"/>
      <c r="F28" s="5"/>
      <c r="G28" s="5"/>
      <c r="H28" s="5"/>
      <c r="I28" s="5"/>
      <c r="J28" s="5"/>
      <c r="K28" s="5"/>
      <c r="L28" s="5"/>
      <c r="M28" s="48" t="n">
        <f aca="false">M25+M26+M27</f>
        <v>22609005.7124142</v>
      </c>
    </row>
    <row r="29" customFormat="false" ht="15" hidden="false" customHeight="false" outlineLevel="0" collapsed="false">
      <c r="A29" s="5"/>
      <c r="B29" s="5"/>
      <c r="C29" s="5"/>
      <c r="D29" s="5"/>
      <c r="E29" s="5"/>
      <c r="F29" s="5"/>
      <c r="G29" s="5"/>
      <c r="H29" s="5"/>
      <c r="I29" s="5"/>
      <c r="J29" s="5"/>
      <c r="K29" s="5"/>
      <c r="L29" s="5"/>
      <c r="M29" s="5"/>
    </row>
    <row r="30" customFormat="false" ht="15" hidden="false" customHeight="false" outlineLevel="0" collapsed="false">
      <c r="A30" s="5"/>
      <c r="B30" s="30" t="s">
        <v>165</v>
      </c>
      <c r="C30" s="32"/>
      <c r="D30" s="32"/>
      <c r="E30" s="32"/>
      <c r="F30" s="32"/>
      <c r="G30" s="32"/>
      <c r="H30" s="32"/>
      <c r="I30" s="32"/>
      <c r="J30" s="32"/>
      <c r="K30" s="32"/>
      <c r="L30" s="32"/>
      <c r="M30" s="32"/>
    </row>
    <row r="31" customFormat="false" ht="15" hidden="false" customHeight="false" outlineLevel="0" collapsed="false">
      <c r="A31" s="5"/>
      <c r="B31" s="7" t="s">
        <v>166</v>
      </c>
      <c r="C31" s="45" t="n">
        <f aca="false">C13</f>
        <v>-12800035.6886142</v>
      </c>
      <c r="D31" s="45" t="n">
        <f aca="false">D19</f>
        <v>242500</v>
      </c>
      <c r="E31" s="45" t="n">
        <f aca="false">E19</f>
        <v>272812.5</v>
      </c>
      <c r="F31" s="45" t="n">
        <f aca="false">F19</f>
        <v>303882.8125</v>
      </c>
      <c r="G31" s="45" t="n">
        <f aca="false">G19</f>
        <v>335729.8828125</v>
      </c>
      <c r="H31" s="45" t="n">
        <f aca="false">H19</f>
        <v>368373.129882812</v>
      </c>
      <c r="I31" s="45" t="n">
        <f aca="false">I19</f>
        <v>401832.458129882</v>
      </c>
      <c r="J31" s="45" t="n">
        <f aca="false">J19</f>
        <v>436128.269583129</v>
      </c>
      <c r="K31" s="45" t="n">
        <f aca="false">K19</f>
        <v>471281.476322707</v>
      </c>
      <c r="L31" s="45" t="n">
        <f aca="false">L19</f>
        <v>507313.513230775</v>
      </c>
      <c r="M31" s="45" t="n">
        <f aca="false">M19+M28</f>
        <v>23153252.0634757</v>
      </c>
    </row>
    <row r="32" customFormat="false" ht="15" hidden="false" customHeight="false" outlineLevel="0" collapsed="false">
      <c r="A32" s="5"/>
      <c r="B32" s="7" t="s">
        <v>167</v>
      </c>
      <c r="C32" s="45" t="n">
        <f aca="false">C10</f>
        <v>-25500000</v>
      </c>
      <c r="D32" s="45" t="n">
        <f aca="false">D16</f>
        <v>1212500</v>
      </c>
      <c r="E32" s="45" t="n">
        <f aca="false">E16</f>
        <v>1242812.5</v>
      </c>
      <c r="F32" s="45" t="n">
        <f aca="false">F16</f>
        <v>1273882.8125</v>
      </c>
      <c r="G32" s="45" t="n">
        <f aca="false">G16</f>
        <v>1305729.8828125</v>
      </c>
      <c r="H32" s="45" t="n">
        <f aca="false">H16</f>
        <v>1338373.12988281</v>
      </c>
      <c r="I32" s="45" t="n">
        <f aca="false">I16</f>
        <v>1371832.45812988</v>
      </c>
      <c r="J32" s="45" t="n">
        <f aca="false">J16</f>
        <v>1406128.26958313</v>
      </c>
      <c r="K32" s="45" t="n">
        <f aca="false">K16</f>
        <v>1441281.47632271</v>
      </c>
      <c r="L32" s="45" t="n">
        <f aca="false">L16</f>
        <v>1477313.51323077</v>
      </c>
      <c r="M32" s="45" t="n">
        <f aca="false">M16+M25+M26</f>
        <v>33699951.0287565</v>
      </c>
    </row>
    <row r="33" customFormat="false" ht="15" hidden="false" customHeight="false" outlineLevel="0" collapsed="false">
      <c r="A33" s="5"/>
      <c r="B33" s="5"/>
      <c r="C33" s="5"/>
      <c r="D33" s="5"/>
      <c r="E33" s="5"/>
      <c r="F33" s="5"/>
      <c r="G33" s="5"/>
      <c r="H33" s="5"/>
      <c r="I33" s="5"/>
      <c r="J33" s="5"/>
      <c r="K33" s="5"/>
      <c r="L33" s="5"/>
      <c r="M33" s="5"/>
    </row>
    <row r="34" customFormat="false" ht="15" hidden="false" customHeight="false" outlineLevel="0" collapsed="false">
      <c r="A34" s="5"/>
      <c r="B34" s="30" t="s">
        <v>168</v>
      </c>
      <c r="C34" s="32"/>
      <c r="D34" s="32"/>
      <c r="E34" s="32"/>
      <c r="F34" s="32"/>
      <c r="G34" s="32"/>
      <c r="H34" s="32"/>
      <c r="I34" s="32"/>
      <c r="J34" s="32"/>
      <c r="K34" s="32"/>
      <c r="L34" s="32"/>
      <c r="M34" s="32"/>
    </row>
    <row r="35" customFormat="false" ht="15" hidden="false" customHeight="false" outlineLevel="0" collapsed="false">
      <c r="A35" s="5"/>
      <c r="B35" s="6" t="s">
        <v>169</v>
      </c>
      <c r="C35" s="55" t="n">
        <f aca="false">IRR(C31:M31)</f>
        <v>0.081262047042949</v>
      </c>
      <c r="D35" s="5"/>
      <c r="E35" s="5"/>
      <c r="F35" s="5"/>
      <c r="G35" s="5"/>
      <c r="H35" s="5"/>
      <c r="I35" s="5"/>
      <c r="J35" s="5"/>
      <c r="K35" s="5"/>
      <c r="L35" s="5"/>
      <c r="M35" s="5"/>
    </row>
    <row r="36" customFormat="false" ht="15" hidden="false" customHeight="false" outlineLevel="0" collapsed="false">
      <c r="A36" s="5"/>
      <c r="B36" s="6" t="s">
        <v>170</v>
      </c>
      <c r="C36" s="55" t="n">
        <f aca="false">IRR(C32:M32)</f>
        <v>0.0713839812993793</v>
      </c>
      <c r="D36" s="5"/>
      <c r="E36" s="5"/>
      <c r="F36" s="5"/>
      <c r="G36" s="5"/>
      <c r="H36" s="5"/>
      <c r="I36" s="5"/>
      <c r="J36" s="5"/>
      <c r="K36" s="5"/>
      <c r="L36" s="5"/>
      <c r="M36" s="5"/>
    </row>
    <row r="37" customFormat="false" ht="15" hidden="false" customHeight="false" outlineLevel="0" collapsed="false">
      <c r="A37" s="5"/>
      <c r="B37" s="6" t="s">
        <v>171</v>
      </c>
      <c r="C37" s="56" t="n">
        <f aca="false">SUM(D31:M31)/(-C31)</f>
        <v>2.06976814365474</v>
      </c>
      <c r="D37" s="5"/>
      <c r="E37" s="5"/>
      <c r="F37" s="5"/>
      <c r="G37" s="5"/>
      <c r="H37" s="5"/>
      <c r="I37" s="5"/>
      <c r="J37" s="5"/>
      <c r="K37" s="5"/>
      <c r="L37" s="5"/>
      <c r="M37" s="5"/>
    </row>
    <row r="38" customFormat="false" ht="15" hidden="false" customHeight="false" outlineLevel="0" collapsed="false">
      <c r="A38" s="5"/>
      <c r="B38" s="7" t="s">
        <v>172</v>
      </c>
      <c r="C38" s="49" t="n">
        <f aca="false">IFERROR(D19/(-C13),0)</f>
        <v>0.0189452596773387</v>
      </c>
      <c r="D38" s="5"/>
      <c r="E38" s="5"/>
      <c r="F38" s="5"/>
      <c r="G38" s="5"/>
      <c r="H38" s="5"/>
      <c r="I38" s="5"/>
      <c r="J38" s="5"/>
      <c r="K38" s="5"/>
      <c r="L38" s="5"/>
      <c r="M38" s="5"/>
    </row>
    <row r="39" customFormat="false" ht="15" hidden="false" customHeight="false" outlineLevel="0" collapsed="false">
      <c r="A39" s="5"/>
      <c r="B39" s="7" t="s">
        <v>173</v>
      </c>
      <c r="C39" s="53" t="n">
        <f aca="false">MIN(Debt_Schedule!C20:L20)</f>
        <v>1.25</v>
      </c>
      <c r="D39" s="5"/>
      <c r="E39" s="5"/>
      <c r="F39" s="5"/>
      <c r="G39" s="5"/>
      <c r="H39" s="5"/>
      <c r="I39" s="5"/>
      <c r="J39" s="5"/>
      <c r="K39" s="5"/>
      <c r="L39" s="5"/>
      <c r="M3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E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18"/>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9" t="s">
        <v>174</v>
      </c>
      <c r="C2" s="5"/>
      <c r="D2" s="5"/>
      <c r="E2" s="5"/>
    </row>
    <row r="3" customFormat="false" ht="15" hidden="false" customHeight="false" outlineLevel="0" collapsed="false">
      <c r="A3" s="5"/>
      <c r="B3" s="8" t="s">
        <v>175</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176</v>
      </c>
      <c r="C5" s="31" t="s">
        <v>177</v>
      </c>
      <c r="D5" s="31" t="s">
        <v>57</v>
      </c>
      <c r="E5" s="31" t="s">
        <v>178</v>
      </c>
    </row>
    <row r="6" customFormat="false" ht="15" hidden="false" customHeight="false" outlineLevel="0" collapsed="false">
      <c r="A6" s="5"/>
      <c r="B6" s="5"/>
      <c r="C6" s="5"/>
      <c r="D6" s="5"/>
      <c r="E6" s="5"/>
    </row>
    <row r="7" customFormat="false" ht="15" hidden="false" customHeight="false" outlineLevel="0" collapsed="false">
      <c r="A7" s="5"/>
      <c r="B7" s="33" t="s">
        <v>179</v>
      </c>
      <c r="C7" s="57" t="str">
        <f aca="false">IF(Cash_Flow!C39&gt;=1.2,"PASS","FAIL")</f>
        <v>PASS</v>
      </c>
      <c r="D7" s="53" t="n">
        <f aca="false">Cash_Flow!C39</f>
        <v>1.25</v>
      </c>
      <c r="E7" s="41" t="s">
        <v>180</v>
      </c>
    </row>
    <row r="8" customFormat="false" ht="15" hidden="false" customHeight="false" outlineLevel="0" collapsed="false">
      <c r="A8" s="5"/>
      <c r="B8" s="33" t="s">
        <v>181</v>
      </c>
      <c r="C8" s="57" t="str">
        <f aca="false">IF(Cash_Flow!C39&gt;=Target_DSCR,"PASS","FAIL")</f>
        <v>PASS</v>
      </c>
      <c r="D8" s="53" t="n">
        <f aca="false">Cash_Flow!C39</f>
        <v>1.25</v>
      </c>
      <c r="E8" s="41" t="s">
        <v>182</v>
      </c>
    </row>
    <row r="9" customFormat="false" ht="15" hidden="false" customHeight="false" outlineLevel="0" collapsed="false">
      <c r="A9" s="5"/>
      <c r="B9" s="33" t="s">
        <v>183</v>
      </c>
      <c r="C9" s="57" t="str">
        <f aca="false">IF(Loan_Amount&lt;=LTV_Cap_Loan,"PASS","FAIL")</f>
        <v>PASS</v>
      </c>
      <c r="D9" s="45" t="n">
        <f aca="false">Loan_Amount</f>
        <v>12699964.3113858</v>
      </c>
      <c r="E9" s="41" t="s">
        <v>184</v>
      </c>
    </row>
    <row r="10" customFormat="false" ht="15" hidden="false" customHeight="false" outlineLevel="0" collapsed="false">
      <c r="A10" s="5"/>
      <c r="B10" s="33" t="s">
        <v>185</v>
      </c>
      <c r="C10" s="57" t="str">
        <f aca="false">IF(Loan_Amount&lt;=DSCR_Cap_Loan,"PASS","FAIL")</f>
        <v>PASS</v>
      </c>
      <c r="D10" s="45" t="n">
        <f aca="false">Loan_Amount</f>
        <v>12699964.3113858</v>
      </c>
      <c r="E10" s="41" t="s">
        <v>186</v>
      </c>
    </row>
    <row r="11" customFormat="false" ht="15" hidden="false" customHeight="false" outlineLevel="0" collapsed="false">
      <c r="A11" s="5"/>
      <c r="B11" s="33" t="s">
        <v>187</v>
      </c>
      <c r="C11" s="57" t="str">
        <f aca="false">IF(Debt_Schedule!L18&lt;Debt_Schedule!C14,"PASS","FAIL")</f>
        <v>PASS</v>
      </c>
      <c r="D11" s="45" t="n">
        <f aca="false">Debt_Schedule!L18</f>
        <v>9576698.96528081</v>
      </c>
      <c r="E11" s="41" t="s">
        <v>188</v>
      </c>
    </row>
    <row r="12" customFormat="false" ht="15" hidden="false" customHeight="false" outlineLevel="0" collapsed="false">
      <c r="A12" s="5"/>
      <c r="B12" s="33" t="s">
        <v>189</v>
      </c>
      <c r="C12" s="57" t="str">
        <f aca="false">IF(Debt_Schedule!L18&gt;=0,"PASS","FAIL")</f>
        <v>PASS</v>
      </c>
      <c r="D12" s="45" t="n">
        <f aca="false">Debt_Schedule!L18</f>
        <v>9576698.96528081</v>
      </c>
      <c r="E12" s="41" t="s">
        <v>190</v>
      </c>
    </row>
    <row r="13" customFormat="false" ht="15" hidden="false" customHeight="false" outlineLevel="0" collapsed="false">
      <c r="A13" s="5"/>
      <c r="B13" s="33" t="s">
        <v>191</v>
      </c>
      <c r="C13" s="57" t="str">
        <f aca="false">IF(Cash_Flow!M28&gt;0,"PASS","FAIL")</f>
        <v>PASS</v>
      </c>
      <c r="D13" s="45" t="n">
        <f aca="false">Cash_Flow!M28</f>
        <v>22609005.7124142</v>
      </c>
      <c r="E13" s="41" t="s">
        <v>192</v>
      </c>
    </row>
    <row r="14" customFormat="false" ht="15" hidden="false" customHeight="false" outlineLevel="0" collapsed="false">
      <c r="A14" s="5"/>
      <c r="B14" s="33" t="s">
        <v>193</v>
      </c>
      <c r="C14" s="57" t="str">
        <f aca="false">IF(ISNUMBER(Cash_Flow!C35),"PASS","FAIL")</f>
        <v>PASS</v>
      </c>
      <c r="D14" s="49" t="n">
        <f aca="false">Cash_Flow!C35</f>
        <v>0.081262047042949</v>
      </c>
      <c r="E14" s="41" t="s">
        <v>194</v>
      </c>
    </row>
    <row r="15" customFormat="false" ht="15" hidden="false" customHeight="false" outlineLevel="0" collapsed="false">
      <c r="A15" s="5"/>
      <c r="B15" s="33" t="s">
        <v>195</v>
      </c>
      <c r="C15" s="57" t="str">
        <f aca="false">IF(Cash_Flow!C31&lt;0,"PASS","FAIL")</f>
        <v>PASS</v>
      </c>
      <c r="D15" s="45" t="n">
        <f aca="false">Cash_Flow!C31</f>
        <v>-12800035.6886142</v>
      </c>
      <c r="E15" s="41" t="s">
        <v>196</v>
      </c>
    </row>
    <row r="16" customFormat="false" ht="15" hidden="false" customHeight="false" outlineLevel="0" collapsed="false">
      <c r="A16" s="5"/>
      <c r="B16" s="33" t="s">
        <v>197</v>
      </c>
      <c r="C16" s="57" t="str">
        <f aca="false">IF(MIN(Operating_Expenses!C12:L12)&gt;0,"PASS","FAIL")</f>
        <v>PASS</v>
      </c>
      <c r="D16" s="45" t="n">
        <f aca="false">MIN(Operating_Expenses!C12:L12)</f>
        <v>1212500</v>
      </c>
      <c r="E16" s="41" t="s">
        <v>198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2026-05-15T18:53:17Z</dcterms:created>
  <dc:creator>openpyxl</dc:creator>
  <dc:description/>
  <dc:language>en-GB</dc:language>
  <cp:lastModifiedBy/>
  <dcterms:modified xsi:type="dcterms:W3CDTF">2026-05-15T18:53:18Z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