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Assumptions" sheetId="2" state="visible" r:id="rId2"/>
    <sheet xmlns:r="http://schemas.openxmlformats.org/officeDocument/2006/relationships" name="Communities" sheetId="3" state="visible" r:id="rId3"/>
    <sheet xmlns:r="http://schemas.openxmlformats.org/officeDocument/2006/relationships" name="Closings" sheetId="4" state="visible" r:id="rId4"/>
    <sheet xmlns:r="http://schemas.openxmlformats.org/officeDocument/2006/relationships" name="Revenue" sheetId="5" state="visible" r:id="rId5"/>
    <sheet xmlns:r="http://schemas.openxmlformats.org/officeDocument/2006/relationships" name="P&amp;L" sheetId="6" state="visible" r:id="rId6"/>
    <sheet xmlns:r="http://schemas.openxmlformats.org/officeDocument/2006/relationships" name="Inventory_ROIC" sheetId="7" state="visible" r:id="rId7"/>
    <sheet xmlns:r="http://schemas.openxmlformats.org/officeDocument/2006/relationships" name="Dashboard" sheetId="8" state="visible" r:id="rId8"/>
    <sheet xmlns:r="http://schemas.openxmlformats.org/officeDocument/2006/relationships" name="Disclaimer" sheetId="9" state="visible" r:id="rId9"/>
  </sheets>
  <definedNames>
    <definedName name="Comm_Y1">Assumptions!$C$7</definedName>
    <definedName name="Comm_Y2">Assumptions!$C$8</definedName>
    <definedName name="Comm_Y3">Assumptions!$C$9</definedName>
    <definedName name="Comm_Y4">Assumptions!$C$10</definedName>
    <definedName name="Comm_Y5">Assumptions!$C$11</definedName>
    <definedName name="Mix_Entry">Assumptions!$C$14</definedName>
    <definedName name="Mix_Moveup">Assumptions!$C$15</definedName>
    <definedName name="Mix_Lux">Assumptions!$C$16</definedName>
    <definedName name="Deliv_Entry">Assumptions!$C$19</definedName>
    <definedName name="Deliv_Moveup">Assumptions!$C$20</definedName>
    <definedName name="Deliv_Lux">Assumptions!$C$21</definedName>
    <definedName name="ASP_Entry">Assumptions!$C$24</definedName>
    <definedName name="ASP_Moveup">Assumptions!$C$25</definedName>
    <definedName name="ASP_Lux">Assumptions!$C$26</definedName>
    <definedName name="ASP_Growth">Assumptions!$C$27</definedName>
    <definedName name="GM_Entry">Assumptions!$C$30</definedName>
    <definedName name="GM_Moveup">Assumptions!$C$31</definedName>
    <definedName name="GM_Lux">Assumptions!$C$32</definedName>
    <definedName name="FS_Attach">Assumptions!$C$35</definedName>
    <definedName name="FS_Rev_per_Loan">Assumptions!$C$36</definedName>
    <definedName name="FS_Margin">Assumptions!$C$37</definedName>
    <definedName name="SGA_Pct">Assumptions!$C$40</definedName>
    <definedName name="DA_Pct">Assumptions!$C$41</definedName>
    <definedName name="Tax_Rate">Assumptions!$C$42</definedName>
    <definedName name="Inv_Turns">Assumptions!$C$45</definedName>
    <definedName name="Debt_to_Cap">Assumptions!$C$46</definedName>
    <definedName name="Cost_of_Debt">Assumptions!$C$47</definedName>
    <definedName name="Start_Equity">Assumptions!$C$48</definedName>
    <definedName name="Start_Debt">Assumptions!$C$49</definedName>
    <definedName name="GM_Green">Assumptions!$C$52</definedName>
    <definedName name="GM_Amber">Assumptions!$C$53</definedName>
    <definedName name="ROIC_Green">Assumptions!$C$54</definedName>
    <definedName name="ROIC_Amber">Assumptions!$C$55</definedName>
    <definedName name="Rev_Total_Y5">'P&amp;L'!$G$9</definedName>
    <definedName name="EBITDA_Y5">'P&amp;L'!$G$21</definedName>
    <definedName name="EBITDA_Mgn_Y5">'P&amp;L'!$G$30</definedName>
    <definedName name="Home_GM_Y5">'P&amp;L'!$G$19</definedName>
    <definedName name="Closings_Y5">Closings!$G$10</definedName>
    <definedName name="HB_Rev_Y5">'P&amp;L'!$G$7</definedName>
    <definedName name="ROIC_Y5">Inventory_ROIC!$G$18</definedName>
    <definedName name="ROE_Y5">Inventory_ROIC!$G$19</definedName>
    <definedName name="Close_Entry_Y5">Closings!$G$7</definedName>
    <definedName name="Close_Moveup_Y5">Closings!$G$8</definedName>
    <definedName name="Close_Lux_Y5">Closings!$G$9</definedName>
  </definedNames>
  <calcPr calcId="191029" calcMode="auto" fullCalcOnLoad="1"/>
</workbook>
</file>

<file path=xl/styles.xml><?xml version="1.0" encoding="utf-8"?>
<styleSheet xmlns="http://schemas.openxmlformats.org/spreadsheetml/2006/main">
  <numFmts count="4">
    <numFmt numFmtId="164" formatCode="0.0%"/>
    <numFmt numFmtId="165" formatCode="$#,##0"/>
    <numFmt numFmtId="166" formatCode="0.00&quot;x&quot;"/>
    <numFmt numFmtId="167" formatCode="#,##0.0"/>
  </numFmts>
  <fonts count="23">
    <font>
      <name val="Calibri"/>
      <family val="2"/>
      <color theme="1"/>
      <sz val="11"/>
      <scheme val="minor"/>
    </font>
    <font>
      <name val="Arial"/>
      <b val="1"/>
      <sz val="18"/>
    </font>
    <font>
      <name val="Arial"/>
      <i val="1"/>
      <color rgb="00808080"/>
      <sz val="11"/>
    </font>
    <font>
      <name val="Arial"/>
      <b val="1"/>
      <color rgb="001F4E79"/>
      <sz val="11"/>
    </font>
    <font>
      <name val="Arial"/>
      <b val="1"/>
      <sz val="11"/>
    </font>
    <font>
      <name val="Arial"/>
      <sz val="11"/>
    </font>
    <font>
      <name val="Arial"/>
      <color rgb="002E75B6"/>
      <sz val="11"/>
    </font>
    <font>
      <name val="Arial"/>
      <b val="1"/>
      <color rgb="00FFFFFF"/>
      <sz val="11"/>
    </font>
    <font>
      <name val="Calibri"/>
      <color theme="0"/>
      <sz val="11"/>
    </font>
    <font>
      <name val="Arial"/>
      <b val="1"/>
      <color theme="0"/>
      <sz val="18"/>
    </font>
    <font>
      <name val="Arial"/>
      <i val="1"/>
      <color theme="0"/>
      <sz val="11"/>
    </font>
    <font>
      <name val="Arial"/>
      <b val="1"/>
      <color theme="3"/>
      <sz val="11"/>
    </font>
    <font>
      <name val="Arial"/>
      <color theme="3"/>
      <sz val="11"/>
    </font>
    <font>
      <name val="Arial"/>
      <b val="1"/>
      <color theme="0"/>
      <sz val="11"/>
    </font>
    <font>
      <name val="Arial"/>
      <b val="1"/>
      <color theme="0"/>
      <sz val="11"/>
      <u val="single"/>
    </font>
    <font>
      <name val="Arial"/>
      <color rgb="00262626"/>
      <sz val="11"/>
    </font>
    <font>
      <name val="Arial"/>
      <i val="1"/>
      <color rgb="00595959"/>
      <sz val="11"/>
    </font>
    <font>
      <name val="Arial"/>
      <b val="1"/>
      <i val="1"/>
      <color rgb="001F4E79"/>
      <sz val="11"/>
    </font>
    <font>
      <name val="Arial"/>
      <b val="1"/>
      <color rgb="001F4E79"/>
      <sz val="18"/>
    </font>
    <font>
      <name val="Arial"/>
      <color rgb="00262626"/>
      <sz val="10"/>
    </font>
    <font>
      <name val="Arial"/>
      <b val="1"/>
      <color rgb="001F4E79"/>
      <sz val="10"/>
    </font>
    <font>
      <name val="Arial"/>
      <color rgb="00404040"/>
      <sz val="9"/>
    </font>
    <font>
      <name val="Arial"/>
      <i val="1"/>
      <color rgb="00808080"/>
      <sz val="10"/>
    </font>
  </fonts>
  <fills count="10">
    <fill>
      <patternFill/>
    </fill>
    <fill>
      <patternFill patternType="gray125"/>
    </fill>
    <fill>
      <patternFill patternType="solid">
        <fgColor rgb="00D6E4F0"/>
      </patternFill>
    </fill>
    <fill>
      <patternFill patternType="solid">
        <fgColor rgb="00EBF1F8"/>
      </patternFill>
    </fill>
    <fill>
      <patternFill patternType="solid">
        <fgColor rgb="001F4E79"/>
      </patternFill>
    </fill>
    <fill>
      <patternFill patternType="solid">
        <fgColor theme="3"/>
        <bgColor theme="3"/>
      </patternFill>
    </fill>
    <fill>
      <patternFill patternType="solid">
        <fgColor theme="3" tint="0.8"/>
        <bgColor theme="3" tint="0.8"/>
      </patternFill>
    </fill>
    <fill>
      <patternFill patternType="solid">
        <fgColor rgb="00D6E4F0"/>
        <bgColor rgb="00D6E4F0"/>
      </patternFill>
    </fill>
    <fill>
      <patternFill patternType="solid">
        <fgColor rgb="001F4E79"/>
        <bgColor rgb="001F4E79"/>
      </patternFill>
    </fill>
    <fill>
      <patternFill patternType="solid">
        <fgColor rgb="00F2F2F2"/>
        <bgColor rgb="00F2F2F2"/>
      </patternFill>
    </fill>
  </fills>
  <borders count="4">
    <border>
      <left/>
      <right/>
      <top/>
      <bottom/>
      <diagonal/>
    </border>
    <border>
      <top style="thin"/>
    </border>
    <border>
      <top style="double"/>
    </border>
    <border>
      <bottom style="thin">
        <color rgb="001F4E79"/>
      </bottom>
    </border>
  </borders>
  <cellStyleXfs count="1">
    <xf numFmtId="0" fontId="5" fillId="0" borderId="0"/>
  </cellStyleXfs>
  <cellXfs count="47">
    <xf numFmtId="0" fontId="0" fillId="0" borderId="0" pivotButton="0" quotePrefix="0" xfId="0"/>
    <xf numFmtId="0" fontId="8" fillId="5" borderId="0" pivotButton="0" quotePrefix="0" xfId="0"/>
    <xf numFmtId="0" fontId="9" fillId="5" borderId="0" pivotButton="0" quotePrefix="0" xfId="0"/>
    <xf numFmtId="0" fontId="14" fillId="5" borderId="0" applyAlignment="1" pivotButton="0" quotePrefix="0" xfId="0">
      <alignment horizontal="left" vertical="center"/>
    </xf>
    <xf numFmtId="0" fontId="10" fillId="5" borderId="0" pivotButton="0" quotePrefix="0" xfId="0"/>
    <xf numFmtId="0" fontId="11" fillId="6" borderId="0" pivotButton="0" quotePrefix="0" xfId="0"/>
    <xf numFmtId="0" fontId="4" fillId="0" borderId="0" pivotButton="0" quotePrefix="0" xfId="0"/>
    <xf numFmtId="0" fontId="5" fillId="0" borderId="0" pivotButton="0" quotePrefix="0" xfId="0"/>
    <xf numFmtId="0" fontId="11" fillId="0" borderId="0" pivotButton="0" quotePrefix="0" xfId="0"/>
    <xf numFmtId="0" fontId="2" fillId="0" borderId="0" pivotButton="0" quotePrefix="0" xfId="0"/>
    <xf numFmtId="0" fontId="3" fillId="7" borderId="0" applyAlignment="1" pivotButton="0" quotePrefix="0" xfId="0">
      <alignment horizontal="left" vertical="center"/>
    </xf>
    <xf numFmtId="0" fontId="0" fillId="7" borderId="0" pivotButton="0" quotePrefix="0" xfId="0"/>
    <xf numFmtId="0" fontId="15" fillId="0" borderId="0" applyAlignment="1" pivotButton="0" quotePrefix="0" xfId="0">
      <alignment horizontal="left" vertical="top" wrapText="1"/>
    </xf>
    <xf numFmtId="0" fontId="16" fillId="0" borderId="0" applyAlignment="1" pivotButton="0" quotePrefix="0" xfId="0">
      <alignment horizontal="left" vertical="center"/>
    </xf>
    <xf numFmtId="0" fontId="17" fillId="0" borderId="0" applyAlignment="1" pivotButton="0" quotePrefix="0" xfId="0">
      <alignment horizontal="left" vertical="center"/>
    </xf>
    <xf numFmtId="3" fontId="12" fillId="3" borderId="0" applyAlignment="1" pivotButton="0" quotePrefix="0" xfId="0">
      <alignment horizontal="right"/>
    </xf>
    <xf numFmtId="164" fontId="12" fillId="3" borderId="0" applyAlignment="1" pivotButton="0" quotePrefix="0" xfId="0">
      <alignment horizontal="right"/>
    </xf>
    <xf numFmtId="165" fontId="12" fillId="3" borderId="0" applyAlignment="1" pivotButton="0" quotePrefix="0" xfId="0">
      <alignment horizontal="right"/>
    </xf>
    <xf numFmtId="166" fontId="12" fillId="3" borderId="0" applyAlignment="1" pivotButton="0" quotePrefix="0" xfId="0">
      <alignment horizontal="right"/>
    </xf>
    <xf numFmtId="49" fontId="13" fillId="5" borderId="0" applyAlignment="1" pivotButton="0" quotePrefix="0" xfId="0">
      <alignment horizontal="center"/>
    </xf>
    <xf numFmtId="3" fontId="4" fillId="0" borderId="0" applyAlignment="1" pivotButton="0" quotePrefix="0" xfId="0">
      <alignment horizontal="right"/>
    </xf>
    <xf numFmtId="0" fontId="5" fillId="0" borderId="0" applyAlignment="1" pivotButton="0" quotePrefix="0" xfId="0">
      <alignment horizontal="left" indent="1"/>
    </xf>
    <xf numFmtId="167" fontId="5" fillId="0" borderId="0" applyAlignment="1" pivotButton="0" quotePrefix="0" xfId="0">
      <alignment horizontal="right"/>
    </xf>
    <xf numFmtId="0" fontId="4" fillId="0" borderId="1" pivotButton="0" quotePrefix="0" xfId="0"/>
    <xf numFmtId="167" fontId="4" fillId="0" borderId="1" applyAlignment="1" pivotButton="0" quotePrefix="0" xfId="0">
      <alignment horizontal="right"/>
    </xf>
    <xf numFmtId="3" fontId="5" fillId="0" borderId="0" applyAlignment="1" pivotButton="0" quotePrefix="0" xfId="0">
      <alignment horizontal="right"/>
    </xf>
    <xf numFmtId="3" fontId="4" fillId="0" borderId="1" applyAlignment="1" pivotButton="0" quotePrefix="0" xfId="0">
      <alignment horizontal="right"/>
    </xf>
    <xf numFmtId="165" fontId="5" fillId="0" borderId="0" applyAlignment="1" pivotButton="0" quotePrefix="0" xfId="0">
      <alignment horizontal="right"/>
    </xf>
    <xf numFmtId="165" fontId="4" fillId="0" borderId="1" applyAlignment="1" pivotButton="0" quotePrefix="0" xfId="0">
      <alignment horizontal="right"/>
    </xf>
    <xf numFmtId="0" fontId="4" fillId="0" borderId="2" pivotButton="0" quotePrefix="0" xfId="0"/>
    <xf numFmtId="165" fontId="4" fillId="0" borderId="2" applyAlignment="1" pivotButton="0" quotePrefix="0" xfId="0">
      <alignment horizontal="right"/>
    </xf>
    <xf numFmtId="165" fontId="4" fillId="0" borderId="0" applyAlignment="1" pivotButton="0" quotePrefix="0" xfId="0">
      <alignment horizontal="right"/>
    </xf>
    <xf numFmtId="164" fontId="5" fillId="0" borderId="0" applyAlignment="1" pivotButton="0" quotePrefix="0" xfId="0">
      <alignment horizontal="right"/>
    </xf>
    <xf numFmtId="164" fontId="4" fillId="0" borderId="0" applyAlignment="1" pivotButton="0" quotePrefix="0" xfId="0">
      <alignment horizontal="right"/>
    </xf>
    <xf numFmtId="0" fontId="13" fillId="5" borderId="0" applyAlignment="1" pivotButton="0" quotePrefix="0" xfId="0">
      <alignment horizontal="center"/>
    </xf>
    <xf numFmtId="0" fontId="2" fillId="0" borderId="0" applyAlignment="1" pivotButton="0" quotePrefix="0" xfId="0">
      <alignment horizontal="center"/>
    </xf>
    <xf numFmtId="0" fontId="5" fillId="0" borderId="0" applyAlignment="1" pivotButton="0" quotePrefix="0" xfId="0">
      <alignment horizontal="center"/>
    </xf>
    <xf numFmtId="0" fontId="11" fillId="6" borderId="0" applyAlignment="1" pivotButton="0" quotePrefix="0" xfId="0">
      <alignment horizontal="center"/>
    </xf>
    <xf numFmtId="164" fontId="4" fillId="0" borderId="1" applyAlignment="1" pivotButton="0" quotePrefix="0" xfId="0">
      <alignment horizontal="right"/>
    </xf>
    <xf numFmtId="0" fontId="18" fillId="0" borderId="0" applyAlignment="1" pivotButton="0" quotePrefix="0" xfId="0">
      <alignment horizontal="left" vertical="center"/>
    </xf>
    <xf numFmtId="0" fontId="0" fillId="0" borderId="3" pivotButton="0" quotePrefix="0" xfId="0"/>
    <xf numFmtId="0" fontId="7" fillId="8" borderId="0" applyAlignment="1" pivotButton="0" quotePrefix="0" xfId="0">
      <alignment horizontal="left" vertical="center" indent="1"/>
    </xf>
    <xf numFmtId="0" fontId="19" fillId="0" borderId="0" applyAlignment="1" pivotButton="0" quotePrefix="0" xfId="0">
      <alignment horizontal="left" vertical="top" wrapText="1" indent="1"/>
    </xf>
    <xf numFmtId="0" fontId="20" fillId="0" borderId="0" applyAlignment="1" pivotButton="0" quotePrefix="0" xfId="0">
      <alignment horizontal="left" vertical="center" indent="1"/>
    </xf>
    <xf numFmtId="0" fontId="3" fillId="0" borderId="0" applyAlignment="1" pivotButton="0" quotePrefix="0" xfId="0">
      <alignment horizontal="left" vertical="center" indent="1"/>
    </xf>
    <xf numFmtId="0" fontId="21" fillId="9" borderId="0" applyAlignment="1" pivotButton="0" quotePrefix="0" xfId="0">
      <alignment horizontal="left" vertical="top" wrapText="1" indent="1"/>
    </xf>
    <xf numFmtId="0" fontId="22" fillId="0" borderId="0" applyAlignment="1" pivotButton="0" quotePrefix="0" xfId="0">
      <alignment horizontal="left" vertical="center"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www.finamodel.com/" TargetMode="External" Id="rId1"/></Relationships>
</file>

<file path=xl/worksheets/sheet1.xml><?xml version="1.0" encoding="utf-8"?>
<worksheet xmlns="http://schemas.openxmlformats.org/spreadsheetml/2006/main">
  <sheetPr>
    <tabColor rgb="001F4E79"/>
    <outlinePr summaryBelow="1" summaryRight="1"/>
    <pageSetUpPr/>
  </sheetPr>
  <dimension ref="A1:AD32"/>
  <sheetViews>
    <sheetView showGridLines="0" workbookViewId="0">
      <selection activeCell="A1" sqref="A1"/>
    </sheetView>
  </sheetViews>
  <sheetFormatPr baseColWidth="8" defaultRowHeight="15"/>
  <cols>
    <col width="2" customWidth="1" min="1" max="1"/>
    <col width="22" customWidth="1" min="2" max="2"/>
    <col width="50" customWidth="1" min="3" max="3"/>
    <col width="50" customWidth="1" min="4" max="4"/>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Home Builder</t>
        </is>
      </c>
      <c r="C2" s="1" t="n"/>
      <c r="D2" s="3" t="inlineStr">
        <is>
          <t>FINAMODEL.com</t>
        </is>
      </c>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Five-year production homebuilder model</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row r="6">
      <c r="B6" s="5" t="inlineStr">
        <is>
          <t>Sheet</t>
        </is>
      </c>
      <c r="C6" s="5" t="inlineStr">
        <is>
          <t>Purpose</t>
        </is>
      </c>
    </row>
    <row r="7">
      <c r="B7" s="6" t="inlineStr">
        <is>
          <t>Cover</t>
        </is>
      </c>
      <c r="C7" s="7" t="inlineStr">
        <is>
          <t>Title and navigation.</t>
        </is>
      </c>
    </row>
    <row r="8">
      <c r="B8" s="6" t="inlineStr">
        <is>
          <t>Assumptions</t>
        </is>
      </c>
      <c r="C8" s="7" t="inlineStr">
        <is>
          <t>Community panel, segment economics, capital structure.</t>
        </is>
      </c>
    </row>
    <row r="9">
      <c r="B9" s="6" t="inlineStr">
        <is>
          <t>Communities</t>
        </is>
      </c>
      <c r="C9" s="7" t="inlineStr">
        <is>
          <t>Active communities by buyer segment.</t>
        </is>
      </c>
    </row>
    <row r="10">
      <c r="B10" s="6" t="inlineStr">
        <is>
          <t>Closings</t>
        </is>
      </c>
      <c r="C10" s="7" t="inlineStr">
        <is>
          <t>Home closings per segment per year.</t>
        </is>
      </c>
    </row>
    <row r="11">
      <c r="B11" s="6" t="inlineStr">
        <is>
          <t>Revenue</t>
        </is>
      </c>
      <c r="C11" s="7" t="inlineStr">
        <is>
          <t>ASP build, segment revenue, financial services, total.</t>
        </is>
      </c>
    </row>
    <row r="12">
      <c r="B12" s="6" t="inlineStr">
        <is>
          <t>P&amp;L</t>
        </is>
      </c>
      <c r="C12" s="7" t="inlineStr">
        <is>
          <t>Revenue to net income with home gross margin.</t>
        </is>
      </c>
    </row>
    <row r="13">
      <c r="B13" s="6" t="inlineStr">
        <is>
          <t>Inventory_ROIC</t>
        </is>
      </c>
      <c r="C13" s="7" t="inlineStr">
        <is>
          <t>Inventory, debt, equity roll, ROIC and ROE.</t>
        </is>
      </c>
    </row>
    <row r="14">
      <c r="B14" s="6" t="inlineStr">
        <is>
          <t>Dashboard</t>
        </is>
      </c>
      <c r="C14" s="7" t="inlineStr">
        <is>
          <t>Y5 headline metrics and segment closing mix.</t>
        </is>
      </c>
    </row>
    <row r="15"/>
    <row r="16"/>
    <row r="17">
      <c r="B17" s="8" t="inlineStr">
        <is>
          <t>Tab colour legend</t>
        </is>
      </c>
    </row>
    <row r="18">
      <c r="B18" s="7" t="inlineStr">
        <is>
          <t>Dark blue</t>
        </is>
      </c>
      <c r="C18" s="9" t="inlineStr">
        <is>
          <t>Cover</t>
        </is>
      </c>
    </row>
    <row r="19">
      <c r="B19" s="7" t="inlineStr">
        <is>
          <t>Light blue</t>
        </is>
      </c>
      <c r="C19" s="9" t="inlineStr">
        <is>
          <t>Assumptions</t>
        </is>
      </c>
    </row>
    <row r="20">
      <c r="B20" s="7" t="inlineStr">
        <is>
          <t>Green</t>
        </is>
      </c>
      <c r="C20" s="9" t="inlineStr">
        <is>
          <t>Communities, Closings, Revenue</t>
        </is>
      </c>
    </row>
    <row r="21">
      <c r="B21" s="7" t="inlineStr">
        <is>
          <t>Orange</t>
        </is>
      </c>
      <c r="C21" s="9" t="inlineStr">
        <is>
          <t>P&amp;L</t>
        </is>
      </c>
    </row>
    <row r="22">
      <c r="B22" s="7" t="inlineStr">
        <is>
          <t>Red</t>
        </is>
      </c>
      <c r="C22" s="9" t="inlineStr">
        <is>
          <t>Inventory_ROIC</t>
        </is>
      </c>
    </row>
    <row r="23">
      <c r="B23" s="7" t="inlineStr">
        <is>
          <t>Grey</t>
        </is>
      </c>
      <c r="C23" s="9" t="inlineStr">
        <is>
          <t>Dashboard</t>
        </is>
      </c>
    </row>
    <row r="26" ht="20" customHeight="1">
      <c r="B26" s="10" t="inlineStr">
        <is>
          <t>About this model</t>
        </is>
      </c>
      <c r="C26" s="11" t="n"/>
      <c r="D26" s="11" t="n"/>
      <c r="E26" s="11" t="n"/>
      <c r="F26" s="11" t="n"/>
      <c r="G26" s="11" t="n"/>
    </row>
    <row r="27" ht="170.8" customHeight="1">
      <c r="B27" s="12" t="inlineStr">
        <is>
          <t>A home-builder operating model captures the five-year operating economics and capital returns of a public-style production homebuilder (D.R. Horton, Lennar, PulteGroup, NVR, KB Home, Toll Brothers, Taylor Morrison, Meritage). The workbook runs across eight sheets — Cover, Assumptions, Communities, Closings, Revenue, P&amp;L, Inventory_ROIC, Dashboard — plus the shared Disclaimer. Active community panel splits into three buyer segments (entry-level, move-up, luxury), each with its own deliveries-per-community, ASP, and home gross margin. Segment revenue × (1 − home GM) → COGS, plus a financial services attach line (mortgage / title JV) feeds into a full P&amp;L through gross profit, SG&amp;A, EBITDA, D&amp;A, EBIT, interest on prior-period debt, EBT, tax, and net income. Inventory (land + WIP + finished homes) sized off revenue / inventory turns; debt = inventory × debt-to-capital; equity roll-forward (opening + net income); NOPAT = EBIT × (1 − tax); ROIC = NOPAT / inventory; ROE = NI / average equity. Default base case lands at $2.26B Y1 revenue ramping to $3.17B Y5, 25% home gross margin, 15% EBITDA margin, 14% ROIC, 10% ROE — within the institutional benchmark range every public-builder equity research model is calibrated against. Target users are equity research analysts, public-builder CFOs, housing-sector PE associates, and strategic land buyers.</t>
        </is>
      </c>
    </row>
    <row r="29" ht="20" customHeight="1">
      <c r="B29" s="10" t="inlineStr">
        <is>
          <t>About Finamodel</t>
        </is>
      </c>
      <c r="C29" s="11" t="n"/>
      <c r="D29" s="11" t="n"/>
      <c r="E29" s="11" t="n"/>
      <c r="F29" s="11" t="n"/>
      <c r="G29" s="11" t="n"/>
    </row>
    <row r="30" ht="57.4" customHeight="1">
      <c r="B30" s="12" t="inlineStr">
        <is>
          <t>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is>
      </c>
    </row>
    <row r="31">
      <c r="B31" s="13" t="inlineStr">
        <is>
          <t>Thanks for downloading my templates! Feel free to check out other free templates on my site.</t>
        </is>
      </c>
    </row>
    <row r="32">
      <c r="B32" s="14" t="inlineStr">
        <is>
          <t>— Alex Tapio, Founder of Finamodel.com</t>
        </is>
      </c>
    </row>
  </sheetData>
  <mergeCells count="3">
    <mergeCell ref="B30:G30"/>
    <mergeCell ref="B31:G31"/>
    <mergeCell ref="B27:G27"/>
  </mergeCells>
  <hyperlinks>
    <hyperlink xmlns:r="http://schemas.openxmlformats.org/officeDocument/2006/relationships" ref="D2" r:id="rId1"/>
  </hyperlinks>
  <pageMargins left="0.75" right="0.75" top="1" bottom="1" header="0.5" footer="0.5"/>
</worksheet>
</file>

<file path=xl/worksheets/sheet2.xml><?xml version="1.0" encoding="utf-8"?>
<worksheet xmlns="http://schemas.openxmlformats.org/spreadsheetml/2006/main">
  <sheetPr>
    <tabColor rgb="005B9BD5"/>
    <outlinePr summaryBelow="1" summaryRight="1"/>
    <pageSetUpPr/>
  </sheetPr>
  <dimension ref="A1:AD55"/>
  <sheetViews>
    <sheetView showGridLines="0" workbookViewId="0">
      <selection activeCell="A1" sqref="A1"/>
    </sheetView>
  </sheetViews>
  <sheetFormatPr baseColWidth="8" defaultRowHeight="15"/>
  <cols>
    <col width="2" customWidth="1" min="1" max="1"/>
    <col width="36" customWidth="1" min="2" max="2"/>
    <col width="14" customWidth="1" min="3" max="3"/>
    <col width="18" customWidth="1" min="4" max="4"/>
    <col width="30" customWidth="1" min="5" max="5"/>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Assumptions</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Active communities</t>
        </is>
      </c>
    </row>
    <row r="6"/>
    <row r="7">
      <c r="B7" s="7" t="inlineStr">
        <is>
          <t>Active communities Y1</t>
        </is>
      </c>
      <c r="C7" s="15" t="n">
        <v>200</v>
      </c>
      <c r="D7" s="9" t="inlineStr">
        <is>
          <t>panel size</t>
        </is>
      </c>
    </row>
    <row r="8">
      <c r="B8" s="7" t="inlineStr">
        <is>
          <t>Active communities Y2</t>
        </is>
      </c>
      <c r="C8" s="15" t="n">
        <v>215</v>
      </c>
      <c r="D8" s="9" t="inlineStr">
        <is>
          <t>expansion</t>
        </is>
      </c>
    </row>
    <row r="9">
      <c r="B9" s="7" t="inlineStr">
        <is>
          <t>Active communities Y3</t>
        </is>
      </c>
      <c r="C9" s="15" t="n">
        <v>230</v>
      </c>
      <c r="D9" s="9" t="inlineStr">
        <is>
          <t>expansion</t>
        </is>
      </c>
    </row>
    <row r="10">
      <c r="B10" s="7" t="inlineStr">
        <is>
          <t>Active communities Y4</t>
        </is>
      </c>
      <c r="C10" s="15" t="n">
        <v>245</v>
      </c>
      <c r="D10" s="9" t="inlineStr">
        <is>
          <t>platform mode</t>
        </is>
      </c>
    </row>
    <row r="11">
      <c r="B11" s="7" t="inlineStr">
        <is>
          <t>Active communities Y5</t>
        </is>
      </c>
      <c r="C11" s="15" t="n">
        <v>260</v>
      </c>
      <c r="D11" s="9" t="inlineStr">
        <is>
          <t>platform mode</t>
        </is>
      </c>
    </row>
    <row r="12">
      <c r="B12" s="5" t="inlineStr">
        <is>
          <t>Segment mix (% of communities)</t>
        </is>
      </c>
    </row>
    <row r="13"/>
    <row r="14">
      <c r="B14" s="7" t="inlineStr">
        <is>
          <t>Entry-level mix</t>
        </is>
      </c>
      <c r="C14" s="16" t="n">
        <v>0.6</v>
      </c>
      <c r="D14" s="9" t="inlineStr">
        <is>
          <t>first-time / starter</t>
        </is>
      </c>
    </row>
    <row r="15">
      <c r="B15" s="7" t="inlineStr">
        <is>
          <t>Move-up mix</t>
        </is>
      </c>
      <c r="C15" s="16" t="n">
        <v>0.3</v>
      </c>
      <c r="D15" s="9" t="inlineStr">
        <is>
          <t>trade-up family</t>
        </is>
      </c>
    </row>
    <row r="16">
      <c r="B16" s="7" t="inlineStr">
        <is>
          <t>Luxury mix</t>
        </is>
      </c>
      <c r="C16" s="16" t="n">
        <v>0.1</v>
      </c>
      <c r="D16" s="9" t="inlineStr">
        <is>
          <t>premium / active adult</t>
        </is>
      </c>
    </row>
    <row r="17">
      <c r="B17" s="5" t="inlineStr">
        <is>
          <t>Deliveries per community</t>
        </is>
      </c>
    </row>
    <row r="18"/>
    <row r="19">
      <c r="B19" s="7" t="inlineStr">
        <is>
          <t>Entry deliveries / comm / yr</t>
        </is>
      </c>
      <c r="C19" s="15" t="n">
        <v>30</v>
      </c>
      <c r="D19" s="9" t="inlineStr">
        <is>
          <t>high absorption</t>
        </is>
      </c>
    </row>
    <row r="20">
      <c r="B20" s="7" t="inlineStr">
        <is>
          <t>Move-up deliveries / comm / yr</t>
        </is>
      </c>
      <c r="C20" s="15" t="n">
        <v>22</v>
      </c>
      <c r="D20" s="9" t="inlineStr">
        <is>
          <t>mid absorption</t>
        </is>
      </c>
    </row>
    <row r="21">
      <c r="B21" s="7" t="inlineStr">
        <is>
          <t>Luxury deliveries / comm / yr</t>
        </is>
      </c>
      <c r="C21" s="15" t="n">
        <v>12</v>
      </c>
      <c r="D21" s="9" t="inlineStr">
        <is>
          <t>slow absorption</t>
        </is>
      </c>
    </row>
    <row r="22">
      <c r="B22" s="5" t="inlineStr">
        <is>
          <t>Average selling price</t>
        </is>
      </c>
    </row>
    <row r="23"/>
    <row r="24">
      <c r="B24" s="7" t="inlineStr">
        <is>
          <t>Entry ASP</t>
        </is>
      </c>
      <c r="C24" s="17" t="n">
        <v>360000</v>
      </c>
      <c r="D24" s="9" t="inlineStr">
        <is>
          <t>Y1 base</t>
        </is>
      </c>
    </row>
    <row r="25">
      <c r="B25" s="7" t="inlineStr">
        <is>
          <t>Move-up ASP</t>
        </is>
      </c>
      <c r="C25" s="17" t="n">
        <v>540000</v>
      </c>
      <c r="D25" s="9" t="inlineStr">
        <is>
          <t>Y1 base</t>
        </is>
      </c>
    </row>
    <row r="26">
      <c r="B26" s="7" t="inlineStr">
        <is>
          <t>Luxury ASP</t>
        </is>
      </c>
      <c r="C26" s="17" t="n">
        <v>950000</v>
      </c>
      <c r="D26" s="9" t="inlineStr">
        <is>
          <t>Y1 base</t>
        </is>
      </c>
    </row>
    <row r="27">
      <c r="B27" s="7" t="inlineStr">
        <is>
          <t>ASP growth</t>
        </is>
      </c>
      <c r="C27" s="16" t="n">
        <v>0.02</v>
      </c>
      <c r="D27" s="9" t="inlineStr">
        <is>
          <t>annual, all segments</t>
        </is>
      </c>
    </row>
    <row r="28">
      <c r="B28" s="5" t="inlineStr">
        <is>
          <t>Home gross margin</t>
        </is>
      </c>
    </row>
    <row r="29"/>
    <row r="30">
      <c r="B30" s="7" t="inlineStr">
        <is>
          <t>Entry home GM</t>
        </is>
      </c>
      <c r="C30" s="16" t="n">
        <v>0.24</v>
      </c>
      <c r="D30" s="9" t="inlineStr">
        <is>
          <t>post land + sticks + bricks</t>
        </is>
      </c>
    </row>
    <row r="31">
      <c r="B31" s="7" t="inlineStr">
        <is>
          <t>Move-up home GM</t>
        </is>
      </c>
      <c r="C31" s="16" t="n">
        <v>0.26</v>
      </c>
      <c r="D31" s="9" t="inlineStr">
        <is>
          <t>premium amenities</t>
        </is>
      </c>
    </row>
    <row r="32">
      <c r="B32" s="7" t="inlineStr">
        <is>
          <t>Luxury home GM</t>
        </is>
      </c>
      <c r="C32" s="16" t="n">
        <v>0.28</v>
      </c>
      <c r="D32" s="9" t="inlineStr">
        <is>
          <t>premium price elasticity</t>
        </is>
      </c>
    </row>
    <row r="33">
      <c r="B33" s="5" t="inlineStr">
        <is>
          <t>Financial services</t>
        </is>
      </c>
    </row>
    <row r="34"/>
    <row r="35">
      <c r="B35" s="7" t="inlineStr">
        <is>
          <t>Mortgage / title attach</t>
        </is>
      </c>
      <c r="C35" s="16" t="n">
        <v>0.75</v>
      </c>
      <c r="D35" s="9" t="inlineStr">
        <is>
          <t>of closings</t>
        </is>
      </c>
    </row>
    <row r="36">
      <c r="B36" s="7" t="inlineStr">
        <is>
          <t>FS revenue per loan</t>
        </is>
      </c>
      <c r="C36" s="17" t="n">
        <v>5000</v>
      </c>
      <c r="D36" s="9" t="inlineStr">
        <is>
          <t>blended JV</t>
        </is>
      </c>
    </row>
    <row r="37">
      <c r="B37" s="7" t="inlineStr">
        <is>
          <t>FS gross margin</t>
        </is>
      </c>
      <c r="C37" s="16" t="n">
        <v>0.45</v>
      </c>
      <c r="D37" s="9" t="inlineStr">
        <is>
          <t>after origination cost</t>
        </is>
      </c>
    </row>
    <row r="38">
      <c r="B38" s="5" t="inlineStr">
        <is>
          <t>P&amp;L drivers</t>
        </is>
      </c>
    </row>
    <row r="39"/>
    <row r="40">
      <c r="B40" s="7" t="inlineStr">
        <is>
          <t>SG&amp;A</t>
        </is>
      </c>
      <c r="C40" s="16" t="n">
        <v>0.1</v>
      </c>
      <c r="D40" s="9" t="inlineStr">
        <is>
          <t>of total revenue</t>
        </is>
      </c>
    </row>
    <row r="41">
      <c r="B41" s="7" t="inlineStr">
        <is>
          <t>D&amp;A</t>
        </is>
      </c>
      <c r="C41" s="16" t="n">
        <v>0.005</v>
      </c>
      <c r="D41" s="9" t="inlineStr">
        <is>
          <t>of total revenue</t>
        </is>
      </c>
    </row>
    <row r="42">
      <c r="B42" s="7" t="inlineStr">
        <is>
          <t>Tax rate</t>
        </is>
      </c>
      <c r="C42" s="16" t="n">
        <v>0.25</v>
      </c>
      <c r="D42" s="9" t="inlineStr">
        <is>
          <t>on positive EBT</t>
        </is>
      </c>
    </row>
    <row r="43">
      <c r="B43" s="5" t="inlineStr">
        <is>
          <t>Capital structure</t>
        </is>
      </c>
    </row>
    <row r="44"/>
    <row r="45">
      <c r="B45" s="7" t="inlineStr">
        <is>
          <t>Inventory turns</t>
        </is>
      </c>
      <c r="C45" s="18" t="n">
        <v>1.3</v>
      </c>
      <c r="D45" s="9" t="inlineStr">
        <is>
          <t>revenue / inventory</t>
        </is>
      </c>
    </row>
    <row r="46">
      <c r="B46" s="7" t="inlineStr">
        <is>
          <t>Debt-to-capital</t>
        </is>
      </c>
      <c r="C46" s="16" t="n">
        <v>0.3</v>
      </c>
      <c r="D46" s="9" t="inlineStr">
        <is>
          <t>of inventory</t>
        </is>
      </c>
    </row>
    <row r="47">
      <c r="B47" s="7" t="inlineStr">
        <is>
          <t>Cost of debt</t>
        </is>
      </c>
      <c r="C47" s="16" t="n">
        <v>0.06</v>
      </c>
      <c r="D47" s="9" t="inlineStr">
        <is>
          <t>blended senior + sub</t>
        </is>
      </c>
    </row>
    <row r="48">
      <c r="B48" s="7" t="inlineStr">
        <is>
          <t>Starting equity</t>
        </is>
      </c>
      <c r="C48" s="17" t="n">
        <v>2000000000</v>
      </c>
      <c r="D48" s="9" t="inlineStr">
        <is>
          <t>Y0 book value</t>
        </is>
      </c>
    </row>
    <row r="49">
      <c r="B49" s="7" t="inlineStr">
        <is>
          <t>Starting debt</t>
        </is>
      </c>
      <c r="C49" s="17" t="n">
        <v>550000000</v>
      </c>
      <c r="D49" s="9" t="inlineStr">
        <is>
          <t>Y0 net debt</t>
        </is>
      </c>
    </row>
    <row r="50">
      <c r="B50" s="5" t="inlineStr">
        <is>
          <t>Status thresholds</t>
        </is>
      </c>
    </row>
    <row r="51"/>
    <row r="52">
      <c r="B52" s="7" t="inlineStr">
        <is>
          <t>Home GM: on-track</t>
        </is>
      </c>
      <c r="C52" s="16" t="n">
        <v>0.24</v>
      </c>
      <c r="D52" s="9" t="inlineStr">
        <is>
          <t>platform</t>
        </is>
      </c>
    </row>
    <row r="53">
      <c r="B53" s="7" t="inlineStr">
        <is>
          <t>Home GM: watch</t>
        </is>
      </c>
      <c r="C53" s="16" t="n">
        <v>0.2</v>
      </c>
      <c r="D53" s="9" t="inlineStr">
        <is>
          <t>platform</t>
        </is>
      </c>
    </row>
    <row r="54">
      <c r="B54" s="7" t="inlineStr">
        <is>
          <t>ROIC: on-track</t>
        </is>
      </c>
      <c r="C54" s="16" t="n">
        <v>0.14</v>
      </c>
      <c r="D54" s="9" t="inlineStr">
        <is>
          <t>annual</t>
        </is>
      </c>
    </row>
    <row r="55">
      <c r="B55" s="7" t="inlineStr">
        <is>
          <t>ROIC: watch</t>
        </is>
      </c>
      <c r="C55" s="16" t="n">
        <v>0.1</v>
      </c>
      <c r="D55" s="9" t="inlineStr">
        <is>
          <t>annual</t>
        </is>
      </c>
    </row>
  </sheetData>
  <pageMargins left="0.75" right="0.75" top="1" bottom="1" header="0.5" footer="0.5"/>
</worksheet>
</file>

<file path=xl/worksheets/sheet3.xml><?xml version="1.0" encoding="utf-8"?>
<worksheet xmlns="http://schemas.openxmlformats.org/spreadsheetml/2006/main">
  <sheetPr>
    <tabColor rgb="0070AD47"/>
    <outlinePr summaryBelow="1" summaryRight="1"/>
    <pageSetUpPr/>
  </sheetPr>
  <dimension ref="A1:AD12"/>
  <sheetViews>
    <sheetView showGridLines="0" workbookViewId="0">
      <selection activeCell="A1" sqref="A1"/>
    </sheetView>
  </sheetViews>
  <sheetFormatPr baseColWidth="8" defaultRowHeight="15"/>
  <cols>
    <col width="2" customWidth="1" min="1" max="1"/>
    <col width="28" customWidth="1" min="2" max="2"/>
    <col width="14" customWidth="1" min="3" max="3"/>
    <col width="14" customWidth="1" min="4" max="4"/>
    <col width="14" customWidth="1" min="5" max="5"/>
    <col width="14" customWidth="1" min="6" max="6"/>
    <col width="14"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Communities</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Active panel by segment</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Active communities</t>
        </is>
      </c>
    </row>
    <row r="6">
      <c r="B6" s="5" t="inlineStr">
        <is>
          <t>Item</t>
        </is>
      </c>
      <c r="C6" s="19" t="inlineStr">
        <is>
          <t>Y1</t>
        </is>
      </c>
      <c r="D6" s="19" t="inlineStr">
        <is>
          <t>Y2</t>
        </is>
      </c>
      <c r="E6" s="19" t="inlineStr">
        <is>
          <t>Y3</t>
        </is>
      </c>
      <c r="F6" s="19" t="inlineStr">
        <is>
          <t>Y4</t>
        </is>
      </c>
      <c r="G6" s="19" t="inlineStr">
        <is>
          <t>Y5</t>
        </is>
      </c>
    </row>
    <row r="7">
      <c r="B7" s="6" t="inlineStr">
        <is>
          <t>Active communities</t>
        </is>
      </c>
      <c r="C7" s="20">
        <f>Comm_Y1</f>
        <v/>
      </c>
      <c r="D7" s="20">
        <f>Comm_Y2</f>
        <v/>
      </c>
      <c r="E7" s="20">
        <f>Comm_Y3</f>
        <v/>
      </c>
      <c r="F7" s="20">
        <f>Comm_Y4</f>
        <v/>
      </c>
      <c r="G7" s="20">
        <f>Comm_Y5</f>
        <v/>
      </c>
    </row>
    <row r="8"/>
    <row r="9">
      <c r="B9" s="21" t="inlineStr">
        <is>
          <t>Entry</t>
        </is>
      </c>
      <c r="C9" s="22">
        <f>C7*Mix_Entry</f>
        <v/>
      </c>
      <c r="D9" s="22">
        <f>D7*Mix_Entry</f>
        <v/>
      </c>
      <c r="E9" s="22">
        <f>E7*Mix_Entry</f>
        <v/>
      </c>
      <c r="F9" s="22">
        <f>F7*Mix_Entry</f>
        <v/>
      </c>
      <c r="G9" s="22">
        <f>G7*Mix_Entry</f>
        <v/>
      </c>
    </row>
    <row r="10">
      <c r="B10" s="21" t="inlineStr">
        <is>
          <t>Move-up</t>
        </is>
      </c>
      <c r="C10" s="22">
        <f>C7*Mix_Moveup</f>
        <v/>
      </c>
      <c r="D10" s="22">
        <f>D7*Mix_Moveup</f>
        <v/>
      </c>
      <c r="E10" s="22">
        <f>E7*Mix_Moveup</f>
        <v/>
      </c>
      <c r="F10" s="22">
        <f>F7*Mix_Moveup</f>
        <v/>
      </c>
      <c r="G10" s="22">
        <f>G7*Mix_Moveup</f>
        <v/>
      </c>
    </row>
    <row r="11">
      <c r="B11" s="21" t="inlineStr">
        <is>
          <t>Luxury</t>
        </is>
      </c>
      <c r="C11" s="22">
        <f>C7*Mix_Lux</f>
        <v/>
      </c>
      <c r="D11" s="22">
        <f>D7*Mix_Lux</f>
        <v/>
      </c>
      <c r="E11" s="22">
        <f>E7*Mix_Lux</f>
        <v/>
      </c>
      <c r="F11" s="22">
        <f>F7*Mix_Lux</f>
        <v/>
      </c>
      <c r="G11" s="22">
        <f>G7*Mix_Lux</f>
        <v/>
      </c>
    </row>
    <row r="12">
      <c r="B12" s="23" t="inlineStr">
        <is>
          <t>Total (check)</t>
        </is>
      </c>
      <c r="C12" s="24">
        <f>SUM(C9:C11)</f>
        <v/>
      </c>
      <c r="D12" s="24">
        <f>SUM(D9:D11)</f>
        <v/>
      </c>
      <c r="E12" s="24">
        <f>SUM(E9:E11)</f>
        <v/>
      </c>
      <c r="F12" s="24">
        <f>SUM(F9:F11)</f>
        <v/>
      </c>
      <c r="G12" s="24">
        <f>SUM(G9:G11)</f>
        <v/>
      </c>
    </row>
  </sheetData>
  <pageMargins left="0.75" right="0.75" top="1" bottom="1" header="0.5" footer="0.5"/>
</worksheet>
</file>

<file path=xl/worksheets/sheet4.xml><?xml version="1.0" encoding="utf-8"?>
<worksheet xmlns="http://schemas.openxmlformats.org/spreadsheetml/2006/main">
  <sheetPr>
    <tabColor rgb="0070AD47"/>
    <outlinePr summaryBelow="1" summaryRight="1"/>
    <pageSetUpPr/>
  </sheetPr>
  <dimension ref="A1:AD10"/>
  <sheetViews>
    <sheetView showGridLines="0" workbookViewId="0">
      <selection activeCell="A1" sqref="A1"/>
    </sheetView>
  </sheetViews>
  <sheetFormatPr baseColWidth="8" defaultRowHeight="15"/>
  <cols>
    <col width="2" customWidth="1" min="1" max="1"/>
    <col width="28" customWidth="1" min="2" max="2"/>
    <col width="14" customWidth="1" min="3" max="3"/>
    <col width="14" customWidth="1" min="4" max="4"/>
    <col width="14" customWidth="1" min="5" max="5"/>
    <col width="14" customWidth="1" min="6" max="6"/>
    <col width="14"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Closings</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Deliveries by segment</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Closings</t>
        </is>
      </c>
    </row>
    <row r="6">
      <c r="B6" s="5" t="inlineStr">
        <is>
          <t>Segment</t>
        </is>
      </c>
      <c r="C6" s="19" t="inlineStr">
        <is>
          <t>Y1</t>
        </is>
      </c>
      <c r="D6" s="19" t="inlineStr">
        <is>
          <t>Y2</t>
        </is>
      </c>
      <c r="E6" s="19" t="inlineStr">
        <is>
          <t>Y3</t>
        </is>
      </c>
      <c r="F6" s="19" t="inlineStr">
        <is>
          <t>Y4</t>
        </is>
      </c>
      <c r="G6" s="19" t="inlineStr">
        <is>
          <t>Y5</t>
        </is>
      </c>
    </row>
    <row r="7">
      <c r="B7" s="7" t="inlineStr">
        <is>
          <t>Entry</t>
        </is>
      </c>
      <c r="C7" s="25">
        <f>Communities!C9*Deliv_Entry</f>
        <v/>
      </c>
      <c r="D7" s="25">
        <f>Communities!D9*Deliv_Entry</f>
        <v/>
      </c>
      <c r="E7" s="25">
        <f>Communities!E9*Deliv_Entry</f>
        <v/>
      </c>
      <c r="F7" s="25">
        <f>Communities!F9*Deliv_Entry</f>
        <v/>
      </c>
      <c r="G7" s="25">
        <f>Communities!G9*Deliv_Entry</f>
        <v/>
      </c>
    </row>
    <row r="8">
      <c r="B8" s="7" t="inlineStr">
        <is>
          <t>Move-up</t>
        </is>
      </c>
      <c r="C8" s="25">
        <f>Communities!C10*Deliv_Moveup</f>
        <v/>
      </c>
      <c r="D8" s="25">
        <f>Communities!D10*Deliv_Moveup</f>
        <v/>
      </c>
      <c r="E8" s="25">
        <f>Communities!E10*Deliv_Moveup</f>
        <v/>
      </c>
      <c r="F8" s="25">
        <f>Communities!F10*Deliv_Moveup</f>
        <v/>
      </c>
      <c r="G8" s="25">
        <f>Communities!G10*Deliv_Moveup</f>
        <v/>
      </c>
    </row>
    <row r="9">
      <c r="B9" s="7" t="inlineStr">
        <is>
          <t>Luxury</t>
        </is>
      </c>
      <c r="C9" s="25">
        <f>Communities!C11*Deliv_Lux</f>
        <v/>
      </c>
      <c r="D9" s="25">
        <f>Communities!D11*Deliv_Lux</f>
        <v/>
      </c>
      <c r="E9" s="25">
        <f>Communities!E11*Deliv_Lux</f>
        <v/>
      </c>
      <c r="F9" s="25">
        <f>Communities!F11*Deliv_Lux</f>
        <v/>
      </c>
      <c r="G9" s="25">
        <f>Communities!G11*Deliv_Lux</f>
        <v/>
      </c>
    </row>
    <row r="10">
      <c r="B10" s="23" t="inlineStr">
        <is>
          <t>Total closings</t>
        </is>
      </c>
      <c r="C10" s="26">
        <f>SUM(C7:C9)</f>
        <v/>
      </c>
      <c r="D10" s="26">
        <f>SUM(D7:D9)</f>
        <v/>
      </c>
      <c r="E10" s="26">
        <f>SUM(E7:E9)</f>
        <v/>
      </c>
      <c r="F10" s="26">
        <f>SUM(F7:F9)</f>
        <v/>
      </c>
      <c r="G10" s="26">
        <f>SUM(G7:G9)</f>
        <v/>
      </c>
    </row>
  </sheetData>
  <pageMargins left="0.75" right="0.75" top="1" bottom="1" header="0.5" footer="0.5"/>
</worksheet>
</file>

<file path=xl/worksheets/sheet5.xml><?xml version="1.0" encoding="utf-8"?>
<worksheet xmlns="http://schemas.openxmlformats.org/spreadsheetml/2006/main">
  <sheetPr>
    <tabColor rgb="0070AD47"/>
    <outlinePr summaryBelow="1" summaryRight="1"/>
    <pageSetUpPr/>
  </sheetPr>
  <dimension ref="A1:AD18"/>
  <sheetViews>
    <sheetView showGridLines="0" workbookViewId="0">
      <selection activeCell="A1" sqref="A1"/>
    </sheetView>
  </sheetViews>
  <sheetFormatPr baseColWidth="8" defaultRowHeight="15"/>
  <cols>
    <col width="2" customWidth="1" min="1" max="1"/>
    <col width="30" customWidth="1" min="2" max="2"/>
    <col width="14" customWidth="1" min="3" max="3"/>
    <col width="14" customWidth="1" min="4" max="4"/>
    <col width="14" customWidth="1" min="5" max="5"/>
    <col width="14" customWidth="1" min="6" max="6"/>
    <col width="14"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Revenue</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ASP and revenue by segment</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Average selling price</t>
        </is>
      </c>
    </row>
    <row r="6">
      <c r="B6" s="5" t="inlineStr">
        <is>
          <t>Segment</t>
        </is>
      </c>
      <c r="C6" s="19" t="inlineStr">
        <is>
          <t>Y1</t>
        </is>
      </c>
      <c r="D6" s="19" t="inlineStr">
        <is>
          <t>Y2</t>
        </is>
      </c>
      <c r="E6" s="19" t="inlineStr">
        <is>
          <t>Y3</t>
        </is>
      </c>
      <c r="F6" s="19" t="inlineStr">
        <is>
          <t>Y4</t>
        </is>
      </c>
      <c r="G6" s="19" t="inlineStr">
        <is>
          <t>Y5</t>
        </is>
      </c>
    </row>
    <row r="7">
      <c r="B7" s="7" t="inlineStr">
        <is>
          <t>Entry ASP</t>
        </is>
      </c>
      <c r="C7" s="27">
        <f>ASP_Entry*(1+ASP_Growth)^0</f>
        <v/>
      </c>
      <c r="D7" s="27">
        <f>ASP_Entry*(1+ASP_Growth)^1</f>
        <v/>
      </c>
      <c r="E7" s="27">
        <f>ASP_Entry*(1+ASP_Growth)^2</f>
        <v/>
      </c>
      <c r="F7" s="27">
        <f>ASP_Entry*(1+ASP_Growth)^3</f>
        <v/>
      </c>
      <c r="G7" s="27">
        <f>ASP_Entry*(1+ASP_Growth)^4</f>
        <v/>
      </c>
    </row>
    <row r="8">
      <c r="B8" s="7" t="inlineStr">
        <is>
          <t>Move-up ASP</t>
        </is>
      </c>
      <c r="C8" s="27">
        <f>ASP_Moveup*(1+ASP_Growth)^0</f>
        <v/>
      </c>
      <c r="D8" s="27">
        <f>ASP_Moveup*(1+ASP_Growth)^1</f>
        <v/>
      </c>
      <c r="E8" s="27">
        <f>ASP_Moveup*(1+ASP_Growth)^2</f>
        <v/>
      </c>
      <c r="F8" s="27">
        <f>ASP_Moveup*(1+ASP_Growth)^3</f>
        <v/>
      </c>
      <c r="G8" s="27">
        <f>ASP_Moveup*(1+ASP_Growth)^4</f>
        <v/>
      </c>
    </row>
    <row r="9">
      <c r="B9" s="7" t="inlineStr">
        <is>
          <t>Luxury ASP</t>
        </is>
      </c>
      <c r="C9" s="27">
        <f>ASP_Lux*(1+ASP_Growth)^0</f>
        <v/>
      </c>
      <c r="D9" s="27">
        <f>ASP_Lux*(1+ASP_Growth)^1</f>
        <v/>
      </c>
      <c r="E9" s="27">
        <f>ASP_Lux*(1+ASP_Growth)^2</f>
        <v/>
      </c>
      <c r="F9" s="27">
        <f>ASP_Lux*(1+ASP_Growth)^3</f>
        <v/>
      </c>
      <c r="G9" s="27">
        <f>ASP_Lux*(1+ASP_Growth)^4</f>
        <v/>
      </c>
    </row>
    <row r="10"/>
    <row r="11">
      <c r="B11" s="5" t="inlineStr">
        <is>
          <t>Revenue by segment</t>
        </is>
      </c>
    </row>
    <row r="12">
      <c r="B12" s="5" t="inlineStr">
        <is>
          <t>Stream</t>
        </is>
      </c>
      <c r="C12" s="19" t="inlineStr">
        <is>
          <t>Y1</t>
        </is>
      </c>
      <c r="D12" s="19" t="inlineStr">
        <is>
          <t>Y2</t>
        </is>
      </c>
      <c r="E12" s="19" t="inlineStr">
        <is>
          <t>Y3</t>
        </is>
      </c>
      <c r="F12" s="19" t="inlineStr">
        <is>
          <t>Y4</t>
        </is>
      </c>
      <c r="G12" s="19" t="inlineStr">
        <is>
          <t>Y5</t>
        </is>
      </c>
    </row>
    <row r="13">
      <c r="B13" s="7" t="inlineStr">
        <is>
          <t>Entry homes</t>
        </is>
      </c>
      <c r="C13" s="27">
        <f>Closings!C7*C7</f>
        <v/>
      </c>
      <c r="D13" s="27">
        <f>Closings!D7*D7</f>
        <v/>
      </c>
      <c r="E13" s="27">
        <f>Closings!E7*E7</f>
        <v/>
      </c>
      <c r="F13" s="27">
        <f>Closings!F7*F7</f>
        <v/>
      </c>
      <c r="G13" s="27">
        <f>Closings!G7*G7</f>
        <v/>
      </c>
    </row>
    <row r="14">
      <c r="B14" s="7" t="inlineStr">
        <is>
          <t>Move-up homes</t>
        </is>
      </c>
      <c r="C14" s="27">
        <f>Closings!C8*C8</f>
        <v/>
      </c>
      <c r="D14" s="27">
        <f>Closings!D8*D8</f>
        <v/>
      </c>
      <c r="E14" s="27">
        <f>Closings!E8*E8</f>
        <v/>
      </c>
      <c r="F14" s="27">
        <f>Closings!F8*F8</f>
        <v/>
      </c>
      <c r="G14" s="27">
        <f>Closings!G8*G8</f>
        <v/>
      </c>
    </row>
    <row r="15">
      <c r="B15" s="7" t="inlineStr">
        <is>
          <t>Luxury homes</t>
        </is>
      </c>
      <c r="C15" s="27">
        <f>Closings!C9*C9</f>
        <v/>
      </c>
      <c r="D15" s="27">
        <f>Closings!D9*D9</f>
        <v/>
      </c>
      <c r="E15" s="27">
        <f>Closings!E9*E9</f>
        <v/>
      </c>
      <c r="F15" s="27">
        <f>Closings!F9*F9</f>
        <v/>
      </c>
      <c r="G15" s="27">
        <f>Closings!G9*G9</f>
        <v/>
      </c>
    </row>
    <row r="16">
      <c r="B16" s="23" t="inlineStr">
        <is>
          <t>Homebuilding revenue</t>
        </is>
      </c>
      <c r="C16" s="28">
        <f>SUM(C13:C15)</f>
        <v/>
      </c>
      <c r="D16" s="28">
        <f>SUM(D13:D15)</f>
        <v/>
      </c>
      <c r="E16" s="28">
        <f>SUM(E13:E15)</f>
        <v/>
      </c>
      <c r="F16" s="28">
        <f>SUM(F13:F15)</f>
        <v/>
      </c>
      <c r="G16" s="28">
        <f>SUM(G13:G15)</f>
        <v/>
      </c>
    </row>
    <row r="17">
      <c r="B17" s="7" t="inlineStr">
        <is>
          <t>Financial services</t>
        </is>
      </c>
      <c r="C17" s="27">
        <f>Closings!C10*FS_Attach*FS_Rev_per_Loan</f>
        <v/>
      </c>
      <c r="D17" s="27">
        <f>Closings!D10*FS_Attach*FS_Rev_per_Loan</f>
        <v/>
      </c>
      <c r="E17" s="27">
        <f>Closings!E10*FS_Attach*FS_Rev_per_Loan</f>
        <v/>
      </c>
      <c r="F17" s="27">
        <f>Closings!F10*FS_Attach*FS_Rev_per_Loan</f>
        <v/>
      </c>
      <c r="G17" s="27">
        <f>Closings!G10*FS_Attach*FS_Rev_per_Loan</f>
        <v/>
      </c>
    </row>
    <row r="18">
      <c r="B18" s="29" t="inlineStr">
        <is>
          <t>Total revenue</t>
        </is>
      </c>
      <c r="C18" s="30">
        <f>C16+C17</f>
        <v/>
      </c>
      <c r="D18" s="30">
        <f>D16+D17</f>
        <v/>
      </c>
      <c r="E18" s="30">
        <f>E16+E17</f>
        <v/>
      </c>
      <c r="F18" s="30">
        <f>F16+F17</f>
        <v/>
      </c>
      <c r="G18" s="30">
        <f>G16+G17</f>
        <v/>
      </c>
    </row>
  </sheetData>
  <pageMargins left="0.75" right="0.75" top="1" bottom="1" header="0.5" footer="0.5"/>
</worksheet>
</file>

<file path=xl/worksheets/sheet6.xml><?xml version="1.0" encoding="utf-8"?>
<worksheet xmlns="http://schemas.openxmlformats.org/spreadsheetml/2006/main">
  <sheetPr>
    <tabColor rgb="00ED7D31"/>
    <outlinePr summaryBelow="1" summaryRight="1"/>
    <pageSetUpPr/>
  </sheetPr>
  <dimension ref="A1:AD32"/>
  <sheetViews>
    <sheetView showGridLines="0" workbookViewId="0">
      <selection activeCell="A1" sqref="A1"/>
    </sheetView>
  </sheetViews>
  <sheetFormatPr baseColWidth="8" defaultRowHeight="15"/>
  <cols>
    <col width="2" customWidth="1" min="1" max="1"/>
    <col width="30" customWidth="1" min="2" max="2"/>
    <col width="14" customWidth="1" min="3" max="3"/>
    <col width="14" customWidth="1" min="4" max="4"/>
    <col width="14" customWidth="1" min="5" max="5"/>
    <col width="14" customWidth="1" min="6" max="6"/>
    <col width="14"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P&amp;L</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Revenue to net income</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Revenue</t>
        </is>
      </c>
    </row>
    <row r="6">
      <c r="B6" s="5" t="inlineStr">
        <is>
          <t>Item</t>
        </is>
      </c>
      <c r="C6" s="19" t="inlineStr">
        <is>
          <t>Y1</t>
        </is>
      </c>
      <c r="D6" s="19" t="inlineStr">
        <is>
          <t>Y2</t>
        </is>
      </c>
      <c r="E6" s="19" t="inlineStr">
        <is>
          <t>Y3</t>
        </is>
      </c>
      <c r="F6" s="19" t="inlineStr">
        <is>
          <t>Y4</t>
        </is>
      </c>
      <c r="G6" s="19" t="inlineStr">
        <is>
          <t>Y5</t>
        </is>
      </c>
    </row>
    <row r="7">
      <c r="B7" s="7" t="inlineStr">
        <is>
          <t>Homebuilding revenue</t>
        </is>
      </c>
      <c r="C7" s="27">
        <f>Revenue!C16</f>
        <v/>
      </c>
      <c r="D7" s="27">
        <f>Revenue!D16</f>
        <v/>
      </c>
      <c r="E7" s="27">
        <f>Revenue!E16</f>
        <v/>
      </c>
      <c r="F7" s="27">
        <f>Revenue!F16</f>
        <v/>
      </c>
      <c r="G7" s="27">
        <f>Revenue!G16</f>
        <v/>
      </c>
    </row>
    <row r="8">
      <c r="B8" s="7" t="inlineStr">
        <is>
          <t>Financial services</t>
        </is>
      </c>
      <c r="C8" s="27">
        <f>Revenue!C17</f>
        <v/>
      </c>
      <c r="D8" s="27">
        <f>Revenue!D17</f>
        <v/>
      </c>
      <c r="E8" s="27">
        <f>Revenue!E17</f>
        <v/>
      </c>
      <c r="F8" s="27">
        <f>Revenue!F17</f>
        <v/>
      </c>
      <c r="G8" s="27">
        <f>Revenue!G17</f>
        <v/>
      </c>
    </row>
    <row r="9">
      <c r="B9" s="23" t="inlineStr">
        <is>
          <t>Total revenue</t>
        </is>
      </c>
      <c r="C9" s="28">
        <f>C7+C8</f>
        <v/>
      </c>
      <c r="D9" s="28">
        <f>D7+D8</f>
        <v/>
      </c>
      <c r="E9" s="28">
        <f>E7+E8</f>
        <v/>
      </c>
      <c r="F9" s="28">
        <f>F7+F8</f>
        <v/>
      </c>
      <c r="G9" s="28">
        <f>G7+G8</f>
        <v/>
      </c>
    </row>
    <row r="10"/>
    <row r="11">
      <c r="B11" s="5" t="inlineStr">
        <is>
          <t>Cost of homes sold</t>
        </is>
      </c>
    </row>
    <row r="12">
      <c r="B12" s="21" t="inlineStr">
        <is>
          <t>Entry COGS</t>
        </is>
      </c>
      <c r="C12" s="27">
        <f>Revenue!C13*(1-GM_Entry)</f>
        <v/>
      </c>
      <c r="D12" s="27">
        <f>Revenue!D13*(1-GM_Entry)</f>
        <v/>
      </c>
      <c r="E12" s="27">
        <f>Revenue!E13*(1-GM_Entry)</f>
        <v/>
      </c>
      <c r="F12" s="27">
        <f>Revenue!F13*(1-GM_Entry)</f>
        <v/>
      </c>
      <c r="G12" s="27">
        <f>Revenue!G13*(1-GM_Entry)</f>
        <v/>
      </c>
    </row>
    <row r="13">
      <c r="B13" s="21" t="inlineStr">
        <is>
          <t>Move-up COGS</t>
        </is>
      </c>
      <c r="C13" s="27">
        <f>Revenue!C14*(1-GM_Moveup)</f>
        <v/>
      </c>
      <c r="D13" s="27">
        <f>Revenue!D14*(1-GM_Moveup)</f>
        <v/>
      </c>
      <c r="E13" s="27">
        <f>Revenue!E14*(1-GM_Moveup)</f>
        <v/>
      </c>
      <c r="F13" s="27">
        <f>Revenue!F14*(1-GM_Moveup)</f>
        <v/>
      </c>
      <c r="G13" s="27">
        <f>Revenue!G14*(1-GM_Moveup)</f>
        <v/>
      </c>
    </row>
    <row r="14">
      <c r="B14" s="21" t="inlineStr">
        <is>
          <t>Luxury COGS</t>
        </is>
      </c>
      <c r="C14" s="27">
        <f>Revenue!C15*(1-GM_Lux)</f>
        <v/>
      </c>
      <c r="D14" s="27">
        <f>Revenue!D15*(1-GM_Lux)</f>
        <v/>
      </c>
      <c r="E14" s="27">
        <f>Revenue!E15*(1-GM_Lux)</f>
        <v/>
      </c>
      <c r="F14" s="27">
        <f>Revenue!F15*(1-GM_Lux)</f>
        <v/>
      </c>
      <c r="G14" s="27">
        <f>Revenue!G15*(1-GM_Lux)</f>
        <v/>
      </c>
    </row>
    <row r="15">
      <c r="B15" s="21" t="inlineStr">
        <is>
          <t>FS COGS</t>
        </is>
      </c>
      <c r="C15" s="27">
        <f>C8*(1-FS_Margin)</f>
        <v/>
      </c>
      <c r="D15" s="27">
        <f>D8*(1-FS_Margin)</f>
        <v/>
      </c>
      <c r="E15" s="27">
        <f>E8*(1-FS_Margin)</f>
        <v/>
      </c>
      <c r="F15" s="27">
        <f>F8*(1-FS_Margin)</f>
        <v/>
      </c>
      <c r="G15" s="27">
        <f>G8*(1-FS_Margin)</f>
        <v/>
      </c>
    </row>
    <row r="16">
      <c r="B16" s="23" t="inlineStr">
        <is>
          <t>Total COGS</t>
        </is>
      </c>
      <c r="C16" s="28">
        <f>SUM(C12:C15)</f>
        <v/>
      </c>
      <c r="D16" s="28">
        <f>SUM(D12:D15)</f>
        <v/>
      </c>
      <c r="E16" s="28">
        <f>SUM(E12:E15)</f>
        <v/>
      </c>
      <c r="F16" s="28">
        <f>SUM(F12:F15)</f>
        <v/>
      </c>
      <c r="G16" s="28">
        <f>SUM(G12:G15)</f>
        <v/>
      </c>
    </row>
    <row r="17"/>
    <row r="18">
      <c r="B18" s="6" t="inlineStr">
        <is>
          <t>Gross profit</t>
        </is>
      </c>
      <c r="C18" s="31">
        <f>C9-C16</f>
        <v/>
      </c>
      <c r="D18" s="31">
        <f>D9-D16</f>
        <v/>
      </c>
      <c r="E18" s="31">
        <f>E9-E16</f>
        <v/>
      </c>
      <c r="F18" s="31">
        <f>F9-F16</f>
        <v/>
      </c>
      <c r="G18" s="31">
        <f>G9-G16</f>
        <v/>
      </c>
    </row>
    <row r="19">
      <c r="B19" s="7" t="inlineStr">
        <is>
          <t>Home gross margin</t>
        </is>
      </c>
      <c r="C19" s="32">
        <f>IF(C7=0,0,(C7-SUM(C12:C14))/C7)</f>
        <v/>
      </c>
      <c r="D19" s="32">
        <f>IF(D7=0,0,(D7-SUM(D12:D14))/D7)</f>
        <v/>
      </c>
      <c r="E19" s="32">
        <f>IF(E7=0,0,(E7-SUM(E12:E14))/E7)</f>
        <v/>
      </c>
      <c r="F19" s="32">
        <f>IF(F7=0,0,(F7-SUM(F12:F14))/F7)</f>
        <v/>
      </c>
      <c r="G19" s="32">
        <f>IF(G7=0,0,(G7-SUM(G12:G14))/G7)</f>
        <v/>
      </c>
    </row>
    <row r="20">
      <c r="B20" s="7" t="inlineStr">
        <is>
          <t>SG&amp;A</t>
        </is>
      </c>
      <c r="C20" s="27">
        <f>C9*SGA_Pct</f>
        <v/>
      </c>
      <c r="D20" s="27">
        <f>D9*SGA_Pct</f>
        <v/>
      </c>
      <c r="E20" s="27">
        <f>E9*SGA_Pct</f>
        <v/>
      </c>
      <c r="F20" s="27">
        <f>F9*SGA_Pct</f>
        <v/>
      </c>
      <c r="G20" s="27">
        <f>G9*SGA_Pct</f>
        <v/>
      </c>
    </row>
    <row r="21">
      <c r="B21" s="23" t="inlineStr">
        <is>
          <t>EBITDA</t>
        </is>
      </c>
      <c r="C21" s="28">
        <f>C18-C20</f>
        <v/>
      </c>
      <c r="D21" s="28">
        <f>D18-D20</f>
        <v/>
      </c>
      <c r="E21" s="28">
        <f>E18-E20</f>
        <v/>
      </c>
      <c r="F21" s="28">
        <f>F18-F20</f>
        <v/>
      </c>
      <c r="G21" s="28">
        <f>G18-G20</f>
        <v/>
      </c>
    </row>
    <row r="22">
      <c r="B22" s="7" t="inlineStr">
        <is>
          <t>Depreciation &amp; amort</t>
        </is>
      </c>
      <c r="C22" s="27">
        <f>C9*DA_Pct</f>
        <v/>
      </c>
      <c r="D22" s="27">
        <f>D9*DA_Pct</f>
        <v/>
      </c>
      <c r="E22" s="27">
        <f>E9*DA_Pct</f>
        <v/>
      </c>
      <c r="F22" s="27">
        <f>F9*DA_Pct</f>
        <v/>
      </c>
      <c r="G22" s="27">
        <f>G9*DA_Pct</f>
        <v/>
      </c>
    </row>
    <row r="23">
      <c r="B23" s="6" t="inlineStr">
        <is>
          <t>EBIT</t>
        </is>
      </c>
      <c r="C23" s="31">
        <f>C21-C22</f>
        <v/>
      </c>
      <c r="D23" s="31">
        <f>D21-D22</f>
        <v/>
      </c>
      <c r="E23" s="31">
        <f>E21-E22</f>
        <v/>
      </c>
      <c r="F23" s="31">
        <f>F21-F22</f>
        <v/>
      </c>
      <c r="G23" s="31">
        <f>G21-G22</f>
        <v/>
      </c>
    </row>
    <row r="24">
      <c r="B24" s="7" t="inlineStr">
        <is>
          <t>Interest expense</t>
        </is>
      </c>
      <c r="C24" s="27">
        <f>Start_Debt*Cost_of_Debt</f>
        <v/>
      </c>
      <c r="D24" s="27">
        <f>Inventory_ROIC!C8*Cost_of_Debt</f>
        <v/>
      </c>
      <c r="E24" s="27">
        <f>Inventory_ROIC!D8*Cost_of_Debt</f>
        <v/>
      </c>
      <c r="F24" s="27">
        <f>Inventory_ROIC!E8*Cost_of_Debt</f>
        <v/>
      </c>
      <c r="G24" s="27">
        <f>Inventory_ROIC!F8*Cost_of_Debt</f>
        <v/>
      </c>
    </row>
    <row r="25">
      <c r="B25" s="7" t="inlineStr">
        <is>
          <t>EBT</t>
        </is>
      </c>
      <c r="C25" s="27">
        <f>C23-C24</f>
        <v/>
      </c>
      <c r="D25" s="27">
        <f>D23-D24</f>
        <v/>
      </c>
      <c r="E25" s="27">
        <f>E23-E24</f>
        <v/>
      </c>
      <c r="F25" s="27">
        <f>F23-F24</f>
        <v/>
      </c>
      <c r="G25" s="27">
        <f>G23-G24</f>
        <v/>
      </c>
    </row>
    <row r="26">
      <c r="B26" s="7" t="inlineStr">
        <is>
          <t>Tax</t>
        </is>
      </c>
      <c r="C26" s="27">
        <f>MAX(0,C25)*Tax_Rate</f>
        <v/>
      </c>
      <c r="D26" s="27">
        <f>MAX(0,D25)*Tax_Rate</f>
        <v/>
      </c>
      <c r="E26" s="27">
        <f>MAX(0,E25)*Tax_Rate</f>
        <v/>
      </c>
      <c r="F26" s="27">
        <f>MAX(0,F25)*Tax_Rate</f>
        <v/>
      </c>
      <c r="G26" s="27">
        <f>MAX(0,G25)*Tax_Rate</f>
        <v/>
      </c>
    </row>
    <row r="27">
      <c r="B27" s="29" t="inlineStr">
        <is>
          <t>Net income</t>
        </is>
      </c>
      <c r="C27" s="30">
        <f>C25-C26</f>
        <v/>
      </c>
      <c r="D27" s="30">
        <f>D25-D26</f>
        <v/>
      </c>
      <c r="E27" s="30">
        <f>E25-E26</f>
        <v/>
      </c>
      <c r="F27" s="30">
        <f>F25-F26</f>
        <v/>
      </c>
      <c r="G27" s="30">
        <f>G25-G26</f>
        <v/>
      </c>
    </row>
    <row r="28"/>
    <row r="29">
      <c r="B29" s="5" t="inlineStr">
        <is>
          <t>Margins and check</t>
        </is>
      </c>
    </row>
    <row r="30">
      <c r="B30" s="7" t="inlineStr">
        <is>
          <t>EBITDA margin</t>
        </is>
      </c>
      <c r="C30" s="32">
        <f>IF(C9=0,0,C21/C9)</f>
        <v/>
      </c>
      <c r="D30" s="32">
        <f>IF(D9=0,0,D21/D9)</f>
        <v/>
      </c>
      <c r="E30" s="32">
        <f>IF(E9=0,0,E21/E9)</f>
        <v/>
      </c>
      <c r="F30" s="32">
        <f>IF(F9=0,0,F21/F9)</f>
        <v/>
      </c>
      <c r="G30" s="32">
        <f>IF(G9=0,0,G21/G9)</f>
        <v/>
      </c>
    </row>
    <row r="31">
      <c r="B31" s="7" t="inlineStr">
        <is>
          <t>Net margin</t>
        </is>
      </c>
      <c r="C31" s="32">
        <f>IF(C9=0,0,C27/C9)</f>
        <v/>
      </c>
      <c r="D31" s="32">
        <f>IF(D9=0,0,D27/D9)</f>
        <v/>
      </c>
      <c r="E31" s="32">
        <f>IF(E9=0,0,E27/E9)</f>
        <v/>
      </c>
      <c r="F31" s="32">
        <f>IF(F9=0,0,F27/F9)</f>
        <v/>
      </c>
      <c r="G31" s="32">
        <f>IF(G9=0,0,G27/G9)</f>
        <v/>
      </c>
    </row>
    <row r="32">
      <c r="B32" s="7" t="inlineStr">
        <is>
          <t>Identity check</t>
        </is>
      </c>
      <c r="C32" s="27">
        <f>C9-C16-C20-C22-C24-C26-C27</f>
        <v/>
      </c>
      <c r="D32" s="27">
        <f>D9-D16-D20-D22-D24-D26-D27</f>
        <v/>
      </c>
      <c r="E32" s="27">
        <f>E9-E16-E20-E22-E24-E26-E27</f>
        <v/>
      </c>
      <c r="F32" s="27">
        <f>F9-F16-F20-F22-F24-F26-F27</f>
        <v/>
      </c>
      <c r="G32" s="27">
        <f>G9-G16-G20-G22-G24-G26-G27</f>
        <v/>
      </c>
    </row>
  </sheetData>
  <pageMargins left="0.75" right="0.75" top="1" bottom="1" header="0.5" footer="0.5"/>
</worksheet>
</file>

<file path=xl/worksheets/sheet7.xml><?xml version="1.0" encoding="utf-8"?>
<worksheet xmlns="http://schemas.openxmlformats.org/spreadsheetml/2006/main">
  <sheetPr>
    <tabColor rgb="00FF0000"/>
    <outlinePr summaryBelow="1" summaryRight="1"/>
    <pageSetUpPr/>
  </sheetPr>
  <dimension ref="A1:AD19"/>
  <sheetViews>
    <sheetView showGridLines="0" workbookViewId="0">
      <selection activeCell="A1" sqref="A1"/>
    </sheetView>
  </sheetViews>
  <sheetFormatPr baseColWidth="8" defaultRowHeight="15"/>
  <cols>
    <col width="2" customWidth="1" min="1" max="1"/>
    <col width="30" customWidth="1" min="2" max="2"/>
    <col width="14" customWidth="1" min="3" max="3"/>
    <col width="14" customWidth="1" min="4" max="4"/>
    <col width="14" customWidth="1" min="5" max="5"/>
    <col width="14" customWidth="1" min="6" max="6"/>
    <col width="14"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Inventory &amp; ROIC</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Capital base and returns</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Capital base</t>
        </is>
      </c>
    </row>
    <row r="6">
      <c r="B6" s="5" t="inlineStr">
        <is>
          <t>Item</t>
        </is>
      </c>
      <c r="C6" s="19" t="inlineStr">
        <is>
          <t>Y1</t>
        </is>
      </c>
      <c r="D6" s="19" t="inlineStr">
        <is>
          <t>Y2</t>
        </is>
      </c>
      <c r="E6" s="19" t="inlineStr">
        <is>
          <t>Y3</t>
        </is>
      </c>
      <c r="F6" s="19" t="inlineStr">
        <is>
          <t>Y4</t>
        </is>
      </c>
      <c r="G6" s="19" t="inlineStr">
        <is>
          <t>Y5</t>
        </is>
      </c>
    </row>
    <row r="7">
      <c r="B7" s="7" t="inlineStr">
        <is>
          <t>Inventory (land+WIP+homes)</t>
        </is>
      </c>
      <c r="C7" s="27">
        <f>'P&amp;L'!C9/Inv_Turns</f>
        <v/>
      </c>
      <c r="D7" s="27">
        <f>'P&amp;L'!D9/Inv_Turns</f>
        <v/>
      </c>
      <c r="E7" s="27">
        <f>'P&amp;L'!E9/Inv_Turns</f>
        <v/>
      </c>
      <c r="F7" s="27">
        <f>'P&amp;L'!F9/Inv_Turns</f>
        <v/>
      </c>
      <c r="G7" s="27">
        <f>'P&amp;L'!G9/Inv_Turns</f>
        <v/>
      </c>
    </row>
    <row r="8">
      <c r="B8" s="7" t="inlineStr">
        <is>
          <t>Total debt</t>
        </is>
      </c>
      <c r="C8" s="27">
        <f>C7*Debt_to_Cap</f>
        <v/>
      </c>
      <c r="D8" s="27">
        <f>D7*Debt_to_Cap</f>
        <v/>
      </c>
      <c r="E8" s="27">
        <f>E7*Debt_to_Cap</f>
        <v/>
      </c>
      <c r="F8" s="27">
        <f>F7*Debt_to_Cap</f>
        <v/>
      </c>
      <c r="G8" s="27">
        <f>G7*Debt_to_Cap</f>
        <v/>
      </c>
    </row>
    <row r="9"/>
    <row r="10">
      <c r="B10" s="5" t="inlineStr">
        <is>
          <t>Equity roll-forward</t>
        </is>
      </c>
    </row>
    <row r="11">
      <c r="B11" s="7" t="inlineStr">
        <is>
          <t>Opening equity</t>
        </is>
      </c>
      <c r="C11" s="27">
        <f>Start_Equity</f>
        <v/>
      </c>
      <c r="D11" s="27">
        <f>C13</f>
        <v/>
      </c>
      <c r="E11" s="27">
        <f>D13</f>
        <v/>
      </c>
      <c r="F11" s="27">
        <f>E13</f>
        <v/>
      </c>
      <c r="G11" s="27">
        <f>F13</f>
        <v/>
      </c>
    </row>
    <row r="12">
      <c r="B12" s="7" t="inlineStr">
        <is>
          <t>Net income</t>
        </is>
      </c>
      <c r="C12" s="27">
        <f>'P&amp;L'!C27</f>
        <v/>
      </c>
      <c r="D12" s="27">
        <f>'P&amp;L'!D27</f>
        <v/>
      </c>
      <c r="E12" s="27">
        <f>'P&amp;L'!E27</f>
        <v/>
      </c>
      <c r="F12" s="27">
        <f>'P&amp;L'!F27</f>
        <v/>
      </c>
      <c r="G12" s="27">
        <f>'P&amp;L'!G27</f>
        <v/>
      </c>
    </row>
    <row r="13">
      <c r="B13" s="23" t="inlineStr">
        <is>
          <t>Closing equity</t>
        </is>
      </c>
      <c r="C13" s="28">
        <f>C11+C12</f>
        <v/>
      </c>
      <c r="D13" s="28">
        <f>D11+D12</f>
        <v/>
      </c>
      <c r="E13" s="28">
        <f>E11+E12</f>
        <v/>
      </c>
      <c r="F13" s="28">
        <f>F11+F12</f>
        <v/>
      </c>
      <c r="G13" s="28">
        <f>G11+G12</f>
        <v/>
      </c>
    </row>
    <row r="14">
      <c r="B14" s="7" t="inlineStr">
        <is>
          <t>Average equity</t>
        </is>
      </c>
      <c r="C14" s="27">
        <f>(C11+C13)/2</f>
        <v/>
      </c>
      <c r="D14" s="27">
        <f>(D11+D13)/2</f>
        <v/>
      </c>
      <c r="E14" s="27">
        <f>(E11+E13)/2</f>
        <v/>
      </c>
      <c r="F14" s="27">
        <f>(F11+F13)/2</f>
        <v/>
      </c>
      <c r="G14" s="27">
        <f>(G11+G13)/2</f>
        <v/>
      </c>
    </row>
    <row r="15"/>
    <row r="16">
      <c r="B16" s="5" t="inlineStr">
        <is>
          <t>Returns</t>
        </is>
      </c>
    </row>
    <row r="17">
      <c r="B17" s="7" t="inlineStr">
        <is>
          <t>NOPAT</t>
        </is>
      </c>
      <c r="C17" s="27">
        <f>'P&amp;L'!C23*(1-Tax_Rate)</f>
        <v/>
      </c>
      <c r="D17" s="27">
        <f>'P&amp;L'!D23*(1-Tax_Rate)</f>
        <v/>
      </c>
      <c r="E17" s="27">
        <f>'P&amp;L'!E23*(1-Tax_Rate)</f>
        <v/>
      </c>
      <c r="F17" s="27">
        <f>'P&amp;L'!F23*(1-Tax_Rate)</f>
        <v/>
      </c>
      <c r="G17" s="27">
        <f>'P&amp;L'!G23*(1-Tax_Rate)</f>
        <v/>
      </c>
    </row>
    <row r="18">
      <c r="B18" s="6" t="inlineStr">
        <is>
          <t>ROIC</t>
        </is>
      </c>
      <c r="C18" s="33">
        <f>IF(C7=0,0,C17/C7)</f>
        <v/>
      </c>
      <c r="D18" s="33">
        <f>IF(D7=0,0,D17/D7)</f>
        <v/>
      </c>
      <c r="E18" s="33">
        <f>IF(E7=0,0,E17/E7)</f>
        <v/>
      </c>
      <c r="F18" s="33">
        <f>IF(F7=0,0,F17/F7)</f>
        <v/>
      </c>
      <c r="G18" s="33">
        <f>IF(G7=0,0,G17/G7)</f>
        <v/>
      </c>
    </row>
    <row r="19">
      <c r="B19" s="7" t="inlineStr">
        <is>
          <t>ROE</t>
        </is>
      </c>
      <c r="C19" s="32">
        <f>IF(C14=0,0,C12/C14)</f>
        <v/>
      </c>
      <c r="D19" s="32">
        <f>IF(D14=0,0,D12/D14)</f>
        <v/>
      </c>
      <c r="E19" s="32">
        <f>IF(E14=0,0,E12/E14)</f>
        <v/>
      </c>
      <c r="F19" s="32">
        <f>IF(F14=0,0,F12/F14)</f>
        <v/>
      </c>
      <c r="G19" s="32">
        <f>IF(G14=0,0,G12/G14)</f>
        <v/>
      </c>
    </row>
  </sheetData>
  <pageMargins left="0.75" right="0.75" top="1" bottom="1" header="0.5" footer="0.5"/>
</worksheet>
</file>

<file path=xl/worksheets/sheet8.xml><?xml version="1.0" encoding="utf-8"?>
<worksheet xmlns="http://schemas.openxmlformats.org/spreadsheetml/2006/main">
  <sheetPr>
    <tabColor rgb="00A5A5A5"/>
    <outlinePr summaryBelow="1" summaryRight="1"/>
    <pageSetUpPr/>
  </sheetPr>
  <dimension ref="A1:AD21"/>
  <sheetViews>
    <sheetView showGridLines="0" workbookViewId="0">
      <selection activeCell="A1" sqref="A1"/>
    </sheetView>
  </sheetViews>
  <sheetFormatPr baseColWidth="8" defaultRowHeight="15"/>
  <cols>
    <col width="2" customWidth="1" min="1" max="1"/>
    <col width="34" customWidth="1" min="2" max="2"/>
    <col width="20" customWidth="1" min="3" max="3"/>
    <col width="14" customWidth="1" min="4" max="4"/>
    <col width="18" customWidth="1" min="5" max="5"/>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Dashboard</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Headline metrics with status</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Headline metrics</t>
        </is>
      </c>
    </row>
    <row r="6">
      <c r="B6" s="34" t="inlineStr">
        <is>
          <t>Metric</t>
        </is>
      </c>
      <c r="C6" s="34" t="inlineStr">
        <is>
          <t>Value</t>
        </is>
      </c>
      <c r="D6" s="34" t="inlineStr">
        <is>
          <t>Unit</t>
        </is>
      </c>
      <c r="E6" s="34" t="inlineStr">
        <is>
          <t>Status</t>
        </is>
      </c>
    </row>
    <row r="7">
      <c r="B7" s="7" t="inlineStr">
        <is>
          <t>Y5 total revenue</t>
        </is>
      </c>
      <c r="C7" s="27">
        <f>Rev_Total_Y5</f>
        <v/>
      </c>
      <c r="D7" s="35" t="inlineStr">
        <is>
          <t>$</t>
        </is>
      </c>
    </row>
    <row r="8">
      <c r="B8" s="7" t="inlineStr">
        <is>
          <t>Y5 EBITDA</t>
        </is>
      </c>
      <c r="C8" s="27">
        <f>EBITDA_Y5</f>
        <v/>
      </c>
      <c r="D8" s="35" t="inlineStr">
        <is>
          <t>$</t>
        </is>
      </c>
    </row>
    <row r="9">
      <c r="B9" s="7" t="inlineStr">
        <is>
          <t>Y5 EBITDA margin</t>
        </is>
      </c>
      <c r="C9" s="32">
        <f>EBITDA_Mgn_Y5</f>
        <v/>
      </c>
      <c r="D9" s="35" t="inlineStr">
        <is>
          <t>%</t>
        </is>
      </c>
    </row>
    <row r="10">
      <c r="B10" s="7" t="inlineStr">
        <is>
          <t>Y5 home gross margin</t>
        </is>
      </c>
      <c r="C10" s="32">
        <f>Home_GM_Y5</f>
        <v/>
      </c>
      <c r="D10" s="35" t="inlineStr">
        <is>
          <t>%</t>
        </is>
      </c>
      <c r="E10" s="36">
        <f>IF(Home_GM_Y5&gt;=GM_Green,"On track",IF(Home_GM_Y5&gt;=GM_Amber,"Watch","Compressed"))</f>
        <v/>
      </c>
    </row>
    <row r="11">
      <c r="B11" s="7" t="inlineStr">
        <is>
          <t>Y5 total closings</t>
        </is>
      </c>
      <c r="C11" s="25">
        <f>Closings_Y5</f>
        <v/>
      </c>
      <c r="D11" s="35" t="inlineStr">
        <is>
          <t>homes</t>
        </is>
      </c>
    </row>
    <row r="12">
      <c r="B12" s="7" t="inlineStr">
        <is>
          <t>Y5 average ASP</t>
        </is>
      </c>
      <c r="C12" s="27">
        <f>IF(Closings_Y5=0,0,HB_Rev_Y5/Closings_Y5)</f>
        <v/>
      </c>
      <c r="D12" s="35" t="inlineStr">
        <is>
          <t>$</t>
        </is>
      </c>
    </row>
    <row r="13">
      <c r="B13" s="7" t="inlineStr">
        <is>
          <t>Y5 ROIC</t>
        </is>
      </c>
      <c r="C13" s="32">
        <f>ROIC_Y5</f>
        <v/>
      </c>
      <c r="D13" s="35" t="inlineStr">
        <is>
          <t>%</t>
        </is>
      </c>
      <c r="E13" s="36">
        <f>IF(ROIC_Y5&gt;=ROIC_Green,"On track",IF(ROIC_Y5&gt;=ROIC_Amber,"Watch","Below hurdle"))</f>
        <v/>
      </c>
    </row>
    <row r="14">
      <c r="B14" s="7" t="inlineStr">
        <is>
          <t>Y5 ROE</t>
        </is>
      </c>
      <c r="C14" s="32">
        <f>ROE_Y5</f>
        <v/>
      </c>
      <c r="D14" s="35" t="inlineStr">
        <is>
          <t>%</t>
        </is>
      </c>
    </row>
    <row r="15"/>
    <row r="16">
      <c r="B16" s="5" t="inlineStr">
        <is>
          <t>Y5 closings by segment</t>
        </is>
      </c>
    </row>
    <row r="17">
      <c r="B17" s="5" t="inlineStr">
        <is>
          <t>Segment</t>
        </is>
      </c>
      <c r="C17" s="37" t="inlineStr">
        <is>
          <t>Closings</t>
        </is>
      </c>
      <c r="D17" s="37" t="inlineStr">
        <is>
          <t>% of total</t>
        </is>
      </c>
    </row>
    <row r="18">
      <c r="B18" s="21" t="inlineStr">
        <is>
          <t>Entry</t>
        </is>
      </c>
      <c r="C18" s="25">
        <f>Close_Entry_Y5</f>
        <v/>
      </c>
      <c r="D18" s="32">
        <f>IF(Closings_Y5=0,0,C18/Closings_Y5)</f>
        <v/>
      </c>
    </row>
    <row r="19">
      <c r="B19" s="21" t="inlineStr">
        <is>
          <t>Move-up</t>
        </is>
      </c>
      <c r="C19" s="25">
        <f>Close_Moveup_Y5</f>
        <v/>
      </c>
      <c r="D19" s="32">
        <f>IF(Closings_Y5=0,0,C19/Closings_Y5)</f>
        <v/>
      </c>
    </row>
    <row r="20">
      <c r="B20" s="21" t="inlineStr">
        <is>
          <t>Luxury</t>
        </is>
      </c>
      <c r="C20" s="25">
        <f>Close_Lux_Y5</f>
        <v/>
      </c>
      <c r="D20" s="32">
        <f>IF(Closings_Y5=0,0,C20/Closings_Y5)</f>
        <v/>
      </c>
    </row>
    <row r="21">
      <c r="B21" s="23" t="inlineStr">
        <is>
          <t>Total</t>
        </is>
      </c>
      <c r="C21" s="26">
        <f>SUM(C18:C20)</f>
        <v/>
      </c>
      <c r="D21" s="38">
        <f>SUM(D18:D20)</f>
        <v/>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B2:B29"/>
  <sheetViews>
    <sheetView showGridLines="0" workbookViewId="0">
      <selection activeCell="A1" sqref="A1"/>
    </sheetView>
  </sheetViews>
  <sheetFormatPr baseColWidth="8" defaultRowHeight="15"/>
  <cols>
    <col width="2" customWidth="1" min="1" max="1"/>
    <col width="90" customWidth="1" min="2" max="2"/>
    <col width="2" customWidth="1" min="3" max="3"/>
  </cols>
  <sheetData>
    <row r="2" ht="32" customHeight="1">
      <c r="B2" s="39" t="inlineStr">
        <is>
          <t>Disclaimer, Copyright &amp; License</t>
        </is>
      </c>
    </row>
    <row r="3" ht="4" customHeight="1">
      <c r="B3" s="40" t="n"/>
    </row>
    <row r="6" ht="20" customHeight="1">
      <c r="B6" s="41" t="inlineStr">
        <is>
          <t>Disclaimer</t>
        </is>
      </c>
    </row>
    <row r="7" ht="48" customHeight="1">
      <c r="B7" s="42" t="inlineStr">
        <is>
          <t>This financial model ("the Model") is provided by Finamodel for illustrative and educational purposes only. It is a template — not a finished analysis, valuation, recommendation, or solicitation to buy, sell, or hold any security, asset, or financial instrument.</t>
        </is>
      </c>
    </row>
    <row r="9" ht="20" customHeight="1">
      <c r="B9" s="41" t="inlineStr">
        <is>
          <t>No investment advice</t>
        </is>
      </c>
    </row>
    <row r="10" ht="62" customHeight="1">
      <c r="B10" s="42" t="inlineStr">
        <is>
          <t>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is>
      </c>
    </row>
    <row r="12" ht="20" customHeight="1">
      <c r="B12" s="41" t="inlineStr">
        <is>
          <t>No warranty</t>
        </is>
      </c>
    </row>
    <row r="13" ht="76" customHeight="1">
      <c r="B13" s="42" t="inlineStr">
        <is>
          <t>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is>
      </c>
    </row>
    <row r="15" ht="20" customHeight="1">
      <c r="B15" s="41" t="inlineStr">
        <is>
          <t>Limitation of liability</t>
        </is>
      </c>
    </row>
    <row r="16" ht="62" customHeight="1">
      <c r="B16" s="42" t="inlineStr">
        <is>
          <t>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is>
      </c>
    </row>
    <row r="18" ht="20" customHeight="1">
      <c r="B18" s="41" t="inlineStr">
        <is>
          <t>Forward-looking statements</t>
        </is>
      </c>
    </row>
    <row r="19" ht="34" customHeight="1">
      <c r="B19" s="42" t="inlineStr">
        <is>
          <t>Any projections, forecasts, or scenarios are hypothetical, based on assumptions that may not materialize, and do not represent guaranteed outcomes.</t>
        </is>
      </c>
    </row>
    <row r="21" ht="20" customHeight="1">
      <c r="B21" s="41" t="inlineStr">
        <is>
          <t>Third-party data</t>
        </is>
      </c>
    </row>
    <row r="22" ht="34" customHeight="1">
      <c r="B22" s="42" t="inlineStr">
        <is>
          <t>Where the Model references market data, comparables, or macro indicators, such data is sourced from third parties believed to be reliable but is not independently verified.</t>
        </is>
      </c>
    </row>
    <row r="24" ht="22" customHeight="1">
      <c r="B24" s="43" t="inlineStr">
        <is>
          <t>Copyright © 2026 Finamodel. All rights reserved.</t>
        </is>
      </c>
    </row>
    <row r="26" ht="18" customHeight="1">
      <c r="B26" s="44" t="inlineStr">
        <is>
          <t>License — MIT</t>
        </is>
      </c>
    </row>
    <row r="27" ht="202" customHeight="1">
      <c r="B27" s="45" t="inlineStr">
        <is>
          <t>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is>
      </c>
    </row>
    <row r="29" ht="18" customHeight="1">
      <c r="B29" s="46" t="inlineStr">
        <is>
          <t>Finamodel — github.com/alextapio/finamodel</t>
        </is>
      </c>
    </row>
  </sheetData>
  <printOptions horizontalCentered="1"/>
  <pageMargins left="0.4" right="0.4" top="1" bottom="1" header="0.5" footer="0.5"/>
  <pageSetup orientation="portrait" fitToHeight="1"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2026-05-29T05:23:11Z</dcterms:created>
  <dcterms:modified xmlns:dcterms="http://purl.org/dc/terms/" xmlns:xsi="http://www.w3.org/2001/XMLSchema-instance" xsi:type="dcterms:W3CDTF">2026-05-29T05:23:11Z</dcterms:modified>
</cp:coreProperties>
</file>