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Construction" sheetId="4" state="visible" r:id="rId6"/>
    <sheet name="Operations" sheetId="5" state="visible" r:id="rId7"/>
    <sheet name="Revenue_Opex" sheetId="6" state="visible" r:id="rId8"/>
    <sheet name="Capex_Depr" sheetId="7" state="visible" r:id="rId9"/>
    <sheet name="Debt_Schedule" sheetId="8" state="visible" r:id="rId10"/>
    <sheet name="Cash_Waterfall" sheetId="9" state="visible" r:id="rId11"/>
    <sheet name="Financials" sheetId="10" state="visible" r:id="rId12"/>
    <sheet name="Returns" sheetId="11" state="visible" r:id="rId13"/>
    <sheet name="Checks" sheetId="12" state="visible" r:id="rId14"/>
  </sheets>
  <definedNames>
    <definedName function="false" hidden="false" name="Base_Efficiency" vbProcedure="false">Assumptions!$C$15</definedName>
    <definedName function="false" hidden="false" name="Capacity_Factor" vbProcedure="false">Assumptions!$C$14</definedName>
    <definedName function="false" hidden="false" name="Capacity_kW" vbProcedure="false">Assumptions!$C$13</definedName>
    <definedName function="false" hidden="false" name="CD_Maint_Capex" vbProcedure="false">Capex_Depr!$C$22:$V$22</definedName>
    <definedName function="false" hidden="false" name="CD_Net_PPE" vbProcedure="false">Capex_Depr!$C$21:$V$21</definedName>
    <definedName function="false" hidden="false" name="CD_Stack_Add" vbProcedure="false">Capex_Depr!$C$15:$V$15</definedName>
    <definedName function="false" hidden="false" name="CD_Total_Depr" vbProcedure="false">Capex_Depr!$C$20:$V$20</definedName>
    <definedName function="false" hidden="false" name="CD_Year" vbProcedure="false">Capex_Depr!$C$6:$V$6</definedName>
    <definedName function="false" hidden="false" name="Compression_Power" vbProcedure="false">Assumptions!$C$18</definedName>
    <definedName function="false" hidden="false" name="Construction_Period" vbProcedure="false">Assumptions!$C$8</definedName>
    <definedName function="false" hidden="false" name="CON_Debt_Draw" vbProcedure="false">Construction!$C$19:$V$19</definedName>
    <definedName function="false" hidden="false" name="CON_DSRA_Init" vbProcedure="false">Construction!$C$16:$V$16</definedName>
    <definedName function="false" hidden="false" name="CON_Equity_Draw" vbProcedure="false">Construction!$C$20:$V$20</definedName>
    <definedName function="false" hidden="false" name="CON_IDC" vbProcedure="false">Construction!$C$15:$V$15</definedName>
    <definedName function="false" hidden="false" name="CON_Total_EPC" vbProcedure="false">Construction!$C$11:$V$11</definedName>
    <definedName function="false" hidden="false" name="CON_Total_Fund" vbProcedure="false">Construction!$C$17:$V$17</definedName>
    <definedName function="false" hidden="false" name="CON_Year" vbProcedure="false">Construction!$C$6:$V$6</definedName>
    <definedName function="false" hidden="false" name="CW_CADS" vbProcedure="false">Cash_Waterfall!$C$24:$V$24</definedName>
    <definedName function="false" hidden="false" name="CW_Depr" vbProcedure="false">Cash_Waterfall!$C$15:$V$15</definedName>
    <definedName function="false" hidden="false" name="CW_EBIT" vbProcedure="false">Cash_Waterfall!$C$16:$V$16</definedName>
    <definedName function="false" hidden="false" name="CW_EBITDA" vbProcedure="false">Cash_Waterfall!$C$12:$V$12</definedName>
    <definedName function="false" hidden="false" name="CW_Equity_Dist" vbProcedure="false">Cash_Waterfall!$C$34:$V$34</definedName>
    <definedName function="false" hidden="false" name="CW_NOPAT" vbProcedure="false">Cash_Waterfall!$C$18:$V$18</definedName>
    <definedName function="false" hidden="false" name="CW_Tax" vbProcedure="false">Cash_Waterfall!$C$17:$V$17</definedName>
    <definedName function="false" hidden="false" name="CW_Total_DS" vbProcedure="false">Cash_Waterfall!$C$29:$V$29</definedName>
    <definedName function="false" hidden="false" name="CW_WC_Chg" vbProcedure="false">Cash_Waterfall!$C$22:$V$22</definedName>
    <definedName function="false" hidden="false" name="CW_Year" vbProcedure="false">Cash_Waterfall!$C$6:$V$6</definedName>
    <definedName function="false" hidden="false" name="Debt_Pct" vbProcedure="false">Assumptions!$C$34</definedName>
    <definedName function="false" hidden="false" name="Debt_Rate" vbProcedure="false">Assumptions!$C$35</definedName>
    <definedName function="false" hidden="false" name="Debt_Tenor" vbProcedure="false">Assumptions!$C$36</definedName>
    <definedName function="false" hidden="false" name="Degradation_Rate" vbProcedure="false">Assumptions!$C$16</definedName>
    <definedName function="false" hidden="false" name="Discount_Rate" vbProcedure="false">Assumptions!$C$42</definedName>
    <definedName function="false" hidden="false" name="DPO_Days" vbProcedure="false">Assumptions!$C$46</definedName>
    <definedName function="false" hidden="false" name="DSO_Days" vbProcedure="false">Assumptions!$C$45</definedName>
    <definedName function="false" hidden="false" name="DS_Close" vbProcedure="false">Debt_Schedule!$C$12:$V$12</definedName>
    <definedName function="false" hidden="false" name="DS_Draw" vbProcedure="false">Debt_Schedule!$C$10:$V$10</definedName>
    <definedName function="false" hidden="false" name="DS_DSCR" vbProcedure="false">Debt_Schedule!$C$20:$V$20</definedName>
    <definedName function="false" hidden="false" name="DS_DSRA_Close" vbProcedure="false">Debt_Schedule!$C$26:$V$26</definedName>
    <definedName function="false" hidden="false" name="DS_DSRA_Fund" vbProcedure="false">Debt_Schedule!$C$24:$V$24</definedName>
    <definedName function="false" hidden="false" name="DS_DSRA_Open" vbProcedure="false">Debt_Schedule!$C$23:$V$23</definedName>
    <definedName function="false" hidden="false" name="DS_DSRA_Rel" vbProcedure="false">Debt_Schedule!$C$25:$V$25</definedName>
    <definedName function="false" hidden="false" name="DS_Interest" vbProcedure="false">Debt_Schedule!$C$15:$V$15</definedName>
    <definedName function="false" hidden="false" name="DS_Open" vbProcedure="false">Debt_Schedule!$C$9:$V$9</definedName>
    <definedName function="false" hidden="false" name="DS_Principal" vbProcedure="false">Debt_Schedule!$C$16:$V$16</definedName>
    <definedName function="false" hidden="false" name="DS_Repay" vbProcedure="false">Debt_Schedule!$C$11:$V$11</definedName>
    <definedName function="false" hidden="false" name="DS_Total_DS" vbProcedure="false">Debt_Schedule!$C$17:$V$17</definedName>
    <definedName function="false" hidden="false" name="DS_Year" vbProcedure="false">Debt_Schedule!$C$6:$V$6</definedName>
    <definedName function="false" hidden="false" name="EPC_Capex_per_kW" vbProcedure="false">Assumptions!$C$22</definedName>
    <definedName function="false" hidden="false" name="FIN_BS_Check" vbProcedure="false">Financials!$C$37:$V$37</definedName>
    <definedName function="false" hidden="false" name="FIN_Close_Cash" vbProcedure="false">Financials!$C$58:$V$58</definedName>
    <definedName function="false" hidden="false" name="FIN_EBIT" vbProcedure="false">Financials!$C$15:$V$15</definedName>
    <definedName function="false" hidden="false" name="FIN_EBITDA" vbProcedure="false">Financials!$C$13:$V$13</definedName>
    <definedName function="false" hidden="false" name="FIN_NI" vbProcedure="false">Financials!$C$19:$V$19</definedName>
    <definedName function="false" hidden="false" name="FIN_Revenue" vbProcedure="false">Financials!$C$9:$V$9</definedName>
    <definedName function="false" hidden="false" name="FIN_TA" vbProcedure="false">Financials!$C$26:$V$26</definedName>
    <definedName function="false" hidden="false" name="FIN_TE" vbProcedure="false">Financials!$C$36:$V$36</definedName>
    <definedName function="false" hidden="false" name="FIN_TL" vbProcedure="false">Financials!$C$31:$V$31</definedName>
    <definedName function="false" hidden="false" name="FIN_Year" vbProcedure="false">Financials!$C$6:$V$6</definedName>
    <definedName function="false" hidden="false" name="Fixed_OM_Pct" vbProcedure="false">Assumptions!$C$24</definedName>
    <definedName function="false" hidden="false" name="H2_Sale_Price" vbProcedure="false">Assumptions!$C$29</definedName>
    <definedName function="false" hidden="false" name="Inflation_Rate" vbProcedure="false">Assumptions!$C$41</definedName>
    <definedName function="false" hidden="false" name="Min_DSCR" vbProcedure="false">Assumptions!$C$37</definedName>
    <definedName function="false" hidden="false" name="Model_Start" vbProcedure="false">Assumptions!$C$7</definedName>
    <definedName function="false" hidden="false" name="Ops_Start_Year" vbProcedure="false">Assumptions!$C$10</definedName>
    <definedName function="false" hidden="false" name="OP_Cum_Hours" vbProcedure="false">Operations!$C$12:$V$12</definedName>
    <definedName function="false" hidden="false" name="OP_Efficiency" vbProcedure="false">Operations!$C$15:$V$15</definedName>
    <definedName function="false" hidden="false" name="OP_H2_Prod" vbProcedure="false">Operations!$C$16:$V$16</definedName>
    <definedName function="false" hidden="false" name="OP_Hours" vbProcedure="false">Operations!$C$11:$V$11</definedName>
    <definedName function="false" hidden="false" name="OP_Is_Ops" vbProcedure="false">Operations!$C$10:$V$10</definedName>
    <definedName function="false" hidden="false" name="OP_Stack_Repl" vbProcedure="false">Operations!$C$13:$V$13</definedName>
    <definedName function="false" hidden="false" name="OP_Total_Power" vbProcedure="false">Operations!$C$21:$V$21</definedName>
    <definedName function="false" hidden="false" name="OP_Water_Vol" vbProcedure="false">Operations!$C$24:$V$24</definedName>
    <definedName function="false" hidden="false" name="OP_Year" vbProcedure="false">Operations!$C$6:$V$6</definedName>
    <definedName function="false" hidden="false" name="OP_Year_Num" vbProcedure="false">Operations!$C$7:$V$7</definedName>
    <definedName function="false" hidden="false" name="Power_Cost_MWh" vbProcedure="false">Assumptions!$C$27</definedName>
    <definedName function="false" hidden="false" name="Price_Escalation" vbProcedure="false">Assumptions!$C$31</definedName>
    <definedName function="false" hidden="false" name="Project_Life" vbProcedure="false">Assumptions!$C$9</definedName>
    <definedName function="false" hidden="false" name="RO_EBITDA" vbProcedure="false">Revenue_Opex!$C$22:$V$22</definedName>
    <definedName function="false" hidden="false" name="RO_Elec_Cost" vbProcedure="false">Revenue_Opex!$C$14:$V$14</definedName>
    <definedName function="false" hidden="false" name="RO_Fixed_OM" vbProcedure="false">Revenue_Opex!$C$20:$V$20</definedName>
    <definedName function="false" hidden="false" name="RO_H2_Rev" vbProcedure="false">Revenue_Opex!$C$9:$V$9</definedName>
    <definedName function="false" hidden="false" name="RO_Total_Opex" vbProcedure="false">Revenue_Opex!$C$21:$V$21</definedName>
    <definedName function="false" hidden="false" name="RO_Total_Rev" vbProcedure="false">Revenue_Opex!$C$11:$V$11</definedName>
    <definedName function="false" hidden="false" name="RO_Total_Var" vbProcedure="false">Revenue_Opex!$C$16:$V$16</definedName>
    <definedName function="false" hidden="false" name="RO_Water_Cost" vbProcedure="false">Revenue_Opex!$C$15:$V$15</definedName>
    <definedName function="false" hidden="false" name="RO_Year" vbProcedure="false">Revenue_Opex!$C$6:$V$6</definedName>
    <definedName function="false" hidden="false" name="RT_Annual_Cost" vbProcedure="false">Returns!$C$19:$V$19</definedName>
    <definedName function="false" hidden="false" name="RT_Annual_Prod" vbProcedure="false">Returns!$C$20:$V$20</definedName>
    <definedName function="false" hidden="false" name="RT_Eq_CF" vbProcedure="false">Returns!$C$14:$V$14</definedName>
    <definedName function="false" hidden="false" name="RT_Proj_CF" vbProcedure="false">Returns!$C$9:$V$9</definedName>
    <definedName function="false" hidden="false" name="RT_Year" vbProcedure="false">Returns!$C$6:$V$6</definedName>
    <definedName function="false" hidden="false" name="Stack_Lifespan" vbProcedure="false">Assumptions!$C$17</definedName>
    <definedName function="false" hidden="false" name="Stack_Replace_kW" vbProcedure="false">Assumptions!$C$23</definedName>
    <definedName function="false" hidden="false" name="Subsidy_per_kg" vbProcedure="false">Assumptions!$C$30</definedName>
    <definedName function="false" hidden="false" name="Tax_Rate" vbProcedure="false">Assumptions!$C$40</definedName>
    <definedName function="false" hidden="false" name="Water_Cost_m3" vbProcedure="false">Assumptions!$C$28</definedName>
    <definedName function="false" hidden="false" name="Water_Requirement" vbProcedure="false">Assumptions!$C$19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<sst xmlns="http://schemas.openxmlformats.org/spreadsheetml/2006/main" count="356" uniqueCount="298">
  <si>
    <t xml:space="preserve">Green Hydrogen Production Facility</t>
  </si>
  <si>
    <t xml:space="preserve">FINAMODEL.com</t>
  </si>
  <si>
    <t xml:space="preserve">Project finance model</t>
  </si>
  <si>
    <t xml:space="preserve">Model Structure</t>
  </si>
  <si>
    <t xml:space="preserve">Cover</t>
  </si>
  <si>
    <t xml:space="preserve">Title and navigation</t>
  </si>
  <si>
    <t xml:space="preserve">Assumptions</t>
  </si>
  <si>
    <t xml:space="preserve">Input parameters</t>
  </si>
  <si>
    <t xml:space="preserve">Construction</t>
  </si>
  <si>
    <t xml:space="preserve">Capex drawdown</t>
  </si>
  <si>
    <t xml:space="preserve">Operations</t>
  </si>
  <si>
    <t xml:space="preserve">Production volumes</t>
  </si>
  <si>
    <t xml:space="preserve">Revenue_Opex</t>
  </si>
  <si>
    <t xml:space="preserve">Revenue and costs</t>
  </si>
  <si>
    <t xml:space="preserve">Capex_Depr</t>
  </si>
  <si>
    <t xml:space="preserve">PP&amp;E and depreciation</t>
  </si>
  <si>
    <t xml:space="preserve">Debt_Schedule</t>
  </si>
  <si>
    <t xml:space="preserve">Financing metrics</t>
  </si>
  <si>
    <t xml:space="preserve">Cash_Waterfall</t>
  </si>
  <si>
    <t xml:space="preserve">Cash flow cascade</t>
  </si>
  <si>
    <t xml:space="preserve">Financials</t>
  </si>
  <si>
    <t xml:space="preserve">IS / BS / CFS</t>
  </si>
  <si>
    <t xml:space="preserve">Returns</t>
  </si>
  <si>
    <t xml:space="preserve">IRR / NPV / LCOH</t>
  </si>
  <si>
    <t xml:space="preserve">Checks</t>
  </si>
  <si>
    <t xml:space="preserve">Validation checks</t>
  </si>
  <si>
    <t xml:space="preserve">Tab Colour Legend</t>
  </si>
  <si>
    <t xml:space="preserve">Dark Blue</t>
  </si>
  <si>
    <t xml:space="preserve">Light Blue</t>
  </si>
  <si>
    <t xml:space="preserve">Assumptions / Inputs</t>
  </si>
  <si>
    <t xml:space="preserve">Green</t>
  </si>
  <si>
    <t xml:space="preserve">Revenue / Operations</t>
  </si>
  <si>
    <t xml:space="preserve">Orange</t>
  </si>
  <si>
    <t xml:space="preserve">Cost / Capex</t>
  </si>
  <si>
    <t xml:space="preserve">Red</t>
  </si>
  <si>
    <t xml:space="preserve">Debt / Risk / Checks</t>
  </si>
  <si>
    <t xml:space="preserve">Grey</t>
  </si>
  <si>
    <t xml:space="preserve">Summary / Output</t>
  </si>
  <si>
    <t xml:space="preserve">About this model</t>
  </si>
  <si>
    <t xml:space="preserve">This project finance model determines the viability of a green hydrogen production facility (100 MW electrolyser) by forecasting levelised cost of hydrogen, debt service coverage, and equity IRR under various power pricing and offtake scenarios. Answer: what hydrogen price ($/kg) is required to achieve 1.40Ã DSCR and 8â12% equity IRR, and how does production tax credit (US IRA, EU subsidies) improve deal economics?
The workbook models hydrogen production: electrolyser capacity Ã capacity factor / efficiency (kWh/kg) = annual production volume. Primary costs: power (Â£45/MWh blended PPA+grid), water (Â£2/mÂ³), fixed O&amp;M (2.5% of capex/year), stack replacement every 7â10 years. Revenue: hydrogen sales (Â£6.50/kg base case), subsidies (Â£0âÂ£3.00/kg US IRA production tax credit), oxygen and heat by-products. Capex Â£1,500/kW for full EPC + balance of plant; stack replacement Â£450/kW (~30% of initial capex). Debt: 65% of total project cost at 6.5% rate, 15-year tenor. Target DSCR 1.40x minimum.
Used by renewable energy developers, infrastructure funds evaluating hydrogen as energy transition play, project finance lenders sizing non-recourse debt, and industrial offtakers (steel, ammonia, refining) securing hydrogen supply. The model reveals sensitivity to power costs (60â80% of LCOH): cheap renewable PPA under Â£30/MWh makes Â£4â5/kg LCOH achievable; grid power at Â£80/MWh produces Â£7â8/kg LCOH. Stack degradation (1.5% per 10k operating hours) and efficiency erosion compound over 20-year project life. Benchmarks: Nel ASA, Plug Power, Thyssenkrupp Nuceraâall targeting Â£2â4/kg LCOH at scale; current generation Â£5â8/kg pre-subsidy.</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</si>
  <si>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</si>
  <si>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</si>
  <si>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</si>
  <si>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</si>
  <si>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</si>
  <si>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</si>
  <si>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</si>
  <si>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</si>
  <si>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</si>
  <si>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</si>
  <si>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</si>
  <si>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</si>
  <si>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</si>
  <si>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</si>
  <si>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</si>
  <si>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</si>
  <si>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</si>
  <si>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</si>
  <si>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</si>
  <si>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</si>
  <si>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</si>
  <si>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Parameter</t>
  </si>
  <si>
    <t xml:space="preserve">Value</t>
  </si>
  <si>
    <t xml:space="preserve">Unit</t>
  </si>
  <si>
    <t xml:space="preserve">Notes</t>
  </si>
  <si>
    <t xml:space="preserve">Project</t>
  </si>
  <si>
    <t xml:space="preserve">Model Start Year</t>
  </si>
  <si>
    <t xml:space="preserve">Year</t>
  </si>
  <si>
    <t xml:space="preserve">First year of construction</t>
  </si>
  <si>
    <t xml:space="preserve">Construction Period</t>
  </si>
  <si>
    <t xml:space="preserve">Years</t>
  </si>
  <si>
    <t xml:space="preserve">FID to COD</t>
  </si>
  <si>
    <t xml:space="preserve">Project Life</t>
  </si>
  <si>
    <t xml:space="preserve">Total incl. construction</t>
  </si>
  <si>
    <t xml:space="preserve">Operations Start</t>
  </si>
  <si>
    <t xml:space="preserve">Model Start + Construction</t>
  </si>
  <si>
    <t xml:space="preserve">Technical</t>
  </si>
  <si>
    <t xml:space="preserve">Electrolyser Capacity</t>
  </si>
  <si>
    <t xml:space="preserve">kW</t>
  </si>
  <si>
    <t xml:space="preserve">Utility-scale PEM system</t>
  </si>
  <si>
    <t xml:space="preserve">Capacity Factor</t>
  </si>
  <si>
    <t xml:space="preserve">%</t>
  </si>
  <si>
    <t xml:space="preserve">Wind+solar with grid firming</t>
  </si>
  <si>
    <t xml:space="preserve">Base Efficiency</t>
  </si>
  <si>
    <t xml:space="preserve">kWh/kg</t>
  </si>
  <si>
    <t xml:space="preserve">Modern PEM baseline</t>
  </si>
  <si>
    <t xml:space="preserve">Degradation Rate</t>
  </si>
  <si>
    <t xml:space="preserve">%/10k hrs</t>
  </si>
  <si>
    <t xml:space="preserve">Efficiency loss per 10,000 hrs</t>
  </si>
  <si>
    <t xml:space="preserve">Stack Lifespan</t>
  </si>
  <si>
    <t xml:space="preserve">Hours</t>
  </si>
  <si>
    <t xml:space="preserve">Before replacement needed</t>
  </si>
  <si>
    <t xml:space="preserve">Compression Power</t>
  </si>
  <si>
    <t xml:space="preserve">Tube trailer transport</t>
  </si>
  <si>
    <t xml:space="preserve">Water Requirement</t>
  </si>
  <si>
    <t xml:space="preserve">L/kg</t>
  </si>
  <si>
    <t xml:space="preserve">Includes treatment losses</t>
  </si>
  <si>
    <t xml:space="preserve">Capital Expenditure</t>
  </si>
  <si>
    <t xml:space="preserve">EPC Capex</t>
  </si>
  <si>
    <t xml:space="preserve">$/kW</t>
  </si>
  <si>
    <t xml:space="preserve">Fully installed cost incl BoP</t>
  </si>
  <si>
    <t xml:space="preserve">Stack Replacement</t>
  </si>
  <si>
    <t xml:space="preserve">30% of initial capex</t>
  </si>
  <si>
    <t xml:space="preserve">Fixed O&amp;M</t>
  </si>
  <si>
    <t xml:space="preserve">% of Capex/yr</t>
  </si>
  <si>
    <t xml:space="preserve">Maintenance+insurance+asset mgmt</t>
  </si>
  <si>
    <t xml:space="preserve">Revenue &amp; Costs</t>
  </si>
  <si>
    <t xml:space="preserve">Power Cost</t>
  </si>
  <si>
    <t xml:space="preserve">$/MWh</t>
  </si>
  <si>
    <t xml:space="preserve">Blended PPA+grid firming</t>
  </si>
  <si>
    <t xml:space="preserve">Water Cost</t>
  </si>
  <si>
    <t xml:space="preserve">$/m3</t>
  </si>
  <si>
    <t xml:space="preserve">Industrial water tariff</t>
  </si>
  <si>
    <t xml:space="preserve">H2 Sale Price</t>
  </si>
  <si>
    <t xml:space="preserve">$/kg</t>
  </si>
  <si>
    <t xml:space="preserve">Contracted offtake price</t>
  </si>
  <si>
    <t xml:space="preserve">Production Subsidy</t>
  </si>
  <si>
    <t xml:space="preserve">Zero for unsubsidised base case</t>
  </si>
  <si>
    <t xml:space="preserve">Price Escalation</t>
  </si>
  <si>
    <t xml:space="preserve">%/yr</t>
  </si>
  <si>
    <t xml:space="preserve">Annual inflation linkage</t>
  </si>
  <si>
    <t xml:space="preserve">Financing</t>
  </si>
  <si>
    <t xml:space="preserve">Debt / Capital</t>
  </si>
  <si>
    <t xml:space="preserve">Project finance leverage</t>
  </si>
  <si>
    <t xml:space="preserve">Debt Interest Rate</t>
  </si>
  <si>
    <t xml:space="preserve">SOFR + frontier margin</t>
  </si>
  <si>
    <t xml:space="preserve">Debt Tenor</t>
  </si>
  <si>
    <t xml:space="preserve">Matches offtake length</t>
  </si>
  <si>
    <t xml:space="preserve">Min DSCR Target</t>
  </si>
  <si>
    <t xml:space="preserve">x</t>
  </si>
  <si>
    <t xml:space="preserve">Lender requirement</t>
  </si>
  <si>
    <t xml:space="preserve">Tax &amp; Macro</t>
  </si>
  <si>
    <t xml:space="preserve">Tax Rate</t>
  </si>
  <si>
    <t xml:space="preserve">Corporate income tax</t>
  </si>
  <si>
    <t xml:space="preserve">Inflation Rate</t>
  </si>
  <si>
    <t xml:space="preserve">Long-term target</t>
  </si>
  <si>
    <t xml:space="preserve">Discount Rate (WACC)</t>
  </si>
  <si>
    <t xml:space="preserve">Infrastructure hurdle rate</t>
  </si>
  <si>
    <t xml:space="preserve">Working Capital</t>
  </si>
  <si>
    <t xml:space="preserve">Days Sales Outstanding</t>
  </si>
  <si>
    <t xml:space="preserve">Days</t>
  </si>
  <si>
    <t xml:space="preserve">Offtake receivables</t>
  </si>
  <si>
    <t xml:space="preserve">Days Payable Outstanding</t>
  </si>
  <si>
    <t xml:space="preserve">Power/water payables</t>
  </si>
  <si>
    <t xml:space="preserve">Construction Schedule</t>
  </si>
  <si>
    <t xml:space="preserve">Capex and funding</t>
  </si>
  <si>
    <t xml:space="preserve">Year Number</t>
  </si>
  <si>
    <t xml:space="preserve">Development Fees</t>
  </si>
  <si>
    <t xml:space="preserve">TOTAL EPC</t>
  </si>
  <si>
    <t xml:space="preserve">Total Funding</t>
  </si>
  <si>
    <t xml:space="preserve">Cumulative EPC</t>
  </si>
  <si>
    <t xml:space="preserve">Interest During Constr</t>
  </si>
  <si>
    <t xml:space="preserve">DSRA Initial Funding</t>
  </si>
  <si>
    <t xml:space="preserve">TOTAL FUNDING REQUIRED</t>
  </si>
  <si>
    <t xml:space="preserve">Debt Drawdown</t>
  </si>
  <si>
    <t xml:space="preserve">Equity Drawdown</t>
  </si>
  <si>
    <t xml:space="preserve">Operations Schedule</t>
  </si>
  <si>
    <t xml:space="preserve">Production and efficiency</t>
  </si>
  <si>
    <t xml:space="preserve">Operating Year</t>
  </si>
  <si>
    <t xml:space="preserve">Production</t>
  </si>
  <si>
    <t xml:space="preserve">Is Operating</t>
  </si>
  <si>
    <t xml:space="preserve">Operating Hours</t>
  </si>
  <si>
    <t xml:space="preserve">Cumulative Hours</t>
  </si>
  <si>
    <t xml:space="preserve">Hours Since Replace</t>
  </si>
  <si>
    <t xml:space="preserve">Efficiency (kWh/kg)</t>
  </si>
  <si>
    <t xml:space="preserve">H2 Production (kg)</t>
  </si>
  <si>
    <t xml:space="preserve">Power Consumption</t>
  </si>
  <si>
    <t xml:space="preserve">Electrolysis Power</t>
  </si>
  <si>
    <t xml:space="preserve">Total Power (kWh)</t>
  </si>
  <si>
    <t xml:space="preserve">Water Consumption</t>
  </si>
  <si>
    <t xml:space="preserve">Water Volume (L)</t>
  </si>
  <si>
    <t xml:space="preserve">Revenue &amp; Operating Costs</t>
  </si>
  <si>
    <t xml:space="preserve">Annual projections</t>
  </si>
  <si>
    <t xml:space="preserve">Revenue</t>
  </si>
  <si>
    <t xml:space="preserve">H2 Sales Revenue</t>
  </si>
  <si>
    <t xml:space="preserve">Subsidy Revenue</t>
  </si>
  <si>
    <t xml:space="preserve">TOTAL REVENUE</t>
  </si>
  <si>
    <t xml:space="preserve">Variable Costs</t>
  </si>
  <si>
    <t xml:space="preserve">Electricity Cost</t>
  </si>
  <si>
    <t xml:space="preserve">Total Variable Costs</t>
  </si>
  <si>
    <t xml:space="preserve">Gross Margin</t>
  </si>
  <si>
    <t xml:space="preserve">Fixed Operating Costs</t>
  </si>
  <si>
    <t xml:space="preserve">Total Operating Costs</t>
  </si>
  <si>
    <t xml:space="preserve">EBITDA</t>
  </si>
  <si>
    <t xml:space="preserve">Capex &amp; Depreciation</t>
  </si>
  <si>
    <t xml:space="preserve">PP&amp;E schedules</t>
  </si>
  <si>
    <t xml:space="preserve">Balance of Plant (25yr)</t>
  </si>
  <si>
    <t xml:space="preserve">Opening BoP</t>
  </si>
  <si>
    <t xml:space="preserve">BoP Depreciation</t>
  </si>
  <si>
    <t xml:space="preserve">Closing BoP</t>
  </si>
  <si>
    <t xml:space="preserve">Electrolyser Stacks</t>
  </si>
  <si>
    <t xml:space="preserve">Opening Stack Value</t>
  </si>
  <si>
    <t xml:space="preserve">Stack Additions</t>
  </si>
  <si>
    <t xml:space="preserve">Stack Depreciation</t>
  </si>
  <si>
    <t xml:space="preserve">Closing Stack Value</t>
  </si>
  <si>
    <t xml:space="preserve">Total PP&amp;E</t>
  </si>
  <si>
    <t xml:space="preserve">Total Depreciation</t>
  </si>
  <si>
    <t xml:space="preserve">Net PP&amp;E</t>
  </si>
  <si>
    <t xml:space="preserve">Maintenance Capex</t>
  </si>
  <si>
    <t xml:space="preserve">Debt Schedule</t>
  </si>
  <si>
    <t xml:space="preserve">Project finance debt</t>
  </si>
  <si>
    <t xml:space="preserve">Debt Balance Walk</t>
  </si>
  <si>
    <t xml:space="preserve">Opening Balance</t>
  </si>
  <si>
    <t xml:space="preserve">Drawdowns</t>
  </si>
  <si>
    <t xml:space="preserve">Repayments</t>
  </si>
  <si>
    <t xml:space="preserve">Closing Balance</t>
  </si>
  <si>
    <t xml:space="preserve">Debt Service</t>
  </si>
  <si>
    <t xml:space="preserve">Interest Expense</t>
  </si>
  <si>
    <t xml:space="preserve">Principal Repayment</t>
  </si>
  <si>
    <t xml:space="preserve">Total Debt Service</t>
  </si>
  <si>
    <t xml:space="preserve">Coverage Metrics</t>
  </si>
  <si>
    <t xml:space="preserve">DSCR</t>
  </si>
  <si>
    <t xml:space="preserve">Debt Service Reserve</t>
  </si>
  <si>
    <t xml:space="preserve">DSRA Opening</t>
  </si>
  <si>
    <t xml:space="preserve">DSRA Funding</t>
  </si>
  <si>
    <t xml:space="preserve">DSRA Release</t>
  </si>
  <si>
    <t xml:space="preserve">DSRA Closing</t>
  </si>
  <si>
    <t xml:space="preserve">Cash Flow Waterfall</t>
  </si>
  <si>
    <t xml:space="preserve">Project cash cascade</t>
  </si>
  <si>
    <t xml:space="preserve">Operating Cash Flow</t>
  </si>
  <si>
    <t xml:space="preserve">Total Revenue</t>
  </si>
  <si>
    <t xml:space="preserve">Tax Calculation</t>
  </si>
  <si>
    <t xml:space="preserve">Depreciation</t>
  </si>
  <si>
    <t xml:space="preserve">EBIT</t>
  </si>
  <si>
    <t xml:space="preserve">Tax Paid</t>
  </si>
  <si>
    <t xml:space="preserve">NOPAT</t>
  </si>
  <si>
    <t xml:space="preserve">Cash Available for DS</t>
  </si>
  <si>
    <t xml:space="preserve">Add: Depreciation</t>
  </si>
  <si>
    <t xml:space="preserve">Working Capital Change</t>
  </si>
  <si>
    <t xml:space="preserve">CADS</t>
  </si>
  <si>
    <t xml:space="preserve">Interest</t>
  </si>
  <si>
    <t xml:space="preserve">Principal</t>
  </si>
  <si>
    <t xml:space="preserve">Distribution</t>
  </si>
  <si>
    <t xml:space="preserve">DSRA Movement</t>
  </si>
  <si>
    <t xml:space="preserve">CF After Debt &amp; DSRA</t>
  </si>
  <si>
    <t xml:space="preserve">Equity Distribution</t>
  </si>
  <si>
    <t xml:space="preserve">Financial Statements</t>
  </si>
  <si>
    <t xml:space="preserve">Income Statement</t>
  </si>
  <si>
    <t xml:space="preserve">Gross Profit</t>
  </si>
  <si>
    <t xml:space="preserve">EBT</t>
  </si>
  <si>
    <t xml:space="preserve">Tax</t>
  </si>
  <si>
    <t xml:space="preserve">NET INCOME</t>
  </si>
  <si>
    <t xml:space="preserve">Balance Sheet - Assets</t>
  </si>
  <si>
    <t xml:space="preserve">Cash</t>
  </si>
  <si>
    <t xml:space="preserve">Accounts Receivable</t>
  </si>
  <si>
    <t xml:space="preserve">DSRA</t>
  </si>
  <si>
    <t xml:space="preserve">TOTAL ASSETS</t>
  </si>
  <si>
    <t xml:space="preserve">Liabilities</t>
  </si>
  <si>
    <t xml:space="preserve">Accounts Payable</t>
  </si>
  <si>
    <t xml:space="preserve">Debt</t>
  </si>
  <si>
    <t xml:space="preserve">TOTAL LIABILITIES</t>
  </si>
  <si>
    <t xml:space="preserve">Equity</t>
  </si>
  <si>
    <t xml:space="preserve">Share Capital</t>
  </si>
  <si>
    <t xml:space="preserve">Retained Earnings</t>
  </si>
  <si>
    <t xml:space="preserve">TOTAL EQUITY</t>
  </si>
  <si>
    <t xml:space="preserve">Balance Check</t>
  </si>
  <si>
    <t xml:space="preserve">Cash Flow Statement</t>
  </si>
  <si>
    <t xml:space="preserve">Net Income</t>
  </si>
  <si>
    <t xml:space="preserve">CF from Operations</t>
  </si>
  <si>
    <t xml:space="preserve">Construction Capex</t>
  </si>
  <si>
    <t xml:space="preserve">CF from Investing</t>
  </si>
  <si>
    <t xml:space="preserve">Debt Drawdowns</t>
  </si>
  <si>
    <t xml:space="preserve">Debt Repayments</t>
  </si>
  <si>
    <t xml:space="preserve">Equity Injection</t>
  </si>
  <si>
    <t xml:space="preserve">DSRA Net Movement</t>
  </si>
  <si>
    <t xml:space="preserve">CF from Financing</t>
  </si>
  <si>
    <t xml:space="preserve">Net Cash Change</t>
  </si>
  <si>
    <t xml:space="preserve">Opening Cash</t>
  </si>
  <si>
    <t xml:space="preserve">Closing Cash</t>
  </si>
  <si>
    <t xml:space="preserve">Returns Analysis</t>
  </si>
  <si>
    <t xml:space="preserve">Project Returns</t>
  </si>
  <si>
    <t xml:space="preserve">Project Cash Flow</t>
  </si>
  <si>
    <t xml:space="preserve">Project IRR</t>
  </si>
  <si>
    <t xml:space="preserve">Project NPV</t>
  </si>
  <si>
    <t xml:space="preserve">Equity Returns</t>
  </si>
  <si>
    <t xml:space="preserve">Equity Cash Flow</t>
  </si>
  <si>
    <t xml:space="preserve">Equity IRR</t>
  </si>
  <si>
    <t xml:space="preserve">Equity NPV</t>
  </si>
  <si>
    <t xml:space="preserve">Levelised Cost of H2</t>
  </si>
  <si>
    <t xml:space="preserve">Annual Total Cost</t>
  </si>
  <si>
    <t xml:space="preserve">Annual H2 Prod (kg)</t>
  </si>
  <si>
    <t xml:space="preserve">LCOH ($/kg)</t>
  </si>
  <si>
    <t xml:space="preserve">Validation Checks</t>
  </si>
  <si>
    <t xml:space="preserve">Model integrity</t>
  </si>
  <si>
    <t xml:space="preserve">Check</t>
  </si>
  <si>
    <t xml:space="preserve">Status</t>
  </si>
  <si>
    <t xml:space="preserve">BS Balance</t>
  </si>
  <si>
    <t xml:space="preserve">Total Assets = Total L+E every period</t>
  </si>
  <si>
    <t xml:space="preserve">Min DSCR</t>
  </si>
  <si>
    <t xml:space="preserve">Must exceed 1.35x in all operational periods</t>
  </si>
  <si>
    <t xml:space="preserve">LCOH Range</t>
  </si>
  <si>
    <t xml:space="preserve">LCOH should be $3.00-$8.00/kg</t>
  </si>
  <si>
    <t xml:space="preserve">Cash Floor</t>
  </si>
  <si>
    <t xml:space="preserve">Cash must never go negative</t>
  </si>
  <si>
    <t xml:space="preserve">Debt Fully Repaid</t>
  </si>
  <si>
    <t xml:space="preserve">Closing debt balance at project end</t>
  </si>
  <si>
    <t xml:space="preserve">Energy Balance</t>
  </si>
  <si>
    <t xml:space="preserve">Efficiency must exceed 33.33 kWh/kg (LHV)</t>
  </si>
</sst>
</file>

<file path=xl/styles.xml><?xml version="1.0" encoding="utf-8"?>
<styleSheet xmlns="http://schemas.openxmlformats.org/spreadsheetml/2006/main">
  <numFmts count="7">
    <numFmt numFmtId="164" formatCode="General"/>
    <numFmt numFmtId="165" formatCode="#,##0.00"/>
    <numFmt numFmtId="166" formatCode="0"/>
    <numFmt numFmtId="167" formatCode="0.00%"/>
    <numFmt numFmtId="168" formatCode="#,##0.0"/>
    <numFmt numFmtId="169" formatCode="0.00\x"/>
    <numFmt numFmtId="170" formatCode="\$#,##0.00"/>
  </numFmts>
  <fonts count="24">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sz val="11"/>
      <color rgb="FF2E75B6"/>
      <name val="Arial"/>
      <family val="0"/>
      <charset val="1"/>
    </font>
    <font>
      <sz val="11"/>
      <color rgb="FF000000"/>
      <name val="Arial"/>
      <family val="0"/>
      <charset val="1"/>
    </font>
    <font>
      <b val="true"/>
      <sz val="11"/>
      <color rgb="FF008000"/>
      <name val="Arial"/>
      <family val="0"/>
      <charset val="1"/>
    </font>
  </fonts>
  <fills count="12">
    <fill>
      <patternFill patternType="none"/>
    </fill>
    <fill>
      <patternFill patternType="gray125"/>
    </fill>
    <fill>
      <patternFill patternType="solid">
        <fgColor theme="3"/>
        <bgColor rgb="FF1F4E79"/>
      </patternFill>
    </fill>
    <fill>
      <patternFill patternType="solid">
        <fgColor rgb="FF5B9BD5"/>
        <bgColor rgb="FF2E75B6"/>
      </patternFill>
    </fill>
    <fill>
      <patternFill patternType="solid">
        <fgColor rgb="FFED7D31"/>
        <bgColor rgb="FFFF8080"/>
      </patternFill>
    </fill>
    <fill>
      <patternFill patternType="solid">
        <fgColor rgb="FF70AD47"/>
        <bgColor rgb="FF99CC00"/>
      </patternFill>
    </fill>
    <fill>
      <patternFill patternType="solid">
        <fgColor rgb="FFFF0000"/>
        <bgColor rgb="FF993300"/>
      </patternFill>
    </fill>
    <fill>
      <patternFill patternType="solid">
        <fgColor rgb="FFA5A5A5"/>
        <bgColor rgb="FFC0C0C0"/>
      </patternFill>
    </fill>
    <fill>
      <patternFill patternType="solid">
        <fgColor rgb="FFD6E4F0"/>
        <bgColor rgb="FFEBF1FA"/>
      </patternFill>
    </fill>
    <fill>
      <patternFill patternType="solid">
        <fgColor rgb="FF1F4E79"/>
        <bgColor rgb="FF1F497D"/>
      </patternFill>
    </fill>
    <fill>
      <patternFill patternType="solid">
        <fgColor rgb="FFF2F2F2"/>
        <bgColor rgb="FFEBF1FA"/>
      </patternFill>
    </fill>
    <fill>
      <patternFill patternType="solid">
        <fgColor rgb="FFEBF1FA"/>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19" fillId="10"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4" fontId="16" fillId="9" borderId="0" xfId="0" applyFont="true" applyBorder="false" applyAlignment="true" applyProtection="false">
      <alignment horizontal="center" vertical="center" textRotation="0" wrapText="false" indent="0" shrinkToFit="false"/>
      <protection locked="true" hidden="false"/>
    </xf>
    <xf numFmtId="164" fontId="11" fillId="8" borderId="0" xfId="0" applyFont="true" applyBorder="false" applyAlignment="false" applyProtection="false">
      <alignment horizontal="general" vertical="bottom" textRotation="0" wrapText="false" indent="0" shrinkToFit="false"/>
      <protection locked="true" hidden="false"/>
    </xf>
    <xf numFmtId="165" fontId="21" fillId="11"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6" fontId="21" fillId="11" borderId="0" xfId="0" applyFont="true" applyBorder="false" applyAlignment="true" applyProtection="false">
      <alignment horizontal="right" vertical="center" textRotation="0" wrapText="false" indent="0" shrinkToFit="false"/>
      <protection locked="true" hidden="false"/>
    </xf>
    <xf numFmtId="167" fontId="21" fillId="11" borderId="0" xfId="0" applyFont="true" applyBorder="false" applyAlignment="true" applyProtection="false">
      <alignment horizontal="right" vertical="center" textRotation="0" wrapText="false" indent="0" shrinkToFit="false"/>
      <protection locked="true" hidden="false"/>
    </xf>
    <xf numFmtId="168" fontId="21" fillId="11" borderId="0" xfId="0" applyFont="true" applyBorder="false" applyAlignment="true" applyProtection="false">
      <alignment horizontal="right" vertical="center" textRotation="0" wrapText="false" indent="0" shrinkToFit="false"/>
      <protection locked="true" hidden="false"/>
    </xf>
    <xf numFmtId="169" fontId="21" fillId="11" borderId="0" xfId="0" applyFont="true" applyBorder="false" applyAlignment="true" applyProtection="false">
      <alignment horizontal="right" vertical="center" textRotation="0" wrapText="false" indent="0" shrinkToFit="false"/>
      <protection locked="true" hidden="false"/>
    </xf>
    <xf numFmtId="164" fontId="16" fillId="9" borderId="0" xfId="0" applyFont="true" applyBorder="false" applyAlignment="false" applyProtection="false">
      <alignment horizontal="general" vertical="bottom" textRotation="0" wrapText="false" indent="0" shrinkToFit="false"/>
      <protection locked="true" hidden="false"/>
    </xf>
    <xf numFmtId="166" fontId="16" fillId="9" borderId="0" xfId="0" applyFont="true" applyBorder="false" applyAlignment="true" applyProtection="false">
      <alignment horizontal="center" vertical="center" textRotation="0" wrapText="false" indent="0" shrinkToFit="false"/>
      <protection locked="true" hidden="false"/>
    </xf>
    <xf numFmtId="166" fontId="1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5" fontId="22"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5" fontId="9" fillId="0" borderId="2" xfId="0" applyFont="true" applyBorder="tru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5" fontId="9" fillId="0" borderId="3" xfId="0" applyFont="true" applyBorder="true" applyAlignment="true" applyProtection="false">
      <alignment horizontal="right" vertical="center" textRotation="0" wrapText="false" indent="0" shrinkToFit="false"/>
      <protection locked="true" hidden="false"/>
    </xf>
    <xf numFmtId="166" fontId="22" fillId="0" borderId="0" xfId="0" applyFont="true" applyBorder="false" applyAlignment="true" applyProtection="false">
      <alignment horizontal="right" vertical="center" textRotation="0" wrapText="false" indent="0" shrinkToFit="false"/>
      <protection locked="true" hidden="false"/>
    </xf>
    <xf numFmtId="168" fontId="22"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1" shrinkToFit="false"/>
      <protection locked="true" hidden="false"/>
    </xf>
    <xf numFmtId="169" fontId="22"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1" shrinkToFit="false"/>
      <protection locked="true" hidden="false"/>
    </xf>
    <xf numFmtId="165" fontId="23" fillId="0" borderId="3" xfId="0" applyFont="true" applyBorder="tru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70" fontId="9" fillId="0" borderId="0" xfId="0" applyFont="true" applyBorder="false" applyAlignment="true" applyProtection="false">
      <alignment horizontal="right" vertical="center" textRotation="0" wrapText="false" indent="0" shrinkToFit="false"/>
      <protection locked="true" hidden="false"/>
    </xf>
    <xf numFmtId="165" fontId="8"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9" fontId="8" fillId="0" borderId="0" xfId="0" applyFont="true" applyBorder="false" applyAlignment="true" applyProtection="false">
      <alignment horizontal="right" vertical="center" textRotation="0" wrapText="false" indent="0" shrinkToFit="false"/>
      <protection locked="true" hidden="false"/>
    </xf>
    <xf numFmtId="170" fontId="8" fillId="0" borderId="0" xfId="0" applyFont="true" applyBorder="false" applyAlignment="true" applyProtection="false">
      <alignment horizontal="right" vertical="center" textRotation="0" wrapText="false" indent="0" shrinkToFit="false"/>
      <protection locked="true" hidden="false"/>
    </xf>
    <xf numFmtId="168" fontId="8" fillId="0" borderId="0" xfId="0" applyFont="true" applyBorder="fals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BF1FA"/>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30"/>
    <col collapsed="false" customWidth="true" hidden="false" outlineLevel="0" max="5"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9"/>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8" t="s">
        <v>7</v>
      </c>
      <c r="D8" s="10"/>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8</v>
      </c>
      <c r="C9" s="8" t="s">
        <v>9</v>
      </c>
      <c r="D9" s="11"/>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10</v>
      </c>
      <c r="C10" s="8" t="s">
        <v>11</v>
      </c>
      <c r="D10" s="12"/>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12</v>
      </c>
      <c r="C11" s="8" t="s">
        <v>13</v>
      </c>
      <c r="D11" s="12"/>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14</v>
      </c>
      <c r="C12" s="8" t="s">
        <v>15</v>
      </c>
      <c r="D12" s="11"/>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16</v>
      </c>
      <c r="C13" s="8" t="s">
        <v>17</v>
      </c>
      <c r="D13" s="13"/>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18</v>
      </c>
      <c r="C14" s="8" t="s">
        <v>19</v>
      </c>
      <c r="D14" s="14"/>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20</v>
      </c>
      <c r="C15" s="8" t="s">
        <v>21</v>
      </c>
      <c r="D15" s="14"/>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7" t="s">
        <v>22</v>
      </c>
      <c r="C16" s="8" t="s">
        <v>23</v>
      </c>
      <c r="D16" s="14"/>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24</v>
      </c>
      <c r="C17" s="8" t="s">
        <v>25</v>
      </c>
      <c r="D17" s="13"/>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6" t="s">
        <v>26</v>
      </c>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7" t="s">
        <v>27</v>
      </c>
      <c r="C21" s="8" t="s">
        <v>4</v>
      </c>
      <c r="D21" s="9"/>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28</v>
      </c>
      <c r="C22" s="8" t="s">
        <v>29</v>
      </c>
      <c r="D22" s="10"/>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30</v>
      </c>
      <c r="C23" s="8" t="s">
        <v>31</v>
      </c>
      <c r="D23" s="12"/>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7" t="s">
        <v>32</v>
      </c>
      <c r="C24" s="8" t="s">
        <v>33</v>
      </c>
      <c r="D24" s="11"/>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7" t="s">
        <v>34</v>
      </c>
      <c r="C25" s="8" t="s">
        <v>35</v>
      </c>
      <c r="D25" s="13"/>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7" t="s">
        <v>36</v>
      </c>
      <c r="C26" s="8" t="s">
        <v>37</v>
      </c>
      <c r="D26" s="14"/>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9.5" hidden="false" customHeight="true" outlineLevel="0" collapsed="false">
      <c r="A29" s="5"/>
      <c r="B29" s="15" t="s">
        <v>38</v>
      </c>
      <c r="C29" s="16"/>
      <c r="D29" s="16"/>
      <c r="E29" s="16"/>
      <c r="F29" s="16"/>
      <c r="G29" s="16"/>
      <c r="H29" s="5"/>
      <c r="I29" s="5"/>
      <c r="J29" s="5"/>
      <c r="K29" s="5"/>
      <c r="L29" s="5"/>
      <c r="M29" s="5"/>
      <c r="N29" s="5"/>
      <c r="O29" s="5"/>
      <c r="P29" s="5"/>
      <c r="Q29" s="5"/>
      <c r="R29" s="5"/>
      <c r="S29" s="5"/>
      <c r="T29" s="5"/>
      <c r="U29" s="5"/>
      <c r="V29" s="5"/>
      <c r="W29" s="5"/>
      <c r="X29" s="5"/>
      <c r="Y29" s="5"/>
      <c r="Z29" s="5"/>
      <c r="AA29" s="5"/>
      <c r="AB29" s="5"/>
      <c r="AC29" s="5"/>
      <c r="AD29" s="5"/>
    </row>
    <row r="30" customFormat="false" ht="246" hidden="false" customHeight="true" outlineLevel="0" collapsed="false">
      <c r="A30" s="5"/>
      <c r="B30" s="17" t="s">
        <v>39</v>
      </c>
      <c r="C30" s="17"/>
      <c r="D30" s="17"/>
      <c r="E30" s="17"/>
      <c r="F30" s="17"/>
      <c r="G30" s="17"/>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9.5" hidden="false" customHeight="true" outlineLevel="0" collapsed="false">
      <c r="A32" s="5"/>
      <c r="B32" s="15" t="s">
        <v>40</v>
      </c>
      <c r="C32" s="16"/>
      <c r="D32" s="16"/>
      <c r="E32" s="16"/>
      <c r="F32" s="16"/>
      <c r="G32" s="16"/>
      <c r="H32" s="5"/>
      <c r="I32" s="5"/>
      <c r="J32" s="5"/>
      <c r="K32" s="5"/>
      <c r="L32" s="5"/>
      <c r="M32" s="5"/>
      <c r="N32" s="5"/>
      <c r="O32" s="5"/>
      <c r="P32" s="5"/>
      <c r="Q32" s="5"/>
      <c r="R32" s="5"/>
      <c r="S32" s="5"/>
      <c r="T32" s="5"/>
      <c r="U32" s="5"/>
      <c r="V32" s="5"/>
      <c r="W32" s="5"/>
      <c r="X32" s="5"/>
      <c r="Y32" s="5"/>
      <c r="Z32" s="5"/>
      <c r="AA32" s="5"/>
      <c r="AB32" s="5"/>
      <c r="AC32" s="5"/>
      <c r="AD32" s="5"/>
    </row>
    <row r="33" customFormat="false" ht="57" hidden="false" customHeight="true" outlineLevel="0" collapsed="false">
      <c r="A33" s="5"/>
      <c r="B33" s="17" t="s">
        <v>41</v>
      </c>
      <c r="C33" s="17"/>
      <c r="D33" s="17"/>
      <c r="E33" s="17"/>
      <c r="F33" s="17"/>
      <c r="G33" s="17"/>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18" t="s">
        <v>42</v>
      </c>
      <c r="C34" s="18"/>
      <c r="D34" s="18"/>
      <c r="E34" s="18"/>
      <c r="F34" s="18"/>
      <c r="G34" s="18"/>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19" t="s">
        <v>43</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sheetData>
  <mergeCells count="3">
    <mergeCell ref="B30:G30"/>
    <mergeCell ref="B33:G33"/>
    <mergeCell ref="B34:G34"/>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V5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22" min="3" style="0" width="16"/>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row>
    <row r="2" customFormat="false" ht="22.05" hidden="false" customHeight="false" outlineLevel="0" collapsed="false">
      <c r="A2" s="5"/>
      <c r="B2" s="28" t="s">
        <v>236</v>
      </c>
      <c r="C2" s="5"/>
      <c r="D2" s="5"/>
      <c r="E2" s="5"/>
      <c r="F2" s="5"/>
      <c r="G2" s="5"/>
      <c r="H2" s="5"/>
      <c r="I2" s="5"/>
      <c r="J2" s="5"/>
      <c r="K2" s="5"/>
      <c r="L2" s="5"/>
      <c r="M2" s="5"/>
      <c r="N2" s="5"/>
      <c r="O2" s="5"/>
      <c r="P2" s="5"/>
      <c r="Q2" s="5"/>
      <c r="R2" s="5"/>
      <c r="S2" s="5"/>
      <c r="T2" s="5"/>
      <c r="U2" s="5"/>
      <c r="V2" s="5"/>
    </row>
    <row r="3" customFormat="false" ht="15" hidden="false" customHeight="false" outlineLevel="0" collapsed="false">
      <c r="A3" s="5"/>
      <c r="B3" s="29" t="s">
        <v>21</v>
      </c>
      <c r="C3" s="5"/>
      <c r="D3" s="5"/>
      <c r="E3" s="5"/>
      <c r="F3" s="5"/>
      <c r="G3" s="5"/>
      <c r="H3" s="5"/>
      <c r="I3" s="5"/>
      <c r="J3" s="5"/>
      <c r="K3" s="5"/>
      <c r="L3" s="5"/>
      <c r="M3" s="5"/>
      <c r="N3" s="5"/>
      <c r="O3" s="5"/>
      <c r="P3" s="5"/>
      <c r="Q3" s="5"/>
      <c r="R3" s="5"/>
      <c r="S3" s="5"/>
      <c r="T3" s="5"/>
      <c r="U3" s="5"/>
      <c r="V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row>
    <row r="5" customFormat="false" ht="15" hidden="false" customHeight="false" outlineLevel="0" collapsed="false">
      <c r="A5" s="5"/>
      <c r="B5" s="39" t="s">
        <v>67</v>
      </c>
      <c r="C5" s="40" t="n">
        <f aca="false">Model_Start+0</f>
        <v>2026</v>
      </c>
      <c r="D5" s="40" t="n">
        <f aca="false">Model_Start+1</f>
        <v>2027</v>
      </c>
      <c r="E5" s="40" t="n">
        <f aca="false">Model_Start+2</f>
        <v>2028</v>
      </c>
      <c r="F5" s="40" t="n">
        <f aca="false">Model_Start+3</f>
        <v>2029</v>
      </c>
      <c r="G5" s="40" t="n">
        <f aca="false">Model_Start+4</f>
        <v>2030</v>
      </c>
      <c r="H5" s="40" t="n">
        <f aca="false">Model_Start+5</f>
        <v>2031</v>
      </c>
      <c r="I5" s="40" t="n">
        <f aca="false">Model_Start+6</f>
        <v>2032</v>
      </c>
      <c r="J5" s="40" t="n">
        <f aca="false">Model_Start+7</f>
        <v>2033</v>
      </c>
      <c r="K5" s="40" t="n">
        <f aca="false">Model_Start+8</f>
        <v>2034</v>
      </c>
      <c r="L5" s="40" t="n">
        <f aca="false">Model_Start+9</f>
        <v>2035</v>
      </c>
      <c r="M5" s="40" t="n">
        <f aca="false">Model_Start+10</f>
        <v>2036</v>
      </c>
      <c r="N5" s="40" t="n">
        <f aca="false">Model_Start+11</f>
        <v>2037</v>
      </c>
      <c r="O5" s="40" t="n">
        <f aca="false">Model_Start+12</f>
        <v>2038</v>
      </c>
      <c r="P5" s="40" t="n">
        <f aca="false">Model_Start+13</f>
        <v>2039</v>
      </c>
      <c r="Q5" s="40" t="n">
        <f aca="false">Model_Start+14</f>
        <v>2040</v>
      </c>
      <c r="R5" s="40" t="n">
        <f aca="false">Model_Start+15</f>
        <v>2041</v>
      </c>
      <c r="S5" s="40" t="n">
        <f aca="false">Model_Start+16</f>
        <v>2042</v>
      </c>
      <c r="T5" s="40" t="n">
        <f aca="false">Model_Start+17</f>
        <v>2043</v>
      </c>
      <c r="U5" s="40" t="n">
        <f aca="false">Model_Start+18</f>
        <v>2044</v>
      </c>
      <c r="V5" s="40" t="n">
        <f aca="false">Model_Start+19</f>
        <v>2045</v>
      </c>
    </row>
    <row r="6" customFormat="false" ht="15" hidden="false" customHeight="false" outlineLevel="0" collapsed="false">
      <c r="A6" s="5"/>
      <c r="B6" s="29" t="s">
        <v>146</v>
      </c>
      <c r="C6" s="41" t="n">
        <v>1</v>
      </c>
      <c r="D6" s="41" t="n">
        <v>2</v>
      </c>
      <c r="E6" s="41" t="n">
        <v>3</v>
      </c>
      <c r="F6" s="41" t="n">
        <v>4</v>
      </c>
      <c r="G6" s="41" t="n">
        <v>5</v>
      </c>
      <c r="H6" s="41" t="n">
        <v>6</v>
      </c>
      <c r="I6" s="41" t="n">
        <v>7</v>
      </c>
      <c r="J6" s="41" t="n">
        <v>8</v>
      </c>
      <c r="K6" s="41" t="n">
        <v>9</v>
      </c>
      <c r="L6" s="41" t="n">
        <v>10</v>
      </c>
      <c r="M6" s="41" t="n">
        <v>11</v>
      </c>
      <c r="N6" s="41" t="n">
        <v>12</v>
      </c>
      <c r="O6" s="41" t="n">
        <v>13</v>
      </c>
      <c r="P6" s="41" t="n">
        <v>14</v>
      </c>
      <c r="Q6" s="41" t="n">
        <v>15</v>
      </c>
      <c r="R6" s="41" t="n">
        <v>16</v>
      </c>
      <c r="S6" s="41" t="n">
        <v>17</v>
      </c>
      <c r="T6" s="41" t="n">
        <v>18</v>
      </c>
      <c r="U6" s="41" t="n">
        <v>19</v>
      </c>
      <c r="V6" s="41" t="n">
        <v>20</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row>
    <row r="8" customFormat="false" ht="15" hidden="false" customHeight="false" outlineLevel="0" collapsed="false">
      <c r="A8" s="5"/>
      <c r="B8" s="32" t="s">
        <v>237</v>
      </c>
      <c r="C8" s="16"/>
      <c r="D8" s="16"/>
      <c r="E8" s="16"/>
      <c r="F8" s="16"/>
      <c r="G8" s="16"/>
      <c r="H8" s="16"/>
      <c r="I8" s="16"/>
      <c r="J8" s="16"/>
      <c r="K8" s="16"/>
      <c r="L8" s="16"/>
      <c r="M8" s="16"/>
      <c r="N8" s="16"/>
      <c r="O8" s="16"/>
      <c r="P8" s="16"/>
      <c r="Q8" s="16"/>
      <c r="R8" s="16"/>
      <c r="S8" s="16"/>
      <c r="T8" s="16"/>
      <c r="U8" s="16"/>
      <c r="V8" s="16"/>
    </row>
    <row r="9" customFormat="false" ht="15" hidden="false" customHeight="false" outlineLevel="0" collapsed="false">
      <c r="A9" s="5"/>
      <c r="B9" s="42" t="s">
        <v>173</v>
      </c>
      <c r="C9" s="43" t="n">
        <f aca="false">RO_Total_Rev</f>
        <v>0</v>
      </c>
      <c r="D9" s="43" t="n">
        <f aca="false">RO_Total_Rev</f>
        <v>0</v>
      </c>
      <c r="E9" s="43" t="n">
        <f aca="false">RO_Total_Rev</f>
        <v>70572242.4770039</v>
      </c>
      <c r="F9" s="43" t="n">
        <f aca="false">RO_Total_Rev</f>
        <v>71729098.5387609</v>
      </c>
      <c r="G9" s="43" t="n">
        <f aca="false">RO_Total_Rev</f>
        <v>72910059.9099279</v>
      </c>
      <c r="H9" s="43" t="n">
        <f aca="false">RO_Total_Rev</f>
        <v>74115604.7148953</v>
      </c>
      <c r="I9" s="43" t="n">
        <f aca="false">RO_Total_Rev</f>
        <v>75346222.0764592</v>
      </c>
      <c r="J9" s="43" t="n">
        <f aca="false">RO_Total_Rev</f>
        <v>76602412.330216</v>
      </c>
      <c r="K9" s="43" t="n">
        <f aca="false">RO_Total_Rev</f>
        <v>77884687.2449864</v>
      </c>
      <c r="L9" s="43" t="n">
        <f aca="false">RO_Total_Rev</f>
        <v>79193570.2493382</v>
      </c>
      <c r="M9" s="43" t="n">
        <f aca="false">RO_Total_Rev</f>
        <v>80529596.6642817</v>
      </c>
      <c r="N9" s="43" t="n">
        <f aca="false">RO_Total_Rev</f>
        <v>81893313.9422201</v>
      </c>
      <c r="O9" s="43" t="n">
        <f aca="false">RO_Total_Rev</f>
        <v>83285281.9122389</v>
      </c>
      <c r="P9" s="43" t="n">
        <f aca="false">RO_Total_Rev</f>
        <v>84706073.0318271</v>
      </c>
      <c r="Q9" s="43" t="n">
        <f aca="false">RO_Total_Rev</f>
        <v>86156272.6451241</v>
      </c>
      <c r="R9" s="43" t="n">
        <f aca="false">RO_Total_Rev</f>
        <v>87636479.2477973</v>
      </c>
      <c r="S9" s="43" t="n">
        <f aca="false">RO_Total_Rev</f>
        <v>89147304.7586529</v>
      </c>
      <c r="T9" s="43" t="n">
        <f aca="false">RO_Total_Rev</f>
        <v>102209649.385105</v>
      </c>
      <c r="U9" s="43" t="n">
        <f aca="false">RO_Total_Rev</f>
        <v>103885121.89825</v>
      </c>
      <c r="V9" s="43" t="n">
        <f aca="false">RO_Total_Rev</f>
        <v>105595506.086816</v>
      </c>
    </row>
    <row r="10" customFormat="false" ht="15" hidden="false" customHeight="false" outlineLevel="0" collapsed="false">
      <c r="A10" s="5"/>
      <c r="B10" s="42" t="s">
        <v>177</v>
      </c>
      <c r="C10" s="43" t="n">
        <f aca="false">-RO_Total_Var</f>
        <v>-0</v>
      </c>
      <c r="D10" s="43" t="n">
        <f aca="false">-RO_Total_Var</f>
        <v>-0</v>
      </c>
      <c r="E10" s="43" t="n">
        <f aca="false">-RO_Total_Var</f>
        <v>-27305876.5513747</v>
      </c>
      <c r="F10" s="43" t="n">
        <f aca="false">-RO_Total_Var</f>
        <v>-27974038.1190012</v>
      </c>
      <c r="G10" s="43" t="n">
        <f aca="false">-RO_Total_Var</f>
        <v>-28658788.8805444</v>
      </c>
      <c r="H10" s="43" t="n">
        <f aca="false">-RO_Total_Var</f>
        <v>-29360540.5968071</v>
      </c>
      <c r="I10" s="43" t="n">
        <f aca="false">-RO_Total_Var</f>
        <v>-30079715.2998461</v>
      </c>
      <c r="J10" s="43" t="n">
        <f aca="false">-RO_Total_Var</f>
        <v>-30816745.5483093</v>
      </c>
      <c r="K10" s="43" t="n">
        <f aca="false">-RO_Total_Var</f>
        <v>-31572074.6891724</v>
      </c>
      <c r="L10" s="43" t="n">
        <f aca="false">-RO_Total_Var</f>
        <v>-32346157.1260325</v>
      </c>
      <c r="M10" s="43" t="n">
        <f aca="false">-RO_Total_Var</f>
        <v>-33139458.5941218</v>
      </c>
      <c r="N10" s="43" t="n">
        <f aca="false">-RO_Total_Var</f>
        <v>-33952456.4422066</v>
      </c>
      <c r="O10" s="43" t="n">
        <f aca="false">-RO_Total_Var</f>
        <v>-34785639.9215428</v>
      </c>
      <c r="P10" s="43" t="n">
        <f aca="false">-RO_Total_Var</f>
        <v>-35639510.4820623</v>
      </c>
      <c r="Q10" s="43" t="n">
        <f aca="false">-RO_Total_Var</f>
        <v>-36514582.0759697</v>
      </c>
      <c r="R10" s="43" t="n">
        <f aca="false">-RO_Total_Var</f>
        <v>-37411381.4689327</v>
      </c>
      <c r="S10" s="43" t="n">
        <f aca="false">-RO_Total_Var</f>
        <v>-38330448.5590556</v>
      </c>
      <c r="T10" s="43" t="n">
        <f aca="false">-RO_Total_Var</f>
        <v>-39547050.9439797</v>
      </c>
      <c r="U10" s="43" t="n">
        <f aca="false">-RO_Total_Var</f>
        <v>-40514748.1172977</v>
      </c>
      <c r="V10" s="43" t="n">
        <f aca="false">-RO_Total_Var</f>
        <v>-41506471.3897489</v>
      </c>
    </row>
    <row r="11" customFormat="false" ht="15" hidden="false" customHeight="false" outlineLevel="0" collapsed="false">
      <c r="A11" s="5"/>
      <c r="B11" s="44" t="s">
        <v>238</v>
      </c>
      <c r="C11" s="45" t="n">
        <f aca="false">C9+C10</f>
        <v>0</v>
      </c>
      <c r="D11" s="45" t="n">
        <f aca="false">D9+D10</f>
        <v>0</v>
      </c>
      <c r="E11" s="45" t="n">
        <f aca="false">E9+E10</f>
        <v>43266365.9256292</v>
      </c>
      <c r="F11" s="45" t="n">
        <f aca="false">F9+F10</f>
        <v>43755060.4197597</v>
      </c>
      <c r="G11" s="45" t="n">
        <f aca="false">G9+G10</f>
        <v>44251271.0293835</v>
      </c>
      <c r="H11" s="45" t="n">
        <f aca="false">H9+H10</f>
        <v>44755064.1180882</v>
      </c>
      <c r="I11" s="45" t="n">
        <f aca="false">I9+I10</f>
        <v>45266506.7766131</v>
      </c>
      <c r="J11" s="45" t="n">
        <f aca="false">J9+J10</f>
        <v>45785666.7819067</v>
      </c>
      <c r="K11" s="45" t="n">
        <f aca="false">K9+K10</f>
        <v>46312612.555814</v>
      </c>
      <c r="L11" s="45" t="n">
        <f aca="false">L9+L10</f>
        <v>46847413.1233057</v>
      </c>
      <c r="M11" s="45" t="n">
        <f aca="false">M9+M10</f>
        <v>47390138.0701599</v>
      </c>
      <c r="N11" s="45" t="n">
        <f aca="false">N9+N10</f>
        <v>47940857.5000135</v>
      </c>
      <c r="O11" s="45" t="n">
        <f aca="false">O9+O10</f>
        <v>48499641.9906961</v>
      </c>
      <c r="P11" s="45" t="n">
        <f aca="false">P9+P10</f>
        <v>49066562.5497647</v>
      </c>
      <c r="Q11" s="45" t="n">
        <f aca="false">Q9+Q10</f>
        <v>49641690.5691545</v>
      </c>
      <c r="R11" s="45" t="n">
        <f aca="false">R9+R10</f>
        <v>50225097.7788646</v>
      </c>
      <c r="S11" s="45" t="n">
        <f aca="false">S9+S10</f>
        <v>50816856.1995973</v>
      </c>
      <c r="T11" s="45" t="n">
        <f aca="false">T9+T10</f>
        <v>62662598.4411251</v>
      </c>
      <c r="U11" s="45" t="n">
        <f aca="false">U9+U10</f>
        <v>63370373.7809519</v>
      </c>
      <c r="V11" s="45" t="n">
        <f aca="false">V9+V10</f>
        <v>64089034.697067</v>
      </c>
    </row>
    <row r="12" customFormat="false" ht="15" hidden="false" customHeight="false" outlineLevel="0" collapsed="false">
      <c r="A12" s="5"/>
      <c r="B12" s="42" t="s">
        <v>103</v>
      </c>
      <c r="C12" s="43" t="n">
        <f aca="false">-RO_Fixed_OM</f>
        <v>-0</v>
      </c>
      <c r="D12" s="43" t="n">
        <f aca="false">-RO_Fixed_OM</f>
        <v>-0</v>
      </c>
      <c r="E12" s="43" t="n">
        <f aca="false">-RO_Fixed_OM</f>
        <v>-3750000</v>
      </c>
      <c r="F12" s="43" t="n">
        <f aca="false">-RO_Fixed_OM</f>
        <v>-3843750</v>
      </c>
      <c r="G12" s="43" t="n">
        <f aca="false">-RO_Fixed_OM</f>
        <v>-3939843.75</v>
      </c>
      <c r="H12" s="43" t="n">
        <f aca="false">-RO_Fixed_OM</f>
        <v>-4038339.84375</v>
      </c>
      <c r="I12" s="43" t="n">
        <f aca="false">-RO_Fixed_OM</f>
        <v>-4139298.33984375</v>
      </c>
      <c r="J12" s="43" t="n">
        <f aca="false">-RO_Fixed_OM</f>
        <v>-4242780.79833984</v>
      </c>
      <c r="K12" s="43" t="n">
        <f aca="false">-RO_Fixed_OM</f>
        <v>-4348850.31829834</v>
      </c>
      <c r="L12" s="43" t="n">
        <f aca="false">-RO_Fixed_OM</f>
        <v>-4457571.5762558</v>
      </c>
      <c r="M12" s="43" t="n">
        <f aca="false">-RO_Fixed_OM</f>
        <v>-4569010.86566219</v>
      </c>
      <c r="N12" s="43" t="n">
        <f aca="false">-RO_Fixed_OM</f>
        <v>-4683236.13730374</v>
      </c>
      <c r="O12" s="43" t="n">
        <f aca="false">-RO_Fixed_OM</f>
        <v>-4800317.04073634</v>
      </c>
      <c r="P12" s="43" t="n">
        <f aca="false">-RO_Fixed_OM</f>
        <v>-4920324.96675475</v>
      </c>
      <c r="Q12" s="43" t="n">
        <f aca="false">-RO_Fixed_OM</f>
        <v>-5043333.09092361</v>
      </c>
      <c r="R12" s="43" t="n">
        <f aca="false">-RO_Fixed_OM</f>
        <v>-5169416.4181967</v>
      </c>
      <c r="S12" s="43" t="n">
        <f aca="false">-RO_Fixed_OM</f>
        <v>-5298651.82865162</v>
      </c>
      <c r="T12" s="43" t="n">
        <f aca="false">-RO_Fixed_OM</f>
        <v>-5431118.12436791</v>
      </c>
      <c r="U12" s="43" t="n">
        <f aca="false">-RO_Fixed_OM</f>
        <v>-5566896.07747711</v>
      </c>
      <c r="V12" s="43" t="n">
        <f aca="false">-RO_Fixed_OM</f>
        <v>-5706068.47941404</v>
      </c>
    </row>
    <row r="13" customFormat="false" ht="15" hidden="false" customHeight="false" outlineLevel="0" collapsed="false">
      <c r="A13" s="5"/>
      <c r="B13" s="44" t="s">
        <v>183</v>
      </c>
      <c r="C13" s="45" t="n">
        <f aca="false">C11+C12</f>
        <v>0</v>
      </c>
      <c r="D13" s="45" t="n">
        <f aca="false">D11+D12</f>
        <v>0</v>
      </c>
      <c r="E13" s="45" t="n">
        <f aca="false">E11+E12</f>
        <v>39516365.9256292</v>
      </c>
      <c r="F13" s="45" t="n">
        <f aca="false">F11+F12</f>
        <v>39911310.4197597</v>
      </c>
      <c r="G13" s="45" t="n">
        <f aca="false">G11+G12</f>
        <v>40311427.2793835</v>
      </c>
      <c r="H13" s="45" t="n">
        <f aca="false">H11+H12</f>
        <v>40716724.2743382</v>
      </c>
      <c r="I13" s="45" t="n">
        <f aca="false">I11+I12</f>
        <v>41127208.4367693</v>
      </c>
      <c r="J13" s="45" t="n">
        <f aca="false">J11+J12</f>
        <v>41542885.9835668</v>
      </c>
      <c r="K13" s="45" t="n">
        <f aca="false">K11+K12</f>
        <v>41963762.2375157</v>
      </c>
      <c r="L13" s="45" t="n">
        <f aca="false">L11+L12</f>
        <v>42389841.5470499</v>
      </c>
      <c r="M13" s="45" t="n">
        <f aca="false">M11+M12</f>
        <v>42821127.2044977</v>
      </c>
      <c r="N13" s="45" t="n">
        <f aca="false">N11+N12</f>
        <v>43257621.3627097</v>
      </c>
      <c r="O13" s="45" t="n">
        <f aca="false">O11+O12</f>
        <v>43699324.9499598</v>
      </c>
      <c r="P13" s="45" t="n">
        <f aca="false">P11+P12</f>
        <v>44146237.58301</v>
      </c>
      <c r="Q13" s="45" t="n">
        <f aca="false">Q11+Q12</f>
        <v>44598357.4782309</v>
      </c>
      <c r="R13" s="45" t="n">
        <f aca="false">R11+R12</f>
        <v>45055681.3606679</v>
      </c>
      <c r="S13" s="45" t="n">
        <f aca="false">S11+S12</f>
        <v>45518204.3709457</v>
      </c>
      <c r="T13" s="45" t="n">
        <f aca="false">T11+T12</f>
        <v>57231480.3167571</v>
      </c>
      <c r="U13" s="45" t="n">
        <f aca="false">U11+U12</f>
        <v>57803477.7034748</v>
      </c>
      <c r="V13" s="45" t="n">
        <f aca="false">V11+V12</f>
        <v>58382966.217653</v>
      </c>
    </row>
    <row r="14" customFormat="false" ht="15" hidden="false" customHeight="false" outlineLevel="0" collapsed="false">
      <c r="A14" s="5"/>
      <c r="B14" s="42" t="s">
        <v>222</v>
      </c>
      <c r="C14" s="43" t="n">
        <f aca="false">-CD_Total_Depr</f>
        <v>-0</v>
      </c>
      <c r="D14" s="43" t="n">
        <f aca="false">-CD_Total_Depr</f>
        <v>-0</v>
      </c>
      <c r="E14" s="43" t="n">
        <f aca="false">-CD_Total_Depr</f>
        <v>-7563018.75</v>
      </c>
      <c r="F14" s="43" t="n">
        <f aca="false">-CD_Total_Depr</f>
        <v>-7323655.89046875</v>
      </c>
      <c r="G14" s="43" t="n">
        <f aca="false">-CD_Total_Depr</f>
        <v>-7101329.68246464</v>
      </c>
      <c r="H14" s="43" t="n">
        <f aca="false">-CD_Total_Depr</f>
        <v>-6894827.54231522</v>
      </c>
      <c r="I14" s="43" t="n">
        <f aca="false">-CD_Total_Depr</f>
        <v>-6703023.19199093</v>
      </c>
      <c r="J14" s="43" t="n">
        <f aca="false">-CD_Total_Depr</f>
        <v>-6524870.51630098</v>
      </c>
      <c r="K14" s="43" t="n">
        <f aca="false">-CD_Total_Depr</f>
        <v>-6359397.85730325</v>
      </c>
      <c r="L14" s="43" t="n">
        <f aca="false">-CD_Total_Depr</f>
        <v>-6205702.7148097</v>
      </c>
      <c r="M14" s="43" t="n">
        <f aca="false">-CD_Total_Depr</f>
        <v>-6062946.82408312</v>
      </c>
      <c r="N14" s="43" t="n">
        <f aca="false">-CD_Total_Depr</f>
        <v>-5930351.583879</v>
      </c>
      <c r="O14" s="43" t="n">
        <f aca="false">-CD_Total_Depr</f>
        <v>-5807193.80989641</v>
      </c>
      <c r="P14" s="43" t="n">
        <f aca="false">-CD_Total_Depr</f>
        <v>-5692801.79047704</v>
      </c>
      <c r="Q14" s="43" t="n">
        <f aca="false">-CD_Total_Depr</f>
        <v>-5586551.62303983</v>
      </c>
      <c r="R14" s="43" t="n">
        <f aca="false">-CD_Total_Depr</f>
        <v>-5487863.81126997</v>
      </c>
      <c r="S14" s="43" t="n">
        <f aca="false">-CD_Total_Depr</f>
        <v>-5396200.10450283</v>
      </c>
      <c r="T14" s="43" t="n">
        <f aca="false">-CD_Total_Depr</f>
        <v>-9949778.55208748</v>
      </c>
      <c r="U14" s="43" t="n">
        <f aca="false">-CD_Total_Depr</f>
        <v>-9540538.06364265</v>
      </c>
      <c r="V14" s="43" t="n">
        <f aca="false">-CD_Total_Depr</f>
        <v>-9160425.26696288</v>
      </c>
    </row>
    <row r="15" customFormat="false" ht="15" hidden="false" customHeight="false" outlineLevel="0" collapsed="false">
      <c r="A15" s="5"/>
      <c r="B15" s="44" t="s">
        <v>223</v>
      </c>
      <c r="C15" s="45" t="n">
        <f aca="false">C13+C14</f>
        <v>0</v>
      </c>
      <c r="D15" s="45" t="n">
        <f aca="false">D13+D14</f>
        <v>0</v>
      </c>
      <c r="E15" s="45" t="n">
        <f aca="false">E13+E14</f>
        <v>31953347.1756292</v>
      </c>
      <c r="F15" s="45" t="n">
        <f aca="false">F13+F14</f>
        <v>32587654.5292909</v>
      </c>
      <c r="G15" s="45" t="n">
        <f aca="false">G13+G14</f>
        <v>33210097.5969188</v>
      </c>
      <c r="H15" s="45" t="n">
        <f aca="false">H13+H14</f>
        <v>33821896.732023</v>
      </c>
      <c r="I15" s="45" t="n">
        <f aca="false">I13+I14</f>
        <v>34424185.2447784</v>
      </c>
      <c r="J15" s="45" t="n">
        <f aca="false">J13+J14</f>
        <v>35018015.4672658</v>
      </c>
      <c r="K15" s="45" t="n">
        <f aca="false">K13+K14</f>
        <v>35604364.3802125</v>
      </c>
      <c r="L15" s="45" t="n">
        <f aca="false">L13+L14</f>
        <v>36184138.8322402</v>
      </c>
      <c r="M15" s="45" t="n">
        <f aca="false">M13+M14</f>
        <v>36758180.3804146</v>
      </c>
      <c r="N15" s="45" t="n">
        <f aca="false">N13+N14</f>
        <v>37327269.7788307</v>
      </c>
      <c r="O15" s="45" t="n">
        <f aca="false">O13+O14</f>
        <v>37892131.1400634</v>
      </c>
      <c r="P15" s="45" t="n">
        <f aca="false">P13+P14</f>
        <v>38453435.792533</v>
      </c>
      <c r="Q15" s="45" t="n">
        <f aca="false">Q13+Q14</f>
        <v>39011805.855191</v>
      </c>
      <c r="R15" s="45" t="n">
        <f aca="false">R13+R14</f>
        <v>39567817.549398</v>
      </c>
      <c r="S15" s="45" t="n">
        <f aca="false">S13+S14</f>
        <v>40122004.2664429</v>
      </c>
      <c r="T15" s="45" t="n">
        <f aca="false">T13+T14</f>
        <v>47281701.7646697</v>
      </c>
      <c r="U15" s="45" t="n">
        <f aca="false">U13+U14</f>
        <v>48262939.6398322</v>
      </c>
      <c r="V15" s="45" t="n">
        <f aca="false">V13+V14</f>
        <v>49222540.9506901</v>
      </c>
    </row>
    <row r="16" customFormat="false" ht="15" hidden="false" customHeight="false" outlineLevel="0" collapsed="false">
      <c r="A16" s="5"/>
      <c r="B16" s="42" t="s">
        <v>207</v>
      </c>
      <c r="C16" s="43" t="n">
        <f aca="false">-DS_Interest</f>
        <v>-0</v>
      </c>
      <c r="D16" s="43" t="n">
        <f aca="false">-DS_Interest</f>
        <v>-0</v>
      </c>
      <c r="E16" s="43" t="n">
        <f aca="false">-DS_Interest</f>
        <v>-6654375</v>
      </c>
      <c r="F16" s="43" t="n">
        <f aca="false">-DS_Interest</f>
        <v>-6379198.07485686</v>
      </c>
      <c r="G16" s="43" t="n">
        <f aca="false">-DS_Interest</f>
        <v>-6086134.64957942</v>
      </c>
      <c r="H16" s="43" t="n">
        <f aca="false">-DS_Interest</f>
        <v>-5774022.10165895</v>
      </c>
      <c r="I16" s="43" t="n">
        <f aca="false">-DS_Interest</f>
        <v>-5441622.23812364</v>
      </c>
      <c r="J16" s="43" t="n">
        <f aca="false">-DS_Interest</f>
        <v>-5087616.38345854</v>
      </c>
      <c r="K16" s="43" t="n">
        <f aca="false">-DS_Interest</f>
        <v>-4710600.14824021</v>
      </c>
      <c r="L16" s="43" t="n">
        <f aca="false">-DS_Interest</f>
        <v>-4309077.85773268</v>
      </c>
      <c r="M16" s="43" t="n">
        <f aca="false">-DS_Interest</f>
        <v>-3881456.61834217</v>
      </c>
      <c r="N16" s="43" t="n">
        <f aca="false">-DS_Interest</f>
        <v>-3426039.99839127</v>
      </c>
      <c r="O16" s="43" t="n">
        <f aca="false">-DS_Interest</f>
        <v>-2941021.29814357</v>
      </c>
      <c r="P16" s="43" t="n">
        <f aca="false">-DS_Interest</f>
        <v>-2424476.38237976</v>
      </c>
      <c r="Q16" s="43" t="n">
        <f aca="false">-DS_Interest</f>
        <v>-1874356.04709131</v>
      </c>
      <c r="R16" s="43" t="n">
        <f aca="false">-DS_Interest</f>
        <v>-1288477.89000911</v>
      </c>
      <c r="S16" s="43" t="n">
        <f aca="false">-DS_Interest</f>
        <v>-664517.652716561</v>
      </c>
      <c r="T16" s="43" t="n">
        <f aca="false">-DS_Interest</f>
        <v>-0</v>
      </c>
      <c r="U16" s="43" t="n">
        <f aca="false">-DS_Interest</f>
        <v>-0</v>
      </c>
      <c r="V16" s="43" t="n">
        <f aca="false">-DS_Interest</f>
        <v>-0</v>
      </c>
    </row>
    <row r="17" customFormat="false" ht="15" hidden="false" customHeight="false" outlineLevel="0" collapsed="false">
      <c r="A17" s="5"/>
      <c r="B17" s="42" t="s">
        <v>239</v>
      </c>
      <c r="C17" s="43" t="n">
        <f aca="false">C15+C16</f>
        <v>0</v>
      </c>
      <c r="D17" s="43" t="n">
        <f aca="false">D15+D16</f>
        <v>0</v>
      </c>
      <c r="E17" s="43" t="n">
        <f aca="false">E15+E16</f>
        <v>25298972.1756292</v>
      </c>
      <c r="F17" s="43" t="n">
        <f aca="false">F15+F16</f>
        <v>26208456.4544341</v>
      </c>
      <c r="G17" s="43" t="n">
        <f aca="false">G15+G16</f>
        <v>27123962.9473394</v>
      </c>
      <c r="H17" s="43" t="n">
        <f aca="false">H15+H16</f>
        <v>28047874.630364</v>
      </c>
      <c r="I17" s="43" t="n">
        <f aca="false">I15+I16</f>
        <v>28982563.0066548</v>
      </c>
      <c r="J17" s="43" t="n">
        <f aca="false">J15+J16</f>
        <v>29930399.0838073</v>
      </c>
      <c r="K17" s="43" t="n">
        <f aca="false">K15+K16</f>
        <v>30893764.2319722</v>
      </c>
      <c r="L17" s="43" t="n">
        <f aca="false">L15+L16</f>
        <v>31875060.9745075</v>
      </c>
      <c r="M17" s="43" t="n">
        <f aca="false">M15+M16</f>
        <v>32876723.7620724</v>
      </c>
      <c r="N17" s="43" t="n">
        <f aca="false">N15+N16</f>
        <v>33901229.7804394</v>
      </c>
      <c r="O17" s="43" t="n">
        <f aca="false">O15+O16</f>
        <v>34951109.8419198</v>
      </c>
      <c r="P17" s="43" t="n">
        <f aca="false">P15+P16</f>
        <v>36028959.4101532</v>
      </c>
      <c r="Q17" s="43" t="n">
        <f aca="false">Q15+Q16</f>
        <v>37137449.8080997</v>
      </c>
      <c r="R17" s="43" t="n">
        <f aca="false">R15+R16</f>
        <v>38279339.6593889</v>
      </c>
      <c r="S17" s="43" t="n">
        <f aca="false">S15+S16</f>
        <v>39457486.6137263</v>
      </c>
      <c r="T17" s="43" t="n">
        <f aca="false">T15+T16</f>
        <v>47281701.7646697</v>
      </c>
      <c r="U17" s="43" t="n">
        <f aca="false">U15+U16</f>
        <v>48262939.6398322</v>
      </c>
      <c r="V17" s="43" t="n">
        <f aca="false">V15+V16</f>
        <v>49222540.9506901</v>
      </c>
    </row>
    <row r="18" customFormat="false" ht="15" hidden="false" customHeight="false" outlineLevel="0" collapsed="false">
      <c r="A18" s="5"/>
      <c r="B18" s="42" t="s">
        <v>240</v>
      </c>
      <c r="C18" s="43" t="n">
        <f aca="false">-MAX(0,C17)*Tax_Rate</f>
        <v>-0</v>
      </c>
      <c r="D18" s="43" t="n">
        <f aca="false">-MAX(0,D17)*Tax_Rate</f>
        <v>-0</v>
      </c>
      <c r="E18" s="43" t="n">
        <f aca="false">-MAX(0,E17)*Tax_Rate</f>
        <v>-6324743.0439073</v>
      </c>
      <c r="F18" s="43" t="n">
        <f aca="false">-MAX(0,F17)*Tax_Rate</f>
        <v>-6552114.11360851</v>
      </c>
      <c r="G18" s="43" t="n">
        <f aca="false">-MAX(0,G17)*Tax_Rate</f>
        <v>-6780990.73683485</v>
      </c>
      <c r="H18" s="43" t="n">
        <f aca="false">-MAX(0,H17)*Tax_Rate</f>
        <v>-7011968.657591</v>
      </c>
      <c r="I18" s="43" t="n">
        <f aca="false">-MAX(0,I17)*Tax_Rate</f>
        <v>-7245640.75166369</v>
      </c>
      <c r="J18" s="43" t="n">
        <f aca="false">-MAX(0,J17)*Tax_Rate</f>
        <v>-7482599.77095182</v>
      </c>
      <c r="K18" s="43" t="n">
        <f aca="false">-MAX(0,K17)*Tax_Rate</f>
        <v>-7723441.05799306</v>
      </c>
      <c r="L18" s="43" t="n">
        <f aca="false">-MAX(0,L17)*Tax_Rate</f>
        <v>-7968765.24362688</v>
      </c>
      <c r="M18" s="43" t="n">
        <f aca="false">-MAX(0,M17)*Tax_Rate</f>
        <v>-8219180.94051811</v>
      </c>
      <c r="N18" s="43" t="n">
        <f aca="false">-MAX(0,N17)*Tax_Rate</f>
        <v>-8475307.44510986</v>
      </c>
      <c r="O18" s="43" t="n">
        <f aca="false">-MAX(0,O17)*Tax_Rate</f>
        <v>-8737777.46047995</v>
      </c>
      <c r="P18" s="43" t="n">
        <f aca="false">-MAX(0,P17)*Tax_Rate</f>
        <v>-9007239.8525383</v>
      </c>
      <c r="Q18" s="43" t="n">
        <f aca="false">-MAX(0,Q17)*Tax_Rate</f>
        <v>-9284362.45202493</v>
      </c>
      <c r="R18" s="43" t="n">
        <f aca="false">-MAX(0,R17)*Tax_Rate</f>
        <v>-9569834.91484721</v>
      </c>
      <c r="S18" s="43" t="n">
        <f aca="false">-MAX(0,S17)*Tax_Rate</f>
        <v>-9864371.65343158</v>
      </c>
      <c r="T18" s="43" t="n">
        <f aca="false">-MAX(0,T17)*Tax_Rate</f>
        <v>-11820425.4411674</v>
      </c>
      <c r="U18" s="43" t="n">
        <f aca="false">-MAX(0,U17)*Tax_Rate</f>
        <v>-12065734.909958</v>
      </c>
      <c r="V18" s="43" t="n">
        <f aca="false">-MAX(0,V17)*Tax_Rate</f>
        <v>-12305635.2376725</v>
      </c>
    </row>
    <row r="19" customFormat="false" ht="15" hidden="false" customHeight="false" outlineLevel="0" collapsed="false">
      <c r="A19" s="5"/>
      <c r="B19" s="46" t="s">
        <v>241</v>
      </c>
      <c r="C19" s="47" t="n">
        <f aca="false">C17+C18</f>
        <v>0</v>
      </c>
      <c r="D19" s="47" t="n">
        <f aca="false">D17+D18</f>
        <v>0</v>
      </c>
      <c r="E19" s="47" t="n">
        <f aca="false">E17+E18</f>
        <v>18974229.1317219</v>
      </c>
      <c r="F19" s="47" t="n">
        <f aca="false">F17+F18</f>
        <v>19656342.3408255</v>
      </c>
      <c r="G19" s="47" t="n">
        <f aca="false">G17+G18</f>
        <v>20342972.2105046</v>
      </c>
      <c r="H19" s="47" t="n">
        <f aca="false">H17+H18</f>
        <v>21035905.972773</v>
      </c>
      <c r="I19" s="47" t="n">
        <f aca="false">I17+I18</f>
        <v>21736922.2549911</v>
      </c>
      <c r="J19" s="47" t="n">
        <f aca="false">J17+J18</f>
        <v>22447799.3128555</v>
      </c>
      <c r="K19" s="47" t="n">
        <f aca="false">K17+K18</f>
        <v>23170323.1739792</v>
      </c>
      <c r="L19" s="47" t="n">
        <f aca="false">L17+L18</f>
        <v>23906295.7308806</v>
      </c>
      <c r="M19" s="47" t="n">
        <f aca="false">M17+M18</f>
        <v>24657542.8215543</v>
      </c>
      <c r="N19" s="47" t="n">
        <f aca="false">N17+N18</f>
        <v>25425922.3353296</v>
      </c>
      <c r="O19" s="47" t="n">
        <f aca="false">O17+O18</f>
        <v>26213332.3814399</v>
      </c>
      <c r="P19" s="47" t="n">
        <f aca="false">P17+P18</f>
        <v>27021719.5576149</v>
      </c>
      <c r="Q19" s="47" t="n">
        <f aca="false">Q17+Q18</f>
        <v>27853087.3560748</v>
      </c>
      <c r="R19" s="47" t="n">
        <f aca="false">R17+R18</f>
        <v>28709504.7445416</v>
      </c>
      <c r="S19" s="47" t="n">
        <f aca="false">S17+S18</f>
        <v>29593114.9602947</v>
      </c>
      <c r="T19" s="47" t="n">
        <f aca="false">T17+T18</f>
        <v>35461276.3235023</v>
      </c>
      <c r="U19" s="47" t="n">
        <f aca="false">U17+U18</f>
        <v>36197204.7298741</v>
      </c>
      <c r="V19" s="47" t="n">
        <f aca="false">V17+V18</f>
        <v>36916905.7130176</v>
      </c>
    </row>
    <row r="20" customFormat="false" ht="15" hidden="false" customHeight="false" outlineLevel="0" collapsed="false">
      <c r="A20" s="5"/>
      <c r="B20" s="5"/>
      <c r="C20" s="5"/>
      <c r="D20" s="5"/>
      <c r="E20" s="5"/>
      <c r="F20" s="5"/>
      <c r="G20" s="5"/>
      <c r="H20" s="5"/>
      <c r="I20" s="5"/>
      <c r="J20" s="5"/>
      <c r="K20" s="5"/>
      <c r="L20" s="5"/>
      <c r="M20" s="5"/>
      <c r="N20" s="5"/>
      <c r="O20" s="5"/>
      <c r="P20" s="5"/>
      <c r="Q20" s="5"/>
      <c r="R20" s="5"/>
      <c r="S20" s="5"/>
      <c r="T20" s="5"/>
      <c r="U20" s="5"/>
      <c r="V20" s="5"/>
    </row>
    <row r="21" customFormat="false" ht="15" hidden="false" customHeight="false" outlineLevel="0" collapsed="false">
      <c r="A21" s="5"/>
      <c r="B21" s="32" t="s">
        <v>242</v>
      </c>
      <c r="C21" s="16"/>
      <c r="D21" s="16"/>
      <c r="E21" s="16"/>
      <c r="F21" s="16"/>
      <c r="G21" s="16"/>
      <c r="H21" s="16"/>
      <c r="I21" s="16"/>
      <c r="J21" s="16"/>
      <c r="K21" s="16"/>
      <c r="L21" s="16"/>
      <c r="M21" s="16"/>
      <c r="N21" s="16"/>
      <c r="O21" s="16"/>
      <c r="P21" s="16"/>
      <c r="Q21" s="16"/>
      <c r="R21" s="16"/>
      <c r="S21" s="16"/>
      <c r="T21" s="16"/>
      <c r="U21" s="16"/>
      <c r="V21" s="16"/>
    </row>
    <row r="22" customFormat="false" ht="15" hidden="false" customHeight="false" outlineLevel="0" collapsed="false">
      <c r="A22" s="5"/>
      <c r="B22" s="42" t="s">
        <v>243</v>
      </c>
      <c r="C22" s="43" t="n">
        <f aca="false">C58</f>
        <v>1663593.75</v>
      </c>
      <c r="D22" s="43" t="n">
        <f aca="false">D58</f>
        <v>3327187.5</v>
      </c>
      <c r="E22" s="43" t="n">
        <f aca="false">E58</f>
        <v>4990781.25</v>
      </c>
      <c r="F22" s="43" t="n">
        <f aca="false">F58</f>
        <v>6585580.76871422</v>
      </c>
      <c r="G22" s="43" t="n">
        <f aca="false">G58</f>
        <v>8107114.43110907</v>
      </c>
      <c r="H22" s="43" t="n">
        <f aca="false">H58</f>
        <v>9550619.9565238</v>
      </c>
      <c r="I22" s="43" t="n">
        <f aca="false">I58</f>
        <v>10911025.5160547</v>
      </c>
      <c r="J22" s="43" t="n">
        <f aca="false">J58</f>
        <v>12182929.6119193</v>
      </c>
      <c r="K22" s="43" t="n">
        <f aca="false">K58</f>
        <v>13360579.6489794</v>
      </c>
      <c r="L22" s="43" t="n">
        <f aca="false">L58</f>
        <v>14437849.1134126</v>
      </c>
      <c r="M22" s="43" t="n">
        <f aca="false">M58</f>
        <v>15408213.2679981</v>
      </c>
      <c r="N22" s="43" t="n">
        <f aca="false">N58</f>
        <v>16264723.2675959</v>
      </c>
      <c r="O22" s="43" t="n">
        <f aca="false">O58</f>
        <v>16999978.5921318</v>
      </c>
      <c r="P22" s="43" t="n">
        <f aca="false">P58</f>
        <v>17606097.6877268</v>
      </c>
      <c r="Q22" s="43" t="n">
        <f aca="false">Q58</f>
        <v>18074686.6994996</v>
      </c>
      <c r="R22" s="43" t="n">
        <f aca="false">R58</f>
        <v>18396806.1720019</v>
      </c>
      <c r="S22" s="43" t="n">
        <f aca="false">S58</f>
        <v>18562935.585181</v>
      </c>
      <c r="T22" s="43" t="n">
        <f aca="false">T58</f>
        <v>-4495065.12551026</v>
      </c>
      <c r="U22" s="43" t="n">
        <f aca="false">U58</f>
        <v>38961070.1725359</v>
      </c>
      <c r="V22" s="43" t="n">
        <f aca="false">V58</f>
        <v>82700406.3689802</v>
      </c>
    </row>
    <row r="23" customFormat="false" ht="15" hidden="false" customHeight="false" outlineLevel="0" collapsed="false">
      <c r="A23" s="5"/>
      <c r="B23" s="42" t="s">
        <v>244</v>
      </c>
      <c r="C23" s="43" t="n">
        <f aca="false">RO_Total_Rev*DSO_Days/365</f>
        <v>0</v>
      </c>
      <c r="D23" s="43" t="n">
        <f aca="false">RO_Total_Rev*DSO_Days/365</f>
        <v>0</v>
      </c>
      <c r="E23" s="43" t="n">
        <f aca="false">RO_Total_Rev*DSO_Days/365</f>
        <v>6767201.33341133</v>
      </c>
      <c r="F23" s="43" t="n">
        <f aca="false">RO_Total_Rev*DSO_Days/365</f>
        <v>6878132.73659351</v>
      </c>
      <c r="G23" s="43" t="n">
        <f aca="false">RO_Total_Rev*DSO_Days/365</f>
        <v>6991375.60780131</v>
      </c>
      <c r="H23" s="43" t="n">
        <f aca="false">RO_Total_Rev*DSO_Days/365</f>
        <v>7106975.794579</v>
      </c>
      <c r="I23" s="43" t="n">
        <f aca="false">RO_Total_Rev*DSO_Days/365</f>
        <v>7224980.19911252</v>
      </c>
      <c r="J23" s="43" t="n">
        <f aca="false">RO_Total_Rev*DSO_Days/365</f>
        <v>7345436.79878783</v>
      </c>
      <c r="K23" s="43" t="n">
        <f aca="false">RO_Total_Rev*DSO_Days/365</f>
        <v>7468394.66732747</v>
      </c>
      <c r="L23" s="43" t="n">
        <f aca="false">RO_Total_Rev*DSO_Days/365</f>
        <v>7593903.99651188</v>
      </c>
      <c r="M23" s="43" t="n">
        <f aca="false">RO_Total_Rev*DSO_Days/365</f>
        <v>7722016.11849276</v>
      </c>
      <c r="N23" s="43" t="n">
        <f aca="false">RO_Total_Rev*DSO_Days/365</f>
        <v>7852783.52870603</v>
      </c>
      <c r="O23" s="43" t="n">
        <f aca="false">RO_Total_Rev*DSO_Days/365</f>
        <v>7986259.90939277</v>
      </c>
      <c r="P23" s="43" t="n">
        <f aca="false">RO_Total_Rev*DSO_Days/365</f>
        <v>8122500.15373684</v>
      </c>
      <c r="Q23" s="43" t="n">
        <f aca="false">RO_Total_Rev*DSO_Days/365</f>
        <v>8261560.39062834</v>
      </c>
      <c r="R23" s="43" t="n">
        <f aca="false">RO_Total_Rev*DSO_Days/365</f>
        <v>8403498.01006276</v>
      </c>
      <c r="S23" s="43" t="n">
        <f aca="false">RO_Total_Rev*DSO_Days/365</f>
        <v>8548371.6891859</v>
      </c>
      <c r="T23" s="43" t="n">
        <f aca="false">RO_Total_Rev*DSO_Days/365</f>
        <v>9800925.2835032</v>
      </c>
      <c r="U23" s="43" t="n">
        <f aca="false">RO_Total_Rev*DSO_Days/365</f>
        <v>9961587.03133901</v>
      </c>
      <c r="V23" s="43" t="n">
        <f aca="false">RO_Total_Rev*DSO_Days/365</f>
        <v>10125596.4740782</v>
      </c>
    </row>
    <row r="24" customFormat="false" ht="15" hidden="false" customHeight="false" outlineLevel="0" collapsed="false">
      <c r="A24" s="5"/>
      <c r="B24" s="42" t="s">
        <v>245</v>
      </c>
      <c r="C24" s="43" t="n">
        <f aca="false">DS_DSRA_Close</f>
        <v>0</v>
      </c>
      <c r="D24" s="43" t="n">
        <f aca="false">DS_DSRA_Close</f>
        <v>3168750</v>
      </c>
      <c r="E24" s="43" t="n">
        <f aca="false">DS_DSRA_Close</f>
        <v>5443933.07802413</v>
      </c>
      <c r="F24" s="43" t="n">
        <f aca="false">DS_DSRA_Close</f>
        <v>5443933.07802413</v>
      </c>
      <c r="G24" s="43" t="n">
        <f aca="false">DS_DSRA_Close</f>
        <v>5443933.07802413</v>
      </c>
      <c r="H24" s="43" t="n">
        <f aca="false">DS_DSRA_Close</f>
        <v>5443933.07802413</v>
      </c>
      <c r="I24" s="43" t="n">
        <f aca="false">DS_DSRA_Close</f>
        <v>5443933.07802413</v>
      </c>
      <c r="J24" s="43" t="n">
        <f aca="false">DS_DSRA_Close</f>
        <v>5443933.07802413</v>
      </c>
      <c r="K24" s="43" t="n">
        <f aca="false">DS_DSRA_Close</f>
        <v>5443933.07802413</v>
      </c>
      <c r="L24" s="43" t="n">
        <f aca="false">DS_DSRA_Close</f>
        <v>5443933.07802413</v>
      </c>
      <c r="M24" s="43" t="n">
        <f aca="false">DS_DSRA_Close</f>
        <v>5443933.07802413</v>
      </c>
      <c r="N24" s="43" t="n">
        <f aca="false">DS_DSRA_Close</f>
        <v>5443933.07802413</v>
      </c>
      <c r="O24" s="43" t="n">
        <f aca="false">DS_DSRA_Close</f>
        <v>5443933.07802413</v>
      </c>
      <c r="P24" s="43" t="n">
        <f aca="false">DS_DSRA_Close</f>
        <v>5443933.07802413</v>
      </c>
      <c r="Q24" s="43" t="n">
        <f aca="false">DS_DSRA_Close</f>
        <v>5443933.07802413</v>
      </c>
      <c r="R24" s="43" t="n">
        <f aca="false">DS_DSRA_Close</f>
        <v>5443933.07802413</v>
      </c>
      <c r="S24" s="43" t="n">
        <f aca="false">DS_DSRA_Close</f>
        <v>0</v>
      </c>
      <c r="T24" s="43" t="n">
        <f aca="false">DS_DSRA_Close</f>
        <v>0</v>
      </c>
      <c r="U24" s="43" t="n">
        <f aca="false">DS_DSRA_Close</f>
        <v>0</v>
      </c>
      <c r="V24" s="43" t="n">
        <f aca="false">DS_DSRA_Close</f>
        <v>0</v>
      </c>
    </row>
    <row r="25" customFormat="false" ht="15" hidden="false" customHeight="false" outlineLevel="0" collapsed="false">
      <c r="A25" s="5"/>
      <c r="B25" s="42" t="s">
        <v>197</v>
      </c>
      <c r="C25" s="43" t="n">
        <f aca="false">CD_Net_PPE</f>
        <v>78750000</v>
      </c>
      <c r="D25" s="43" t="n">
        <f aca="false">CD_Net_PPE</f>
        <v>157500000</v>
      </c>
      <c r="E25" s="43" t="n">
        <f aca="false">CD_Net_PPE</f>
        <v>149936981.25</v>
      </c>
      <c r="F25" s="43" t="n">
        <f aca="false">CD_Net_PPE</f>
        <v>142613325.359531</v>
      </c>
      <c r="G25" s="43" t="n">
        <f aca="false">CD_Net_PPE</f>
        <v>135511995.677067</v>
      </c>
      <c r="H25" s="43" t="n">
        <f aca="false">CD_Net_PPE</f>
        <v>128617168.134751</v>
      </c>
      <c r="I25" s="43" t="n">
        <f aca="false">CD_Net_PPE</f>
        <v>121914144.94276</v>
      </c>
      <c r="J25" s="43" t="n">
        <f aca="false">CD_Net_PPE</f>
        <v>115389274.426459</v>
      </c>
      <c r="K25" s="43" t="n">
        <f aca="false">CD_Net_PPE</f>
        <v>109029876.569156</v>
      </c>
      <c r="L25" s="43" t="n">
        <f aca="false">CD_Net_PPE</f>
        <v>102824173.854347</v>
      </c>
      <c r="M25" s="43" t="n">
        <f aca="false">CD_Net_PPE</f>
        <v>96761227.0302634</v>
      </c>
      <c r="N25" s="43" t="n">
        <f aca="false">CD_Net_PPE</f>
        <v>90830875.4463844</v>
      </c>
      <c r="O25" s="43" t="n">
        <f aca="false">CD_Net_PPE</f>
        <v>85023681.636488</v>
      </c>
      <c r="P25" s="43" t="n">
        <f aca="false">CD_Net_PPE</f>
        <v>79330879.846011</v>
      </c>
      <c r="Q25" s="43" t="n">
        <f aca="false">CD_Net_PPE</f>
        <v>73744328.2229712</v>
      </c>
      <c r="R25" s="43" t="n">
        <f aca="false">CD_Net_PPE</f>
        <v>68256464.4117012</v>
      </c>
      <c r="S25" s="43" t="n">
        <f aca="false">CD_Net_PPE</f>
        <v>62860264.3071983</v>
      </c>
      <c r="T25" s="43" t="n">
        <f aca="false">CD_Net_PPE</f>
        <v>118083903.247526</v>
      </c>
      <c r="U25" s="43" t="n">
        <f aca="false">CD_Net_PPE</f>
        <v>108543365.183883</v>
      </c>
      <c r="V25" s="43" t="n">
        <f aca="false">CD_Net_PPE</f>
        <v>99382939.9169203</v>
      </c>
    </row>
    <row r="26" customFormat="false" ht="15" hidden="false" customHeight="false" outlineLevel="0" collapsed="false">
      <c r="A26" s="5"/>
      <c r="B26" s="46" t="s">
        <v>246</v>
      </c>
      <c r="C26" s="47" t="n">
        <f aca="false">C22+C23+C24+C25</f>
        <v>80413593.75</v>
      </c>
      <c r="D26" s="47" t="n">
        <f aca="false">D22+D23+D24+D25</f>
        <v>163995937.5</v>
      </c>
      <c r="E26" s="47" t="n">
        <f aca="false">E22+E23+E24+E25</f>
        <v>167138896.911435</v>
      </c>
      <c r="F26" s="47" t="n">
        <f aca="false">F22+F23+F24+F25</f>
        <v>161520971.942863</v>
      </c>
      <c r="G26" s="47" t="n">
        <f aca="false">G22+G23+G24+G25</f>
        <v>156054418.794001</v>
      </c>
      <c r="H26" s="47" t="n">
        <f aca="false">H22+H23+H24+H25</f>
        <v>150718696.963878</v>
      </c>
      <c r="I26" s="47" t="n">
        <f aca="false">I22+I23+I24+I25</f>
        <v>145494083.735952</v>
      </c>
      <c r="J26" s="47" t="n">
        <f aca="false">J22+J23+J24+J25</f>
        <v>140361573.915191</v>
      </c>
      <c r="K26" s="47" t="n">
        <f aca="false">K22+K23+K24+K25</f>
        <v>135302783.963487</v>
      </c>
      <c r="L26" s="47" t="n">
        <f aca="false">L22+L23+L24+L25</f>
        <v>130299860.042295</v>
      </c>
      <c r="M26" s="47" t="n">
        <f aca="false">M22+M23+M24+M25</f>
        <v>125335389.494778</v>
      </c>
      <c r="N26" s="47" t="n">
        <f aca="false">N22+N23+N24+N25</f>
        <v>120392315.320711</v>
      </c>
      <c r="O26" s="47" t="n">
        <f aca="false">O22+O23+O24+O25</f>
        <v>115453853.216037</v>
      </c>
      <c r="P26" s="47" t="n">
        <f aca="false">P22+P23+P24+P25</f>
        <v>110503410.765499</v>
      </c>
      <c r="Q26" s="47" t="n">
        <f aca="false">Q22+Q23+Q24+Q25</f>
        <v>105524508.391123</v>
      </c>
      <c r="R26" s="47" t="n">
        <f aca="false">R22+R23+R24+R25</f>
        <v>100500701.67179</v>
      </c>
      <c r="S26" s="47" t="n">
        <f aca="false">S22+S23+S24+S25</f>
        <v>89971571.5815653</v>
      </c>
      <c r="T26" s="47" t="n">
        <f aca="false">T22+T23+T24+T25</f>
        <v>123389763.405519</v>
      </c>
      <c r="U26" s="47" t="n">
        <f aca="false">U22+U23+U24+U25</f>
        <v>157466022.387758</v>
      </c>
      <c r="V26" s="47" t="n">
        <f aca="false">V22+V23+V24+V25</f>
        <v>192208942.759979</v>
      </c>
    </row>
    <row r="27" customFormat="false" ht="15" hidden="false" customHeight="false" outlineLevel="0" collapsed="false">
      <c r="A27" s="5"/>
      <c r="B27" s="5"/>
      <c r="C27" s="5"/>
      <c r="D27" s="5"/>
      <c r="E27" s="5"/>
      <c r="F27" s="5"/>
      <c r="G27" s="5"/>
      <c r="H27" s="5"/>
      <c r="I27" s="5"/>
      <c r="J27" s="5"/>
      <c r="K27" s="5"/>
      <c r="L27" s="5"/>
      <c r="M27" s="5"/>
      <c r="N27" s="5"/>
      <c r="O27" s="5"/>
      <c r="P27" s="5"/>
      <c r="Q27" s="5"/>
      <c r="R27" s="5"/>
      <c r="S27" s="5"/>
      <c r="T27" s="5"/>
      <c r="U27" s="5"/>
      <c r="V27" s="5"/>
    </row>
    <row r="28" customFormat="false" ht="15" hidden="false" customHeight="false" outlineLevel="0" collapsed="false">
      <c r="A28" s="5"/>
      <c r="B28" s="32" t="s">
        <v>247</v>
      </c>
      <c r="C28" s="16"/>
      <c r="D28" s="16"/>
      <c r="E28" s="16"/>
      <c r="F28" s="16"/>
      <c r="G28" s="16"/>
      <c r="H28" s="16"/>
      <c r="I28" s="16"/>
      <c r="J28" s="16"/>
      <c r="K28" s="16"/>
      <c r="L28" s="16"/>
      <c r="M28" s="16"/>
      <c r="N28" s="16"/>
      <c r="O28" s="16"/>
      <c r="P28" s="16"/>
      <c r="Q28" s="16"/>
      <c r="R28" s="16"/>
      <c r="S28" s="16"/>
      <c r="T28" s="16"/>
      <c r="U28" s="16"/>
      <c r="V28" s="16"/>
    </row>
    <row r="29" customFormat="false" ht="15" hidden="false" customHeight="false" outlineLevel="0" collapsed="false">
      <c r="A29" s="5"/>
      <c r="B29" s="42" t="s">
        <v>248</v>
      </c>
      <c r="C29" s="43" t="n">
        <f aca="false">RO_Total_Opex*DPO_Days/365</f>
        <v>0</v>
      </c>
      <c r="D29" s="43" t="n">
        <f aca="false">RO_Total_Opex*DPO_Days/365</f>
        <v>0</v>
      </c>
      <c r="E29" s="43" t="n">
        <f aca="false">RO_Total_Opex*DPO_Days/365</f>
        <v>2977960.76520031</v>
      </c>
      <c r="F29" s="43" t="n">
        <f aca="false">RO_Total_Opex*DPO_Days/365</f>
        <v>3051020.77853436</v>
      </c>
      <c r="G29" s="43" t="n">
        <f aca="false">RO_Total_Opex*DPO_Days/365</f>
        <v>3125896.27964125</v>
      </c>
      <c r="H29" s="43" t="n">
        <f aca="false">RO_Total_Opex*DPO_Days/365</f>
        <v>3202632.37101233</v>
      </c>
      <c r="I29" s="43" t="n">
        <f aca="false">RO_Total_Opex*DPO_Days/365</f>
        <v>3281275.2805182</v>
      </c>
      <c r="J29" s="43" t="n">
        <f aca="false">RO_Total_Opex*DPO_Days/365</f>
        <v>3361872.38940471</v>
      </c>
      <c r="K29" s="43" t="n">
        <f aca="false">RO_Total_Opex*DPO_Days/365</f>
        <v>3444472.26099034</v>
      </c>
      <c r="L29" s="43" t="n">
        <f aca="false">RO_Total_Opex*DPO_Days/365</f>
        <v>3529124.67008244</v>
      </c>
      <c r="M29" s="43" t="n">
        <f aca="false">RO_Total_Opex*DPO_Days/365</f>
        <v>3615880.63312997</v>
      </c>
      <c r="N29" s="43" t="n">
        <f aca="false">RO_Total_Opex*DPO_Days/365</f>
        <v>3704792.43913113</v>
      </c>
      <c r="O29" s="43" t="n">
        <f aca="false">RO_Total_Opex*DPO_Days/365</f>
        <v>3795913.68131444</v>
      </c>
      <c r="P29" s="43" t="n">
        <f aca="false">RO_Total_Opex*DPO_Days/365</f>
        <v>3889299.2896126</v>
      </c>
      <c r="Q29" s="43" t="n">
        <f aca="false">RO_Total_Opex*DPO_Days/365</f>
        <v>3985005.56394867</v>
      </c>
      <c r="R29" s="43" t="n">
        <f aca="false">RO_Total_Opex*DPO_Days/365</f>
        <v>4083090.20835487</v>
      </c>
      <c r="S29" s="43" t="n">
        <f aca="false">RO_Total_Opex*DPO_Days/365</f>
        <v>4183612.36594453</v>
      </c>
      <c r="T29" s="43" t="n">
        <f aca="false">RO_Total_Opex*DPO_Days/365</f>
        <v>4312975.11614292</v>
      </c>
      <c r="U29" s="43" t="n">
        <f aca="false">RO_Total_Opex*DPO_Days/365</f>
        <v>4418787.79949895</v>
      </c>
      <c r="V29" s="43" t="n">
        <f aca="false">RO_Total_Opex*DPO_Days/365</f>
        <v>4527229.85046768</v>
      </c>
    </row>
    <row r="30" customFormat="false" ht="15" hidden="false" customHeight="false" outlineLevel="0" collapsed="false">
      <c r="A30" s="5"/>
      <c r="B30" s="42" t="s">
        <v>249</v>
      </c>
      <c r="C30" s="43" t="n">
        <f aca="false">DS_Close</f>
        <v>51187500</v>
      </c>
      <c r="D30" s="43" t="n">
        <f aca="false">DS_Close</f>
        <v>102375000</v>
      </c>
      <c r="E30" s="43" t="n">
        <f aca="false">DS_Close</f>
        <v>98141508.8439517</v>
      </c>
      <c r="F30" s="43" t="n">
        <f aca="false">DS_Close</f>
        <v>93632840.7627603</v>
      </c>
      <c r="G30" s="43" t="n">
        <f aca="false">DS_Close</f>
        <v>88831109.2562915</v>
      </c>
      <c r="H30" s="43" t="n">
        <f aca="false">DS_Close</f>
        <v>83717265.2019022</v>
      </c>
      <c r="I30" s="43" t="n">
        <f aca="false">DS_Close</f>
        <v>78271021.2839775</v>
      </c>
      <c r="J30" s="43" t="n">
        <f aca="false">DS_Close</f>
        <v>72470771.5113878</v>
      </c>
      <c r="K30" s="43" t="n">
        <f aca="false">DS_Close</f>
        <v>66293505.5035797</v>
      </c>
      <c r="L30" s="43" t="n">
        <f aca="false">DS_Close</f>
        <v>59714717.2052642</v>
      </c>
      <c r="M30" s="43" t="n">
        <f aca="false">DS_Close</f>
        <v>52708307.6675581</v>
      </c>
      <c r="N30" s="43" t="n">
        <f aca="false">DS_Close</f>
        <v>45246481.5099011</v>
      </c>
      <c r="O30" s="43" t="n">
        <f aca="false">DS_Close</f>
        <v>37299636.6519964</v>
      </c>
      <c r="P30" s="43" t="n">
        <f aca="false">DS_Close</f>
        <v>28836246.8783278</v>
      </c>
      <c r="Q30" s="43" t="n">
        <f aca="false">DS_Close</f>
        <v>19822736.7693709</v>
      </c>
      <c r="R30" s="43" t="n">
        <f aca="false">DS_Close</f>
        <v>10223348.5033317</v>
      </c>
      <c r="S30" s="43" t="n">
        <f aca="false">DS_Close</f>
        <v>0</v>
      </c>
      <c r="T30" s="43" t="n">
        <f aca="false">DS_Close</f>
        <v>0</v>
      </c>
      <c r="U30" s="43" t="n">
        <f aca="false">DS_Close</f>
        <v>0</v>
      </c>
      <c r="V30" s="43" t="n">
        <f aca="false">DS_Close</f>
        <v>0</v>
      </c>
    </row>
    <row r="31" customFormat="false" ht="15" hidden="false" customHeight="false" outlineLevel="0" collapsed="false">
      <c r="A31" s="5"/>
      <c r="B31" s="44" t="s">
        <v>250</v>
      </c>
      <c r="C31" s="45" t="n">
        <f aca="false">C29+C30</f>
        <v>51187500</v>
      </c>
      <c r="D31" s="45" t="n">
        <f aca="false">D29+D30</f>
        <v>102375000</v>
      </c>
      <c r="E31" s="45" t="n">
        <f aca="false">E29+E30</f>
        <v>101119469.609152</v>
      </c>
      <c r="F31" s="45" t="n">
        <f aca="false">F29+F30</f>
        <v>96683861.5412947</v>
      </c>
      <c r="G31" s="45" t="n">
        <f aca="false">G29+G30</f>
        <v>91957005.5359327</v>
      </c>
      <c r="H31" s="45" t="n">
        <f aca="false">H29+H30</f>
        <v>86919897.5729145</v>
      </c>
      <c r="I31" s="45" t="n">
        <f aca="false">I29+I30</f>
        <v>81552296.5644957</v>
      </c>
      <c r="J31" s="45" t="n">
        <f aca="false">J29+J30</f>
        <v>75832643.9007925</v>
      </c>
      <c r="K31" s="45" t="n">
        <f aca="false">K29+K30</f>
        <v>69737977.7645701</v>
      </c>
      <c r="L31" s="45" t="n">
        <f aca="false">L29+L30</f>
        <v>63243841.8753466</v>
      </c>
      <c r="M31" s="45" t="n">
        <f aca="false">M29+M30</f>
        <v>56324188.300688</v>
      </c>
      <c r="N31" s="45" t="n">
        <f aca="false">N29+N30</f>
        <v>48951273.9490322</v>
      </c>
      <c r="O31" s="45" t="n">
        <f aca="false">O29+O30</f>
        <v>41095550.3333108</v>
      </c>
      <c r="P31" s="45" t="n">
        <f aca="false">P29+P30</f>
        <v>32725546.1679404</v>
      </c>
      <c r="Q31" s="45" t="n">
        <f aca="false">Q29+Q30</f>
        <v>23807742.3333196</v>
      </c>
      <c r="R31" s="45" t="n">
        <f aca="false">R29+R30</f>
        <v>14306438.7116866</v>
      </c>
      <c r="S31" s="45" t="n">
        <f aca="false">S29+S30</f>
        <v>4183612.36594453</v>
      </c>
      <c r="T31" s="45" t="n">
        <f aca="false">T29+T30</f>
        <v>4312975.11614292</v>
      </c>
      <c r="U31" s="45" t="n">
        <f aca="false">U29+U30</f>
        <v>4418787.79949895</v>
      </c>
      <c r="V31" s="45" t="n">
        <f aca="false">V29+V30</f>
        <v>4527229.85046768</v>
      </c>
    </row>
    <row r="32" customFormat="false" ht="15" hidden="false" customHeight="false" outlineLevel="0" collapsed="false">
      <c r="A32" s="5"/>
      <c r="B32" s="5"/>
      <c r="C32" s="5"/>
      <c r="D32" s="5"/>
      <c r="E32" s="5"/>
      <c r="F32" s="5"/>
      <c r="G32" s="5"/>
      <c r="H32" s="5"/>
      <c r="I32" s="5"/>
      <c r="J32" s="5"/>
      <c r="K32" s="5"/>
      <c r="L32" s="5"/>
      <c r="M32" s="5"/>
      <c r="N32" s="5"/>
      <c r="O32" s="5"/>
      <c r="P32" s="5"/>
      <c r="Q32" s="5"/>
      <c r="R32" s="5"/>
      <c r="S32" s="5"/>
      <c r="T32" s="5"/>
      <c r="U32" s="5"/>
      <c r="V32" s="5"/>
    </row>
    <row r="33" customFormat="false" ht="15" hidden="false" customHeight="false" outlineLevel="0" collapsed="false">
      <c r="A33" s="5"/>
      <c r="B33" s="32" t="s">
        <v>251</v>
      </c>
      <c r="C33" s="16"/>
      <c r="D33" s="16"/>
      <c r="E33" s="16"/>
      <c r="F33" s="16"/>
      <c r="G33" s="16"/>
      <c r="H33" s="16"/>
      <c r="I33" s="16"/>
      <c r="J33" s="16"/>
      <c r="K33" s="16"/>
      <c r="L33" s="16"/>
      <c r="M33" s="16"/>
      <c r="N33" s="16"/>
      <c r="O33" s="16"/>
      <c r="P33" s="16"/>
      <c r="Q33" s="16"/>
      <c r="R33" s="16"/>
      <c r="S33" s="16"/>
      <c r="T33" s="16"/>
      <c r="U33" s="16"/>
      <c r="V33" s="16"/>
    </row>
    <row r="34" customFormat="false" ht="15" hidden="false" customHeight="false" outlineLevel="0" collapsed="false">
      <c r="A34" s="5"/>
      <c r="B34" s="42" t="s">
        <v>252</v>
      </c>
      <c r="C34" s="43" t="n">
        <f aca="false">CON_Equity_Draw</f>
        <v>29226093.75</v>
      </c>
      <c r="D34" s="43" t="n">
        <f aca="false">C34+CON_Equity_Draw</f>
        <v>61620937.5</v>
      </c>
      <c r="E34" s="43" t="n">
        <f aca="false">D34+CON_Equity_Draw</f>
        <v>61620937.5</v>
      </c>
      <c r="F34" s="43" t="n">
        <f aca="false">E34+CON_Equity_Draw</f>
        <v>61620937.5</v>
      </c>
      <c r="G34" s="43" t="n">
        <f aca="false">F34+CON_Equity_Draw</f>
        <v>61620937.5</v>
      </c>
      <c r="H34" s="43" t="n">
        <f aca="false">G34+CON_Equity_Draw</f>
        <v>61620937.5</v>
      </c>
      <c r="I34" s="43" t="n">
        <f aca="false">H34+CON_Equity_Draw</f>
        <v>61620937.5</v>
      </c>
      <c r="J34" s="43" t="n">
        <f aca="false">I34+CON_Equity_Draw</f>
        <v>61620937.5</v>
      </c>
      <c r="K34" s="43" t="n">
        <f aca="false">J34+CON_Equity_Draw</f>
        <v>61620937.5</v>
      </c>
      <c r="L34" s="43" t="n">
        <f aca="false">K34+CON_Equity_Draw</f>
        <v>61620937.5</v>
      </c>
      <c r="M34" s="43" t="n">
        <f aca="false">L34+CON_Equity_Draw</f>
        <v>61620937.5</v>
      </c>
      <c r="N34" s="43" t="n">
        <f aca="false">M34+CON_Equity_Draw</f>
        <v>61620937.5</v>
      </c>
      <c r="O34" s="43" t="n">
        <f aca="false">N34+CON_Equity_Draw</f>
        <v>61620937.5</v>
      </c>
      <c r="P34" s="43" t="n">
        <f aca="false">O34+CON_Equity_Draw</f>
        <v>61620937.5</v>
      </c>
      <c r="Q34" s="43" t="n">
        <f aca="false">P34+CON_Equity_Draw</f>
        <v>61620937.5</v>
      </c>
      <c r="R34" s="43" t="n">
        <f aca="false">Q34+CON_Equity_Draw</f>
        <v>61620937.5</v>
      </c>
      <c r="S34" s="43" t="n">
        <f aca="false">R34+CON_Equity_Draw</f>
        <v>61620937.5</v>
      </c>
      <c r="T34" s="43" t="n">
        <f aca="false">S34+CON_Equity_Draw</f>
        <v>61620937.5</v>
      </c>
      <c r="U34" s="43" t="n">
        <f aca="false">T34+CON_Equity_Draw</f>
        <v>61620937.5</v>
      </c>
      <c r="V34" s="43" t="n">
        <f aca="false">U34+CON_Equity_Draw</f>
        <v>61620937.5</v>
      </c>
    </row>
    <row r="35" customFormat="false" ht="15" hidden="false" customHeight="false" outlineLevel="0" collapsed="false">
      <c r="A35" s="5"/>
      <c r="B35" s="42" t="s">
        <v>253</v>
      </c>
      <c r="C35" s="43" t="n">
        <f aca="false">C19-CW_Equity_Dist</f>
        <v>0</v>
      </c>
      <c r="D35" s="43" t="n">
        <f aca="false">C35+D19-CW_Equity_Dist</f>
        <v>0</v>
      </c>
      <c r="E35" s="43" t="n">
        <f aca="false">D35+E19-CW_Equity_Dist</f>
        <v>5898489.80228342</v>
      </c>
      <c r="F35" s="43" t="n">
        <f aca="false">E35+F19-CW_Equity_Dist</f>
        <v>6253672.90156842</v>
      </c>
      <c r="G35" s="43" t="n">
        <f aca="false">F35+G19-CW_Equity_Dist</f>
        <v>7089913.25806839</v>
      </c>
      <c r="H35" s="43" t="n">
        <f aca="false">G35+H19-CW_Equity_Dist</f>
        <v>8406635.32846385</v>
      </c>
      <c r="I35" s="43" t="n">
        <f aca="false">H35+I19-CW_Equity_Dist</f>
        <v>10205342.4448936</v>
      </c>
      <c r="J35" s="43" t="n">
        <f aca="false">I35+J19-CW_Equity_Dist</f>
        <v>12489597.6071717</v>
      </c>
      <c r="K35" s="43" t="n">
        <f aca="false">J35+K19-CW_Equity_Dist</f>
        <v>15265013.9190099</v>
      </c>
      <c r="L35" s="43" t="n">
        <f aca="false">K35+L19-CW_Equity_Dist</f>
        <v>18539254.5175436</v>
      </c>
      <c r="M35" s="43" t="n">
        <f aca="false">L35+M19-CW_Equity_Dist</f>
        <v>22322041.8909504</v>
      </c>
      <c r="N35" s="43" t="n">
        <f aca="false">M35+N19-CW_Equity_Dist</f>
        <v>26625176.5234598</v>
      </c>
      <c r="O35" s="43" t="n">
        <f aca="false">N35+O19-CW_Equity_Dist</f>
        <v>31462564.850802</v>
      </c>
      <c r="P35" s="43" t="n">
        <f aca="false">O35+P19-CW_Equity_Dist</f>
        <v>36850256.5523362</v>
      </c>
      <c r="Q35" s="43" t="n">
        <f aca="false">P35+Q19-CW_Equity_Dist</f>
        <v>42806491.248951</v>
      </c>
      <c r="R35" s="43" t="n">
        <f aca="false">Q35+R19-CW_Equity_Dist</f>
        <v>49351754.7185294</v>
      </c>
      <c r="S35" s="43" t="n">
        <f aca="false">R35+S19-CW_Equity_Dist</f>
        <v>51064911.7055074</v>
      </c>
      <c r="T35" s="43" t="n">
        <f aca="false">S35+T19-CW_Equity_Dist</f>
        <v>86526188.0290097</v>
      </c>
      <c r="U35" s="43" t="n">
        <f aca="false">T35+U19-CW_Equity_Dist</f>
        <v>122723392.758884</v>
      </c>
      <c r="V35" s="43" t="n">
        <f aca="false">U35+V19-CW_Equity_Dist</f>
        <v>159640298.471901</v>
      </c>
    </row>
    <row r="36" customFormat="false" ht="15" hidden="false" customHeight="false" outlineLevel="0" collapsed="false">
      <c r="A36" s="5"/>
      <c r="B36" s="44" t="s">
        <v>254</v>
      </c>
      <c r="C36" s="45" t="n">
        <f aca="false">C34+C35</f>
        <v>29226093.75</v>
      </c>
      <c r="D36" s="45" t="n">
        <f aca="false">D34+D35</f>
        <v>61620937.5</v>
      </c>
      <c r="E36" s="45" t="n">
        <f aca="false">E34+E35</f>
        <v>67519427.3022834</v>
      </c>
      <c r="F36" s="45" t="n">
        <f aca="false">F34+F35</f>
        <v>67874610.4015684</v>
      </c>
      <c r="G36" s="45" t="n">
        <f aca="false">G34+G35</f>
        <v>68710850.7580684</v>
      </c>
      <c r="H36" s="45" t="n">
        <f aca="false">H34+H35</f>
        <v>70027572.8284639</v>
      </c>
      <c r="I36" s="45" t="n">
        <f aca="false">I34+I35</f>
        <v>71826279.9448936</v>
      </c>
      <c r="J36" s="45" t="n">
        <f aca="false">J34+J35</f>
        <v>74110535.1071717</v>
      </c>
      <c r="K36" s="45" t="n">
        <f aca="false">K34+K35</f>
        <v>76885951.4190099</v>
      </c>
      <c r="L36" s="45" t="n">
        <f aca="false">L34+L35</f>
        <v>80160192.0175436</v>
      </c>
      <c r="M36" s="45" t="n">
        <f aca="false">M34+M35</f>
        <v>83942979.3909504</v>
      </c>
      <c r="N36" s="45" t="n">
        <f aca="false">N34+N35</f>
        <v>88246114.0234598</v>
      </c>
      <c r="O36" s="45" t="n">
        <f aca="false">O34+O35</f>
        <v>93083502.350802</v>
      </c>
      <c r="P36" s="45" t="n">
        <f aca="false">P34+P35</f>
        <v>98471194.0523362</v>
      </c>
      <c r="Q36" s="45" t="n">
        <f aca="false">Q34+Q35</f>
        <v>104427428.748951</v>
      </c>
      <c r="R36" s="45" t="n">
        <f aca="false">R34+R35</f>
        <v>110972692.218529</v>
      </c>
      <c r="S36" s="45" t="n">
        <f aca="false">S34+S35</f>
        <v>112685849.205507</v>
      </c>
      <c r="T36" s="45" t="n">
        <f aca="false">T34+T35</f>
        <v>148147125.52901</v>
      </c>
      <c r="U36" s="45" t="n">
        <f aca="false">U34+U35</f>
        <v>184344330.258884</v>
      </c>
      <c r="V36" s="45" t="n">
        <f aca="false">V34+V35</f>
        <v>221261235.971901</v>
      </c>
    </row>
    <row r="37" customFormat="false" ht="15" hidden="false" customHeight="false" outlineLevel="0" collapsed="false">
      <c r="A37" s="5"/>
      <c r="B37" s="46" t="s">
        <v>255</v>
      </c>
      <c r="C37" s="55" t="n">
        <f aca="false">C26-C31-C36</f>
        <v>0</v>
      </c>
      <c r="D37" s="55" t="n">
        <f aca="false">D26-D31-D36</f>
        <v>0</v>
      </c>
      <c r="E37" s="55" t="n">
        <f aca="false">E26-E31-E36</f>
        <v>-1499999.99999999</v>
      </c>
      <c r="F37" s="55" t="n">
        <f aca="false">F26-F31-F36</f>
        <v>-3037500</v>
      </c>
      <c r="G37" s="55" t="n">
        <f aca="false">G26-G31-G36</f>
        <v>-4613437.49999997</v>
      </c>
      <c r="H37" s="55" t="n">
        <f aca="false">H26-H31-H36</f>
        <v>-6228773.4375</v>
      </c>
      <c r="I37" s="55" t="n">
        <f aca="false">I26-I31-I36</f>
        <v>-7884492.77343749</v>
      </c>
      <c r="J37" s="55" t="n">
        <f aca="false">J26-J31-J36</f>
        <v>-9581605.09277342</v>
      </c>
      <c r="K37" s="55" t="n">
        <f aca="false">K26-K31-K36</f>
        <v>-11321145.2200928</v>
      </c>
      <c r="L37" s="55" t="n">
        <f aca="false">L26-L31-L36</f>
        <v>-13104173.8505951</v>
      </c>
      <c r="M37" s="55" t="n">
        <f aca="false">M26-M31-M36</f>
        <v>-14931778.19686</v>
      </c>
      <c r="N37" s="55" t="n">
        <f aca="false">N26-N31-N36</f>
        <v>-16805072.6517815</v>
      </c>
      <c r="O37" s="55" t="n">
        <f aca="false">O26-O31-O36</f>
        <v>-18725199.468076</v>
      </c>
      <c r="P37" s="55" t="n">
        <f aca="false">P26-P31-P36</f>
        <v>-20693329.4547779</v>
      </c>
      <c r="Q37" s="55" t="n">
        <f aca="false">Q26-Q31-Q36</f>
        <v>-22710662.6911474</v>
      </c>
      <c r="R37" s="55" t="n">
        <f aca="false">R26-R31-R36</f>
        <v>-24778429.2584261</v>
      </c>
      <c r="S37" s="55" t="n">
        <f aca="false">S26-S31-S36</f>
        <v>-26897889.9898867</v>
      </c>
      <c r="T37" s="55" t="n">
        <f aca="false">T26-T31-T36</f>
        <v>-29070337.2396339</v>
      </c>
      <c r="U37" s="55" t="n">
        <f aca="false">U26-U31-U36</f>
        <v>-31297095.6706247</v>
      </c>
      <c r="V37" s="55" t="n">
        <f aca="false">V26-V31-V36</f>
        <v>-33579523.0623904</v>
      </c>
    </row>
    <row r="38" customFormat="false" ht="15" hidden="false" customHeight="false" outlineLevel="0" collapsed="false">
      <c r="A38" s="5"/>
      <c r="B38" s="5"/>
      <c r="C38" s="5"/>
      <c r="D38" s="5"/>
      <c r="E38" s="5"/>
      <c r="F38" s="5"/>
      <c r="G38" s="5"/>
      <c r="H38" s="5"/>
      <c r="I38" s="5"/>
      <c r="J38" s="5"/>
      <c r="K38" s="5"/>
      <c r="L38" s="5"/>
      <c r="M38" s="5"/>
      <c r="N38" s="5"/>
      <c r="O38" s="5"/>
      <c r="P38" s="5"/>
      <c r="Q38" s="5"/>
      <c r="R38" s="5"/>
      <c r="S38" s="5"/>
      <c r="T38" s="5"/>
      <c r="U38" s="5"/>
      <c r="V38" s="5"/>
    </row>
    <row r="39" customFormat="false" ht="15" hidden="false" customHeight="false" outlineLevel="0" collapsed="false">
      <c r="A39" s="5"/>
      <c r="B39" s="32" t="s">
        <v>256</v>
      </c>
      <c r="C39" s="16"/>
      <c r="D39" s="16"/>
      <c r="E39" s="16"/>
      <c r="F39" s="16"/>
      <c r="G39" s="16"/>
      <c r="H39" s="16"/>
      <c r="I39" s="16"/>
      <c r="J39" s="16"/>
      <c r="K39" s="16"/>
      <c r="L39" s="16"/>
      <c r="M39" s="16"/>
      <c r="N39" s="16"/>
      <c r="O39" s="16"/>
      <c r="P39" s="16"/>
      <c r="Q39" s="16"/>
      <c r="R39" s="16"/>
      <c r="S39" s="16"/>
      <c r="T39" s="16"/>
      <c r="U39" s="16"/>
      <c r="V39" s="16"/>
    </row>
    <row r="40" customFormat="false" ht="15" hidden="false" customHeight="false" outlineLevel="0" collapsed="false">
      <c r="A40" s="5"/>
      <c r="B40" s="42" t="s">
        <v>257</v>
      </c>
      <c r="C40" s="43" t="n">
        <f aca="false">C19</f>
        <v>0</v>
      </c>
      <c r="D40" s="43" t="n">
        <f aca="false">D19</f>
        <v>0</v>
      </c>
      <c r="E40" s="43" t="n">
        <f aca="false">E19</f>
        <v>18974229.1317219</v>
      </c>
      <c r="F40" s="43" t="n">
        <f aca="false">F19</f>
        <v>19656342.3408255</v>
      </c>
      <c r="G40" s="43" t="n">
        <f aca="false">G19</f>
        <v>20342972.2105046</v>
      </c>
      <c r="H40" s="43" t="n">
        <f aca="false">H19</f>
        <v>21035905.972773</v>
      </c>
      <c r="I40" s="43" t="n">
        <f aca="false">I19</f>
        <v>21736922.2549911</v>
      </c>
      <c r="J40" s="43" t="n">
        <f aca="false">J19</f>
        <v>22447799.3128555</v>
      </c>
      <c r="K40" s="43" t="n">
        <f aca="false">K19</f>
        <v>23170323.1739792</v>
      </c>
      <c r="L40" s="43" t="n">
        <f aca="false">L19</f>
        <v>23906295.7308806</v>
      </c>
      <c r="M40" s="43" t="n">
        <f aca="false">M19</f>
        <v>24657542.8215543</v>
      </c>
      <c r="N40" s="43" t="n">
        <f aca="false">N19</f>
        <v>25425922.3353296</v>
      </c>
      <c r="O40" s="43" t="n">
        <f aca="false">O19</f>
        <v>26213332.3814399</v>
      </c>
      <c r="P40" s="43" t="n">
        <f aca="false">P19</f>
        <v>27021719.5576149</v>
      </c>
      <c r="Q40" s="43" t="n">
        <f aca="false">Q19</f>
        <v>27853087.3560748</v>
      </c>
      <c r="R40" s="43" t="n">
        <f aca="false">R19</f>
        <v>28709504.7445416</v>
      </c>
      <c r="S40" s="43" t="n">
        <f aca="false">S19</f>
        <v>29593114.9602947</v>
      </c>
      <c r="T40" s="43" t="n">
        <f aca="false">T19</f>
        <v>35461276.3235023</v>
      </c>
      <c r="U40" s="43" t="n">
        <f aca="false">U19</f>
        <v>36197204.7298741</v>
      </c>
      <c r="V40" s="43" t="n">
        <f aca="false">V19</f>
        <v>36916905.7130176</v>
      </c>
    </row>
    <row r="41" customFormat="false" ht="15" hidden="false" customHeight="false" outlineLevel="0" collapsed="false">
      <c r="A41" s="5"/>
      <c r="B41" s="42" t="s">
        <v>227</v>
      </c>
      <c r="C41" s="43" t="n">
        <f aca="false">CD_Total_Depr</f>
        <v>0</v>
      </c>
      <c r="D41" s="43" t="n">
        <f aca="false">CD_Total_Depr</f>
        <v>0</v>
      </c>
      <c r="E41" s="43" t="n">
        <f aca="false">CD_Total_Depr</f>
        <v>7563018.75</v>
      </c>
      <c r="F41" s="43" t="n">
        <f aca="false">CD_Total_Depr</f>
        <v>7323655.89046875</v>
      </c>
      <c r="G41" s="43" t="n">
        <f aca="false">CD_Total_Depr</f>
        <v>7101329.68246464</v>
      </c>
      <c r="H41" s="43" t="n">
        <f aca="false">CD_Total_Depr</f>
        <v>6894827.54231522</v>
      </c>
      <c r="I41" s="43" t="n">
        <f aca="false">CD_Total_Depr</f>
        <v>6703023.19199093</v>
      </c>
      <c r="J41" s="43" t="n">
        <f aca="false">CD_Total_Depr</f>
        <v>6524870.51630098</v>
      </c>
      <c r="K41" s="43" t="n">
        <f aca="false">CD_Total_Depr</f>
        <v>6359397.85730325</v>
      </c>
      <c r="L41" s="43" t="n">
        <f aca="false">CD_Total_Depr</f>
        <v>6205702.7148097</v>
      </c>
      <c r="M41" s="43" t="n">
        <f aca="false">CD_Total_Depr</f>
        <v>6062946.82408312</v>
      </c>
      <c r="N41" s="43" t="n">
        <f aca="false">CD_Total_Depr</f>
        <v>5930351.583879</v>
      </c>
      <c r="O41" s="43" t="n">
        <f aca="false">CD_Total_Depr</f>
        <v>5807193.80989641</v>
      </c>
      <c r="P41" s="43" t="n">
        <f aca="false">CD_Total_Depr</f>
        <v>5692801.79047704</v>
      </c>
      <c r="Q41" s="43" t="n">
        <f aca="false">CD_Total_Depr</f>
        <v>5586551.62303983</v>
      </c>
      <c r="R41" s="43" t="n">
        <f aca="false">CD_Total_Depr</f>
        <v>5487863.81126997</v>
      </c>
      <c r="S41" s="43" t="n">
        <f aca="false">CD_Total_Depr</f>
        <v>5396200.10450283</v>
      </c>
      <c r="T41" s="43" t="n">
        <f aca="false">CD_Total_Depr</f>
        <v>9949778.55208748</v>
      </c>
      <c r="U41" s="43" t="n">
        <f aca="false">CD_Total_Depr</f>
        <v>9540538.06364265</v>
      </c>
      <c r="V41" s="43" t="n">
        <f aca="false">CD_Total_Depr</f>
        <v>9160425.26696288</v>
      </c>
    </row>
    <row r="42" customFormat="false" ht="15" hidden="false" customHeight="false" outlineLevel="0" collapsed="false">
      <c r="A42" s="5"/>
      <c r="B42" s="42" t="s">
        <v>228</v>
      </c>
      <c r="C42" s="43" t="n">
        <f aca="false">CW_WC_Chg</f>
        <v>-0</v>
      </c>
      <c r="D42" s="43" t="n">
        <f aca="false">CW_WC_Chg</f>
        <v>-0</v>
      </c>
      <c r="E42" s="43" t="n">
        <f aca="false">CW_WC_Chg</f>
        <v>-3789240.56821102</v>
      </c>
      <c r="F42" s="43" t="n">
        <f aca="false">CW_WC_Chg</f>
        <v>-37871.3898481256</v>
      </c>
      <c r="G42" s="43" t="n">
        <f aca="false">CW_WC_Chg</f>
        <v>-38367.3701009126</v>
      </c>
      <c r="H42" s="43" t="n">
        <f aca="false">CW_WC_Chg</f>
        <v>-38864.0954066156</v>
      </c>
      <c r="I42" s="43" t="n">
        <f aca="false">CW_WC_Chg</f>
        <v>-39361.495027645</v>
      </c>
      <c r="J42" s="43" t="n">
        <f aca="false">CW_WC_Chg</f>
        <v>-39859.4907887992</v>
      </c>
      <c r="K42" s="43" t="n">
        <f aca="false">CW_WC_Chg</f>
        <v>-40357.9969540043</v>
      </c>
      <c r="L42" s="43" t="n">
        <f aca="false">CW_WC_Chg</f>
        <v>-40856.920092321</v>
      </c>
      <c r="M42" s="43" t="n">
        <f aca="false">CW_WC_Chg</f>
        <v>-41356.1589333513</v>
      </c>
      <c r="N42" s="43" t="n">
        <f aca="false">CW_WC_Chg</f>
        <v>-41855.6042121095</v>
      </c>
      <c r="O42" s="43" t="n">
        <f aca="false">CW_WC_Chg</f>
        <v>-42355.1385034318</v>
      </c>
      <c r="P42" s="43" t="n">
        <f aca="false">CW_WC_Chg</f>
        <v>-42854.6360459095</v>
      </c>
      <c r="Q42" s="43" t="n">
        <f aca="false">CW_WC_Chg</f>
        <v>-43353.9625554243</v>
      </c>
      <c r="R42" s="43" t="n">
        <f aca="false">CW_WC_Chg</f>
        <v>-43852.975028215</v>
      </c>
      <c r="S42" s="43" t="n">
        <f aca="false">CW_WC_Chg</f>
        <v>-44351.5215334864</v>
      </c>
      <c r="T42" s="43" t="n">
        <f aca="false">CW_WC_Chg</f>
        <v>-1123190.8441189</v>
      </c>
      <c r="U42" s="43" t="n">
        <f aca="false">CW_WC_Chg</f>
        <v>-54849.0644797776</v>
      </c>
      <c r="V42" s="43" t="n">
        <f aca="false">CW_WC_Chg</f>
        <v>-55567.3917705072</v>
      </c>
    </row>
    <row r="43" customFormat="false" ht="15" hidden="false" customHeight="false" outlineLevel="0" collapsed="false">
      <c r="A43" s="5"/>
      <c r="B43" s="44" t="s">
        <v>258</v>
      </c>
      <c r="C43" s="45" t="n">
        <f aca="false">C40+C41+C42</f>
        <v>0</v>
      </c>
      <c r="D43" s="45" t="n">
        <f aca="false">D40+D41+D42</f>
        <v>0</v>
      </c>
      <c r="E43" s="45" t="n">
        <f aca="false">E40+E41+E42</f>
        <v>22748007.3135109</v>
      </c>
      <c r="F43" s="45" t="n">
        <f aca="false">F40+F41+F42</f>
        <v>26942126.8414462</v>
      </c>
      <c r="G43" s="45" t="n">
        <f aca="false">G40+G41+G42</f>
        <v>27405934.5228683</v>
      </c>
      <c r="H43" s="45" t="n">
        <f aca="false">H40+H41+H42</f>
        <v>27891869.4196816</v>
      </c>
      <c r="I43" s="45" t="n">
        <f aca="false">I40+I41+I42</f>
        <v>28400583.9519544</v>
      </c>
      <c r="J43" s="45" t="n">
        <f aca="false">J40+J41+J42</f>
        <v>28932810.3383676</v>
      </c>
      <c r="K43" s="45" t="n">
        <f aca="false">K40+K41+K42</f>
        <v>29489363.0343284</v>
      </c>
      <c r="L43" s="45" t="n">
        <f aca="false">L40+L41+L42</f>
        <v>30071141.525598</v>
      </c>
      <c r="M43" s="45" t="n">
        <f aca="false">M40+M41+M42</f>
        <v>30679133.4867041</v>
      </c>
      <c r="N43" s="45" t="n">
        <f aca="false">N40+N41+N42</f>
        <v>31314418.3149965</v>
      </c>
      <c r="O43" s="45" t="n">
        <f aca="false">O40+O41+O42</f>
        <v>31978171.0528328</v>
      </c>
      <c r="P43" s="45" t="n">
        <f aca="false">P40+P41+P42</f>
        <v>32671666.712046</v>
      </c>
      <c r="Q43" s="45" t="n">
        <f aca="false">Q40+Q41+Q42</f>
        <v>33396285.0165592</v>
      </c>
      <c r="R43" s="45" t="n">
        <f aca="false">R40+R41+R42</f>
        <v>34153515.5807834</v>
      </c>
      <c r="S43" s="45" t="n">
        <f aca="false">S40+S41+S42</f>
        <v>34944963.5432641</v>
      </c>
      <c r="T43" s="45" t="n">
        <f aca="false">T40+T41+T42</f>
        <v>44287864.0314708</v>
      </c>
      <c r="U43" s="45" t="n">
        <f aca="false">U40+U41+U42</f>
        <v>45682893.729037</v>
      </c>
      <c r="V43" s="45" t="n">
        <f aca="false">V40+V41+V42</f>
        <v>46021763.5882099</v>
      </c>
    </row>
    <row r="44" customFormat="false" ht="15" hidden="false" customHeight="false" outlineLevel="0" collapsed="false">
      <c r="A44" s="5"/>
      <c r="B44" s="5"/>
      <c r="C44" s="5"/>
      <c r="D44" s="5"/>
      <c r="E44" s="5"/>
      <c r="F44" s="5"/>
      <c r="G44" s="5"/>
      <c r="H44" s="5"/>
      <c r="I44" s="5"/>
      <c r="J44" s="5"/>
      <c r="K44" s="5"/>
      <c r="L44" s="5"/>
      <c r="M44" s="5"/>
      <c r="N44" s="5"/>
      <c r="O44" s="5"/>
      <c r="P44" s="5"/>
      <c r="Q44" s="5"/>
      <c r="R44" s="5"/>
      <c r="S44" s="5"/>
      <c r="T44" s="5"/>
      <c r="U44" s="5"/>
      <c r="V44" s="5"/>
    </row>
    <row r="45" customFormat="false" ht="15" hidden="false" customHeight="false" outlineLevel="0" collapsed="false">
      <c r="A45" s="5"/>
      <c r="B45" s="42" t="s">
        <v>259</v>
      </c>
      <c r="C45" s="43" t="n">
        <f aca="false">-CON_Total_EPC</f>
        <v>-78750000</v>
      </c>
      <c r="D45" s="43" t="n">
        <f aca="false">-CON_Total_EPC</f>
        <v>-78750000</v>
      </c>
      <c r="E45" s="43" t="n">
        <f aca="false">-CON_Total_EPC</f>
        <v>-0</v>
      </c>
      <c r="F45" s="43" t="n">
        <f aca="false">-CON_Total_EPC</f>
        <v>-0</v>
      </c>
      <c r="G45" s="43" t="n">
        <f aca="false">-CON_Total_EPC</f>
        <v>-0</v>
      </c>
      <c r="H45" s="43" t="n">
        <f aca="false">-CON_Total_EPC</f>
        <v>-0</v>
      </c>
      <c r="I45" s="43" t="n">
        <f aca="false">-CON_Total_EPC</f>
        <v>-0</v>
      </c>
      <c r="J45" s="43" t="n">
        <f aca="false">-CON_Total_EPC</f>
        <v>-0</v>
      </c>
      <c r="K45" s="43" t="n">
        <f aca="false">-CON_Total_EPC</f>
        <v>-0</v>
      </c>
      <c r="L45" s="43" t="n">
        <f aca="false">-CON_Total_EPC</f>
        <v>-0</v>
      </c>
      <c r="M45" s="43" t="n">
        <f aca="false">-CON_Total_EPC</f>
        <v>-0</v>
      </c>
      <c r="N45" s="43" t="n">
        <f aca="false">-CON_Total_EPC</f>
        <v>-0</v>
      </c>
      <c r="O45" s="43" t="n">
        <f aca="false">-CON_Total_EPC</f>
        <v>-0</v>
      </c>
      <c r="P45" s="43" t="n">
        <f aca="false">-CON_Total_EPC</f>
        <v>-0</v>
      </c>
      <c r="Q45" s="43" t="n">
        <f aca="false">-CON_Total_EPC</f>
        <v>-0</v>
      </c>
      <c r="R45" s="43" t="n">
        <f aca="false">-CON_Total_EPC</f>
        <v>-0</v>
      </c>
      <c r="S45" s="43" t="n">
        <f aca="false">-CON_Total_EPC</f>
        <v>-0</v>
      </c>
      <c r="T45" s="43" t="n">
        <f aca="false">-CON_Total_EPC</f>
        <v>-0</v>
      </c>
      <c r="U45" s="43" t="n">
        <f aca="false">-CON_Total_EPC</f>
        <v>-0</v>
      </c>
      <c r="V45" s="43" t="n">
        <f aca="false">-CON_Total_EPC</f>
        <v>-0</v>
      </c>
    </row>
    <row r="46" customFormat="false" ht="15" hidden="false" customHeight="false" outlineLevel="0" collapsed="false">
      <c r="A46" s="5"/>
      <c r="B46" s="42" t="s">
        <v>101</v>
      </c>
      <c r="C46" s="43" t="n">
        <f aca="false">-CD_Stack_Add+IF(OP_Is_Ops=0,CON_Total_EPC*(Stack_Replace_kW/EPC_Capex_per_kW),0)</f>
        <v>0</v>
      </c>
      <c r="D46" s="43" t="n">
        <f aca="false">-CD_Stack_Add+IF(OP_Is_Ops=0,CON_Total_EPC*(Stack_Replace_kW/EPC_Capex_per_kW),0)</f>
        <v>0</v>
      </c>
      <c r="E46" s="43" t="n">
        <f aca="false">-CD_Stack_Add+IF(OP_Is_Ops=0,CON_Total_EPC*(Stack_Replace_kW/EPC_Capex_per_kW),0)</f>
        <v>0</v>
      </c>
      <c r="F46" s="43" t="n">
        <f aca="false">-CD_Stack_Add+IF(OP_Is_Ops=0,CON_Total_EPC*(Stack_Replace_kW/EPC_Capex_per_kW),0)</f>
        <v>0</v>
      </c>
      <c r="G46" s="43" t="n">
        <f aca="false">-CD_Stack_Add+IF(OP_Is_Ops=0,CON_Total_EPC*(Stack_Replace_kW/EPC_Capex_per_kW),0)</f>
        <v>0</v>
      </c>
      <c r="H46" s="43" t="n">
        <f aca="false">-CD_Stack_Add+IF(OP_Is_Ops=0,CON_Total_EPC*(Stack_Replace_kW/EPC_Capex_per_kW),0)</f>
        <v>0</v>
      </c>
      <c r="I46" s="43" t="n">
        <f aca="false">-CD_Stack_Add+IF(OP_Is_Ops=0,CON_Total_EPC*(Stack_Replace_kW/EPC_Capex_per_kW),0)</f>
        <v>0</v>
      </c>
      <c r="J46" s="43" t="n">
        <f aca="false">-CD_Stack_Add+IF(OP_Is_Ops=0,CON_Total_EPC*(Stack_Replace_kW/EPC_Capex_per_kW),0)</f>
        <v>0</v>
      </c>
      <c r="K46" s="43" t="n">
        <f aca="false">-CD_Stack_Add+IF(OP_Is_Ops=0,CON_Total_EPC*(Stack_Replace_kW/EPC_Capex_per_kW),0)</f>
        <v>0</v>
      </c>
      <c r="L46" s="43" t="n">
        <f aca="false">-CD_Stack_Add+IF(OP_Is_Ops=0,CON_Total_EPC*(Stack_Replace_kW/EPC_Capex_per_kW),0)</f>
        <v>0</v>
      </c>
      <c r="M46" s="43" t="n">
        <f aca="false">-CD_Stack_Add+IF(OP_Is_Ops=0,CON_Total_EPC*(Stack_Replace_kW/EPC_Capex_per_kW),0)</f>
        <v>0</v>
      </c>
      <c r="N46" s="43" t="n">
        <f aca="false">-CD_Stack_Add+IF(OP_Is_Ops=0,CON_Total_EPC*(Stack_Replace_kW/EPC_Capex_per_kW),0)</f>
        <v>0</v>
      </c>
      <c r="O46" s="43" t="n">
        <f aca="false">-CD_Stack_Add+IF(OP_Is_Ops=0,CON_Total_EPC*(Stack_Replace_kW/EPC_Capex_per_kW),0)</f>
        <v>0</v>
      </c>
      <c r="P46" s="43" t="n">
        <f aca="false">-CD_Stack_Add+IF(OP_Is_Ops=0,CON_Total_EPC*(Stack_Replace_kW/EPC_Capex_per_kW),0)</f>
        <v>0</v>
      </c>
      <c r="Q46" s="43" t="n">
        <f aca="false">-CD_Stack_Add+IF(OP_Is_Ops=0,CON_Total_EPC*(Stack_Replace_kW/EPC_Capex_per_kW),0)</f>
        <v>0</v>
      </c>
      <c r="R46" s="43" t="n">
        <f aca="false">-CD_Stack_Add+IF(OP_Is_Ops=0,CON_Total_EPC*(Stack_Replace_kW/EPC_Capex_per_kW),0)</f>
        <v>0</v>
      </c>
      <c r="S46" s="43" t="n">
        <f aca="false">-CD_Stack_Add+IF(OP_Is_Ops=0,CON_Total_EPC*(Stack_Replace_kW/EPC_Capex_per_kW),0)</f>
        <v>0</v>
      </c>
      <c r="T46" s="43" t="n">
        <f aca="false">-CD_Stack_Add+IF(OP_Is_Ops=0,CON_Total_EPC*(Stack_Replace_kW/EPC_Capex_per_kW),0)</f>
        <v>-65173417.4924149</v>
      </c>
      <c r="U46" s="43" t="n">
        <f aca="false">-CD_Stack_Add+IF(OP_Is_Ops=0,CON_Total_EPC*(Stack_Replace_kW/EPC_Capex_per_kW),0)</f>
        <v>0</v>
      </c>
      <c r="V46" s="43" t="n">
        <f aca="false">-CD_Stack_Add+IF(OP_Is_Ops=0,CON_Total_EPC*(Stack_Replace_kW/EPC_Capex_per_kW),0)</f>
        <v>0</v>
      </c>
    </row>
    <row r="47" customFormat="false" ht="15" hidden="false" customHeight="false" outlineLevel="0" collapsed="false">
      <c r="A47" s="5"/>
      <c r="B47" s="44" t="s">
        <v>260</v>
      </c>
      <c r="C47" s="45" t="n">
        <f aca="false">C45+C46-CD_Maint_Capex</f>
        <v>-78750000</v>
      </c>
      <c r="D47" s="45" t="n">
        <f aca="false">D45+D46-CD_Maint_Capex</f>
        <v>-78750000</v>
      </c>
      <c r="E47" s="45" t="n">
        <f aca="false">E45+E46-CD_Maint_Capex</f>
        <v>-1500000</v>
      </c>
      <c r="F47" s="45" t="n">
        <f aca="false">F45+F46-CD_Maint_Capex</f>
        <v>-1537500</v>
      </c>
      <c r="G47" s="45" t="n">
        <f aca="false">G45+G46-CD_Maint_Capex</f>
        <v>-1575937.5</v>
      </c>
      <c r="H47" s="45" t="n">
        <f aca="false">H45+H46-CD_Maint_Capex</f>
        <v>-1615335.9375</v>
      </c>
      <c r="I47" s="45" t="n">
        <f aca="false">I45+I46-CD_Maint_Capex</f>
        <v>-1655719.3359375</v>
      </c>
      <c r="J47" s="45" t="n">
        <f aca="false">J45+J46-CD_Maint_Capex</f>
        <v>-1697112.31933594</v>
      </c>
      <c r="K47" s="45" t="n">
        <f aca="false">K45+K46-CD_Maint_Capex</f>
        <v>-1739540.12731934</v>
      </c>
      <c r="L47" s="45" t="n">
        <f aca="false">L45+L46-CD_Maint_Capex</f>
        <v>-1783028.63050232</v>
      </c>
      <c r="M47" s="45" t="n">
        <f aca="false">M45+M46-CD_Maint_Capex</f>
        <v>-1827604.34626488</v>
      </c>
      <c r="N47" s="45" t="n">
        <f aca="false">N45+N46-CD_Maint_Capex</f>
        <v>-1873294.4549215</v>
      </c>
      <c r="O47" s="45" t="n">
        <f aca="false">O45+O46-CD_Maint_Capex</f>
        <v>-1920126.81629454</v>
      </c>
      <c r="P47" s="45" t="n">
        <f aca="false">P45+P46-CD_Maint_Capex</f>
        <v>-1968129.9867019</v>
      </c>
      <c r="Q47" s="45" t="n">
        <f aca="false">Q45+Q46-CD_Maint_Capex</f>
        <v>-2017333.23636945</v>
      </c>
      <c r="R47" s="45" t="n">
        <f aca="false">R45+R46-CD_Maint_Capex</f>
        <v>-2067766.56727868</v>
      </c>
      <c r="S47" s="45" t="n">
        <f aca="false">S45+S46-CD_Maint_Capex</f>
        <v>-2119460.73146065</v>
      </c>
      <c r="T47" s="45" t="n">
        <f aca="false">T45+T46-CD_Maint_Capex</f>
        <v>-67345864.7421621</v>
      </c>
      <c r="U47" s="45" t="n">
        <f aca="false">U45+U46-CD_Maint_Capex</f>
        <v>-2226758.43099084</v>
      </c>
      <c r="V47" s="45" t="n">
        <f aca="false">V45+V46-CD_Maint_Capex</f>
        <v>-2282427.39176561</v>
      </c>
    </row>
    <row r="48" customFormat="false" ht="15" hidden="false" customHeight="false" outlineLevel="0" collapsed="false">
      <c r="A48" s="5"/>
      <c r="B48" s="5"/>
      <c r="C48" s="5"/>
      <c r="D48" s="5"/>
      <c r="E48" s="5"/>
      <c r="F48" s="5"/>
      <c r="G48" s="5"/>
      <c r="H48" s="5"/>
      <c r="I48" s="5"/>
      <c r="J48" s="5"/>
      <c r="K48" s="5"/>
      <c r="L48" s="5"/>
      <c r="M48" s="5"/>
      <c r="N48" s="5"/>
      <c r="O48" s="5"/>
      <c r="P48" s="5"/>
      <c r="Q48" s="5"/>
      <c r="R48" s="5"/>
      <c r="S48" s="5"/>
      <c r="T48" s="5"/>
      <c r="U48" s="5"/>
      <c r="V48" s="5"/>
    </row>
    <row r="49" customFormat="false" ht="15" hidden="false" customHeight="false" outlineLevel="0" collapsed="false">
      <c r="A49" s="5"/>
      <c r="B49" s="42" t="s">
        <v>261</v>
      </c>
      <c r="C49" s="43" t="n">
        <f aca="false">DS_Draw</f>
        <v>51187500</v>
      </c>
      <c r="D49" s="43" t="n">
        <f aca="false">DS_Draw</f>
        <v>51187500</v>
      </c>
      <c r="E49" s="43" t="n">
        <f aca="false">DS_Draw</f>
        <v>0</v>
      </c>
      <c r="F49" s="43" t="n">
        <f aca="false">DS_Draw</f>
        <v>0</v>
      </c>
      <c r="G49" s="43" t="n">
        <f aca="false">DS_Draw</f>
        <v>0</v>
      </c>
      <c r="H49" s="43" t="n">
        <f aca="false">DS_Draw</f>
        <v>0</v>
      </c>
      <c r="I49" s="43" t="n">
        <f aca="false">DS_Draw</f>
        <v>0</v>
      </c>
      <c r="J49" s="43" t="n">
        <f aca="false">DS_Draw</f>
        <v>0</v>
      </c>
      <c r="K49" s="43" t="n">
        <f aca="false">DS_Draw</f>
        <v>0</v>
      </c>
      <c r="L49" s="43" t="n">
        <f aca="false">DS_Draw</f>
        <v>0</v>
      </c>
      <c r="M49" s="43" t="n">
        <f aca="false">DS_Draw</f>
        <v>0</v>
      </c>
      <c r="N49" s="43" t="n">
        <f aca="false">DS_Draw</f>
        <v>0</v>
      </c>
      <c r="O49" s="43" t="n">
        <f aca="false">DS_Draw</f>
        <v>0</v>
      </c>
      <c r="P49" s="43" t="n">
        <f aca="false">DS_Draw</f>
        <v>0</v>
      </c>
      <c r="Q49" s="43" t="n">
        <f aca="false">DS_Draw</f>
        <v>0</v>
      </c>
      <c r="R49" s="43" t="n">
        <f aca="false">DS_Draw</f>
        <v>0</v>
      </c>
      <c r="S49" s="43" t="n">
        <f aca="false">DS_Draw</f>
        <v>0</v>
      </c>
      <c r="T49" s="43" t="n">
        <f aca="false">DS_Draw</f>
        <v>0</v>
      </c>
      <c r="U49" s="43" t="n">
        <f aca="false">DS_Draw</f>
        <v>0</v>
      </c>
      <c r="V49" s="43" t="n">
        <f aca="false">DS_Draw</f>
        <v>0</v>
      </c>
    </row>
    <row r="50" customFormat="false" ht="15" hidden="false" customHeight="false" outlineLevel="0" collapsed="false">
      <c r="A50" s="5"/>
      <c r="B50" s="42" t="s">
        <v>262</v>
      </c>
      <c r="C50" s="43" t="n">
        <f aca="false">-DS_Repay</f>
        <v>-0</v>
      </c>
      <c r="D50" s="43" t="n">
        <f aca="false">-DS_Repay</f>
        <v>-0</v>
      </c>
      <c r="E50" s="43" t="n">
        <f aca="false">-DS_Repay</f>
        <v>-4233491.15604827</v>
      </c>
      <c r="F50" s="43" t="n">
        <f aca="false">-DS_Repay</f>
        <v>-4508668.08119141</v>
      </c>
      <c r="G50" s="43" t="n">
        <f aca="false">-DS_Repay</f>
        <v>-4801731.50646885</v>
      </c>
      <c r="H50" s="43" t="n">
        <f aca="false">-DS_Repay</f>
        <v>-5113844.05438933</v>
      </c>
      <c r="I50" s="43" t="n">
        <f aca="false">-DS_Repay</f>
        <v>-5446243.91792463</v>
      </c>
      <c r="J50" s="43" t="n">
        <f aca="false">-DS_Repay</f>
        <v>-5800249.77258973</v>
      </c>
      <c r="K50" s="43" t="n">
        <f aca="false">-DS_Repay</f>
        <v>-6177266.00780806</v>
      </c>
      <c r="L50" s="43" t="n">
        <f aca="false">-DS_Repay</f>
        <v>-6578788.29831559</v>
      </c>
      <c r="M50" s="43" t="n">
        <f aca="false">-DS_Repay</f>
        <v>-7006409.5377061</v>
      </c>
      <c r="N50" s="43" t="n">
        <f aca="false">-DS_Repay</f>
        <v>-7461826.157657</v>
      </c>
      <c r="O50" s="43" t="n">
        <f aca="false">-DS_Repay</f>
        <v>-7946844.85790471</v>
      </c>
      <c r="P50" s="43" t="n">
        <f aca="false">-DS_Repay</f>
        <v>-8463389.77366851</v>
      </c>
      <c r="Q50" s="43" t="n">
        <f aca="false">-DS_Repay</f>
        <v>-9013510.10895696</v>
      </c>
      <c r="R50" s="43" t="n">
        <f aca="false">-DS_Repay</f>
        <v>-9599388.26603917</v>
      </c>
      <c r="S50" s="43" t="n">
        <f aca="false">-DS_Repay</f>
        <v>-10223348.5033317</v>
      </c>
      <c r="T50" s="43" t="n">
        <f aca="false">-DS_Repay</f>
        <v>-0</v>
      </c>
      <c r="U50" s="43" t="n">
        <f aca="false">-DS_Repay</f>
        <v>-0</v>
      </c>
      <c r="V50" s="43" t="n">
        <f aca="false">-DS_Repay</f>
        <v>-0</v>
      </c>
    </row>
    <row r="51" customFormat="false" ht="15" hidden="false" customHeight="false" outlineLevel="0" collapsed="false">
      <c r="A51" s="5"/>
      <c r="B51" s="42" t="s">
        <v>263</v>
      </c>
      <c r="C51" s="43" t="n">
        <f aca="false">CON_Equity_Draw</f>
        <v>29226093.75</v>
      </c>
      <c r="D51" s="43" t="n">
        <f aca="false">CON_Equity_Draw</f>
        <v>32394843.75</v>
      </c>
      <c r="E51" s="43" t="n">
        <f aca="false">CON_Equity_Draw</f>
        <v>0</v>
      </c>
      <c r="F51" s="43" t="n">
        <f aca="false">CON_Equity_Draw</f>
        <v>0</v>
      </c>
      <c r="G51" s="43" t="n">
        <f aca="false">CON_Equity_Draw</f>
        <v>0</v>
      </c>
      <c r="H51" s="43" t="n">
        <f aca="false">CON_Equity_Draw</f>
        <v>0</v>
      </c>
      <c r="I51" s="43" t="n">
        <f aca="false">CON_Equity_Draw</f>
        <v>0</v>
      </c>
      <c r="J51" s="43" t="n">
        <f aca="false">CON_Equity_Draw</f>
        <v>0</v>
      </c>
      <c r="K51" s="43" t="n">
        <f aca="false">CON_Equity_Draw</f>
        <v>0</v>
      </c>
      <c r="L51" s="43" t="n">
        <f aca="false">CON_Equity_Draw</f>
        <v>0</v>
      </c>
      <c r="M51" s="43" t="n">
        <f aca="false">CON_Equity_Draw</f>
        <v>0</v>
      </c>
      <c r="N51" s="43" t="n">
        <f aca="false">CON_Equity_Draw</f>
        <v>0</v>
      </c>
      <c r="O51" s="43" t="n">
        <f aca="false">CON_Equity_Draw</f>
        <v>0</v>
      </c>
      <c r="P51" s="43" t="n">
        <f aca="false">CON_Equity_Draw</f>
        <v>0</v>
      </c>
      <c r="Q51" s="43" t="n">
        <f aca="false">CON_Equity_Draw</f>
        <v>0</v>
      </c>
      <c r="R51" s="43" t="n">
        <f aca="false">CON_Equity_Draw</f>
        <v>0</v>
      </c>
      <c r="S51" s="43" t="n">
        <f aca="false">CON_Equity_Draw</f>
        <v>0</v>
      </c>
      <c r="T51" s="43" t="n">
        <f aca="false">CON_Equity_Draw</f>
        <v>0</v>
      </c>
      <c r="U51" s="43" t="n">
        <f aca="false">CON_Equity_Draw</f>
        <v>0</v>
      </c>
      <c r="V51" s="43" t="n">
        <f aca="false">CON_Equity_Draw</f>
        <v>0</v>
      </c>
    </row>
    <row r="52" customFormat="false" ht="15" hidden="false" customHeight="false" outlineLevel="0" collapsed="false">
      <c r="A52" s="5"/>
      <c r="B52" s="42" t="s">
        <v>235</v>
      </c>
      <c r="C52" s="43" t="n">
        <f aca="false">-CW_Equity_Dist</f>
        <v>-0</v>
      </c>
      <c r="D52" s="43" t="n">
        <f aca="false">-CW_Equity_Dist</f>
        <v>-0</v>
      </c>
      <c r="E52" s="43" t="n">
        <f aca="false">-CW_Equity_Dist</f>
        <v>-13075739.3294385</v>
      </c>
      <c r="F52" s="43" t="n">
        <f aca="false">-CW_Equity_Dist</f>
        <v>-19301159.2415405</v>
      </c>
      <c r="G52" s="43" t="n">
        <f aca="false">-CW_Equity_Dist</f>
        <v>-19506731.8540046</v>
      </c>
      <c r="H52" s="43" t="n">
        <f aca="false">-CW_Equity_Dist</f>
        <v>-19719183.9023776</v>
      </c>
      <c r="I52" s="43" t="n">
        <f aca="false">-CW_Equity_Dist</f>
        <v>-19938215.1385613</v>
      </c>
      <c r="J52" s="43" t="n">
        <f aca="false">-CW_Equity_Dist</f>
        <v>-20163544.1505773</v>
      </c>
      <c r="K52" s="43" t="n">
        <f aca="false">-CW_Equity_Dist</f>
        <v>-20394906.862141</v>
      </c>
      <c r="L52" s="43" t="n">
        <f aca="false">-CW_Equity_Dist</f>
        <v>-20632055.1323469</v>
      </c>
      <c r="M52" s="43" t="n">
        <f aca="false">-CW_Equity_Dist</f>
        <v>-20874755.4481476</v>
      </c>
      <c r="N52" s="43" t="n">
        <f aca="false">-CW_Equity_Dist</f>
        <v>-21122787.7028202</v>
      </c>
      <c r="O52" s="43" t="n">
        <f aca="false">-CW_Equity_Dist</f>
        <v>-21375944.0540977</v>
      </c>
      <c r="P52" s="43" t="n">
        <f aca="false">-CW_Equity_Dist</f>
        <v>-21634027.8560807</v>
      </c>
      <c r="Q52" s="43" t="n">
        <f aca="false">-CW_Equity_Dist</f>
        <v>-21896852.65946</v>
      </c>
      <c r="R52" s="43" t="n">
        <f aca="false">-CW_Equity_Dist</f>
        <v>-22164241.2749633</v>
      </c>
      <c r="S52" s="43" t="n">
        <f aca="false">-CW_Equity_Dist</f>
        <v>-27879957.9733167</v>
      </c>
      <c r="T52" s="43" t="n">
        <f aca="false">-CW_Equity_Dist</f>
        <v>-0</v>
      </c>
      <c r="U52" s="43" t="n">
        <f aca="false">-CW_Equity_Dist</f>
        <v>-0</v>
      </c>
      <c r="V52" s="43" t="n">
        <f aca="false">-CW_Equity_Dist</f>
        <v>-0</v>
      </c>
    </row>
    <row r="53" customFormat="false" ht="15" hidden="false" customHeight="false" outlineLevel="0" collapsed="false">
      <c r="A53" s="5"/>
      <c r="B53" s="42" t="s">
        <v>264</v>
      </c>
      <c r="C53" s="43" t="n">
        <f aca="false">-DS_DSRA_Fund+DS_DSRA_Rel</f>
        <v>0</v>
      </c>
      <c r="D53" s="43" t="n">
        <f aca="false">-DS_DSRA_Fund+DS_DSRA_Rel</f>
        <v>-3168750</v>
      </c>
      <c r="E53" s="43" t="n">
        <f aca="false">-DS_DSRA_Fund+DS_DSRA_Rel</f>
        <v>-2275183.07802413</v>
      </c>
      <c r="F53" s="43" t="n">
        <f aca="false">-DS_DSRA_Fund+DS_DSRA_Rel</f>
        <v>0</v>
      </c>
      <c r="G53" s="43" t="n">
        <f aca="false">-DS_DSRA_Fund+DS_DSRA_Rel</f>
        <v>0</v>
      </c>
      <c r="H53" s="43" t="n">
        <f aca="false">-DS_DSRA_Fund+DS_DSRA_Rel</f>
        <v>0</v>
      </c>
      <c r="I53" s="43" t="n">
        <f aca="false">-DS_DSRA_Fund+DS_DSRA_Rel</f>
        <v>0</v>
      </c>
      <c r="J53" s="43" t="n">
        <f aca="false">-DS_DSRA_Fund+DS_DSRA_Rel</f>
        <v>0</v>
      </c>
      <c r="K53" s="43" t="n">
        <f aca="false">-DS_DSRA_Fund+DS_DSRA_Rel</f>
        <v>0</v>
      </c>
      <c r="L53" s="43" t="n">
        <f aca="false">-DS_DSRA_Fund+DS_DSRA_Rel</f>
        <v>0</v>
      </c>
      <c r="M53" s="43" t="n">
        <f aca="false">-DS_DSRA_Fund+DS_DSRA_Rel</f>
        <v>0</v>
      </c>
      <c r="N53" s="43" t="n">
        <f aca="false">-DS_DSRA_Fund+DS_DSRA_Rel</f>
        <v>0</v>
      </c>
      <c r="O53" s="43" t="n">
        <f aca="false">-DS_DSRA_Fund+DS_DSRA_Rel</f>
        <v>0</v>
      </c>
      <c r="P53" s="43" t="n">
        <f aca="false">-DS_DSRA_Fund+DS_DSRA_Rel</f>
        <v>0</v>
      </c>
      <c r="Q53" s="43" t="n">
        <f aca="false">-DS_DSRA_Fund+DS_DSRA_Rel</f>
        <v>0</v>
      </c>
      <c r="R53" s="43" t="n">
        <f aca="false">-DS_DSRA_Fund+DS_DSRA_Rel</f>
        <v>0</v>
      </c>
      <c r="S53" s="43" t="n">
        <f aca="false">-DS_DSRA_Fund+DS_DSRA_Rel</f>
        <v>5443933.07802413</v>
      </c>
      <c r="T53" s="43" t="n">
        <f aca="false">-DS_DSRA_Fund+DS_DSRA_Rel</f>
        <v>0</v>
      </c>
      <c r="U53" s="43" t="n">
        <f aca="false">-DS_DSRA_Fund+DS_DSRA_Rel</f>
        <v>0</v>
      </c>
      <c r="V53" s="43" t="n">
        <f aca="false">-DS_DSRA_Fund+DS_DSRA_Rel</f>
        <v>0</v>
      </c>
    </row>
    <row r="54" customFormat="false" ht="15" hidden="false" customHeight="false" outlineLevel="0" collapsed="false">
      <c r="A54" s="5"/>
      <c r="B54" s="44" t="s">
        <v>265</v>
      </c>
      <c r="C54" s="45" t="n">
        <f aca="false">C49+C50+C51+C52+C53</f>
        <v>80413593.75</v>
      </c>
      <c r="D54" s="45" t="n">
        <f aca="false">D49+D50+D51+D52+D53</f>
        <v>80413593.75</v>
      </c>
      <c r="E54" s="45" t="n">
        <f aca="false">E49+E50+E51+E52+E53</f>
        <v>-19584413.5635109</v>
      </c>
      <c r="F54" s="45" t="n">
        <f aca="false">F49+F50+F51+F52+F53</f>
        <v>-23809827.3227319</v>
      </c>
      <c r="G54" s="45" t="n">
        <f aca="false">G49+G50+G51+G52+G53</f>
        <v>-24308463.3604734</v>
      </c>
      <c r="H54" s="45" t="n">
        <f aca="false">H49+H50+H51+H52+H53</f>
        <v>-24833027.9567669</v>
      </c>
      <c r="I54" s="45" t="n">
        <f aca="false">I49+I50+I51+I52+I53</f>
        <v>-25384459.0564859</v>
      </c>
      <c r="J54" s="45" t="n">
        <f aca="false">J49+J50+J51+J52+J53</f>
        <v>-25963793.9231671</v>
      </c>
      <c r="K54" s="45" t="n">
        <f aca="false">K49+K50+K51+K52+K53</f>
        <v>-26572172.869949</v>
      </c>
      <c r="L54" s="45" t="n">
        <f aca="false">L49+L50+L51+L52+L53</f>
        <v>-27210843.4306625</v>
      </c>
      <c r="M54" s="45" t="n">
        <f aca="false">M49+M50+M51+M52+M53</f>
        <v>-27881164.9858537</v>
      </c>
      <c r="N54" s="45" t="n">
        <f aca="false">N49+N50+N51+N52+N53</f>
        <v>-28584613.8604772</v>
      </c>
      <c r="O54" s="45" t="n">
        <f aca="false">O49+O50+O51+O52+O53</f>
        <v>-29322788.9120024</v>
      </c>
      <c r="P54" s="45" t="n">
        <f aca="false">P49+P50+P51+P52+P53</f>
        <v>-30097417.6297492</v>
      </c>
      <c r="Q54" s="45" t="n">
        <f aca="false">Q49+Q50+Q51+Q52+Q53</f>
        <v>-30910362.7684169</v>
      </c>
      <c r="R54" s="45" t="n">
        <f aca="false">R49+R50+R51+R52+R53</f>
        <v>-31763629.5410024</v>
      </c>
      <c r="S54" s="45" t="n">
        <f aca="false">S49+S50+S51+S52+S53</f>
        <v>-32659373.3986243</v>
      </c>
      <c r="T54" s="45" t="n">
        <f aca="false">T49+T50+T51+T52+T53</f>
        <v>0</v>
      </c>
      <c r="U54" s="45" t="n">
        <f aca="false">U49+U50+U51+U52+U53</f>
        <v>0</v>
      </c>
      <c r="V54" s="45" t="n">
        <f aca="false">V49+V50+V51+V52+V53</f>
        <v>0</v>
      </c>
    </row>
    <row r="55" customFormat="false" ht="15" hidden="false" customHeight="false" outlineLevel="0" collapsed="false">
      <c r="A55" s="5"/>
      <c r="B55" s="5"/>
      <c r="C55" s="5"/>
      <c r="D55" s="5"/>
      <c r="E55" s="5"/>
      <c r="F55" s="5"/>
      <c r="G55" s="5"/>
      <c r="H55" s="5"/>
      <c r="I55" s="5"/>
      <c r="J55" s="5"/>
      <c r="K55" s="5"/>
      <c r="L55" s="5"/>
      <c r="M55" s="5"/>
      <c r="N55" s="5"/>
      <c r="O55" s="5"/>
      <c r="P55" s="5"/>
      <c r="Q55" s="5"/>
      <c r="R55" s="5"/>
      <c r="S55" s="5"/>
      <c r="T55" s="5"/>
      <c r="U55" s="5"/>
      <c r="V55" s="5"/>
    </row>
    <row r="56" customFormat="false" ht="15" hidden="false" customHeight="false" outlineLevel="0" collapsed="false">
      <c r="A56" s="5"/>
      <c r="B56" s="46" t="s">
        <v>266</v>
      </c>
      <c r="C56" s="47" t="n">
        <f aca="false">C43+C47+C54</f>
        <v>1663593.75</v>
      </c>
      <c r="D56" s="47" t="n">
        <f aca="false">D43+D47+D54</f>
        <v>1663593.75</v>
      </c>
      <c r="E56" s="47" t="n">
        <f aca="false">E43+E47+E54</f>
        <v>1663593.75</v>
      </c>
      <c r="F56" s="47" t="n">
        <f aca="false">F43+F47+F54</f>
        <v>1594799.51871422</v>
      </c>
      <c r="G56" s="47" t="n">
        <f aca="false">G43+G47+G54</f>
        <v>1521533.66239485</v>
      </c>
      <c r="H56" s="47" t="n">
        <f aca="false">H43+H47+H54</f>
        <v>1443505.52541474</v>
      </c>
      <c r="I56" s="47" t="n">
        <f aca="false">I43+I47+I54</f>
        <v>1360405.55953091</v>
      </c>
      <c r="J56" s="47" t="n">
        <f aca="false">J43+J47+J54</f>
        <v>1271904.09586463</v>
      </c>
      <c r="K56" s="47" t="n">
        <f aca="false">K43+K47+K54</f>
        <v>1177650.03706005</v>
      </c>
      <c r="L56" s="47" t="n">
        <f aca="false">L43+L47+L54</f>
        <v>1077269.46443317</v>
      </c>
      <c r="M56" s="47" t="n">
        <f aca="false">M43+M47+M54</f>
        <v>970364.15458554</v>
      </c>
      <c r="N56" s="47" t="n">
        <f aca="false">N43+N47+N54</f>
        <v>856509.999597821</v>
      </c>
      <c r="O56" s="47" t="n">
        <f aca="false">O43+O47+O54</f>
        <v>735255.324535895</v>
      </c>
      <c r="P56" s="47" t="n">
        <f aca="false">P43+P47+P54</f>
        <v>606119.095594939</v>
      </c>
      <c r="Q56" s="47" t="n">
        <f aca="false">Q43+Q47+Q54</f>
        <v>468589.011772823</v>
      </c>
      <c r="R56" s="47" t="n">
        <f aca="false">R43+R47+R54</f>
        <v>322119.472502276</v>
      </c>
      <c r="S56" s="47" t="n">
        <f aca="false">S43+S47+S54</f>
        <v>166129.413179141</v>
      </c>
      <c r="T56" s="47" t="n">
        <f aca="false">T43+T47+T54</f>
        <v>-23058000.7106913</v>
      </c>
      <c r="U56" s="47" t="n">
        <f aca="false">U43+U47+U54</f>
        <v>43456135.2980462</v>
      </c>
      <c r="V56" s="47" t="n">
        <f aca="false">V43+V47+V54</f>
        <v>43739336.1964443</v>
      </c>
    </row>
    <row r="57" customFormat="false" ht="15" hidden="false" customHeight="false" outlineLevel="0" collapsed="false">
      <c r="A57" s="5"/>
      <c r="B57" s="42" t="s">
        <v>267</v>
      </c>
      <c r="C57" s="43" t="n">
        <f aca="false">0</f>
        <v>0</v>
      </c>
      <c r="D57" s="43" t="n">
        <f aca="false">C58</f>
        <v>1663593.75</v>
      </c>
      <c r="E57" s="43" t="n">
        <f aca="false">D58</f>
        <v>3327187.5</v>
      </c>
      <c r="F57" s="43" t="n">
        <f aca="false">E58</f>
        <v>4990781.25</v>
      </c>
      <c r="G57" s="43" t="n">
        <f aca="false">F58</f>
        <v>6585580.76871422</v>
      </c>
      <c r="H57" s="43" t="n">
        <f aca="false">G58</f>
        <v>8107114.43110907</v>
      </c>
      <c r="I57" s="43" t="n">
        <f aca="false">H58</f>
        <v>9550619.9565238</v>
      </c>
      <c r="J57" s="43" t="n">
        <f aca="false">I58</f>
        <v>10911025.5160547</v>
      </c>
      <c r="K57" s="43" t="n">
        <f aca="false">J58</f>
        <v>12182929.6119193</v>
      </c>
      <c r="L57" s="43" t="n">
        <f aca="false">K58</f>
        <v>13360579.6489794</v>
      </c>
      <c r="M57" s="43" t="n">
        <f aca="false">L58</f>
        <v>14437849.1134126</v>
      </c>
      <c r="N57" s="43" t="n">
        <f aca="false">M58</f>
        <v>15408213.2679981</v>
      </c>
      <c r="O57" s="43" t="n">
        <f aca="false">N58</f>
        <v>16264723.2675959</v>
      </c>
      <c r="P57" s="43" t="n">
        <f aca="false">O58</f>
        <v>16999978.5921318</v>
      </c>
      <c r="Q57" s="43" t="n">
        <f aca="false">P58</f>
        <v>17606097.6877268</v>
      </c>
      <c r="R57" s="43" t="n">
        <f aca="false">Q58</f>
        <v>18074686.6994996</v>
      </c>
      <c r="S57" s="43" t="n">
        <f aca="false">R58</f>
        <v>18396806.1720019</v>
      </c>
      <c r="T57" s="43" t="n">
        <f aca="false">S58</f>
        <v>18562935.585181</v>
      </c>
      <c r="U57" s="43" t="n">
        <f aca="false">T58</f>
        <v>-4495065.12551026</v>
      </c>
      <c r="V57" s="43" t="n">
        <f aca="false">U58</f>
        <v>38961070.1725359</v>
      </c>
    </row>
    <row r="58" customFormat="false" ht="15" hidden="false" customHeight="false" outlineLevel="0" collapsed="false">
      <c r="A58" s="5"/>
      <c r="B58" s="46" t="s">
        <v>268</v>
      </c>
      <c r="C58" s="47" t="n">
        <f aca="false">C57+C56</f>
        <v>1663593.75</v>
      </c>
      <c r="D58" s="47" t="n">
        <f aca="false">D57+D56</f>
        <v>3327187.5</v>
      </c>
      <c r="E58" s="47" t="n">
        <f aca="false">E57+E56</f>
        <v>4990781.25</v>
      </c>
      <c r="F58" s="47" t="n">
        <f aca="false">F57+F56</f>
        <v>6585580.76871422</v>
      </c>
      <c r="G58" s="47" t="n">
        <f aca="false">G57+G56</f>
        <v>8107114.43110907</v>
      </c>
      <c r="H58" s="47" t="n">
        <f aca="false">H57+H56</f>
        <v>9550619.9565238</v>
      </c>
      <c r="I58" s="47" t="n">
        <f aca="false">I57+I56</f>
        <v>10911025.5160547</v>
      </c>
      <c r="J58" s="47" t="n">
        <f aca="false">J57+J56</f>
        <v>12182929.6119193</v>
      </c>
      <c r="K58" s="47" t="n">
        <f aca="false">K57+K56</f>
        <v>13360579.6489794</v>
      </c>
      <c r="L58" s="47" t="n">
        <f aca="false">L57+L56</f>
        <v>14437849.1134126</v>
      </c>
      <c r="M58" s="47" t="n">
        <f aca="false">M57+M56</f>
        <v>15408213.2679981</v>
      </c>
      <c r="N58" s="47" t="n">
        <f aca="false">N57+N56</f>
        <v>16264723.2675959</v>
      </c>
      <c r="O58" s="47" t="n">
        <f aca="false">O57+O56</f>
        <v>16999978.5921318</v>
      </c>
      <c r="P58" s="47" t="n">
        <f aca="false">P57+P56</f>
        <v>17606097.6877268</v>
      </c>
      <c r="Q58" s="47" t="n">
        <f aca="false">Q57+Q56</f>
        <v>18074686.6994996</v>
      </c>
      <c r="R58" s="47" t="n">
        <f aca="false">R57+R56</f>
        <v>18396806.1720019</v>
      </c>
      <c r="S58" s="47" t="n">
        <f aca="false">S57+S56</f>
        <v>18562935.585181</v>
      </c>
      <c r="T58" s="47" t="n">
        <f aca="false">T57+T56</f>
        <v>-4495065.12551026</v>
      </c>
      <c r="U58" s="47" t="n">
        <f aca="false">U57+U56</f>
        <v>38961070.1725359</v>
      </c>
      <c r="V58" s="47" t="n">
        <f aca="false">V57+V56</f>
        <v>82700406.3689802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V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22" min="3" style="0" width="16"/>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row>
    <row r="2" customFormat="false" ht="22.05" hidden="false" customHeight="false" outlineLevel="0" collapsed="false">
      <c r="A2" s="5"/>
      <c r="B2" s="28" t="s">
        <v>269</v>
      </c>
      <c r="C2" s="5"/>
      <c r="D2" s="5"/>
      <c r="E2" s="5"/>
      <c r="F2" s="5"/>
      <c r="G2" s="5"/>
      <c r="H2" s="5"/>
      <c r="I2" s="5"/>
      <c r="J2" s="5"/>
      <c r="K2" s="5"/>
      <c r="L2" s="5"/>
      <c r="M2" s="5"/>
      <c r="N2" s="5"/>
      <c r="O2" s="5"/>
      <c r="P2" s="5"/>
      <c r="Q2" s="5"/>
      <c r="R2" s="5"/>
      <c r="S2" s="5"/>
      <c r="T2" s="5"/>
      <c r="U2" s="5"/>
      <c r="V2" s="5"/>
    </row>
    <row r="3" customFormat="false" ht="15" hidden="false" customHeight="false" outlineLevel="0" collapsed="false">
      <c r="A3" s="5"/>
      <c r="B3" s="29" t="s">
        <v>23</v>
      </c>
      <c r="C3" s="5"/>
      <c r="D3" s="5"/>
      <c r="E3" s="5"/>
      <c r="F3" s="5"/>
      <c r="G3" s="5"/>
      <c r="H3" s="5"/>
      <c r="I3" s="5"/>
      <c r="J3" s="5"/>
      <c r="K3" s="5"/>
      <c r="L3" s="5"/>
      <c r="M3" s="5"/>
      <c r="N3" s="5"/>
      <c r="O3" s="5"/>
      <c r="P3" s="5"/>
      <c r="Q3" s="5"/>
      <c r="R3" s="5"/>
      <c r="S3" s="5"/>
      <c r="T3" s="5"/>
      <c r="U3" s="5"/>
      <c r="V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row>
    <row r="5" customFormat="false" ht="15" hidden="false" customHeight="false" outlineLevel="0" collapsed="false">
      <c r="A5" s="5"/>
      <c r="B5" s="39" t="s">
        <v>67</v>
      </c>
      <c r="C5" s="40" t="n">
        <f aca="false">Model_Start+0</f>
        <v>2026</v>
      </c>
      <c r="D5" s="40" t="n">
        <f aca="false">Model_Start+1</f>
        <v>2027</v>
      </c>
      <c r="E5" s="40" t="n">
        <f aca="false">Model_Start+2</f>
        <v>2028</v>
      </c>
      <c r="F5" s="40" t="n">
        <f aca="false">Model_Start+3</f>
        <v>2029</v>
      </c>
      <c r="G5" s="40" t="n">
        <f aca="false">Model_Start+4</f>
        <v>2030</v>
      </c>
      <c r="H5" s="40" t="n">
        <f aca="false">Model_Start+5</f>
        <v>2031</v>
      </c>
      <c r="I5" s="40" t="n">
        <f aca="false">Model_Start+6</f>
        <v>2032</v>
      </c>
      <c r="J5" s="40" t="n">
        <f aca="false">Model_Start+7</f>
        <v>2033</v>
      </c>
      <c r="K5" s="40" t="n">
        <f aca="false">Model_Start+8</f>
        <v>2034</v>
      </c>
      <c r="L5" s="40" t="n">
        <f aca="false">Model_Start+9</f>
        <v>2035</v>
      </c>
      <c r="M5" s="40" t="n">
        <f aca="false">Model_Start+10</f>
        <v>2036</v>
      </c>
      <c r="N5" s="40" t="n">
        <f aca="false">Model_Start+11</f>
        <v>2037</v>
      </c>
      <c r="O5" s="40" t="n">
        <f aca="false">Model_Start+12</f>
        <v>2038</v>
      </c>
      <c r="P5" s="40" t="n">
        <f aca="false">Model_Start+13</f>
        <v>2039</v>
      </c>
      <c r="Q5" s="40" t="n">
        <f aca="false">Model_Start+14</f>
        <v>2040</v>
      </c>
      <c r="R5" s="40" t="n">
        <f aca="false">Model_Start+15</f>
        <v>2041</v>
      </c>
      <c r="S5" s="40" t="n">
        <f aca="false">Model_Start+16</f>
        <v>2042</v>
      </c>
      <c r="T5" s="40" t="n">
        <f aca="false">Model_Start+17</f>
        <v>2043</v>
      </c>
      <c r="U5" s="40" t="n">
        <f aca="false">Model_Start+18</f>
        <v>2044</v>
      </c>
      <c r="V5" s="40" t="n">
        <f aca="false">Model_Start+19</f>
        <v>2045</v>
      </c>
    </row>
    <row r="6" customFormat="false" ht="15" hidden="false" customHeight="false" outlineLevel="0" collapsed="false">
      <c r="A6" s="5"/>
      <c r="B6" s="29" t="s">
        <v>146</v>
      </c>
      <c r="C6" s="41" t="n">
        <v>1</v>
      </c>
      <c r="D6" s="41" t="n">
        <v>2</v>
      </c>
      <c r="E6" s="41" t="n">
        <v>3</v>
      </c>
      <c r="F6" s="41" t="n">
        <v>4</v>
      </c>
      <c r="G6" s="41" t="n">
        <v>5</v>
      </c>
      <c r="H6" s="41" t="n">
        <v>6</v>
      </c>
      <c r="I6" s="41" t="n">
        <v>7</v>
      </c>
      <c r="J6" s="41" t="n">
        <v>8</v>
      </c>
      <c r="K6" s="41" t="n">
        <v>9</v>
      </c>
      <c r="L6" s="41" t="n">
        <v>10</v>
      </c>
      <c r="M6" s="41" t="n">
        <v>11</v>
      </c>
      <c r="N6" s="41" t="n">
        <v>12</v>
      </c>
      <c r="O6" s="41" t="n">
        <v>13</v>
      </c>
      <c r="P6" s="41" t="n">
        <v>14</v>
      </c>
      <c r="Q6" s="41" t="n">
        <v>15</v>
      </c>
      <c r="R6" s="41" t="n">
        <v>16</v>
      </c>
      <c r="S6" s="41" t="n">
        <v>17</v>
      </c>
      <c r="T6" s="41" t="n">
        <v>18</v>
      </c>
      <c r="U6" s="41" t="n">
        <v>19</v>
      </c>
      <c r="V6" s="41" t="n">
        <v>20</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row>
    <row r="8" customFormat="false" ht="15" hidden="false" customHeight="false" outlineLevel="0" collapsed="false">
      <c r="A8" s="5"/>
      <c r="B8" s="32" t="s">
        <v>270</v>
      </c>
      <c r="C8" s="16"/>
      <c r="D8" s="16"/>
      <c r="E8" s="16"/>
      <c r="F8" s="16"/>
      <c r="G8" s="16"/>
      <c r="H8" s="16"/>
      <c r="I8" s="16"/>
      <c r="J8" s="16"/>
      <c r="K8" s="16"/>
      <c r="L8" s="16"/>
      <c r="M8" s="16"/>
      <c r="N8" s="16"/>
      <c r="O8" s="16"/>
      <c r="P8" s="16"/>
      <c r="Q8" s="16"/>
      <c r="R8" s="16"/>
      <c r="S8" s="16"/>
      <c r="T8" s="16"/>
      <c r="U8" s="16"/>
      <c r="V8" s="16"/>
    </row>
    <row r="9" customFormat="false" ht="15" hidden="false" customHeight="false" outlineLevel="0" collapsed="false">
      <c r="A9" s="5"/>
      <c r="B9" s="42" t="s">
        <v>271</v>
      </c>
      <c r="C9" s="43" t="n">
        <f aca="false">-CON_Total_EPC+CW_CADS</f>
        <v>-78750000</v>
      </c>
      <c r="D9" s="43" t="n">
        <f aca="false">-CON_Total_EPC+CW_CADS</f>
        <v>-78750000</v>
      </c>
      <c r="E9" s="43" t="n">
        <f aca="false">-CON_Total_EPC+CW_CADS</f>
        <v>26238788.5635109</v>
      </c>
      <c r="F9" s="43" t="n">
        <f aca="false">-CON_Total_EPC+CW_CADS</f>
        <v>30189025.3975888</v>
      </c>
      <c r="G9" s="43" t="n">
        <f aca="false">-CON_Total_EPC+CW_CADS</f>
        <v>30394598.0100529</v>
      </c>
      <c r="H9" s="43" t="n">
        <f aca="false">-CON_Total_EPC+CW_CADS</f>
        <v>30607050.0584258</v>
      </c>
      <c r="I9" s="43" t="n">
        <f aca="false">-CON_Total_EPC+CW_CADS</f>
        <v>30826081.2946096</v>
      </c>
      <c r="J9" s="43" t="n">
        <f aca="false">-CON_Total_EPC+CW_CADS</f>
        <v>31051410.3066256</v>
      </c>
      <c r="K9" s="43" t="n">
        <f aca="false">-CON_Total_EPC+CW_CADS</f>
        <v>31282773.0181892</v>
      </c>
      <c r="L9" s="43" t="n">
        <f aca="false">-CON_Total_EPC+CW_CADS</f>
        <v>31519921.2883952</v>
      </c>
      <c r="M9" s="43" t="n">
        <f aca="false">-CON_Total_EPC+CW_CADS</f>
        <v>31762621.6041958</v>
      </c>
      <c r="N9" s="43" t="n">
        <f aca="false">-CON_Total_EPC+CW_CADS</f>
        <v>32010653.8588684</v>
      </c>
      <c r="O9" s="43" t="n">
        <f aca="false">-CON_Total_EPC+CW_CADS</f>
        <v>32263810.210146</v>
      </c>
      <c r="P9" s="43" t="n">
        <f aca="false">-CON_Total_EPC+CW_CADS</f>
        <v>32521894.0121289</v>
      </c>
      <c r="Q9" s="43" t="n">
        <f aca="false">-CON_Total_EPC+CW_CADS</f>
        <v>32784718.8155082</v>
      </c>
      <c r="R9" s="43" t="n">
        <f aca="false">-CON_Total_EPC+CW_CADS</f>
        <v>33052107.4310115</v>
      </c>
      <c r="S9" s="43" t="n">
        <f aca="false">-CON_Total_EPC+CW_CADS</f>
        <v>33323891.0513409</v>
      </c>
      <c r="T9" s="43" t="n">
        <f aca="false">-CON_Total_EPC+CW_CADS</f>
        <v>42115416.7817237</v>
      </c>
      <c r="U9" s="43" t="n">
        <f aca="false">-CON_Total_EPC+CW_CADS</f>
        <v>43456135.2980462</v>
      </c>
      <c r="V9" s="43" t="n">
        <f aca="false">-CON_Total_EPC+CW_CADS</f>
        <v>43739336.1964443</v>
      </c>
    </row>
    <row r="10" customFormat="false" ht="15" hidden="false" customHeight="false" outlineLevel="0" collapsed="false">
      <c r="A10" s="5"/>
      <c r="B10" s="50" t="s">
        <v>272</v>
      </c>
      <c r="C10" s="56" t="n">
        <f aca="false">IRR(C9:V9)</f>
        <v>0.169636323255416</v>
      </c>
      <c r="D10" s="5"/>
      <c r="E10" s="5"/>
      <c r="F10" s="5"/>
      <c r="G10" s="5"/>
      <c r="H10" s="5"/>
      <c r="I10" s="5"/>
      <c r="J10" s="5"/>
      <c r="K10" s="5"/>
      <c r="L10" s="5"/>
      <c r="M10" s="5"/>
      <c r="N10" s="5"/>
      <c r="O10" s="5"/>
      <c r="P10" s="5"/>
      <c r="Q10" s="5"/>
      <c r="R10" s="5"/>
      <c r="S10" s="5"/>
      <c r="T10" s="5"/>
      <c r="U10" s="5"/>
      <c r="V10" s="5"/>
    </row>
    <row r="11" customFormat="false" ht="15" hidden="false" customHeight="false" outlineLevel="0" collapsed="false">
      <c r="A11" s="5"/>
      <c r="B11" s="50" t="s">
        <v>273</v>
      </c>
      <c r="C11" s="51" t="n">
        <f aca="false">NPV(Discount_Rate,D9:V9)+C9</f>
        <v>125090466.245849</v>
      </c>
      <c r="D11" s="5"/>
      <c r="E11" s="5"/>
      <c r="F11" s="5"/>
      <c r="G11" s="5"/>
      <c r="H11" s="5"/>
      <c r="I11" s="5"/>
      <c r="J11" s="5"/>
      <c r="K11" s="5"/>
      <c r="L11" s="5"/>
      <c r="M11" s="5"/>
      <c r="N11" s="5"/>
      <c r="O11" s="5"/>
      <c r="P11" s="5"/>
      <c r="Q11" s="5"/>
      <c r="R11" s="5"/>
      <c r="S11" s="5"/>
      <c r="T11" s="5"/>
      <c r="U11" s="5"/>
      <c r="V11" s="5"/>
    </row>
    <row r="12" customFormat="false" ht="15" hidden="false" customHeight="false" outlineLevel="0" collapsed="false">
      <c r="A12" s="5"/>
      <c r="B12" s="5"/>
      <c r="C12" s="5"/>
      <c r="D12" s="5"/>
      <c r="E12" s="5"/>
      <c r="F12" s="5"/>
      <c r="G12" s="5"/>
      <c r="H12" s="5"/>
      <c r="I12" s="5"/>
      <c r="J12" s="5"/>
      <c r="K12" s="5"/>
      <c r="L12" s="5"/>
      <c r="M12" s="5"/>
      <c r="N12" s="5"/>
      <c r="O12" s="5"/>
      <c r="P12" s="5"/>
      <c r="Q12" s="5"/>
      <c r="R12" s="5"/>
      <c r="S12" s="5"/>
      <c r="T12" s="5"/>
      <c r="U12" s="5"/>
      <c r="V12" s="5"/>
    </row>
    <row r="13" customFormat="false" ht="15" hidden="false" customHeight="false" outlineLevel="0" collapsed="false">
      <c r="A13" s="5"/>
      <c r="B13" s="32" t="s">
        <v>274</v>
      </c>
      <c r="C13" s="16"/>
      <c r="D13" s="16"/>
      <c r="E13" s="16"/>
      <c r="F13" s="16"/>
      <c r="G13" s="16"/>
      <c r="H13" s="16"/>
      <c r="I13" s="16"/>
      <c r="J13" s="16"/>
      <c r="K13" s="16"/>
      <c r="L13" s="16"/>
      <c r="M13" s="16"/>
      <c r="N13" s="16"/>
      <c r="O13" s="16"/>
      <c r="P13" s="16"/>
      <c r="Q13" s="16"/>
      <c r="R13" s="16"/>
      <c r="S13" s="16"/>
      <c r="T13" s="16"/>
      <c r="U13" s="16"/>
      <c r="V13" s="16"/>
    </row>
    <row r="14" customFormat="false" ht="15" hidden="false" customHeight="false" outlineLevel="0" collapsed="false">
      <c r="A14" s="5"/>
      <c r="B14" s="42" t="s">
        <v>275</v>
      </c>
      <c r="C14" s="43" t="n">
        <f aca="false">-CON_Equity_Draw+CW_Equity_Dist</f>
        <v>-29226093.75</v>
      </c>
      <c r="D14" s="43" t="n">
        <f aca="false">-CON_Equity_Draw+CW_Equity_Dist</f>
        <v>-32394843.75</v>
      </c>
      <c r="E14" s="43" t="n">
        <f aca="false">-CON_Equity_Draw+CW_Equity_Dist</f>
        <v>13075739.3294385</v>
      </c>
      <c r="F14" s="43" t="n">
        <f aca="false">-CON_Equity_Draw+CW_Equity_Dist</f>
        <v>19301159.2415405</v>
      </c>
      <c r="G14" s="43" t="n">
        <f aca="false">-CON_Equity_Draw+CW_Equity_Dist</f>
        <v>19506731.8540046</v>
      </c>
      <c r="H14" s="43" t="n">
        <f aca="false">-CON_Equity_Draw+CW_Equity_Dist</f>
        <v>19719183.9023776</v>
      </c>
      <c r="I14" s="43" t="n">
        <f aca="false">-CON_Equity_Draw+CW_Equity_Dist</f>
        <v>19938215.1385613</v>
      </c>
      <c r="J14" s="43" t="n">
        <f aca="false">-CON_Equity_Draw+CW_Equity_Dist</f>
        <v>20163544.1505773</v>
      </c>
      <c r="K14" s="43" t="n">
        <f aca="false">-CON_Equity_Draw+CW_Equity_Dist</f>
        <v>20394906.862141</v>
      </c>
      <c r="L14" s="43" t="n">
        <f aca="false">-CON_Equity_Draw+CW_Equity_Dist</f>
        <v>20632055.1323469</v>
      </c>
      <c r="M14" s="43" t="n">
        <f aca="false">-CON_Equity_Draw+CW_Equity_Dist</f>
        <v>20874755.4481476</v>
      </c>
      <c r="N14" s="43" t="n">
        <f aca="false">-CON_Equity_Draw+CW_Equity_Dist</f>
        <v>21122787.7028202</v>
      </c>
      <c r="O14" s="43" t="n">
        <f aca="false">-CON_Equity_Draw+CW_Equity_Dist</f>
        <v>21375944.0540977</v>
      </c>
      <c r="P14" s="43" t="n">
        <f aca="false">-CON_Equity_Draw+CW_Equity_Dist</f>
        <v>21634027.8560807</v>
      </c>
      <c r="Q14" s="43" t="n">
        <f aca="false">-CON_Equity_Draw+CW_Equity_Dist</f>
        <v>21896852.65946</v>
      </c>
      <c r="R14" s="43" t="n">
        <f aca="false">-CON_Equity_Draw+CW_Equity_Dist</f>
        <v>22164241.2749633</v>
      </c>
      <c r="S14" s="43" t="n">
        <f aca="false">-CON_Equity_Draw+CW_Equity_Dist</f>
        <v>27879957.9733167</v>
      </c>
      <c r="T14" s="43" t="n">
        <f aca="false">-CON_Equity_Draw+CW_Equity_Dist</f>
        <v>0</v>
      </c>
      <c r="U14" s="43" t="n">
        <f aca="false">-CON_Equity_Draw+CW_Equity_Dist</f>
        <v>0</v>
      </c>
      <c r="V14" s="43" t="n">
        <f aca="false">-CON_Equity_Draw+CW_Equity_Dist</f>
        <v>0</v>
      </c>
    </row>
    <row r="15" customFormat="false" ht="15" hidden="false" customHeight="false" outlineLevel="0" collapsed="false">
      <c r="A15" s="5"/>
      <c r="B15" s="50" t="s">
        <v>276</v>
      </c>
      <c r="C15" s="56" t="n">
        <f aca="false">IRR(C14:V14)</f>
        <v>0.26021835813653</v>
      </c>
      <c r="D15" s="5"/>
      <c r="E15" s="5"/>
      <c r="F15" s="5"/>
      <c r="G15" s="5"/>
      <c r="H15" s="5"/>
      <c r="I15" s="5"/>
      <c r="J15" s="5"/>
      <c r="K15" s="5"/>
      <c r="L15" s="5"/>
      <c r="M15" s="5"/>
      <c r="N15" s="5"/>
      <c r="O15" s="5"/>
      <c r="P15" s="5"/>
      <c r="Q15" s="5"/>
      <c r="R15" s="5"/>
      <c r="S15" s="5"/>
      <c r="T15" s="5"/>
      <c r="U15" s="5"/>
      <c r="V15" s="5"/>
    </row>
    <row r="16" customFormat="false" ht="15" hidden="false" customHeight="false" outlineLevel="0" collapsed="false">
      <c r="A16" s="5"/>
      <c r="B16" s="50" t="s">
        <v>277</v>
      </c>
      <c r="C16" s="51" t="n">
        <f aca="false">NPV(Discount_Rate,D14:V14)+C14</f>
        <v>98490800.6840135</v>
      </c>
      <c r="D16" s="5"/>
      <c r="E16" s="5"/>
      <c r="F16" s="5"/>
      <c r="G16" s="5"/>
      <c r="H16" s="5"/>
      <c r="I16" s="5"/>
      <c r="J16" s="5"/>
      <c r="K16" s="5"/>
      <c r="L16" s="5"/>
      <c r="M16" s="5"/>
      <c r="N16" s="5"/>
      <c r="O16" s="5"/>
      <c r="P16" s="5"/>
      <c r="Q16" s="5"/>
      <c r="R16" s="5"/>
      <c r="S16" s="5"/>
      <c r="T16" s="5"/>
      <c r="U16" s="5"/>
      <c r="V16" s="5"/>
    </row>
    <row r="17" customFormat="false" ht="15" hidden="false" customHeight="false" outlineLevel="0" collapsed="false">
      <c r="A17" s="5"/>
      <c r="B17" s="5"/>
      <c r="C17" s="5"/>
      <c r="D17" s="5"/>
      <c r="E17" s="5"/>
      <c r="F17" s="5"/>
      <c r="G17" s="5"/>
      <c r="H17" s="5"/>
      <c r="I17" s="5"/>
      <c r="J17" s="5"/>
      <c r="K17" s="5"/>
      <c r="L17" s="5"/>
      <c r="M17" s="5"/>
      <c r="N17" s="5"/>
      <c r="O17" s="5"/>
      <c r="P17" s="5"/>
      <c r="Q17" s="5"/>
      <c r="R17" s="5"/>
      <c r="S17" s="5"/>
      <c r="T17" s="5"/>
      <c r="U17" s="5"/>
      <c r="V17" s="5"/>
    </row>
    <row r="18" customFormat="false" ht="15" hidden="false" customHeight="false" outlineLevel="0" collapsed="false">
      <c r="A18" s="5"/>
      <c r="B18" s="32" t="s">
        <v>278</v>
      </c>
      <c r="C18" s="16"/>
      <c r="D18" s="16"/>
      <c r="E18" s="16"/>
      <c r="F18" s="16"/>
      <c r="G18" s="16"/>
      <c r="H18" s="16"/>
      <c r="I18" s="16"/>
      <c r="J18" s="16"/>
      <c r="K18" s="16"/>
      <c r="L18" s="16"/>
      <c r="M18" s="16"/>
      <c r="N18" s="16"/>
      <c r="O18" s="16"/>
      <c r="P18" s="16"/>
      <c r="Q18" s="16"/>
      <c r="R18" s="16"/>
      <c r="S18" s="16"/>
      <c r="T18" s="16"/>
      <c r="U18" s="16"/>
      <c r="V18" s="16"/>
    </row>
    <row r="19" customFormat="false" ht="15" hidden="false" customHeight="false" outlineLevel="0" collapsed="false">
      <c r="A19" s="5"/>
      <c r="B19" s="42" t="s">
        <v>279</v>
      </c>
      <c r="C19" s="43" t="n">
        <f aca="false">CON_Total_EPC+RO_Total_Opex+CD_Maint_Capex+IF(OP_Stack_Repl=1,Capacity_kW*Stack_Replace_kW*(1+Inflation_Rate)^(OP_Year_Num-1),0)</f>
        <v>78750000</v>
      </c>
      <c r="D19" s="43" t="n">
        <f aca="false">CON_Total_EPC+RO_Total_Opex+CD_Maint_Capex+IF(OP_Stack_Repl=1,Capacity_kW*Stack_Replace_kW*(1+Inflation_Rate)^(OP_Year_Num-1),0)</f>
        <v>78750000</v>
      </c>
      <c r="E19" s="43" t="n">
        <f aca="false">CON_Total_EPC+RO_Total_Opex+CD_Maint_Capex+IF(OP_Stack_Repl=1,Capacity_kW*Stack_Replace_kW*(1+Inflation_Rate)^(OP_Year_Num-1),0)</f>
        <v>32555876.5513747</v>
      </c>
      <c r="F19" s="43" t="n">
        <f aca="false">CON_Total_EPC+RO_Total_Opex+CD_Maint_Capex+IF(OP_Stack_Repl=1,Capacity_kW*Stack_Replace_kW*(1+Inflation_Rate)^(OP_Year_Num-1),0)</f>
        <v>33355288.1190012</v>
      </c>
      <c r="G19" s="43" t="n">
        <f aca="false">CON_Total_EPC+RO_Total_Opex+CD_Maint_Capex+IF(OP_Stack_Repl=1,Capacity_kW*Stack_Replace_kW*(1+Inflation_Rate)^(OP_Year_Num-1),0)</f>
        <v>34174570.1305444</v>
      </c>
      <c r="H19" s="43" t="n">
        <f aca="false">CON_Total_EPC+RO_Total_Opex+CD_Maint_Capex+IF(OP_Stack_Repl=1,Capacity_kW*Stack_Replace_kW*(1+Inflation_Rate)^(OP_Year_Num-1),0)</f>
        <v>35014216.3780571</v>
      </c>
      <c r="I19" s="43" t="n">
        <f aca="false">CON_Total_EPC+RO_Total_Opex+CD_Maint_Capex+IF(OP_Stack_Repl=1,Capacity_kW*Stack_Replace_kW*(1+Inflation_Rate)^(OP_Year_Num-1),0)</f>
        <v>35874732.9756273</v>
      </c>
      <c r="J19" s="43" t="n">
        <f aca="false">CON_Total_EPC+RO_Total_Opex+CD_Maint_Capex+IF(OP_Stack_Repl=1,Capacity_kW*Stack_Replace_kW*(1+Inflation_Rate)^(OP_Year_Num-1),0)</f>
        <v>36756638.6659851</v>
      </c>
      <c r="K19" s="43" t="n">
        <f aca="false">CON_Total_EPC+RO_Total_Opex+CD_Maint_Capex+IF(OP_Stack_Repl=1,Capacity_kW*Stack_Replace_kW*(1+Inflation_Rate)^(OP_Year_Num-1),0)</f>
        <v>37660465.1347901</v>
      </c>
      <c r="L19" s="43" t="n">
        <f aca="false">CON_Total_EPC+RO_Total_Opex+CD_Maint_Capex+IF(OP_Stack_Repl=1,Capacity_kW*Stack_Replace_kW*(1+Inflation_Rate)^(OP_Year_Num-1),0)</f>
        <v>38586757.3327906</v>
      </c>
      <c r="M19" s="43" t="n">
        <f aca="false">CON_Total_EPC+RO_Total_Opex+CD_Maint_Capex+IF(OP_Stack_Repl=1,Capacity_kW*Stack_Replace_kW*(1+Inflation_Rate)^(OP_Year_Num-1),0)</f>
        <v>39536073.8060489</v>
      </c>
      <c r="N19" s="43" t="n">
        <f aca="false">CON_Total_EPC+RO_Total_Opex+CD_Maint_Capex+IF(OP_Stack_Repl=1,Capacity_kW*Stack_Replace_kW*(1+Inflation_Rate)^(OP_Year_Num-1),0)</f>
        <v>40508987.0344318</v>
      </c>
      <c r="O19" s="43" t="n">
        <f aca="false">CON_Total_EPC+RO_Total_Opex+CD_Maint_Capex+IF(OP_Stack_Repl=1,Capacity_kW*Stack_Replace_kW*(1+Inflation_Rate)^(OP_Year_Num-1),0)</f>
        <v>41506083.7785737</v>
      </c>
      <c r="P19" s="43" t="n">
        <f aca="false">CON_Total_EPC+RO_Total_Opex+CD_Maint_Capex+IF(OP_Stack_Repl=1,Capacity_kW*Stack_Replace_kW*(1+Inflation_Rate)^(OP_Year_Num-1),0)</f>
        <v>42527965.435519</v>
      </c>
      <c r="Q19" s="43" t="n">
        <f aca="false">CON_Total_EPC+RO_Total_Opex+CD_Maint_Capex+IF(OP_Stack_Repl=1,Capacity_kW*Stack_Replace_kW*(1+Inflation_Rate)^(OP_Year_Num-1),0)</f>
        <v>43575248.4032627</v>
      </c>
      <c r="R19" s="43" t="n">
        <f aca="false">CON_Total_EPC+RO_Total_Opex+CD_Maint_Capex+IF(OP_Stack_Repl=1,Capacity_kW*Stack_Replace_kW*(1+Inflation_Rate)^(OP_Year_Num-1),0)</f>
        <v>44648564.4544081</v>
      </c>
      <c r="S19" s="43" t="n">
        <f aca="false">CON_Total_EPC+RO_Total_Opex+CD_Maint_Capex+IF(OP_Stack_Repl=1,Capacity_kW*Stack_Replace_kW*(1+Inflation_Rate)^(OP_Year_Num-1),0)</f>
        <v>45748561.1191679</v>
      </c>
      <c r="T19" s="43" t="n">
        <f aca="false">CON_Total_EPC+RO_Total_Opex+CD_Maint_Capex+IF(OP_Stack_Repl=1,Capacity_kW*Stack_Replace_kW*(1+Inflation_Rate)^(OP_Year_Num-1),0)</f>
        <v>112324033.81051</v>
      </c>
      <c r="U19" s="43" t="n">
        <f aca="false">CON_Total_EPC+RO_Total_Opex+CD_Maint_Capex+IF(OP_Stack_Repl=1,Capacity_kW*Stack_Replace_kW*(1+Inflation_Rate)^(OP_Year_Num-1),0)</f>
        <v>48308402.6257657</v>
      </c>
      <c r="V19" s="43" t="n">
        <f aca="false">CON_Total_EPC+RO_Total_Opex+CD_Maint_Capex+IF(OP_Stack_Repl=1,Capacity_kW*Stack_Replace_kW*(1+Inflation_Rate)^(OP_Year_Num-1),0)</f>
        <v>49494967.2609286</v>
      </c>
    </row>
    <row r="20" customFormat="false" ht="15" hidden="false" customHeight="false" outlineLevel="0" collapsed="false">
      <c r="A20" s="5"/>
      <c r="B20" s="42" t="s">
        <v>280</v>
      </c>
      <c r="C20" s="43" t="n">
        <f aca="false">OP_H2_Prod</f>
        <v>0</v>
      </c>
      <c r="D20" s="43" t="n">
        <f aca="false">OP_H2_Prod</f>
        <v>0</v>
      </c>
      <c r="E20" s="43" t="n">
        <f aca="false">OP_H2_Prod</f>
        <v>10857268.0733852</v>
      </c>
      <c r="F20" s="43" t="n">
        <f aca="false">OP_H2_Prod</f>
        <v>10766093.5893075</v>
      </c>
      <c r="G20" s="43" t="n">
        <f aca="false">OP_H2_Prod</f>
        <v>10676437.6383915</v>
      </c>
      <c r="H20" s="43" t="n">
        <f aca="false">OP_H2_Prod</f>
        <v>10588262.5966481</v>
      </c>
      <c r="I20" s="43" t="n">
        <f aca="false">OP_H2_Prod</f>
        <v>10501532.0728298</v>
      </c>
      <c r="J20" s="43" t="n">
        <f aca="false">OP_H2_Prod</f>
        <v>10416210.8583529</v>
      </c>
      <c r="K20" s="43" t="n">
        <f aca="false">OP_H2_Prod</f>
        <v>10332264.8796409</v>
      </c>
      <c r="L20" s="43" t="n">
        <f aca="false">OP_H2_Prod</f>
        <v>10249661.1527546</v>
      </c>
      <c r="M20" s="43" t="n">
        <f aca="false">OP_H2_Prod</f>
        <v>10168367.7401801</v>
      </c>
      <c r="N20" s="43" t="n">
        <f aca="false">OP_H2_Prod</f>
        <v>10088353.7096581</v>
      </c>
      <c r="O20" s="43" t="n">
        <f aca="false">OP_H2_Prod</f>
        <v>10009589.0949412</v>
      </c>
      <c r="P20" s="43" t="n">
        <f aca="false">OP_H2_Prod</f>
        <v>9932044.85837539</v>
      </c>
      <c r="Q20" s="43" t="n">
        <f aca="false">OP_H2_Prod</f>
        <v>9855692.85520772</v>
      </c>
      <c r="R20" s="43" t="n">
        <f aca="false">OP_H2_Prod</f>
        <v>9780505.79952732</v>
      </c>
      <c r="S20" s="43" t="n">
        <f aca="false">OP_H2_Prod</f>
        <v>9706457.23175385</v>
      </c>
      <c r="T20" s="43" t="n">
        <f aca="false">OP_H2_Prod</f>
        <v>10857268.0733852</v>
      </c>
      <c r="U20" s="43" t="n">
        <f aca="false">OP_H2_Prod</f>
        <v>10766093.5893075</v>
      </c>
      <c r="V20" s="43" t="n">
        <f aca="false">OP_H2_Prod</f>
        <v>10676437.6383915</v>
      </c>
    </row>
    <row r="21" customFormat="false" ht="15" hidden="false" customHeight="false" outlineLevel="0" collapsed="false">
      <c r="A21" s="5"/>
      <c r="B21" s="50" t="s">
        <v>281</v>
      </c>
      <c r="C21" s="57" t="n">
        <f aca="false">NPV(Discount_Rate,C19:V19)/NPV(Discount_Rate,C20:V20)</f>
        <v>5.56378145814705</v>
      </c>
      <c r="D21" s="5"/>
      <c r="E21" s="5"/>
      <c r="F21" s="5"/>
      <c r="G21" s="5"/>
      <c r="H21" s="5"/>
      <c r="I21" s="5"/>
      <c r="J21" s="5"/>
      <c r="K21" s="5"/>
      <c r="L21" s="5"/>
      <c r="M21" s="5"/>
      <c r="N21" s="5"/>
      <c r="O21" s="5"/>
      <c r="P21" s="5"/>
      <c r="Q21" s="5"/>
      <c r="R21" s="5"/>
      <c r="S21" s="5"/>
      <c r="T21" s="5"/>
      <c r="U21" s="5"/>
      <c r="V21"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E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20"/>
    <col collapsed="false" customWidth="true" hidden="false" outlineLevel="0" max="4" min="4" style="0" width="15"/>
    <col collapsed="false" customWidth="true" hidden="false" outlineLevel="0" max="5" min="5" style="0" width="40"/>
  </cols>
  <sheetData>
    <row r="1" customFormat="false" ht="15" hidden="false" customHeight="false" outlineLevel="0" collapsed="false">
      <c r="A1" s="5"/>
      <c r="B1" s="5"/>
      <c r="C1" s="5"/>
      <c r="D1" s="5"/>
      <c r="E1" s="5"/>
    </row>
    <row r="2" customFormat="false" ht="22.05" hidden="false" customHeight="false" outlineLevel="0" collapsed="false">
      <c r="A2" s="5"/>
      <c r="B2" s="28" t="s">
        <v>282</v>
      </c>
      <c r="C2" s="5"/>
      <c r="D2" s="5"/>
      <c r="E2" s="5"/>
    </row>
    <row r="3" customFormat="false" ht="15" hidden="false" customHeight="false" outlineLevel="0" collapsed="false">
      <c r="A3" s="5"/>
      <c r="B3" s="29" t="s">
        <v>283</v>
      </c>
      <c r="C3" s="5"/>
      <c r="D3" s="5"/>
      <c r="E3" s="5"/>
    </row>
    <row r="4" customFormat="false" ht="15" hidden="false" customHeight="false" outlineLevel="0" collapsed="false">
      <c r="A4" s="5"/>
      <c r="B4" s="5"/>
      <c r="C4" s="5"/>
      <c r="D4" s="5"/>
      <c r="E4" s="5"/>
    </row>
    <row r="5" customFormat="false" ht="15" hidden="false" customHeight="false" outlineLevel="0" collapsed="false">
      <c r="A5" s="5"/>
      <c r="B5" s="30" t="s">
        <v>284</v>
      </c>
      <c r="C5" s="31" t="s">
        <v>62</v>
      </c>
      <c r="D5" s="31" t="s">
        <v>285</v>
      </c>
      <c r="E5" s="31" t="s">
        <v>64</v>
      </c>
    </row>
    <row r="6" customFormat="false" ht="15" hidden="false" customHeight="false" outlineLevel="0" collapsed="false">
      <c r="A6" s="5"/>
      <c r="B6" s="7" t="s">
        <v>286</v>
      </c>
      <c r="C6" s="58" t="n">
        <f aca="false">MAX(ABS(Financials!C37:V37))</f>
        <v>0</v>
      </c>
      <c r="D6" s="59" t="str">
        <f aca="false">IF(C6&lt;1,"PASS","FAIL")</f>
        <v>PASS</v>
      </c>
      <c r="E6" s="29" t="s">
        <v>287</v>
      </c>
    </row>
    <row r="7" customFormat="false" ht="15" hidden="false" customHeight="false" outlineLevel="0" collapsed="false">
      <c r="A7" s="5"/>
      <c r="B7" s="7" t="s">
        <v>288</v>
      </c>
      <c r="C7" s="60" t="n">
        <f aca="false">MIN(Debt_Schedule!E20:S20)</f>
        <v>3.62939490247845</v>
      </c>
      <c r="D7" s="59" t="str">
        <f aca="false">IF(C7&gt;=1.35,"PASS","FAIL")</f>
        <v>PASS</v>
      </c>
      <c r="E7" s="29" t="s">
        <v>289</v>
      </c>
    </row>
    <row r="8" customFormat="false" ht="15" hidden="false" customHeight="false" outlineLevel="0" collapsed="false">
      <c r="A8" s="5"/>
      <c r="B8" s="7" t="s">
        <v>290</v>
      </c>
      <c r="C8" s="61" t="n">
        <f aca="false">Returns!C21</f>
        <v>5.56378145814705</v>
      </c>
      <c r="D8" s="59" t="str">
        <f aca="false">IF(AND(C8&gt;=3,C8&lt;=8),"PASS","FLAG")</f>
        <v>PASS</v>
      </c>
      <c r="E8" s="29" t="s">
        <v>291</v>
      </c>
    </row>
    <row r="9" customFormat="false" ht="15" hidden="false" customHeight="false" outlineLevel="0" collapsed="false">
      <c r="A9" s="5"/>
      <c r="B9" s="7" t="s">
        <v>292</v>
      </c>
      <c r="C9" s="58" t="n">
        <f aca="false">MIN(Financials!E58:S58)</f>
        <v>4990781.25</v>
      </c>
      <c r="D9" s="59" t="str">
        <f aca="false">IF(C9&gt;=0,"PASS","FAIL")</f>
        <v>PASS</v>
      </c>
      <c r="E9" s="29" t="s">
        <v>293</v>
      </c>
    </row>
    <row r="10" customFormat="false" ht="15" hidden="false" customHeight="false" outlineLevel="0" collapsed="false">
      <c r="A10" s="5"/>
      <c r="B10" s="7" t="s">
        <v>294</v>
      </c>
      <c r="C10" s="58" t="n">
        <f aca="false">Debt_Schedule!V12</f>
        <v>0</v>
      </c>
      <c r="D10" s="59" t="str">
        <f aca="false">IF(C10&lt;1,"PASS","FAIL")</f>
        <v>PASS</v>
      </c>
      <c r="E10" s="29" t="s">
        <v>295</v>
      </c>
    </row>
    <row r="11" customFormat="false" ht="15" hidden="false" customHeight="false" outlineLevel="0" collapsed="false">
      <c r="A11" s="5"/>
      <c r="B11" s="7" t="s">
        <v>296</v>
      </c>
      <c r="C11" s="62" t="n">
        <f aca="false">MIN(Operations!C15:V15)</f>
        <v>0</v>
      </c>
      <c r="D11" s="59" t="str">
        <f aca="false">IF(OR(C11=0,C11&gt;33.33),"PASS","FAIL")</f>
        <v>PASS</v>
      </c>
      <c r="E11" s="29" t="s">
        <v>297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0" t="s">
        <v>44</v>
      </c>
    </row>
    <row r="3" customFormat="false" ht="3.75" hidden="false" customHeight="true" outlineLevel="0" collapsed="false">
      <c r="A3" s="5"/>
      <c r="B3" s="21"/>
    </row>
    <row r="4" customFormat="false" ht="15" hidden="false" customHeight="false" outlineLevel="0" collapsed="false">
      <c r="A4" s="5"/>
      <c r="B4" s="5"/>
    </row>
    <row r="5" customFormat="false" ht="19.5" hidden="false" customHeight="true" outlineLevel="0" collapsed="false">
      <c r="A5" s="5"/>
      <c r="B5" s="22" t="s">
        <v>45</v>
      </c>
    </row>
    <row r="6" customFormat="false" ht="48" hidden="false" customHeight="true" outlineLevel="0" collapsed="false">
      <c r="A6" s="5"/>
      <c r="B6" s="23" t="s">
        <v>46</v>
      </c>
    </row>
    <row r="7" customFormat="false" ht="15" hidden="false" customHeight="false" outlineLevel="0" collapsed="false">
      <c r="A7" s="5"/>
      <c r="B7" s="5"/>
    </row>
    <row r="8" customFormat="false" ht="19.5" hidden="false" customHeight="true" outlineLevel="0" collapsed="false">
      <c r="A8" s="5"/>
      <c r="B8" s="22" t="s">
        <v>47</v>
      </c>
    </row>
    <row r="9" customFormat="false" ht="61.5" hidden="false" customHeight="true" outlineLevel="0" collapsed="false">
      <c r="A9" s="5"/>
      <c r="B9" s="23" t="s">
        <v>48</v>
      </c>
    </row>
    <row r="10" customFormat="false" ht="15" hidden="false" customHeight="false" outlineLevel="0" collapsed="false">
      <c r="A10" s="5"/>
      <c r="B10" s="5"/>
    </row>
    <row r="11" customFormat="false" ht="19.5" hidden="false" customHeight="true" outlineLevel="0" collapsed="false">
      <c r="A11" s="5"/>
      <c r="B11" s="22" t="s">
        <v>49</v>
      </c>
    </row>
    <row r="12" customFormat="false" ht="75.75" hidden="false" customHeight="true" outlineLevel="0" collapsed="false">
      <c r="A12" s="5"/>
      <c r="B12" s="23" t="s">
        <v>50</v>
      </c>
    </row>
    <row r="13" customFormat="false" ht="15" hidden="false" customHeight="false" outlineLevel="0" collapsed="false">
      <c r="A13" s="5"/>
      <c r="B13" s="5"/>
    </row>
    <row r="14" customFormat="false" ht="19.5" hidden="false" customHeight="true" outlineLevel="0" collapsed="false">
      <c r="A14" s="5"/>
      <c r="B14" s="22" t="s">
        <v>51</v>
      </c>
    </row>
    <row r="15" customFormat="false" ht="61.5" hidden="false" customHeight="true" outlineLevel="0" collapsed="false">
      <c r="A15" s="5"/>
      <c r="B15" s="23" t="s">
        <v>52</v>
      </c>
    </row>
    <row r="16" customFormat="false" ht="15" hidden="false" customHeight="false" outlineLevel="0" collapsed="false">
      <c r="A16" s="5"/>
      <c r="B16" s="5"/>
    </row>
    <row r="17" customFormat="false" ht="19.5" hidden="false" customHeight="true" outlineLevel="0" collapsed="false">
      <c r="A17" s="5"/>
      <c r="B17" s="22" t="s">
        <v>53</v>
      </c>
    </row>
    <row r="18" customFormat="false" ht="33.75" hidden="false" customHeight="true" outlineLevel="0" collapsed="false">
      <c r="A18" s="5"/>
      <c r="B18" s="23" t="s">
        <v>54</v>
      </c>
    </row>
    <row r="19" customFormat="false" ht="15" hidden="false" customHeight="false" outlineLevel="0" collapsed="false">
      <c r="A19" s="5"/>
      <c r="B19" s="5"/>
    </row>
    <row r="20" customFormat="false" ht="19.5" hidden="false" customHeight="true" outlineLevel="0" collapsed="false">
      <c r="A20" s="5"/>
      <c r="B20" s="22" t="s">
        <v>55</v>
      </c>
    </row>
    <row r="21" customFormat="false" ht="33.75" hidden="false" customHeight="true" outlineLevel="0" collapsed="false">
      <c r="A21" s="5"/>
      <c r="B21" s="23" t="s">
        <v>56</v>
      </c>
    </row>
    <row r="22" customFormat="false" ht="15" hidden="false" customHeight="false" outlineLevel="0" collapsed="false">
      <c r="A22" s="5"/>
      <c r="B22" s="5"/>
    </row>
    <row r="23" customFormat="false" ht="21.75" hidden="false" customHeight="true" outlineLevel="0" collapsed="false">
      <c r="A23" s="5"/>
      <c r="B23" s="24" t="s">
        <v>57</v>
      </c>
    </row>
    <row r="24" customFormat="false" ht="15" hidden="false" customHeight="false" outlineLevel="0" collapsed="false">
      <c r="A24" s="5"/>
      <c r="B24" s="5"/>
    </row>
    <row r="25" customFormat="false" ht="18" hidden="false" customHeight="true" outlineLevel="0" collapsed="false">
      <c r="A25" s="5"/>
      <c r="B25" s="25" t="s">
        <v>58</v>
      </c>
    </row>
    <row r="26" customFormat="false" ht="201.75" hidden="false" customHeight="true" outlineLevel="0" collapsed="false">
      <c r="A26" s="5"/>
      <c r="B26" s="26" t="s">
        <v>59</v>
      </c>
    </row>
    <row r="27" customFormat="false" ht="15" hidden="false" customHeight="false" outlineLevel="0" collapsed="false">
      <c r="A27" s="5"/>
      <c r="B27" s="5"/>
    </row>
    <row r="28" customFormat="false" ht="18" hidden="false" customHeight="true" outlineLevel="0" collapsed="false">
      <c r="A28" s="5"/>
      <c r="B28" s="27" t="s">
        <v>60</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E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4"/>
    <col collapsed="false" customWidth="true" hidden="false" outlineLevel="0" max="5" min="5" style="0" width="40"/>
  </cols>
  <sheetData>
    <row r="1" customFormat="false" ht="15" hidden="false" customHeight="false" outlineLevel="0" collapsed="false">
      <c r="A1" s="5"/>
      <c r="B1" s="5"/>
      <c r="C1" s="5"/>
      <c r="D1" s="5"/>
      <c r="E1" s="5"/>
    </row>
    <row r="2" customFormat="false" ht="22.05" hidden="false" customHeight="false" outlineLevel="0" collapsed="false">
      <c r="A2" s="5"/>
      <c r="B2" s="28" t="s">
        <v>6</v>
      </c>
      <c r="C2" s="5"/>
      <c r="D2" s="5"/>
      <c r="E2" s="5"/>
    </row>
    <row r="3" customFormat="false" ht="15" hidden="false" customHeight="false" outlineLevel="0" collapsed="false">
      <c r="A3" s="5"/>
      <c r="B3" s="29" t="s">
        <v>7</v>
      </c>
      <c r="C3" s="5"/>
      <c r="D3" s="5"/>
      <c r="E3" s="5"/>
    </row>
    <row r="4" customFormat="false" ht="15" hidden="false" customHeight="false" outlineLevel="0" collapsed="false">
      <c r="A4" s="5"/>
      <c r="B4" s="5"/>
      <c r="C4" s="5"/>
      <c r="D4" s="5"/>
      <c r="E4" s="5"/>
    </row>
    <row r="5" customFormat="false" ht="15" hidden="false" customHeight="false" outlineLevel="0" collapsed="false">
      <c r="A5" s="5"/>
      <c r="B5" s="30" t="s">
        <v>61</v>
      </c>
      <c r="C5" s="31" t="s">
        <v>62</v>
      </c>
      <c r="D5" s="31" t="s">
        <v>63</v>
      </c>
      <c r="E5" s="31" t="s">
        <v>64</v>
      </c>
    </row>
    <row r="6" customFormat="false" ht="15" hidden="false" customHeight="false" outlineLevel="0" collapsed="false">
      <c r="A6" s="5"/>
      <c r="B6" s="32" t="s">
        <v>65</v>
      </c>
      <c r="C6" s="16"/>
      <c r="D6" s="16"/>
      <c r="E6" s="16"/>
    </row>
    <row r="7" customFormat="false" ht="15" hidden="false" customHeight="false" outlineLevel="0" collapsed="false">
      <c r="A7" s="5"/>
      <c r="B7" s="7" t="s">
        <v>66</v>
      </c>
      <c r="C7" s="33" t="n">
        <v>2026</v>
      </c>
      <c r="D7" s="34" t="s">
        <v>67</v>
      </c>
      <c r="E7" s="8" t="s">
        <v>68</v>
      </c>
    </row>
    <row r="8" customFormat="false" ht="15" hidden="false" customHeight="false" outlineLevel="0" collapsed="false">
      <c r="A8" s="5"/>
      <c r="B8" s="7" t="s">
        <v>69</v>
      </c>
      <c r="C8" s="33" t="n">
        <v>2</v>
      </c>
      <c r="D8" s="34" t="s">
        <v>70</v>
      </c>
      <c r="E8" s="8" t="s">
        <v>71</v>
      </c>
    </row>
    <row r="9" customFormat="false" ht="15" hidden="false" customHeight="false" outlineLevel="0" collapsed="false">
      <c r="A9" s="5"/>
      <c r="B9" s="7" t="s">
        <v>72</v>
      </c>
      <c r="C9" s="33" t="n">
        <v>20</v>
      </c>
      <c r="D9" s="34" t="s">
        <v>70</v>
      </c>
      <c r="E9" s="8" t="s">
        <v>73</v>
      </c>
    </row>
    <row r="10" customFormat="false" ht="15" hidden="false" customHeight="false" outlineLevel="0" collapsed="false">
      <c r="A10" s="5"/>
      <c r="B10" s="7" t="s">
        <v>74</v>
      </c>
      <c r="C10" s="35" t="n">
        <f aca="false">Model_Start+Construction_Period</f>
        <v>2028</v>
      </c>
      <c r="D10" s="34" t="s">
        <v>67</v>
      </c>
      <c r="E10" s="8" t="s">
        <v>75</v>
      </c>
    </row>
    <row r="11" customFormat="false" ht="15" hidden="false" customHeight="false" outlineLevel="0" collapsed="false">
      <c r="A11" s="5"/>
      <c r="B11" s="5"/>
      <c r="C11" s="5"/>
      <c r="D11" s="5"/>
      <c r="E11" s="5"/>
    </row>
    <row r="12" customFormat="false" ht="15" hidden="false" customHeight="false" outlineLevel="0" collapsed="false">
      <c r="A12" s="5"/>
      <c r="B12" s="32" t="s">
        <v>76</v>
      </c>
      <c r="C12" s="16"/>
      <c r="D12" s="16"/>
      <c r="E12" s="16"/>
    </row>
    <row r="13" customFormat="false" ht="15" hidden="false" customHeight="false" outlineLevel="0" collapsed="false">
      <c r="A13" s="5"/>
      <c r="B13" s="7" t="s">
        <v>77</v>
      </c>
      <c r="C13" s="33" t="n">
        <v>100000</v>
      </c>
      <c r="D13" s="34" t="s">
        <v>78</v>
      </c>
      <c r="E13" s="8" t="s">
        <v>79</v>
      </c>
    </row>
    <row r="14" customFormat="false" ht="15" hidden="false" customHeight="false" outlineLevel="0" collapsed="false">
      <c r="A14" s="5"/>
      <c r="B14" s="7" t="s">
        <v>80</v>
      </c>
      <c r="C14" s="36" t="n">
        <v>0.65</v>
      </c>
      <c r="D14" s="34" t="s">
        <v>81</v>
      </c>
      <c r="E14" s="8" t="s">
        <v>82</v>
      </c>
    </row>
    <row r="15" customFormat="false" ht="15" hidden="false" customHeight="false" outlineLevel="0" collapsed="false">
      <c r="A15" s="5"/>
      <c r="B15" s="7" t="s">
        <v>83</v>
      </c>
      <c r="C15" s="37" t="n">
        <v>52</v>
      </c>
      <c r="D15" s="34" t="s">
        <v>84</v>
      </c>
      <c r="E15" s="8" t="s">
        <v>85</v>
      </c>
    </row>
    <row r="16" customFormat="false" ht="15" hidden="false" customHeight="false" outlineLevel="0" collapsed="false">
      <c r="A16" s="5"/>
      <c r="B16" s="7" t="s">
        <v>86</v>
      </c>
      <c r="C16" s="36" t="n">
        <v>0.015</v>
      </c>
      <c r="D16" s="34" t="s">
        <v>87</v>
      </c>
      <c r="E16" s="8" t="s">
        <v>88</v>
      </c>
    </row>
    <row r="17" customFormat="false" ht="15" hidden="false" customHeight="false" outlineLevel="0" collapsed="false">
      <c r="A17" s="5"/>
      <c r="B17" s="7" t="s">
        <v>89</v>
      </c>
      <c r="C17" s="33" t="n">
        <v>80000</v>
      </c>
      <c r="D17" s="34" t="s">
        <v>90</v>
      </c>
      <c r="E17" s="8" t="s">
        <v>91</v>
      </c>
    </row>
    <row r="18" customFormat="false" ht="15" hidden="false" customHeight="false" outlineLevel="0" collapsed="false">
      <c r="A18" s="5"/>
      <c r="B18" s="7" t="s">
        <v>92</v>
      </c>
      <c r="C18" s="37" t="n">
        <v>3</v>
      </c>
      <c r="D18" s="34" t="s">
        <v>84</v>
      </c>
      <c r="E18" s="8" t="s">
        <v>93</v>
      </c>
    </row>
    <row r="19" customFormat="false" ht="15" hidden="false" customHeight="false" outlineLevel="0" collapsed="false">
      <c r="A19" s="5"/>
      <c r="B19" s="7" t="s">
        <v>94</v>
      </c>
      <c r="C19" s="37" t="n">
        <v>10</v>
      </c>
      <c r="D19" s="34" t="s">
        <v>95</v>
      </c>
      <c r="E19" s="8" t="s">
        <v>96</v>
      </c>
    </row>
    <row r="20" customFormat="false" ht="15" hidden="false" customHeight="false" outlineLevel="0" collapsed="false">
      <c r="A20" s="5"/>
      <c r="B20" s="5"/>
      <c r="C20" s="5"/>
      <c r="D20" s="5"/>
      <c r="E20" s="5"/>
    </row>
    <row r="21" customFormat="false" ht="15" hidden="false" customHeight="false" outlineLevel="0" collapsed="false">
      <c r="A21" s="5"/>
      <c r="B21" s="32" t="s">
        <v>97</v>
      </c>
      <c r="C21" s="16"/>
      <c r="D21" s="16"/>
      <c r="E21" s="16"/>
    </row>
    <row r="22" customFormat="false" ht="15" hidden="false" customHeight="false" outlineLevel="0" collapsed="false">
      <c r="A22" s="5"/>
      <c r="B22" s="7" t="s">
        <v>98</v>
      </c>
      <c r="C22" s="33" t="n">
        <v>1500</v>
      </c>
      <c r="D22" s="34" t="s">
        <v>99</v>
      </c>
      <c r="E22" s="8" t="s">
        <v>100</v>
      </c>
    </row>
    <row r="23" customFormat="false" ht="15" hidden="false" customHeight="false" outlineLevel="0" collapsed="false">
      <c r="A23" s="5"/>
      <c r="B23" s="7" t="s">
        <v>101</v>
      </c>
      <c r="C23" s="33" t="n">
        <v>450</v>
      </c>
      <c r="D23" s="34" t="s">
        <v>99</v>
      </c>
      <c r="E23" s="8" t="s">
        <v>102</v>
      </c>
    </row>
    <row r="24" customFormat="false" ht="15" hidden="false" customHeight="false" outlineLevel="0" collapsed="false">
      <c r="A24" s="5"/>
      <c r="B24" s="7" t="s">
        <v>103</v>
      </c>
      <c r="C24" s="36" t="n">
        <v>0.025</v>
      </c>
      <c r="D24" s="34" t="s">
        <v>104</v>
      </c>
      <c r="E24" s="8" t="s">
        <v>105</v>
      </c>
    </row>
    <row r="25" customFormat="false" ht="15" hidden="false" customHeight="false" outlineLevel="0" collapsed="false">
      <c r="A25" s="5"/>
      <c r="B25" s="5"/>
      <c r="C25" s="5"/>
      <c r="D25" s="5"/>
      <c r="E25" s="5"/>
    </row>
    <row r="26" customFormat="false" ht="15" hidden="false" customHeight="false" outlineLevel="0" collapsed="false">
      <c r="A26" s="5"/>
      <c r="B26" s="32" t="s">
        <v>106</v>
      </c>
      <c r="C26" s="16"/>
      <c r="D26" s="16"/>
      <c r="E26" s="16"/>
    </row>
    <row r="27" customFormat="false" ht="15" hidden="false" customHeight="false" outlineLevel="0" collapsed="false">
      <c r="A27" s="5"/>
      <c r="B27" s="7" t="s">
        <v>107</v>
      </c>
      <c r="C27" s="37" t="n">
        <v>45</v>
      </c>
      <c r="D27" s="34" t="s">
        <v>108</v>
      </c>
      <c r="E27" s="8" t="s">
        <v>109</v>
      </c>
    </row>
    <row r="28" customFormat="false" ht="15" hidden="false" customHeight="false" outlineLevel="0" collapsed="false">
      <c r="A28" s="5"/>
      <c r="B28" s="7" t="s">
        <v>110</v>
      </c>
      <c r="C28" s="37" t="n">
        <v>2</v>
      </c>
      <c r="D28" s="34" t="s">
        <v>111</v>
      </c>
      <c r="E28" s="8" t="s">
        <v>112</v>
      </c>
    </row>
    <row r="29" customFormat="false" ht="15" hidden="false" customHeight="false" outlineLevel="0" collapsed="false">
      <c r="A29" s="5"/>
      <c r="B29" s="7" t="s">
        <v>113</v>
      </c>
      <c r="C29" s="37" t="n">
        <v>6.5</v>
      </c>
      <c r="D29" s="34" t="s">
        <v>114</v>
      </c>
      <c r="E29" s="8" t="s">
        <v>115</v>
      </c>
    </row>
    <row r="30" customFormat="false" ht="15" hidden="false" customHeight="false" outlineLevel="0" collapsed="false">
      <c r="A30" s="5"/>
      <c r="B30" s="7" t="s">
        <v>116</v>
      </c>
      <c r="C30" s="37" t="n">
        <v>0</v>
      </c>
      <c r="D30" s="34" t="s">
        <v>114</v>
      </c>
      <c r="E30" s="8" t="s">
        <v>117</v>
      </c>
    </row>
    <row r="31" customFormat="false" ht="15" hidden="false" customHeight="false" outlineLevel="0" collapsed="false">
      <c r="A31" s="5"/>
      <c r="B31" s="7" t="s">
        <v>118</v>
      </c>
      <c r="C31" s="36" t="n">
        <v>0.025</v>
      </c>
      <c r="D31" s="34" t="s">
        <v>119</v>
      </c>
      <c r="E31" s="8" t="s">
        <v>120</v>
      </c>
    </row>
    <row r="32" customFormat="false" ht="15" hidden="false" customHeight="false" outlineLevel="0" collapsed="false">
      <c r="A32" s="5"/>
      <c r="B32" s="5"/>
      <c r="C32" s="5"/>
      <c r="D32" s="5"/>
      <c r="E32" s="5"/>
    </row>
    <row r="33" customFormat="false" ht="15" hidden="false" customHeight="false" outlineLevel="0" collapsed="false">
      <c r="A33" s="5"/>
      <c r="B33" s="32" t="s">
        <v>121</v>
      </c>
      <c r="C33" s="16"/>
      <c r="D33" s="16"/>
      <c r="E33" s="16"/>
    </row>
    <row r="34" customFormat="false" ht="15" hidden="false" customHeight="false" outlineLevel="0" collapsed="false">
      <c r="A34" s="5"/>
      <c r="B34" s="7" t="s">
        <v>122</v>
      </c>
      <c r="C34" s="36" t="n">
        <v>0.65</v>
      </c>
      <c r="D34" s="34" t="s">
        <v>81</v>
      </c>
      <c r="E34" s="8" t="s">
        <v>123</v>
      </c>
    </row>
    <row r="35" customFormat="false" ht="15" hidden="false" customHeight="false" outlineLevel="0" collapsed="false">
      <c r="A35" s="5"/>
      <c r="B35" s="7" t="s">
        <v>124</v>
      </c>
      <c r="C35" s="36" t="n">
        <v>0.065</v>
      </c>
      <c r="D35" s="34" t="s">
        <v>81</v>
      </c>
      <c r="E35" s="8" t="s">
        <v>125</v>
      </c>
    </row>
    <row r="36" customFormat="false" ht="15" hidden="false" customHeight="false" outlineLevel="0" collapsed="false">
      <c r="A36" s="5"/>
      <c r="B36" s="7" t="s">
        <v>126</v>
      </c>
      <c r="C36" s="33" t="n">
        <v>15</v>
      </c>
      <c r="D36" s="34" t="s">
        <v>70</v>
      </c>
      <c r="E36" s="8" t="s">
        <v>127</v>
      </c>
    </row>
    <row r="37" customFormat="false" ht="15" hidden="false" customHeight="false" outlineLevel="0" collapsed="false">
      <c r="A37" s="5"/>
      <c r="B37" s="7" t="s">
        <v>128</v>
      </c>
      <c r="C37" s="38" t="n">
        <v>1.4</v>
      </c>
      <c r="D37" s="34" t="s">
        <v>129</v>
      </c>
      <c r="E37" s="8" t="s">
        <v>130</v>
      </c>
    </row>
    <row r="38" customFormat="false" ht="15" hidden="false" customHeight="false" outlineLevel="0" collapsed="false">
      <c r="A38" s="5"/>
      <c r="B38" s="5"/>
      <c r="C38" s="5"/>
      <c r="D38" s="5"/>
      <c r="E38" s="5"/>
    </row>
    <row r="39" customFormat="false" ht="15" hidden="false" customHeight="false" outlineLevel="0" collapsed="false">
      <c r="A39" s="5"/>
      <c r="B39" s="32" t="s">
        <v>131</v>
      </c>
      <c r="C39" s="16"/>
      <c r="D39" s="16"/>
      <c r="E39" s="16"/>
    </row>
    <row r="40" customFormat="false" ht="15" hidden="false" customHeight="false" outlineLevel="0" collapsed="false">
      <c r="A40" s="5"/>
      <c r="B40" s="7" t="s">
        <v>132</v>
      </c>
      <c r="C40" s="36" t="n">
        <v>0.25</v>
      </c>
      <c r="D40" s="34" t="s">
        <v>81</v>
      </c>
      <c r="E40" s="8" t="s">
        <v>133</v>
      </c>
    </row>
    <row r="41" customFormat="false" ht="15" hidden="false" customHeight="false" outlineLevel="0" collapsed="false">
      <c r="A41" s="5"/>
      <c r="B41" s="7" t="s">
        <v>134</v>
      </c>
      <c r="C41" s="36" t="n">
        <v>0.025</v>
      </c>
      <c r="D41" s="34" t="s">
        <v>81</v>
      </c>
      <c r="E41" s="8" t="s">
        <v>135</v>
      </c>
    </row>
    <row r="42" customFormat="false" ht="15" hidden="false" customHeight="false" outlineLevel="0" collapsed="false">
      <c r="A42" s="5"/>
      <c r="B42" s="7" t="s">
        <v>136</v>
      </c>
      <c r="C42" s="36" t="n">
        <v>0.08</v>
      </c>
      <c r="D42" s="34" t="s">
        <v>81</v>
      </c>
      <c r="E42" s="8" t="s">
        <v>137</v>
      </c>
    </row>
    <row r="43" customFormat="false" ht="15" hidden="false" customHeight="false" outlineLevel="0" collapsed="false">
      <c r="A43" s="5"/>
      <c r="B43" s="5"/>
      <c r="C43" s="5"/>
      <c r="D43" s="5"/>
      <c r="E43" s="5"/>
    </row>
    <row r="44" customFormat="false" ht="15" hidden="false" customHeight="false" outlineLevel="0" collapsed="false">
      <c r="A44" s="5"/>
      <c r="B44" s="32" t="s">
        <v>138</v>
      </c>
      <c r="C44" s="16"/>
      <c r="D44" s="16"/>
      <c r="E44" s="16"/>
    </row>
    <row r="45" customFormat="false" ht="15" hidden="false" customHeight="false" outlineLevel="0" collapsed="false">
      <c r="A45" s="5"/>
      <c r="B45" s="7" t="s">
        <v>139</v>
      </c>
      <c r="C45" s="33" t="n">
        <v>35</v>
      </c>
      <c r="D45" s="34" t="s">
        <v>140</v>
      </c>
      <c r="E45" s="8" t="s">
        <v>141</v>
      </c>
    </row>
    <row r="46" customFormat="false" ht="15" hidden="false" customHeight="false" outlineLevel="0" collapsed="false">
      <c r="A46" s="5"/>
      <c r="B46" s="7" t="s">
        <v>142</v>
      </c>
      <c r="C46" s="33" t="n">
        <v>35</v>
      </c>
      <c r="D46" s="34" t="s">
        <v>140</v>
      </c>
      <c r="E46" s="8" t="s">
        <v>143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V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22" min="3" style="0" width="16"/>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row>
    <row r="2" customFormat="false" ht="22.05" hidden="false" customHeight="false" outlineLevel="0" collapsed="false">
      <c r="A2" s="5"/>
      <c r="B2" s="28" t="s">
        <v>144</v>
      </c>
      <c r="C2" s="5"/>
      <c r="D2" s="5"/>
      <c r="E2" s="5"/>
      <c r="F2" s="5"/>
      <c r="G2" s="5"/>
      <c r="H2" s="5"/>
      <c r="I2" s="5"/>
      <c r="J2" s="5"/>
      <c r="K2" s="5"/>
      <c r="L2" s="5"/>
      <c r="M2" s="5"/>
      <c r="N2" s="5"/>
      <c r="O2" s="5"/>
      <c r="P2" s="5"/>
      <c r="Q2" s="5"/>
      <c r="R2" s="5"/>
      <c r="S2" s="5"/>
      <c r="T2" s="5"/>
      <c r="U2" s="5"/>
      <c r="V2" s="5"/>
    </row>
    <row r="3" customFormat="false" ht="15" hidden="false" customHeight="false" outlineLevel="0" collapsed="false">
      <c r="A3" s="5"/>
      <c r="B3" s="29" t="s">
        <v>145</v>
      </c>
      <c r="C3" s="5"/>
      <c r="D3" s="5"/>
      <c r="E3" s="5"/>
      <c r="F3" s="5"/>
      <c r="G3" s="5"/>
      <c r="H3" s="5"/>
      <c r="I3" s="5"/>
      <c r="J3" s="5"/>
      <c r="K3" s="5"/>
      <c r="L3" s="5"/>
      <c r="M3" s="5"/>
      <c r="N3" s="5"/>
      <c r="O3" s="5"/>
      <c r="P3" s="5"/>
      <c r="Q3" s="5"/>
      <c r="R3" s="5"/>
      <c r="S3" s="5"/>
      <c r="T3" s="5"/>
      <c r="U3" s="5"/>
      <c r="V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row>
    <row r="5" customFormat="false" ht="15" hidden="false" customHeight="false" outlineLevel="0" collapsed="false">
      <c r="A5" s="5"/>
      <c r="B5" s="39" t="s">
        <v>67</v>
      </c>
      <c r="C5" s="40" t="n">
        <f aca="false">Model_Start+0</f>
        <v>2026</v>
      </c>
      <c r="D5" s="40" t="n">
        <f aca="false">Model_Start+1</f>
        <v>2027</v>
      </c>
      <c r="E5" s="40" t="n">
        <f aca="false">Model_Start+2</f>
        <v>2028</v>
      </c>
      <c r="F5" s="40" t="n">
        <f aca="false">Model_Start+3</f>
        <v>2029</v>
      </c>
      <c r="G5" s="40" t="n">
        <f aca="false">Model_Start+4</f>
        <v>2030</v>
      </c>
      <c r="H5" s="40" t="n">
        <f aca="false">Model_Start+5</f>
        <v>2031</v>
      </c>
      <c r="I5" s="40" t="n">
        <f aca="false">Model_Start+6</f>
        <v>2032</v>
      </c>
      <c r="J5" s="40" t="n">
        <f aca="false">Model_Start+7</f>
        <v>2033</v>
      </c>
      <c r="K5" s="40" t="n">
        <f aca="false">Model_Start+8</f>
        <v>2034</v>
      </c>
      <c r="L5" s="40" t="n">
        <f aca="false">Model_Start+9</f>
        <v>2035</v>
      </c>
      <c r="M5" s="40" t="n">
        <f aca="false">Model_Start+10</f>
        <v>2036</v>
      </c>
      <c r="N5" s="40" t="n">
        <f aca="false">Model_Start+11</f>
        <v>2037</v>
      </c>
      <c r="O5" s="40" t="n">
        <f aca="false">Model_Start+12</f>
        <v>2038</v>
      </c>
      <c r="P5" s="40" t="n">
        <f aca="false">Model_Start+13</f>
        <v>2039</v>
      </c>
      <c r="Q5" s="40" t="n">
        <f aca="false">Model_Start+14</f>
        <v>2040</v>
      </c>
      <c r="R5" s="40" t="n">
        <f aca="false">Model_Start+15</f>
        <v>2041</v>
      </c>
      <c r="S5" s="40" t="n">
        <f aca="false">Model_Start+16</f>
        <v>2042</v>
      </c>
      <c r="T5" s="40" t="n">
        <f aca="false">Model_Start+17</f>
        <v>2043</v>
      </c>
      <c r="U5" s="40" t="n">
        <f aca="false">Model_Start+18</f>
        <v>2044</v>
      </c>
      <c r="V5" s="40" t="n">
        <f aca="false">Model_Start+19</f>
        <v>2045</v>
      </c>
    </row>
    <row r="6" customFormat="false" ht="15" hidden="false" customHeight="false" outlineLevel="0" collapsed="false">
      <c r="A6" s="5"/>
      <c r="B6" s="29" t="s">
        <v>146</v>
      </c>
      <c r="C6" s="41" t="n">
        <v>1</v>
      </c>
      <c r="D6" s="41" t="n">
        <v>2</v>
      </c>
      <c r="E6" s="41" t="n">
        <v>3</v>
      </c>
      <c r="F6" s="41" t="n">
        <v>4</v>
      </c>
      <c r="G6" s="41" t="n">
        <v>5</v>
      </c>
      <c r="H6" s="41" t="n">
        <v>6</v>
      </c>
      <c r="I6" s="41" t="n">
        <v>7</v>
      </c>
      <c r="J6" s="41" t="n">
        <v>8</v>
      </c>
      <c r="K6" s="41" t="n">
        <v>9</v>
      </c>
      <c r="L6" s="41" t="n">
        <v>10</v>
      </c>
      <c r="M6" s="41" t="n">
        <v>11</v>
      </c>
      <c r="N6" s="41" t="n">
        <v>12</v>
      </c>
      <c r="O6" s="41" t="n">
        <v>13</v>
      </c>
      <c r="P6" s="41" t="n">
        <v>14</v>
      </c>
      <c r="Q6" s="41" t="n">
        <v>15</v>
      </c>
      <c r="R6" s="41" t="n">
        <v>16</v>
      </c>
      <c r="S6" s="41" t="n">
        <v>17</v>
      </c>
      <c r="T6" s="41" t="n">
        <v>18</v>
      </c>
      <c r="U6" s="41" t="n">
        <v>19</v>
      </c>
      <c r="V6" s="41" t="n">
        <v>20</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row>
    <row r="8" customFormat="false" ht="15" hidden="false" customHeight="false" outlineLevel="0" collapsed="false">
      <c r="A8" s="5"/>
      <c r="B8" s="32" t="s">
        <v>97</v>
      </c>
      <c r="C8" s="16"/>
      <c r="D8" s="16"/>
      <c r="E8" s="16"/>
      <c r="F8" s="16"/>
      <c r="G8" s="16"/>
      <c r="H8" s="16"/>
      <c r="I8" s="16"/>
      <c r="J8" s="16"/>
      <c r="K8" s="16"/>
      <c r="L8" s="16"/>
      <c r="M8" s="16"/>
      <c r="N8" s="16"/>
      <c r="O8" s="16"/>
      <c r="P8" s="16"/>
      <c r="Q8" s="16"/>
      <c r="R8" s="16"/>
      <c r="S8" s="16"/>
      <c r="T8" s="16"/>
      <c r="U8" s="16"/>
      <c r="V8" s="16"/>
    </row>
    <row r="9" customFormat="false" ht="15" hidden="false" customHeight="false" outlineLevel="0" collapsed="false">
      <c r="A9" s="5"/>
      <c r="B9" s="42" t="s">
        <v>98</v>
      </c>
      <c r="C9" s="43" t="n">
        <f aca="false">IF(C6&lt;=Construction_Period,Capacity_kW*EPC_Capex_per_kW/Construction_Period,0)</f>
        <v>75000000</v>
      </c>
      <c r="D9" s="43" t="n">
        <f aca="false">IF(D6&lt;=Construction_Period,Capacity_kW*EPC_Capex_per_kW/Construction_Period,0)</f>
        <v>75000000</v>
      </c>
      <c r="E9" s="43" t="n">
        <f aca="false">IF(E6&lt;=Construction_Period,Capacity_kW*EPC_Capex_per_kW/Construction_Period,0)</f>
        <v>0</v>
      </c>
      <c r="F9" s="43" t="n">
        <f aca="false">IF(F6&lt;=Construction_Period,Capacity_kW*EPC_Capex_per_kW/Construction_Period,0)</f>
        <v>0</v>
      </c>
      <c r="G9" s="43" t="n">
        <f aca="false">IF(G6&lt;=Construction_Period,Capacity_kW*EPC_Capex_per_kW/Construction_Period,0)</f>
        <v>0</v>
      </c>
      <c r="H9" s="43" t="n">
        <f aca="false">IF(H6&lt;=Construction_Period,Capacity_kW*EPC_Capex_per_kW/Construction_Period,0)</f>
        <v>0</v>
      </c>
      <c r="I9" s="43" t="n">
        <f aca="false">IF(I6&lt;=Construction_Period,Capacity_kW*EPC_Capex_per_kW/Construction_Period,0)</f>
        <v>0</v>
      </c>
      <c r="J9" s="43" t="n">
        <f aca="false">IF(J6&lt;=Construction_Period,Capacity_kW*EPC_Capex_per_kW/Construction_Period,0)</f>
        <v>0</v>
      </c>
      <c r="K9" s="43" t="n">
        <f aca="false">IF(K6&lt;=Construction_Period,Capacity_kW*EPC_Capex_per_kW/Construction_Period,0)</f>
        <v>0</v>
      </c>
      <c r="L9" s="43" t="n">
        <f aca="false">IF(L6&lt;=Construction_Period,Capacity_kW*EPC_Capex_per_kW/Construction_Period,0)</f>
        <v>0</v>
      </c>
      <c r="M9" s="43" t="n">
        <f aca="false">IF(M6&lt;=Construction_Period,Capacity_kW*EPC_Capex_per_kW/Construction_Period,0)</f>
        <v>0</v>
      </c>
      <c r="N9" s="43" t="n">
        <f aca="false">IF(N6&lt;=Construction_Period,Capacity_kW*EPC_Capex_per_kW/Construction_Period,0)</f>
        <v>0</v>
      </c>
      <c r="O9" s="43" t="n">
        <f aca="false">IF(O6&lt;=Construction_Period,Capacity_kW*EPC_Capex_per_kW/Construction_Period,0)</f>
        <v>0</v>
      </c>
      <c r="P9" s="43" t="n">
        <f aca="false">IF(P6&lt;=Construction_Period,Capacity_kW*EPC_Capex_per_kW/Construction_Period,0)</f>
        <v>0</v>
      </c>
      <c r="Q9" s="43" t="n">
        <f aca="false">IF(Q6&lt;=Construction_Period,Capacity_kW*EPC_Capex_per_kW/Construction_Period,0)</f>
        <v>0</v>
      </c>
      <c r="R9" s="43" t="n">
        <f aca="false">IF(R6&lt;=Construction_Period,Capacity_kW*EPC_Capex_per_kW/Construction_Period,0)</f>
        <v>0</v>
      </c>
      <c r="S9" s="43" t="n">
        <f aca="false">IF(S6&lt;=Construction_Period,Capacity_kW*EPC_Capex_per_kW/Construction_Period,0)</f>
        <v>0</v>
      </c>
      <c r="T9" s="43" t="n">
        <f aca="false">IF(T6&lt;=Construction_Period,Capacity_kW*EPC_Capex_per_kW/Construction_Period,0)</f>
        <v>0</v>
      </c>
      <c r="U9" s="43" t="n">
        <f aca="false">IF(U6&lt;=Construction_Period,Capacity_kW*EPC_Capex_per_kW/Construction_Period,0)</f>
        <v>0</v>
      </c>
      <c r="V9" s="43" t="n">
        <f aca="false">IF(V6&lt;=Construction_Period,Capacity_kW*EPC_Capex_per_kW/Construction_Period,0)</f>
        <v>0</v>
      </c>
    </row>
    <row r="10" customFormat="false" ht="15" hidden="false" customHeight="false" outlineLevel="0" collapsed="false">
      <c r="A10" s="5"/>
      <c r="B10" s="42" t="s">
        <v>147</v>
      </c>
      <c r="C10" s="43" t="n">
        <f aca="false">IF(C6&lt;=Construction_Period,Capacity_kW*EPC_Capex_per_kW*0.05/Construction_Period,0)</f>
        <v>3750000</v>
      </c>
      <c r="D10" s="43" t="n">
        <f aca="false">IF(D6&lt;=Construction_Period,Capacity_kW*EPC_Capex_per_kW*0.05/Construction_Period,0)</f>
        <v>3750000</v>
      </c>
      <c r="E10" s="43" t="n">
        <f aca="false">IF(E6&lt;=Construction_Period,Capacity_kW*EPC_Capex_per_kW*0.05/Construction_Period,0)</f>
        <v>0</v>
      </c>
      <c r="F10" s="43" t="n">
        <f aca="false">IF(F6&lt;=Construction_Period,Capacity_kW*EPC_Capex_per_kW*0.05/Construction_Period,0)</f>
        <v>0</v>
      </c>
      <c r="G10" s="43" t="n">
        <f aca="false">IF(G6&lt;=Construction_Period,Capacity_kW*EPC_Capex_per_kW*0.05/Construction_Period,0)</f>
        <v>0</v>
      </c>
      <c r="H10" s="43" t="n">
        <f aca="false">IF(H6&lt;=Construction_Period,Capacity_kW*EPC_Capex_per_kW*0.05/Construction_Period,0)</f>
        <v>0</v>
      </c>
      <c r="I10" s="43" t="n">
        <f aca="false">IF(I6&lt;=Construction_Period,Capacity_kW*EPC_Capex_per_kW*0.05/Construction_Period,0)</f>
        <v>0</v>
      </c>
      <c r="J10" s="43" t="n">
        <f aca="false">IF(J6&lt;=Construction_Period,Capacity_kW*EPC_Capex_per_kW*0.05/Construction_Period,0)</f>
        <v>0</v>
      </c>
      <c r="K10" s="43" t="n">
        <f aca="false">IF(K6&lt;=Construction_Period,Capacity_kW*EPC_Capex_per_kW*0.05/Construction_Period,0)</f>
        <v>0</v>
      </c>
      <c r="L10" s="43" t="n">
        <f aca="false">IF(L6&lt;=Construction_Period,Capacity_kW*EPC_Capex_per_kW*0.05/Construction_Period,0)</f>
        <v>0</v>
      </c>
      <c r="M10" s="43" t="n">
        <f aca="false">IF(M6&lt;=Construction_Period,Capacity_kW*EPC_Capex_per_kW*0.05/Construction_Period,0)</f>
        <v>0</v>
      </c>
      <c r="N10" s="43" t="n">
        <f aca="false">IF(N6&lt;=Construction_Period,Capacity_kW*EPC_Capex_per_kW*0.05/Construction_Period,0)</f>
        <v>0</v>
      </c>
      <c r="O10" s="43" t="n">
        <f aca="false">IF(O6&lt;=Construction_Period,Capacity_kW*EPC_Capex_per_kW*0.05/Construction_Period,0)</f>
        <v>0</v>
      </c>
      <c r="P10" s="43" t="n">
        <f aca="false">IF(P6&lt;=Construction_Period,Capacity_kW*EPC_Capex_per_kW*0.05/Construction_Period,0)</f>
        <v>0</v>
      </c>
      <c r="Q10" s="43" t="n">
        <f aca="false">IF(Q6&lt;=Construction_Period,Capacity_kW*EPC_Capex_per_kW*0.05/Construction_Period,0)</f>
        <v>0</v>
      </c>
      <c r="R10" s="43" t="n">
        <f aca="false">IF(R6&lt;=Construction_Period,Capacity_kW*EPC_Capex_per_kW*0.05/Construction_Period,0)</f>
        <v>0</v>
      </c>
      <c r="S10" s="43" t="n">
        <f aca="false">IF(S6&lt;=Construction_Period,Capacity_kW*EPC_Capex_per_kW*0.05/Construction_Period,0)</f>
        <v>0</v>
      </c>
      <c r="T10" s="43" t="n">
        <f aca="false">IF(T6&lt;=Construction_Period,Capacity_kW*EPC_Capex_per_kW*0.05/Construction_Period,0)</f>
        <v>0</v>
      </c>
      <c r="U10" s="43" t="n">
        <f aca="false">IF(U6&lt;=Construction_Period,Capacity_kW*EPC_Capex_per_kW*0.05/Construction_Period,0)</f>
        <v>0</v>
      </c>
      <c r="V10" s="43" t="n">
        <f aca="false">IF(V6&lt;=Construction_Period,Capacity_kW*EPC_Capex_per_kW*0.05/Construction_Period,0)</f>
        <v>0</v>
      </c>
    </row>
    <row r="11" customFormat="false" ht="15" hidden="false" customHeight="false" outlineLevel="0" collapsed="false">
      <c r="A11" s="5"/>
      <c r="B11" s="44" t="s">
        <v>148</v>
      </c>
      <c r="C11" s="45" t="n">
        <f aca="false">C9+C10</f>
        <v>78750000</v>
      </c>
      <c r="D11" s="45" t="n">
        <f aca="false">D9+D10</f>
        <v>78750000</v>
      </c>
      <c r="E11" s="45" t="n">
        <f aca="false">E9+E10</f>
        <v>0</v>
      </c>
      <c r="F11" s="45" t="n">
        <f aca="false">F9+F10</f>
        <v>0</v>
      </c>
      <c r="G11" s="45" t="n">
        <f aca="false">G9+G10</f>
        <v>0</v>
      </c>
      <c r="H11" s="45" t="n">
        <f aca="false">H9+H10</f>
        <v>0</v>
      </c>
      <c r="I11" s="45" t="n">
        <f aca="false">I9+I10</f>
        <v>0</v>
      </c>
      <c r="J11" s="45" t="n">
        <f aca="false">J9+J10</f>
        <v>0</v>
      </c>
      <c r="K11" s="45" t="n">
        <f aca="false">K9+K10</f>
        <v>0</v>
      </c>
      <c r="L11" s="45" t="n">
        <f aca="false">L9+L10</f>
        <v>0</v>
      </c>
      <c r="M11" s="45" t="n">
        <f aca="false">M9+M10</f>
        <v>0</v>
      </c>
      <c r="N11" s="45" t="n">
        <f aca="false">N9+N10</f>
        <v>0</v>
      </c>
      <c r="O11" s="45" t="n">
        <f aca="false">O9+O10</f>
        <v>0</v>
      </c>
      <c r="P11" s="45" t="n">
        <f aca="false">P9+P10</f>
        <v>0</v>
      </c>
      <c r="Q11" s="45" t="n">
        <f aca="false">Q9+Q10</f>
        <v>0</v>
      </c>
      <c r="R11" s="45" t="n">
        <f aca="false">R9+R10</f>
        <v>0</v>
      </c>
      <c r="S11" s="45" t="n">
        <f aca="false">S9+S10</f>
        <v>0</v>
      </c>
      <c r="T11" s="45" t="n">
        <f aca="false">T9+T10</f>
        <v>0</v>
      </c>
      <c r="U11" s="45" t="n">
        <f aca="false">U9+U10</f>
        <v>0</v>
      </c>
      <c r="V11" s="45" t="n">
        <f aca="false">V9+V10</f>
        <v>0</v>
      </c>
    </row>
    <row r="12" customFormat="false" ht="15" hidden="false" customHeight="false" outlineLevel="0" collapsed="false">
      <c r="A12" s="5"/>
      <c r="B12" s="5"/>
      <c r="C12" s="5"/>
      <c r="D12" s="5"/>
      <c r="E12" s="5"/>
      <c r="F12" s="5"/>
      <c r="G12" s="5"/>
      <c r="H12" s="5"/>
      <c r="I12" s="5"/>
      <c r="J12" s="5"/>
      <c r="K12" s="5"/>
      <c r="L12" s="5"/>
      <c r="M12" s="5"/>
      <c r="N12" s="5"/>
      <c r="O12" s="5"/>
      <c r="P12" s="5"/>
      <c r="Q12" s="5"/>
      <c r="R12" s="5"/>
      <c r="S12" s="5"/>
      <c r="T12" s="5"/>
      <c r="U12" s="5"/>
      <c r="V12" s="5"/>
    </row>
    <row r="13" customFormat="false" ht="15" hidden="false" customHeight="false" outlineLevel="0" collapsed="false">
      <c r="A13" s="5"/>
      <c r="B13" s="32" t="s">
        <v>149</v>
      </c>
      <c r="C13" s="16"/>
      <c r="D13" s="16"/>
      <c r="E13" s="16"/>
      <c r="F13" s="16"/>
      <c r="G13" s="16"/>
      <c r="H13" s="16"/>
      <c r="I13" s="16"/>
      <c r="J13" s="16"/>
      <c r="K13" s="16"/>
      <c r="L13" s="16"/>
      <c r="M13" s="16"/>
      <c r="N13" s="16"/>
      <c r="O13" s="16"/>
      <c r="P13" s="16"/>
      <c r="Q13" s="16"/>
      <c r="R13" s="16"/>
      <c r="S13" s="16"/>
      <c r="T13" s="16"/>
      <c r="U13" s="16"/>
      <c r="V13" s="16"/>
    </row>
    <row r="14" customFormat="false" ht="15" hidden="false" customHeight="false" outlineLevel="0" collapsed="false">
      <c r="A14" s="5"/>
      <c r="B14" s="42" t="s">
        <v>150</v>
      </c>
      <c r="C14" s="43" t="n">
        <f aca="false">C11</f>
        <v>78750000</v>
      </c>
      <c r="D14" s="43" t="n">
        <f aca="false">C14+D11</f>
        <v>157500000</v>
      </c>
      <c r="E14" s="43" t="n">
        <f aca="false">D14+E11</f>
        <v>157500000</v>
      </c>
      <c r="F14" s="43" t="n">
        <f aca="false">E14+F11</f>
        <v>157500000</v>
      </c>
      <c r="G14" s="43" t="n">
        <f aca="false">F14+G11</f>
        <v>157500000</v>
      </c>
      <c r="H14" s="43" t="n">
        <f aca="false">G14+H11</f>
        <v>157500000</v>
      </c>
      <c r="I14" s="43" t="n">
        <f aca="false">H14+I11</f>
        <v>157500000</v>
      </c>
      <c r="J14" s="43" t="n">
        <f aca="false">I14+J11</f>
        <v>157500000</v>
      </c>
      <c r="K14" s="43" t="n">
        <f aca="false">J14+K11</f>
        <v>157500000</v>
      </c>
      <c r="L14" s="43" t="n">
        <f aca="false">K14+L11</f>
        <v>157500000</v>
      </c>
      <c r="M14" s="43" t="n">
        <f aca="false">L14+M11</f>
        <v>157500000</v>
      </c>
      <c r="N14" s="43" t="n">
        <f aca="false">M14+N11</f>
        <v>157500000</v>
      </c>
      <c r="O14" s="43" t="n">
        <f aca="false">N14+O11</f>
        <v>157500000</v>
      </c>
      <c r="P14" s="43" t="n">
        <f aca="false">O14+P11</f>
        <v>157500000</v>
      </c>
      <c r="Q14" s="43" t="n">
        <f aca="false">P14+Q11</f>
        <v>157500000</v>
      </c>
      <c r="R14" s="43" t="n">
        <f aca="false">Q14+R11</f>
        <v>157500000</v>
      </c>
      <c r="S14" s="43" t="n">
        <f aca="false">R14+S11</f>
        <v>157500000</v>
      </c>
      <c r="T14" s="43" t="n">
        <f aca="false">S14+T11</f>
        <v>157500000</v>
      </c>
      <c r="U14" s="43" t="n">
        <f aca="false">T14+U11</f>
        <v>157500000</v>
      </c>
      <c r="V14" s="43" t="n">
        <f aca="false">U14+V11</f>
        <v>157500000</v>
      </c>
    </row>
    <row r="15" customFormat="false" ht="15" hidden="false" customHeight="false" outlineLevel="0" collapsed="false">
      <c r="A15" s="5"/>
      <c r="B15" s="42" t="s">
        <v>151</v>
      </c>
      <c r="C15" s="43" t="n">
        <f aca="false">IF(C6&lt;=Construction_Period,C19*Debt_Rate*0.5,0)</f>
        <v>1663593.75</v>
      </c>
      <c r="D15" s="43" t="n">
        <f aca="false">IF(D6&lt;=Construction_Period,D19*Debt_Rate*0.5,0)</f>
        <v>1663593.75</v>
      </c>
      <c r="E15" s="43" t="n">
        <f aca="false">IF(E6&lt;=Construction_Period,E19*Debt_Rate*0.5,0)</f>
        <v>0</v>
      </c>
      <c r="F15" s="43" t="n">
        <f aca="false">IF(F6&lt;=Construction_Period,F19*Debt_Rate*0.5,0)</f>
        <v>0</v>
      </c>
      <c r="G15" s="43" t="n">
        <f aca="false">IF(G6&lt;=Construction_Period,G19*Debt_Rate*0.5,0)</f>
        <v>0</v>
      </c>
      <c r="H15" s="43" t="n">
        <f aca="false">IF(H6&lt;=Construction_Period,H19*Debt_Rate*0.5,0)</f>
        <v>0</v>
      </c>
      <c r="I15" s="43" t="n">
        <f aca="false">IF(I6&lt;=Construction_Period,I19*Debt_Rate*0.5,0)</f>
        <v>0</v>
      </c>
      <c r="J15" s="43" t="n">
        <f aca="false">IF(J6&lt;=Construction_Period,J19*Debt_Rate*0.5,0)</f>
        <v>0</v>
      </c>
      <c r="K15" s="43" t="n">
        <f aca="false">IF(K6&lt;=Construction_Period,K19*Debt_Rate*0.5,0)</f>
        <v>0</v>
      </c>
      <c r="L15" s="43" t="n">
        <f aca="false">IF(L6&lt;=Construction_Period,L19*Debt_Rate*0.5,0)</f>
        <v>0</v>
      </c>
      <c r="M15" s="43" t="n">
        <f aca="false">IF(M6&lt;=Construction_Period,M19*Debt_Rate*0.5,0)</f>
        <v>0</v>
      </c>
      <c r="N15" s="43" t="n">
        <f aca="false">IF(N6&lt;=Construction_Period,N19*Debt_Rate*0.5,0)</f>
        <v>0</v>
      </c>
      <c r="O15" s="43" t="n">
        <f aca="false">IF(O6&lt;=Construction_Period,O19*Debt_Rate*0.5,0)</f>
        <v>0</v>
      </c>
      <c r="P15" s="43" t="n">
        <f aca="false">IF(P6&lt;=Construction_Period,P19*Debt_Rate*0.5,0)</f>
        <v>0</v>
      </c>
      <c r="Q15" s="43" t="n">
        <f aca="false">IF(Q6&lt;=Construction_Period,Q19*Debt_Rate*0.5,0)</f>
        <v>0</v>
      </c>
      <c r="R15" s="43" t="n">
        <f aca="false">IF(R6&lt;=Construction_Period,R19*Debt_Rate*0.5,0)</f>
        <v>0</v>
      </c>
      <c r="S15" s="43" t="n">
        <f aca="false">IF(S6&lt;=Construction_Period,S19*Debt_Rate*0.5,0)</f>
        <v>0</v>
      </c>
      <c r="T15" s="43" t="n">
        <f aca="false">IF(T6&lt;=Construction_Period,T19*Debt_Rate*0.5,0)</f>
        <v>0</v>
      </c>
      <c r="U15" s="43" t="n">
        <f aca="false">IF(U6&lt;=Construction_Period,U19*Debt_Rate*0.5,0)</f>
        <v>0</v>
      </c>
      <c r="V15" s="43" t="n">
        <f aca="false">IF(V6&lt;=Construction_Period,V19*Debt_Rate*0.5,0)</f>
        <v>0</v>
      </c>
    </row>
    <row r="16" customFormat="false" ht="15" hidden="false" customHeight="false" outlineLevel="0" collapsed="false">
      <c r="A16" s="5"/>
      <c r="B16" s="42" t="s">
        <v>152</v>
      </c>
      <c r="C16" s="43" t="n">
        <f aca="false">IF(C6=Construction_Period,Capacity_kW*EPC_Capex_per_kW*Debt_Pct*Debt_Rate*0.5,0)</f>
        <v>0</v>
      </c>
      <c r="D16" s="43" t="n">
        <f aca="false">IF(D6=Construction_Period,Capacity_kW*EPC_Capex_per_kW*Debt_Pct*Debt_Rate*0.5,0)</f>
        <v>3168750</v>
      </c>
      <c r="E16" s="43" t="n">
        <f aca="false">IF(E6=Construction_Period,Capacity_kW*EPC_Capex_per_kW*Debt_Pct*Debt_Rate*0.5,0)</f>
        <v>0</v>
      </c>
      <c r="F16" s="43" t="n">
        <f aca="false">IF(F6=Construction_Period,Capacity_kW*EPC_Capex_per_kW*Debt_Pct*Debt_Rate*0.5,0)</f>
        <v>0</v>
      </c>
      <c r="G16" s="43" t="n">
        <f aca="false">IF(G6=Construction_Period,Capacity_kW*EPC_Capex_per_kW*Debt_Pct*Debt_Rate*0.5,0)</f>
        <v>0</v>
      </c>
      <c r="H16" s="43" t="n">
        <f aca="false">IF(H6=Construction_Period,Capacity_kW*EPC_Capex_per_kW*Debt_Pct*Debt_Rate*0.5,0)</f>
        <v>0</v>
      </c>
      <c r="I16" s="43" t="n">
        <f aca="false">IF(I6=Construction_Period,Capacity_kW*EPC_Capex_per_kW*Debt_Pct*Debt_Rate*0.5,0)</f>
        <v>0</v>
      </c>
      <c r="J16" s="43" t="n">
        <f aca="false">IF(J6=Construction_Period,Capacity_kW*EPC_Capex_per_kW*Debt_Pct*Debt_Rate*0.5,0)</f>
        <v>0</v>
      </c>
      <c r="K16" s="43" t="n">
        <f aca="false">IF(K6=Construction_Period,Capacity_kW*EPC_Capex_per_kW*Debt_Pct*Debt_Rate*0.5,0)</f>
        <v>0</v>
      </c>
      <c r="L16" s="43" t="n">
        <f aca="false">IF(L6=Construction_Period,Capacity_kW*EPC_Capex_per_kW*Debt_Pct*Debt_Rate*0.5,0)</f>
        <v>0</v>
      </c>
      <c r="M16" s="43" t="n">
        <f aca="false">IF(M6=Construction_Period,Capacity_kW*EPC_Capex_per_kW*Debt_Pct*Debt_Rate*0.5,0)</f>
        <v>0</v>
      </c>
      <c r="N16" s="43" t="n">
        <f aca="false">IF(N6=Construction_Period,Capacity_kW*EPC_Capex_per_kW*Debt_Pct*Debt_Rate*0.5,0)</f>
        <v>0</v>
      </c>
      <c r="O16" s="43" t="n">
        <f aca="false">IF(O6=Construction_Period,Capacity_kW*EPC_Capex_per_kW*Debt_Pct*Debt_Rate*0.5,0)</f>
        <v>0</v>
      </c>
      <c r="P16" s="43" t="n">
        <f aca="false">IF(P6=Construction_Period,Capacity_kW*EPC_Capex_per_kW*Debt_Pct*Debt_Rate*0.5,0)</f>
        <v>0</v>
      </c>
      <c r="Q16" s="43" t="n">
        <f aca="false">IF(Q6=Construction_Period,Capacity_kW*EPC_Capex_per_kW*Debt_Pct*Debt_Rate*0.5,0)</f>
        <v>0</v>
      </c>
      <c r="R16" s="43" t="n">
        <f aca="false">IF(R6=Construction_Period,Capacity_kW*EPC_Capex_per_kW*Debt_Pct*Debt_Rate*0.5,0)</f>
        <v>0</v>
      </c>
      <c r="S16" s="43" t="n">
        <f aca="false">IF(S6=Construction_Period,Capacity_kW*EPC_Capex_per_kW*Debt_Pct*Debt_Rate*0.5,0)</f>
        <v>0</v>
      </c>
      <c r="T16" s="43" t="n">
        <f aca="false">IF(T6=Construction_Period,Capacity_kW*EPC_Capex_per_kW*Debt_Pct*Debt_Rate*0.5,0)</f>
        <v>0</v>
      </c>
      <c r="U16" s="43" t="n">
        <f aca="false">IF(U6=Construction_Period,Capacity_kW*EPC_Capex_per_kW*Debt_Pct*Debt_Rate*0.5,0)</f>
        <v>0</v>
      </c>
      <c r="V16" s="43" t="n">
        <f aca="false">IF(V6=Construction_Period,Capacity_kW*EPC_Capex_per_kW*Debt_Pct*Debt_Rate*0.5,0)</f>
        <v>0</v>
      </c>
    </row>
    <row r="17" customFormat="false" ht="15" hidden="false" customHeight="false" outlineLevel="0" collapsed="false">
      <c r="A17" s="5"/>
      <c r="B17" s="46" t="s">
        <v>153</v>
      </c>
      <c r="C17" s="47" t="n">
        <f aca="false">C11+C15+C16</f>
        <v>80413593.75</v>
      </c>
      <c r="D17" s="47" t="n">
        <f aca="false">D11+D15+D16</f>
        <v>83582343.75</v>
      </c>
      <c r="E17" s="47" t="n">
        <f aca="false">E11+E15+E16</f>
        <v>0</v>
      </c>
      <c r="F17" s="47" t="n">
        <f aca="false">F11+F15+F16</f>
        <v>0</v>
      </c>
      <c r="G17" s="47" t="n">
        <f aca="false">G11+G15+G16</f>
        <v>0</v>
      </c>
      <c r="H17" s="47" t="n">
        <f aca="false">H11+H15+H16</f>
        <v>0</v>
      </c>
      <c r="I17" s="47" t="n">
        <f aca="false">I11+I15+I16</f>
        <v>0</v>
      </c>
      <c r="J17" s="47" t="n">
        <f aca="false">J11+J15+J16</f>
        <v>0</v>
      </c>
      <c r="K17" s="47" t="n">
        <f aca="false">K11+K15+K16</f>
        <v>0</v>
      </c>
      <c r="L17" s="47" t="n">
        <f aca="false">L11+L15+L16</f>
        <v>0</v>
      </c>
      <c r="M17" s="47" t="n">
        <f aca="false">M11+M15+M16</f>
        <v>0</v>
      </c>
      <c r="N17" s="47" t="n">
        <f aca="false">N11+N15+N16</f>
        <v>0</v>
      </c>
      <c r="O17" s="47" t="n">
        <f aca="false">O11+O15+O16</f>
        <v>0</v>
      </c>
      <c r="P17" s="47" t="n">
        <f aca="false">P11+P15+P16</f>
        <v>0</v>
      </c>
      <c r="Q17" s="47" t="n">
        <f aca="false">Q11+Q15+Q16</f>
        <v>0</v>
      </c>
      <c r="R17" s="47" t="n">
        <f aca="false">R11+R15+R16</f>
        <v>0</v>
      </c>
      <c r="S17" s="47" t="n">
        <f aca="false">S11+S15+S16</f>
        <v>0</v>
      </c>
      <c r="T17" s="47" t="n">
        <f aca="false">T11+T15+T16</f>
        <v>0</v>
      </c>
      <c r="U17" s="47" t="n">
        <f aca="false">U11+U15+U16</f>
        <v>0</v>
      </c>
      <c r="V17" s="47" t="n">
        <f aca="false">V11+V15+V16</f>
        <v>0</v>
      </c>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row>
    <row r="19" customFormat="false" ht="15" hidden="false" customHeight="false" outlineLevel="0" collapsed="false">
      <c r="A19" s="5"/>
      <c r="B19" s="42" t="s">
        <v>154</v>
      </c>
      <c r="C19" s="43" t="n">
        <f aca="false">IF(C6&lt;=Construction_Period,C11*Debt_Pct,0)</f>
        <v>51187500</v>
      </c>
      <c r="D19" s="43" t="n">
        <f aca="false">IF(D6&lt;=Construction_Period,D11*Debt_Pct,0)</f>
        <v>51187500</v>
      </c>
      <c r="E19" s="43" t="n">
        <f aca="false">IF(E6&lt;=Construction_Period,E11*Debt_Pct,0)</f>
        <v>0</v>
      </c>
      <c r="F19" s="43" t="n">
        <f aca="false">IF(F6&lt;=Construction_Period,F11*Debt_Pct,0)</f>
        <v>0</v>
      </c>
      <c r="G19" s="43" t="n">
        <f aca="false">IF(G6&lt;=Construction_Period,G11*Debt_Pct,0)</f>
        <v>0</v>
      </c>
      <c r="H19" s="43" t="n">
        <f aca="false">IF(H6&lt;=Construction_Period,H11*Debt_Pct,0)</f>
        <v>0</v>
      </c>
      <c r="I19" s="43" t="n">
        <f aca="false">IF(I6&lt;=Construction_Period,I11*Debt_Pct,0)</f>
        <v>0</v>
      </c>
      <c r="J19" s="43" t="n">
        <f aca="false">IF(J6&lt;=Construction_Period,J11*Debt_Pct,0)</f>
        <v>0</v>
      </c>
      <c r="K19" s="43" t="n">
        <f aca="false">IF(K6&lt;=Construction_Period,K11*Debt_Pct,0)</f>
        <v>0</v>
      </c>
      <c r="L19" s="43" t="n">
        <f aca="false">IF(L6&lt;=Construction_Period,L11*Debt_Pct,0)</f>
        <v>0</v>
      </c>
      <c r="M19" s="43" t="n">
        <f aca="false">IF(M6&lt;=Construction_Period,M11*Debt_Pct,0)</f>
        <v>0</v>
      </c>
      <c r="N19" s="43" t="n">
        <f aca="false">IF(N6&lt;=Construction_Period,N11*Debt_Pct,0)</f>
        <v>0</v>
      </c>
      <c r="O19" s="43" t="n">
        <f aca="false">IF(O6&lt;=Construction_Period,O11*Debt_Pct,0)</f>
        <v>0</v>
      </c>
      <c r="P19" s="43" t="n">
        <f aca="false">IF(P6&lt;=Construction_Period,P11*Debt_Pct,0)</f>
        <v>0</v>
      </c>
      <c r="Q19" s="43" t="n">
        <f aca="false">IF(Q6&lt;=Construction_Period,Q11*Debt_Pct,0)</f>
        <v>0</v>
      </c>
      <c r="R19" s="43" t="n">
        <f aca="false">IF(R6&lt;=Construction_Period,R11*Debt_Pct,0)</f>
        <v>0</v>
      </c>
      <c r="S19" s="43" t="n">
        <f aca="false">IF(S6&lt;=Construction_Period,S11*Debt_Pct,0)</f>
        <v>0</v>
      </c>
      <c r="T19" s="43" t="n">
        <f aca="false">IF(T6&lt;=Construction_Period,T11*Debt_Pct,0)</f>
        <v>0</v>
      </c>
      <c r="U19" s="43" t="n">
        <f aca="false">IF(U6&lt;=Construction_Period,U11*Debt_Pct,0)</f>
        <v>0</v>
      </c>
      <c r="V19" s="43" t="n">
        <f aca="false">IF(V6&lt;=Construction_Period,V11*Debt_Pct,0)</f>
        <v>0</v>
      </c>
    </row>
    <row r="20" customFormat="false" ht="15" hidden="false" customHeight="false" outlineLevel="0" collapsed="false">
      <c r="A20" s="5"/>
      <c r="B20" s="42" t="s">
        <v>155</v>
      </c>
      <c r="C20" s="43" t="n">
        <f aca="false">C17-C19</f>
        <v>29226093.75</v>
      </c>
      <c r="D20" s="43" t="n">
        <f aca="false">D17-D19</f>
        <v>32394843.75</v>
      </c>
      <c r="E20" s="43" t="n">
        <f aca="false">E17-E19</f>
        <v>0</v>
      </c>
      <c r="F20" s="43" t="n">
        <f aca="false">F17-F19</f>
        <v>0</v>
      </c>
      <c r="G20" s="43" t="n">
        <f aca="false">G17-G19</f>
        <v>0</v>
      </c>
      <c r="H20" s="43" t="n">
        <f aca="false">H17-H19</f>
        <v>0</v>
      </c>
      <c r="I20" s="43" t="n">
        <f aca="false">I17-I19</f>
        <v>0</v>
      </c>
      <c r="J20" s="43" t="n">
        <f aca="false">J17-J19</f>
        <v>0</v>
      </c>
      <c r="K20" s="43" t="n">
        <f aca="false">K17-K19</f>
        <v>0</v>
      </c>
      <c r="L20" s="43" t="n">
        <f aca="false">L17-L19</f>
        <v>0</v>
      </c>
      <c r="M20" s="43" t="n">
        <f aca="false">M17-M19</f>
        <v>0</v>
      </c>
      <c r="N20" s="43" t="n">
        <f aca="false">N17-N19</f>
        <v>0</v>
      </c>
      <c r="O20" s="43" t="n">
        <f aca="false">O17-O19</f>
        <v>0</v>
      </c>
      <c r="P20" s="43" t="n">
        <f aca="false">P17-P19</f>
        <v>0</v>
      </c>
      <c r="Q20" s="43" t="n">
        <f aca="false">Q17-Q19</f>
        <v>0</v>
      </c>
      <c r="R20" s="43" t="n">
        <f aca="false">R17-R19</f>
        <v>0</v>
      </c>
      <c r="S20" s="43" t="n">
        <f aca="false">S17-S19</f>
        <v>0</v>
      </c>
      <c r="T20" s="43" t="n">
        <f aca="false">T17-T19</f>
        <v>0</v>
      </c>
      <c r="U20" s="43" t="n">
        <f aca="false">U17-U19</f>
        <v>0</v>
      </c>
      <c r="V20" s="43" t="n">
        <f aca="false">V17-V19</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V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22" min="3" style="0" width="16"/>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row>
    <row r="2" customFormat="false" ht="22.05" hidden="false" customHeight="false" outlineLevel="0" collapsed="false">
      <c r="A2" s="5"/>
      <c r="B2" s="28" t="s">
        <v>156</v>
      </c>
      <c r="C2" s="5"/>
      <c r="D2" s="5"/>
      <c r="E2" s="5"/>
      <c r="F2" s="5"/>
      <c r="G2" s="5"/>
      <c r="H2" s="5"/>
      <c r="I2" s="5"/>
      <c r="J2" s="5"/>
      <c r="K2" s="5"/>
      <c r="L2" s="5"/>
      <c r="M2" s="5"/>
      <c r="N2" s="5"/>
      <c r="O2" s="5"/>
      <c r="P2" s="5"/>
      <c r="Q2" s="5"/>
      <c r="R2" s="5"/>
      <c r="S2" s="5"/>
      <c r="T2" s="5"/>
      <c r="U2" s="5"/>
      <c r="V2" s="5"/>
    </row>
    <row r="3" customFormat="false" ht="15" hidden="false" customHeight="false" outlineLevel="0" collapsed="false">
      <c r="A3" s="5"/>
      <c r="B3" s="29" t="s">
        <v>157</v>
      </c>
      <c r="C3" s="5"/>
      <c r="D3" s="5"/>
      <c r="E3" s="5"/>
      <c r="F3" s="5"/>
      <c r="G3" s="5"/>
      <c r="H3" s="5"/>
      <c r="I3" s="5"/>
      <c r="J3" s="5"/>
      <c r="K3" s="5"/>
      <c r="L3" s="5"/>
      <c r="M3" s="5"/>
      <c r="N3" s="5"/>
      <c r="O3" s="5"/>
      <c r="P3" s="5"/>
      <c r="Q3" s="5"/>
      <c r="R3" s="5"/>
      <c r="S3" s="5"/>
      <c r="T3" s="5"/>
      <c r="U3" s="5"/>
      <c r="V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row>
    <row r="5" customFormat="false" ht="15" hidden="false" customHeight="false" outlineLevel="0" collapsed="false">
      <c r="A5" s="5"/>
      <c r="B5" s="39" t="s">
        <v>67</v>
      </c>
      <c r="C5" s="40" t="n">
        <f aca="false">Model_Start+0</f>
        <v>2026</v>
      </c>
      <c r="D5" s="40" t="n">
        <f aca="false">Model_Start+1</f>
        <v>2027</v>
      </c>
      <c r="E5" s="40" t="n">
        <f aca="false">Model_Start+2</f>
        <v>2028</v>
      </c>
      <c r="F5" s="40" t="n">
        <f aca="false">Model_Start+3</f>
        <v>2029</v>
      </c>
      <c r="G5" s="40" t="n">
        <f aca="false">Model_Start+4</f>
        <v>2030</v>
      </c>
      <c r="H5" s="40" t="n">
        <f aca="false">Model_Start+5</f>
        <v>2031</v>
      </c>
      <c r="I5" s="40" t="n">
        <f aca="false">Model_Start+6</f>
        <v>2032</v>
      </c>
      <c r="J5" s="40" t="n">
        <f aca="false">Model_Start+7</f>
        <v>2033</v>
      </c>
      <c r="K5" s="40" t="n">
        <f aca="false">Model_Start+8</f>
        <v>2034</v>
      </c>
      <c r="L5" s="40" t="n">
        <f aca="false">Model_Start+9</f>
        <v>2035</v>
      </c>
      <c r="M5" s="40" t="n">
        <f aca="false">Model_Start+10</f>
        <v>2036</v>
      </c>
      <c r="N5" s="40" t="n">
        <f aca="false">Model_Start+11</f>
        <v>2037</v>
      </c>
      <c r="O5" s="40" t="n">
        <f aca="false">Model_Start+12</f>
        <v>2038</v>
      </c>
      <c r="P5" s="40" t="n">
        <f aca="false">Model_Start+13</f>
        <v>2039</v>
      </c>
      <c r="Q5" s="40" t="n">
        <f aca="false">Model_Start+14</f>
        <v>2040</v>
      </c>
      <c r="R5" s="40" t="n">
        <f aca="false">Model_Start+15</f>
        <v>2041</v>
      </c>
      <c r="S5" s="40" t="n">
        <f aca="false">Model_Start+16</f>
        <v>2042</v>
      </c>
      <c r="T5" s="40" t="n">
        <f aca="false">Model_Start+17</f>
        <v>2043</v>
      </c>
      <c r="U5" s="40" t="n">
        <f aca="false">Model_Start+18</f>
        <v>2044</v>
      </c>
      <c r="V5" s="40" t="n">
        <f aca="false">Model_Start+19</f>
        <v>2045</v>
      </c>
    </row>
    <row r="6" customFormat="false" ht="15" hidden="false" customHeight="false" outlineLevel="0" collapsed="false">
      <c r="A6" s="5"/>
      <c r="B6" s="29" t="s">
        <v>146</v>
      </c>
      <c r="C6" s="41" t="n">
        <v>1</v>
      </c>
      <c r="D6" s="41" t="n">
        <v>2</v>
      </c>
      <c r="E6" s="41" t="n">
        <v>3</v>
      </c>
      <c r="F6" s="41" t="n">
        <v>4</v>
      </c>
      <c r="G6" s="41" t="n">
        <v>5</v>
      </c>
      <c r="H6" s="41" t="n">
        <v>6</v>
      </c>
      <c r="I6" s="41" t="n">
        <v>7</v>
      </c>
      <c r="J6" s="41" t="n">
        <v>8</v>
      </c>
      <c r="K6" s="41" t="n">
        <v>9</v>
      </c>
      <c r="L6" s="41" t="n">
        <v>10</v>
      </c>
      <c r="M6" s="41" t="n">
        <v>11</v>
      </c>
      <c r="N6" s="41" t="n">
        <v>12</v>
      </c>
      <c r="O6" s="41" t="n">
        <v>13</v>
      </c>
      <c r="P6" s="41" t="n">
        <v>14</v>
      </c>
      <c r="Q6" s="41" t="n">
        <v>15</v>
      </c>
      <c r="R6" s="41" t="n">
        <v>16</v>
      </c>
      <c r="S6" s="41" t="n">
        <v>17</v>
      </c>
      <c r="T6" s="41" t="n">
        <v>18</v>
      </c>
      <c r="U6" s="41" t="n">
        <v>19</v>
      </c>
      <c r="V6" s="41" t="n">
        <v>20</v>
      </c>
    </row>
    <row r="7" customFormat="false" ht="15" hidden="false" customHeight="false" outlineLevel="0" collapsed="false">
      <c r="A7" s="5"/>
      <c r="B7" s="29" t="s">
        <v>158</v>
      </c>
      <c r="C7" s="41" t="n">
        <f aca="false">IF(C6&lt;Construction_Period+1,0,C6-Construction_Period)</f>
        <v>0</v>
      </c>
      <c r="D7" s="41" t="n">
        <f aca="false">IF(D6&lt;Construction_Period+1,0,D6-Construction_Period)</f>
        <v>0</v>
      </c>
      <c r="E7" s="41" t="n">
        <f aca="false">IF(E6&lt;Construction_Period+1,0,E6-Construction_Period)</f>
        <v>1</v>
      </c>
      <c r="F7" s="41" t="n">
        <f aca="false">IF(F6&lt;Construction_Period+1,0,F6-Construction_Period)</f>
        <v>2</v>
      </c>
      <c r="G7" s="41" t="n">
        <f aca="false">IF(G6&lt;Construction_Period+1,0,G6-Construction_Period)</f>
        <v>3</v>
      </c>
      <c r="H7" s="41" t="n">
        <f aca="false">IF(H6&lt;Construction_Period+1,0,H6-Construction_Period)</f>
        <v>4</v>
      </c>
      <c r="I7" s="41" t="n">
        <f aca="false">IF(I6&lt;Construction_Period+1,0,I6-Construction_Period)</f>
        <v>5</v>
      </c>
      <c r="J7" s="41" t="n">
        <f aca="false">IF(J6&lt;Construction_Period+1,0,J6-Construction_Period)</f>
        <v>6</v>
      </c>
      <c r="K7" s="41" t="n">
        <f aca="false">IF(K6&lt;Construction_Period+1,0,K6-Construction_Period)</f>
        <v>7</v>
      </c>
      <c r="L7" s="41" t="n">
        <f aca="false">IF(L6&lt;Construction_Period+1,0,L6-Construction_Period)</f>
        <v>8</v>
      </c>
      <c r="M7" s="41" t="n">
        <f aca="false">IF(M6&lt;Construction_Period+1,0,M6-Construction_Period)</f>
        <v>9</v>
      </c>
      <c r="N7" s="41" t="n">
        <f aca="false">IF(N6&lt;Construction_Period+1,0,N6-Construction_Period)</f>
        <v>10</v>
      </c>
      <c r="O7" s="41" t="n">
        <f aca="false">IF(O6&lt;Construction_Period+1,0,O6-Construction_Period)</f>
        <v>11</v>
      </c>
      <c r="P7" s="41" t="n">
        <f aca="false">IF(P6&lt;Construction_Period+1,0,P6-Construction_Period)</f>
        <v>12</v>
      </c>
      <c r="Q7" s="41" t="n">
        <f aca="false">IF(Q6&lt;Construction_Period+1,0,Q6-Construction_Period)</f>
        <v>13</v>
      </c>
      <c r="R7" s="41" t="n">
        <f aca="false">IF(R6&lt;Construction_Period+1,0,R6-Construction_Period)</f>
        <v>14</v>
      </c>
      <c r="S7" s="41" t="n">
        <f aca="false">IF(S6&lt;Construction_Period+1,0,S6-Construction_Period)</f>
        <v>15</v>
      </c>
      <c r="T7" s="41" t="n">
        <f aca="false">IF(T6&lt;Construction_Period+1,0,T6-Construction_Period)</f>
        <v>16</v>
      </c>
      <c r="U7" s="41" t="n">
        <f aca="false">IF(U6&lt;Construction_Period+1,0,U6-Construction_Period)</f>
        <v>17</v>
      </c>
      <c r="V7" s="41" t="n">
        <f aca="false">IF(V6&lt;Construction_Period+1,0,V6-Construction_Period)</f>
        <v>18</v>
      </c>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row>
    <row r="9" customFormat="false" ht="15" hidden="false" customHeight="false" outlineLevel="0" collapsed="false">
      <c r="A9" s="5"/>
      <c r="B9" s="32" t="s">
        <v>159</v>
      </c>
      <c r="C9" s="16"/>
      <c r="D9" s="16"/>
      <c r="E9" s="16"/>
      <c r="F9" s="16"/>
      <c r="G9" s="16"/>
      <c r="H9" s="16"/>
      <c r="I9" s="16"/>
      <c r="J9" s="16"/>
      <c r="K9" s="16"/>
      <c r="L9" s="16"/>
      <c r="M9" s="16"/>
      <c r="N9" s="16"/>
      <c r="O9" s="16"/>
      <c r="P9" s="16"/>
      <c r="Q9" s="16"/>
      <c r="R9" s="16"/>
      <c r="S9" s="16"/>
      <c r="T9" s="16"/>
      <c r="U9" s="16"/>
      <c r="V9" s="16"/>
    </row>
    <row r="10" customFormat="false" ht="15" hidden="false" customHeight="false" outlineLevel="0" collapsed="false">
      <c r="A10" s="5"/>
      <c r="B10" s="7" t="s">
        <v>160</v>
      </c>
      <c r="C10" s="48" t="n">
        <f aca="false">IF(AND(Model_Start+C6-1&gt;=Ops_Start_Year,C6&lt;=Project_Life),1,0)</f>
        <v>0</v>
      </c>
      <c r="D10" s="48" t="n">
        <f aca="false">IF(AND(Model_Start+D6-1&gt;=Ops_Start_Year,D6&lt;=Project_Life),1,0)</f>
        <v>0</v>
      </c>
      <c r="E10" s="48" t="n">
        <f aca="false">IF(AND(Model_Start+E6-1&gt;=Ops_Start_Year,E6&lt;=Project_Life),1,0)</f>
        <v>1</v>
      </c>
      <c r="F10" s="48" t="n">
        <f aca="false">IF(AND(Model_Start+F6-1&gt;=Ops_Start_Year,F6&lt;=Project_Life),1,0)</f>
        <v>1</v>
      </c>
      <c r="G10" s="48" t="n">
        <f aca="false">IF(AND(Model_Start+G6-1&gt;=Ops_Start_Year,G6&lt;=Project_Life),1,0)</f>
        <v>1</v>
      </c>
      <c r="H10" s="48" t="n">
        <f aca="false">IF(AND(Model_Start+H6-1&gt;=Ops_Start_Year,H6&lt;=Project_Life),1,0)</f>
        <v>1</v>
      </c>
      <c r="I10" s="48" t="n">
        <f aca="false">IF(AND(Model_Start+I6-1&gt;=Ops_Start_Year,I6&lt;=Project_Life),1,0)</f>
        <v>1</v>
      </c>
      <c r="J10" s="48" t="n">
        <f aca="false">IF(AND(Model_Start+J6-1&gt;=Ops_Start_Year,J6&lt;=Project_Life),1,0)</f>
        <v>1</v>
      </c>
      <c r="K10" s="48" t="n">
        <f aca="false">IF(AND(Model_Start+K6-1&gt;=Ops_Start_Year,K6&lt;=Project_Life),1,0)</f>
        <v>1</v>
      </c>
      <c r="L10" s="48" t="n">
        <f aca="false">IF(AND(Model_Start+L6-1&gt;=Ops_Start_Year,L6&lt;=Project_Life),1,0)</f>
        <v>1</v>
      </c>
      <c r="M10" s="48" t="n">
        <f aca="false">IF(AND(Model_Start+M6-1&gt;=Ops_Start_Year,M6&lt;=Project_Life),1,0)</f>
        <v>1</v>
      </c>
      <c r="N10" s="48" t="n">
        <f aca="false">IF(AND(Model_Start+N6-1&gt;=Ops_Start_Year,N6&lt;=Project_Life),1,0)</f>
        <v>1</v>
      </c>
      <c r="O10" s="48" t="n">
        <f aca="false">IF(AND(Model_Start+O6-1&gt;=Ops_Start_Year,O6&lt;=Project_Life),1,0)</f>
        <v>1</v>
      </c>
      <c r="P10" s="48" t="n">
        <f aca="false">IF(AND(Model_Start+P6-1&gt;=Ops_Start_Year,P6&lt;=Project_Life),1,0)</f>
        <v>1</v>
      </c>
      <c r="Q10" s="48" t="n">
        <f aca="false">IF(AND(Model_Start+Q6-1&gt;=Ops_Start_Year,Q6&lt;=Project_Life),1,0)</f>
        <v>1</v>
      </c>
      <c r="R10" s="48" t="n">
        <f aca="false">IF(AND(Model_Start+R6-1&gt;=Ops_Start_Year,R6&lt;=Project_Life),1,0)</f>
        <v>1</v>
      </c>
      <c r="S10" s="48" t="n">
        <f aca="false">IF(AND(Model_Start+S6-1&gt;=Ops_Start_Year,S6&lt;=Project_Life),1,0)</f>
        <v>1</v>
      </c>
      <c r="T10" s="48" t="n">
        <f aca="false">IF(AND(Model_Start+T6-1&gt;=Ops_Start_Year,T6&lt;=Project_Life),1,0)</f>
        <v>1</v>
      </c>
      <c r="U10" s="48" t="n">
        <f aca="false">IF(AND(Model_Start+U6-1&gt;=Ops_Start_Year,U6&lt;=Project_Life),1,0)</f>
        <v>1</v>
      </c>
      <c r="V10" s="48" t="n">
        <f aca="false">IF(AND(Model_Start+V6-1&gt;=Ops_Start_Year,V6&lt;=Project_Life),1,0)</f>
        <v>1</v>
      </c>
    </row>
    <row r="11" customFormat="false" ht="15" hidden="false" customHeight="false" outlineLevel="0" collapsed="false">
      <c r="A11" s="5"/>
      <c r="B11" s="42" t="s">
        <v>161</v>
      </c>
      <c r="C11" s="43" t="n">
        <f aca="false">C10*8760*Capacity_Factor</f>
        <v>0</v>
      </c>
      <c r="D11" s="43" t="n">
        <f aca="false">D10*8760*Capacity_Factor</f>
        <v>0</v>
      </c>
      <c r="E11" s="43" t="n">
        <f aca="false">E10*8760*Capacity_Factor</f>
        <v>5694</v>
      </c>
      <c r="F11" s="43" t="n">
        <f aca="false">F10*8760*Capacity_Factor</f>
        <v>5694</v>
      </c>
      <c r="G11" s="43" t="n">
        <f aca="false">G10*8760*Capacity_Factor</f>
        <v>5694</v>
      </c>
      <c r="H11" s="43" t="n">
        <f aca="false">H10*8760*Capacity_Factor</f>
        <v>5694</v>
      </c>
      <c r="I11" s="43" t="n">
        <f aca="false">I10*8760*Capacity_Factor</f>
        <v>5694</v>
      </c>
      <c r="J11" s="43" t="n">
        <f aca="false">J10*8760*Capacity_Factor</f>
        <v>5694</v>
      </c>
      <c r="K11" s="43" t="n">
        <f aca="false">K10*8760*Capacity_Factor</f>
        <v>5694</v>
      </c>
      <c r="L11" s="43" t="n">
        <f aca="false">L10*8760*Capacity_Factor</f>
        <v>5694</v>
      </c>
      <c r="M11" s="43" t="n">
        <f aca="false">M10*8760*Capacity_Factor</f>
        <v>5694</v>
      </c>
      <c r="N11" s="43" t="n">
        <f aca="false">N10*8760*Capacity_Factor</f>
        <v>5694</v>
      </c>
      <c r="O11" s="43" t="n">
        <f aca="false">O10*8760*Capacity_Factor</f>
        <v>5694</v>
      </c>
      <c r="P11" s="43" t="n">
        <f aca="false">P10*8760*Capacity_Factor</f>
        <v>5694</v>
      </c>
      <c r="Q11" s="43" t="n">
        <f aca="false">Q10*8760*Capacity_Factor</f>
        <v>5694</v>
      </c>
      <c r="R11" s="43" t="n">
        <f aca="false">R10*8760*Capacity_Factor</f>
        <v>5694</v>
      </c>
      <c r="S11" s="43" t="n">
        <f aca="false">S10*8760*Capacity_Factor</f>
        <v>5694</v>
      </c>
      <c r="T11" s="43" t="n">
        <f aca="false">T10*8760*Capacity_Factor</f>
        <v>5694</v>
      </c>
      <c r="U11" s="43" t="n">
        <f aca="false">U10*8760*Capacity_Factor</f>
        <v>5694</v>
      </c>
      <c r="V11" s="43" t="n">
        <f aca="false">V10*8760*Capacity_Factor</f>
        <v>5694</v>
      </c>
    </row>
    <row r="12" customFormat="false" ht="15" hidden="false" customHeight="false" outlineLevel="0" collapsed="false">
      <c r="A12" s="5"/>
      <c r="B12" s="42" t="s">
        <v>162</v>
      </c>
      <c r="C12" s="43" t="n">
        <f aca="false">C11</f>
        <v>0</v>
      </c>
      <c r="D12" s="43" t="n">
        <f aca="false">IF(D13=1,D11,C12+D11)</f>
        <v>0</v>
      </c>
      <c r="E12" s="43" t="n">
        <f aca="false">IF(E13=1,E11,D12+E11)</f>
        <v>5694</v>
      </c>
      <c r="F12" s="43" t="n">
        <f aca="false">IF(F13=1,F11,E12+F11)</f>
        <v>11388</v>
      </c>
      <c r="G12" s="43" t="n">
        <f aca="false">IF(G13=1,G11,F12+G11)</f>
        <v>17082</v>
      </c>
      <c r="H12" s="43" t="n">
        <f aca="false">IF(H13=1,H11,G12+H11)</f>
        <v>22776</v>
      </c>
      <c r="I12" s="43" t="n">
        <f aca="false">IF(I13=1,I11,H12+I11)</f>
        <v>28470</v>
      </c>
      <c r="J12" s="43" t="n">
        <f aca="false">IF(J13=1,J11,I12+J11)</f>
        <v>34164</v>
      </c>
      <c r="K12" s="43" t="n">
        <f aca="false">IF(K13=1,K11,J12+K11)</f>
        <v>39858</v>
      </c>
      <c r="L12" s="43" t="n">
        <f aca="false">IF(L13=1,L11,K12+L11)</f>
        <v>45552</v>
      </c>
      <c r="M12" s="43" t="n">
        <f aca="false">IF(M13=1,M11,L12+M11)</f>
        <v>51246</v>
      </c>
      <c r="N12" s="43" t="n">
        <f aca="false">IF(N13=1,N11,M12+N11)</f>
        <v>56940</v>
      </c>
      <c r="O12" s="43" t="n">
        <f aca="false">IF(O13=1,O11,N12+O11)</f>
        <v>62634</v>
      </c>
      <c r="P12" s="43" t="n">
        <f aca="false">IF(P13=1,P11,O12+P11)</f>
        <v>68328</v>
      </c>
      <c r="Q12" s="43" t="n">
        <f aca="false">IF(Q13=1,Q11,P12+Q11)</f>
        <v>74022</v>
      </c>
      <c r="R12" s="43" t="n">
        <f aca="false">IF(R13=1,R11,Q12+R11)</f>
        <v>79716</v>
      </c>
      <c r="S12" s="43" t="n">
        <f aca="false">IF(S13=1,S11,R12+S11)</f>
        <v>85410</v>
      </c>
      <c r="T12" s="43" t="n">
        <f aca="false">IF(T13=1,T11,S12+T11)</f>
        <v>5694</v>
      </c>
      <c r="U12" s="43" t="n">
        <f aca="false">IF(U13=1,U11,T12+U11)</f>
        <v>11388</v>
      </c>
      <c r="V12" s="43" t="n">
        <f aca="false">IF(V13=1,V11,U12+V11)</f>
        <v>17082</v>
      </c>
    </row>
    <row r="13" customFormat="false" ht="15" hidden="false" customHeight="false" outlineLevel="0" collapsed="false">
      <c r="A13" s="5"/>
      <c r="B13" s="42" t="s">
        <v>101</v>
      </c>
      <c r="C13" s="48" t="n">
        <f aca="false">0</f>
        <v>0</v>
      </c>
      <c r="D13" s="48" t="n">
        <f aca="false">IF(C12&gt;=Stack_Lifespan,1,0)</f>
        <v>0</v>
      </c>
      <c r="E13" s="48" t="n">
        <f aca="false">IF(D12&gt;=Stack_Lifespan,1,0)</f>
        <v>0</v>
      </c>
      <c r="F13" s="48" t="n">
        <f aca="false">IF(E12&gt;=Stack_Lifespan,1,0)</f>
        <v>0</v>
      </c>
      <c r="G13" s="48" t="n">
        <f aca="false">IF(F12&gt;=Stack_Lifespan,1,0)</f>
        <v>0</v>
      </c>
      <c r="H13" s="48" t="n">
        <f aca="false">IF(G12&gt;=Stack_Lifespan,1,0)</f>
        <v>0</v>
      </c>
      <c r="I13" s="48" t="n">
        <f aca="false">IF(H12&gt;=Stack_Lifespan,1,0)</f>
        <v>0</v>
      </c>
      <c r="J13" s="48" t="n">
        <f aca="false">IF(I12&gt;=Stack_Lifespan,1,0)</f>
        <v>0</v>
      </c>
      <c r="K13" s="48" t="n">
        <f aca="false">IF(J12&gt;=Stack_Lifespan,1,0)</f>
        <v>0</v>
      </c>
      <c r="L13" s="48" t="n">
        <f aca="false">IF(K12&gt;=Stack_Lifespan,1,0)</f>
        <v>0</v>
      </c>
      <c r="M13" s="48" t="n">
        <f aca="false">IF(L12&gt;=Stack_Lifespan,1,0)</f>
        <v>0</v>
      </c>
      <c r="N13" s="48" t="n">
        <f aca="false">IF(M12&gt;=Stack_Lifespan,1,0)</f>
        <v>0</v>
      </c>
      <c r="O13" s="48" t="n">
        <f aca="false">IF(N12&gt;=Stack_Lifespan,1,0)</f>
        <v>0</v>
      </c>
      <c r="P13" s="48" t="n">
        <f aca="false">IF(O12&gt;=Stack_Lifespan,1,0)</f>
        <v>0</v>
      </c>
      <c r="Q13" s="48" t="n">
        <f aca="false">IF(P12&gt;=Stack_Lifespan,1,0)</f>
        <v>0</v>
      </c>
      <c r="R13" s="48" t="n">
        <f aca="false">IF(Q12&gt;=Stack_Lifespan,1,0)</f>
        <v>0</v>
      </c>
      <c r="S13" s="48" t="n">
        <f aca="false">IF(R12&gt;=Stack_Lifespan,1,0)</f>
        <v>0</v>
      </c>
      <c r="T13" s="48" t="n">
        <f aca="false">IF(S12&gt;=Stack_Lifespan,1,0)</f>
        <v>1</v>
      </c>
      <c r="U13" s="48" t="n">
        <f aca="false">IF(T12&gt;=Stack_Lifespan,1,0)</f>
        <v>0</v>
      </c>
      <c r="V13" s="48" t="n">
        <f aca="false">IF(U12&gt;=Stack_Lifespan,1,0)</f>
        <v>0</v>
      </c>
    </row>
    <row r="14" customFormat="false" ht="15" hidden="false" customHeight="false" outlineLevel="0" collapsed="false">
      <c r="A14" s="5"/>
      <c r="B14" s="42" t="s">
        <v>163</v>
      </c>
      <c r="C14" s="43" t="n">
        <f aca="false">C11</f>
        <v>0</v>
      </c>
      <c r="D14" s="43" t="n">
        <f aca="false">IF(D13=1,D11,C14+D11)</f>
        <v>0</v>
      </c>
      <c r="E14" s="43" t="n">
        <f aca="false">IF(E13=1,E11,D14+E11)</f>
        <v>5694</v>
      </c>
      <c r="F14" s="43" t="n">
        <f aca="false">IF(F13=1,F11,E14+F11)</f>
        <v>11388</v>
      </c>
      <c r="G14" s="43" t="n">
        <f aca="false">IF(G13=1,G11,F14+G11)</f>
        <v>17082</v>
      </c>
      <c r="H14" s="43" t="n">
        <f aca="false">IF(H13=1,H11,G14+H11)</f>
        <v>22776</v>
      </c>
      <c r="I14" s="43" t="n">
        <f aca="false">IF(I13=1,I11,H14+I11)</f>
        <v>28470</v>
      </c>
      <c r="J14" s="43" t="n">
        <f aca="false">IF(J13=1,J11,I14+J11)</f>
        <v>34164</v>
      </c>
      <c r="K14" s="43" t="n">
        <f aca="false">IF(K13=1,K11,J14+K11)</f>
        <v>39858</v>
      </c>
      <c r="L14" s="43" t="n">
        <f aca="false">IF(L13=1,L11,K14+L11)</f>
        <v>45552</v>
      </c>
      <c r="M14" s="43" t="n">
        <f aca="false">IF(M13=1,M11,L14+M11)</f>
        <v>51246</v>
      </c>
      <c r="N14" s="43" t="n">
        <f aca="false">IF(N13=1,N11,M14+N11)</f>
        <v>56940</v>
      </c>
      <c r="O14" s="43" t="n">
        <f aca="false">IF(O13=1,O11,N14+O11)</f>
        <v>62634</v>
      </c>
      <c r="P14" s="43" t="n">
        <f aca="false">IF(P13=1,P11,O14+P11)</f>
        <v>68328</v>
      </c>
      <c r="Q14" s="43" t="n">
        <f aca="false">IF(Q13=1,Q11,P14+Q11)</f>
        <v>74022</v>
      </c>
      <c r="R14" s="43" t="n">
        <f aca="false">IF(R13=1,R11,Q14+R11)</f>
        <v>79716</v>
      </c>
      <c r="S14" s="43" t="n">
        <f aca="false">IF(S13=1,S11,R14+S11)</f>
        <v>85410</v>
      </c>
      <c r="T14" s="43" t="n">
        <f aca="false">IF(T13=1,T11,S14+T11)</f>
        <v>5694</v>
      </c>
      <c r="U14" s="43" t="n">
        <f aca="false">IF(U13=1,U11,T14+U11)</f>
        <v>11388</v>
      </c>
      <c r="V14" s="43" t="n">
        <f aca="false">IF(V13=1,V11,U14+V11)</f>
        <v>17082</v>
      </c>
    </row>
    <row r="15" customFormat="false" ht="15" hidden="false" customHeight="false" outlineLevel="0" collapsed="false">
      <c r="A15" s="5"/>
      <c r="B15" s="42" t="s">
        <v>164</v>
      </c>
      <c r="C15" s="49" t="n">
        <f aca="false">C10*Base_Efficiency*(1+Degradation_Rate*C14/10000)</f>
        <v>0</v>
      </c>
      <c r="D15" s="49" t="n">
        <f aca="false">D10*Base_Efficiency*(1+Degradation_Rate*D14/10000)</f>
        <v>0</v>
      </c>
      <c r="E15" s="49" t="n">
        <f aca="false">E10*Base_Efficiency*(1+Degradation_Rate*E14/10000)</f>
        <v>52.444132</v>
      </c>
      <c r="F15" s="49" t="n">
        <f aca="false">F10*Base_Efficiency*(1+Degradation_Rate*F14/10000)</f>
        <v>52.888264</v>
      </c>
      <c r="G15" s="49" t="n">
        <f aca="false">G10*Base_Efficiency*(1+Degradation_Rate*G14/10000)</f>
        <v>53.332396</v>
      </c>
      <c r="H15" s="49" t="n">
        <f aca="false">H10*Base_Efficiency*(1+Degradation_Rate*H14/10000)</f>
        <v>53.776528</v>
      </c>
      <c r="I15" s="49" t="n">
        <f aca="false">I10*Base_Efficiency*(1+Degradation_Rate*I14/10000)</f>
        <v>54.22066</v>
      </c>
      <c r="J15" s="49" t="n">
        <f aca="false">J10*Base_Efficiency*(1+Degradation_Rate*J14/10000)</f>
        <v>54.664792</v>
      </c>
      <c r="K15" s="49" t="n">
        <f aca="false">K10*Base_Efficiency*(1+Degradation_Rate*K14/10000)</f>
        <v>55.108924</v>
      </c>
      <c r="L15" s="49" t="n">
        <f aca="false">L10*Base_Efficiency*(1+Degradation_Rate*L14/10000)</f>
        <v>55.553056</v>
      </c>
      <c r="M15" s="49" t="n">
        <f aca="false">M10*Base_Efficiency*(1+Degradation_Rate*M14/10000)</f>
        <v>55.997188</v>
      </c>
      <c r="N15" s="49" t="n">
        <f aca="false">N10*Base_Efficiency*(1+Degradation_Rate*N14/10000)</f>
        <v>56.44132</v>
      </c>
      <c r="O15" s="49" t="n">
        <f aca="false">O10*Base_Efficiency*(1+Degradation_Rate*O14/10000)</f>
        <v>56.885452</v>
      </c>
      <c r="P15" s="49" t="n">
        <f aca="false">P10*Base_Efficiency*(1+Degradation_Rate*P14/10000)</f>
        <v>57.329584</v>
      </c>
      <c r="Q15" s="49" t="n">
        <f aca="false">Q10*Base_Efficiency*(1+Degradation_Rate*Q14/10000)</f>
        <v>57.773716</v>
      </c>
      <c r="R15" s="49" t="n">
        <f aca="false">R10*Base_Efficiency*(1+Degradation_Rate*R14/10000)</f>
        <v>58.217848</v>
      </c>
      <c r="S15" s="49" t="n">
        <f aca="false">S10*Base_Efficiency*(1+Degradation_Rate*S14/10000)</f>
        <v>58.66198</v>
      </c>
      <c r="T15" s="49" t="n">
        <f aca="false">T10*Base_Efficiency*(1+Degradation_Rate*T14/10000)</f>
        <v>52.444132</v>
      </c>
      <c r="U15" s="49" t="n">
        <f aca="false">U10*Base_Efficiency*(1+Degradation_Rate*U14/10000)</f>
        <v>52.888264</v>
      </c>
      <c r="V15" s="49" t="n">
        <f aca="false">V10*Base_Efficiency*(1+Degradation_Rate*V14/10000)</f>
        <v>53.332396</v>
      </c>
    </row>
    <row r="16" customFormat="false" ht="15" hidden="false" customHeight="false" outlineLevel="0" collapsed="false">
      <c r="A16" s="5"/>
      <c r="B16" s="44" t="s">
        <v>165</v>
      </c>
      <c r="C16" s="45" t="n">
        <f aca="false">IF(C15&gt;0,Capacity_kW*C11/C15,0)</f>
        <v>0</v>
      </c>
      <c r="D16" s="45" t="n">
        <f aca="false">IF(D15&gt;0,Capacity_kW*D11/D15,0)</f>
        <v>0</v>
      </c>
      <c r="E16" s="45" t="n">
        <f aca="false">IF(E15&gt;0,Capacity_kW*E11/E15,0)</f>
        <v>10857268.0733852</v>
      </c>
      <c r="F16" s="45" t="n">
        <f aca="false">IF(F15&gt;0,Capacity_kW*F11/F15,0)</f>
        <v>10766093.5893075</v>
      </c>
      <c r="G16" s="45" t="n">
        <f aca="false">IF(G15&gt;0,Capacity_kW*G11/G15,0)</f>
        <v>10676437.6383915</v>
      </c>
      <c r="H16" s="45" t="n">
        <f aca="false">IF(H15&gt;0,Capacity_kW*H11/H15,0)</f>
        <v>10588262.5966481</v>
      </c>
      <c r="I16" s="45" t="n">
        <f aca="false">IF(I15&gt;0,Capacity_kW*I11/I15,0)</f>
        <v>10501532.0728298</v>
      </c>
      <c r="J16" s="45" t="n">
        <f aca="false">IF(J15&gt;0,Capacity_kW*J11/J15,0)</f>
        <v>10416210.8583529</v>
      </c>
      <c r="K16" s="45" t="n">
        <f aca="false">IF(K15&gt;0,Capacity_kW*K11/K15,0)</f>
        <v>10332264.8796409</v>
      </c>
      <c r="L16" s="45" t="n">
        <f aca="false">IF(L15&gt;0,Capacity_kW*L11/L15,0)</f>
        <v>10249661.1527546</v>
      </c>
      <c r="M16" s="45" t="n">
        <f aca="false">IF(M15&gt;0,Capacity_kW*M11/M15,0)</f>
        <v>10168367.7401801</v>
      </c>
      <c r="N16" s="45" t="n">
        <f aca="false">IF(N15&gt;0,Capacity_kW*N11/N15,0)</f>
        <v>10088353.7096581</v>
      </c>
      <c r="O16" s="45" t="n">
        <f aca="false">IF(O15&gt;0,Capacity_kW*O11/O15,0)</f>
        <v>10009589.0949412</v>
      </c>
      <c r="P16" s="45" t="n">
        <f aca="false">IF(P15&gt;0,Capacity_kW*P11/P15,0)</f>
        <v>9932044.85837539</v>
      </c>
      <c r="Q16" s="45" t="n">
        <f aca="false">IF(Q15&gt;0,Capacity_kW*Q11/Q15,0)</f>
        <v>9855692.85520772</v>
      </c>
      <c r="R16" s="45" t="n">
        <f aca="false">IF(R15&gt;0,Capacity_kW*R11/R15,0)</f>
        <v>9780505.79952732</v>
      </c>
      <c r="S16" s="45" t="n">
        <f aca="false">IF(S15&gt;0,Capacity_kW*S11/S15,0)</f>
        <v>9706457.23175385</v>
      </c>
      <c r="T16" s="45" t="n">
        <f aca="false">IF(T15&gt;0,Capacity_kW*T11/T15,0)</f>
        <v>10857268.0733852</v>
      </c>
      <c r="U16" s="45" t="n">
        <f aca="false">IF(U15&gt;0,Capacity_kW*U11/U15,0)</f>
        <v>10766093.5893075</v>
      </c>
      <c r="V16" s="45" t="n">
        <f aca="false">IF(V15&gt;0,Capacity_kW*V11/V15,0)</f>
        <v>10676437.6383915</v>
      </c>
    </row>
    <row r="17" customFormat="false" ht="15" hidden="false" customHeight="false" outlineLevel="0" collapsed="false">
      <c r="A17" s="5"/>
      <c r="B17" s="5"/>
      <c r="C17" s="5"/>
      <c r="D17" s="5"/>
      <c r="E17" s="5"/>
      <c r="F17" s="5"/>
      <c r="G17" s="5"/>
      <c r="H17" s="5"/>
      <c r="I17" s="5"/>
      <c r="J17" s="5"/>
      <c r="K17" s="5"/>
      <c r="L17" s="5"/>
      <c r="M17" s="5"/>
      <c r="N17" s="5"/>
      <c r="O17" s="5"/>
      <c r="P17" s="5"/>
      <c r="Q17" s="5"/>
      <c r="R17" s="5"/>
      <c r="S17" s="5"/>
      <c r="T17" s="5"/>
      <c r="U17" s="5"/>
      <c r="V17" s="5"/>
    </row>
    <row r="18" customFormat="false" ht="15" hidden="false" customHeight="false" outlineLevel="0" collapsed="false">
      <c r="A18" s="5"/>
      <c r="B18" s="32" t="s">
        <v>166</v>
      </c>
      <c r="C18" s="16"/>
      <c r="D18" s="16"/>
      <c r="E18" s="16"/>
      <c r="F18" s="16"/>
      <c r="G18" s="16"/>
      <c r="H18" s="16"/>
      <c r="I18" s="16"/>
      <c r="J18" s="16"/>
      <c r="K18" s="16"/>
      <c r="L18" s="16"/>
      <c r="M18" s="16"/>
      <c r="N18" s="16"/>
      <c r="O18" s="16"/>
      <c r="P18" s="16"/>
      <c r="Q18" s="16"/>
      <c r="R18" s="16"/>
      <c r="S18" s="16"/>
      <c r="T18" s="16"/>
      <c r="U18" s="16"/>
      <c r="V18" s="16"/>
    </row>
    <row r="19" customFormat="false" ht="15" hidden="false" customHeight="false" outlineLevel="0" collapsed="false">
      <c r="A19" s="5"/>
      <c r="B19" s="42" t="s">
        <v>167</v>
      </c>
      <c r="C19" s="43" t="n">
        <f aca="false">C16*C15</f>
        <v>0</v>
      </c>
      <c r="D19" s="43" t="n">
        <f aca="false">D16*D15</f>
        <v>0</v>
      </c>
      <c r="E19" s="43" t="n">
        <f aca="false">E16*E15</f>
        <v>569400000</v>
      </c>
      <c r="F19" s="43" t="n">
        <f aca="false">F16*F15</f>
        <v>569400000</v>
      </c>
      <c r="G19" s="43" t="n">
        <f aca="false">G16*G15</f>
        <v>569400000</v>
      </c>
      <c r="H19" s="43" t="n">
        <f aca="false">H16*H15</f>
        <v>569400000</v>
      </c>
      <c r="I19" s="43" t="n">
        <f aca="false">I16*I15</f>
        <v>569400000</v>
      </c>
      <c r="J19" s="43" t="n">
        <f aca="false">J16*J15</f>
        <v>569400000</v>
      </c>
      <c r="K19" s="43" t="n">
        <f aca="false">K16*K15</f>
        <v>569400000</v>
      </c>
      <c r="L19" s="43" t="n">
        <f aca="false">L16*L15</f>
        <v>569400000</v>
      </c>
      <c r="M19" s="43" t="n">
        <f aca="false">M16*M15</f>
        <v>569400000</v>
      </c>
      <c r="N19" s="43" t="n">
        <f aca="false">N16*N15</f>
        <v>569400000</v>
      </c>
      <c r="O19" s="43" t="n">
        <f aca="false">O16*O15</f>
        <v>569400000</v>
      </c>
      <c r="P19" s="43" t="n">
        <f aca="false">P16*P15</f>
        <v>569400000</v>
      </c>
      <c r="Q19" s="43" t="n">
        <f aca="false">Q16*Q15</f>
        <v>569400000</v>
      </c>
      <c r="R19" s="43" t="n">
        <f aca="false">R16*R15</f>
        <v>569400000</v>
      </c>
      <c r="S19" s="43" t="n">
        <f aca="false">S16*S15</f>
        <v>569400000</v>
      </c>
      <c r="T19" s="43" t="n">
        <f aca="false">T16*T15</f>
        <v>569400000</v>
      </c>
      <c r="U19" s="43" t="n">
        <f aca="false">U16*U15</f>
        <v>569400000</v>
      </c>
      <c r="V19" s="43" t="n">
        <f aca="false">V16*V15</f>
        <v>569400000</v>
      </c>
    </row>
    <row r="20" customFormat="false" ht="15" hidden="false" customHeight="false" outlineLevel="0" collapsed="false">
      <c r="A20" s="5"/>
      <c r="B20" s="42" t="s">
        <v>92</v>
      </c>
      <c r="C20" s="43" t="n">
        <f aca="false">C16*Compression_Power</f>
        <v>0</v>
      </c>
      <c r="D20" s="43" t="n">
        <f aca="false">D16*Compression_Power</f>
        <v>0</v>
      </c>
      <c r="E20" s="43" t="n">
        <f aca="false">E16*Compression_Power</f>
        <v>32571804.2201557</v>
      </c>
      <c r="F20" s="43" t="n">
        <f aca="false">F16*Compression_Power</f>
        <v>32298280.7679224</v>
      </c>
      <c r="G20" s="43" t="n">
        <f aca="false">G16*Compression_Power</f>
        <v>32029312.9151745</v>
      </c>
      <c r="H20" s="43" t="n">
        <f aca="false">H16*Compression_Power</f>
        <v>31764787.7899443</v>
      </c>
      <c r="I20" s="43" t="n">
        <f aca="false">I16*Compression_Power</f>
        <v>31504596.2184894</v>
      </c>
      <c r="J20" s="43" t="n">
        <f aca="false">J16*Compression_Power</f>
        <v>31248632.5750586</v>
      </c>
      <c r="K20" s="43" t="n">
        <f aca="false">K16*Compression_Power</f>
        <v>30996794.6389227</v>
      </c>
      <c r="L20" s="43" t="n">
        <f aca="false">L16*Compression_Power</f>
        <v>30748983.4582638</v>
      </c>
      <c r="M20" s="43" t="n">
        <f aca="false">M16*Compression_Power</f>
        <v>30505103.2205403</v>
      </c>
      <c r="N20" s="43" t="n">
        <f aca="false">N16*Compression_Power</f>
        <v>30265061.1289743</v>
      </c>
      <c r="O20" s="43" t="n">
        <f aca="false">O16*Compression_Power</f>
        <v>30028767.2848235</v>
      </c>
      <c r="P20" s="43" t="n">
        <f aca="false">P16*Compression_Power</f>
        <v>29796134.5751262</v>
      </c>
      <c r="Q20" s="43" t="n">
        <f aca="false">Q16*Compression_Power</f>
        <v>29567078.5656232</v>
      </c>
      <c r="R20" s="43" t="n">
        <f aca="false">R16*Compression_Power</f>
        <v>29341517.398582</v>
      </c>
      <c r="S20" s="43" t="n">
        <f aca="false">S16*Compression_Power</f>
        <v>29119371.6952616</v>
      </c>
      <c r="T20" s="43" t="n">
        <f aca="false">T16*Compression_Power</f>
        <v>32571804.2201557</v>
      </c>
      <c r="U20" s="43" t="n">
        <f aca="false">U16*Compression_Power</f>
        <v>32298280.7679224</v>
      </c>
      <c r="V20" s="43" t="n">
        <f aca="false">V16*Compression_Power</f>
        <v>32029312.9151745</v>
      </c>
    </row>
    <row r="21" customFormat="false" ht="15" hidden="false" customHeight="false" outlineLevel="0" collapsed="false">
      <c r="A21" s="5"/>
      <c r="B21" s="44" t="s">
        <v>168</v>
      </c>
      <c r="C21" s="45" t="n">
        <f aca="false">C19+C20</f>
        <v>0</v>
      </c>
      <c r="D21" s="45" t="n">
        <f aca="false">D19+D20</f>
        <v>0</v>
      </c>
      <c r="E21" s="45" t="n">
        <f aca="false">E19+E20</f>
        <v>601971804.220156</v>
      </c>
      <c r="F21" s="45" t="n">
        <f aca="false">F19+F20</f>
        <v>601698280.767922</v>
      </c>
      <c r="G21" s="45" t="n">
        <f aca="false">G19+G20</f>
        <v>601429312.915175</v>
      </c>
      <c r="H21" s="45" t="n">
        <f aca="false">H19+H20</f>
        <v>601164787.789944</v>
      </c>
      <c r="I21" s="45" t="n">
        <f aca="false">I19+I20</f>
        <v>600904596.218489</v>
      </c>
      <c r="J21" s="45" t="n">
        <f aca="false">J19+J20</f>
        <v>600648632.575059</v>
      </c>
      <c r="K21" s="45" t="n">
        <f aca="false">K19+K20</f>
        <v>600396794.638923</v>
      </c>
      <c r="L21" s="45" t="n">
        <f aca="false">L19+L20</f>
        <v>600148983.458264</v>
      </c>
      <c r="M21" s="45" t="n">
        <f aca="false">M19+M20</f>
        <v>599905103.22054</v>
      </c>
      <c r="N21" s="45" t="n">
        <f aca="false">N19+N20</f>
        <v>599665061.128974</v>
      </c>
      <c r="O21" s="45" t="n">
        <f aca="false">O19+O20</f>
        <v>599428767.284824</v>
      </c>
      <c r="P21" s="45" t="n">
        <f aca="false">P19+P20</f>
        <v>599196134.575126</v>
      </c>
      <c r="Q21" s="45" t="n">
        <f aca="false">Q19+Q20</f>
        <v>598967078.565623</v>
      </c>
      <c r="R21" s="45" t="n">
        <f aca="false">R19+R20</f>
        <v>598741517.398582</v>
      </c>
      <c r="S21" s="45" t="n">
        <f aca="false">S19+S20</f>
        <v>598519371.695262</v>
      </c>
      <c r="T21" s="45" t="n">
        <f aca="false">T19+T20</f>
        <v>601971804.220156</v>
      </c>
      <c r="U21" s="45" t="n">
        <f aca="false">U19+U20</f>
        <v>601698280.767922</v>
      </c>
      <c r="V21" s="45" t="n">
        <f aca="false">V19+V20</f>
        <v>601429312.915175</v>
      </c>
    </row>
    <row r="22" customFormat="false" ht="15" hidden="false" customHeight="false" outlineLevel="0" collapsed="false">
      <c r="A22" s="5"/>
      <c r="B22" s="5"/>
      <c r="C22" s="5"/>
      <c r="D22" s="5"/>
      <c r="E22" s="5"/>
      <c r="F22" s="5"/>
      <c r="G22" s="5"/>
      <c r="H22" s="5"/>
      <c r="I22" s="5"/>
      <c r="J22" s="5"/>
      <c r="K22" s="5"/>
      <c r="L22" s="5"/>
      <c r="M22" s="5"/>
      <c r="N22" s="5"/>
      <c r="O22" s="5"/>
      <c r="P22" s="5"/>
      <c r="Q22" s="5"/>
      <c r="R22" s="5"/>
      <c r="S22" s="5"/>
      <c r="T22" s="5"/>
      <c r="U22" s="5"/>
      <c r="V22" s="5"/>
    </row>
    <row r="23" customFormat="false" ht="15" hidden="false" customHeight="false" outlineLevel="0" collapsed="false">
      <c r="A23" s="5"/>
      <c r="B23" s="32" t="s">
        <v>169</v>
      </c>
      <c r="C23" s="16"/>
      <c r="D23" s="16"/>
      <c r="E23" s="16"/>
      <c r="F23" s="16"/>
      <c r="G23" s="16"/>
      <c r="H23" s="16"/>
      <c r="I23" s="16"/>
      <c r="J23" s="16"/>
      <c r="K23" s="16"/>
      <c r="L23" s="16"/>
      <c r="M23" s="16"/>
      <c r="N23" s="16"/>
      <c r="O23" s="16"/>
      <c r="P23" s="16"/>
      <c r="Q23" s="16"/>
      <c r="R23" s="16"/>
      <c r="S23" s="16"/>
      <c r="T23" s="16"/>
      <c r="U23" s="16"/>
      <c r="V23" s="16"/>
    </row>
    <row r="24" customFormat="false" ht="15" hidden="false" customHeight="false" outlineLevel="0" collapsed="false">
      <c r="A24" s="5"/>
      <c r="B24" s="42" t="s">
        <v>170</v>
      </c>
      <c r="C24" s="43" t="n">
        <f aca="false">C16*Water_Requirement</f>
        <v>0</v>
      </c>
      <c r="D24" s="43" t="n">
        <f aca="false">D16*Water_Requirement</f>
        <v>0</v>
      </c>
      <c r="E24" s="43" t="n">
        <f aca="false">E16*Water_Requirement</f>
        <v>108572680.733852</v>
      </c>
      <c r="F24" s="43" t="n">
        <f aca="false">F16*Water_Requirement</f>
        <v>107660935.893075</v>
      </c>
      <c r="G24" s="43" t="n">
        <f aca="false">G16*Water_Requirement</f>
        <v>106764376.383915</v>
      </c>
      <c r="H24" s="43" t="n">
        <f aca="false">H16*Water_Requirement</f>
        <v>105882625.966481</v>
      </c>
      <c r="I24" s="43" t="n">
        <f aca="false">I16*Water_Requirement</f>
        <v>105015320.728298</v>
      </c>
      <c r="J24" s="43" t="n">
        <f aca="false">J16*Water_Requirement</f>
        <v>104162108.583529</v>
      </c>
      <c r="K24" s="43" t="n">
        <f aca="false">K16*Water_Requirement</f>
        <v>103322648.796409</v>
      </c>
      <c r="L24" s="43" t="n">
        <f aca="false">L16*Water_Requirement</f>
        <v>102496611.527546</v>
      </c>
      <c r="M24" s="43" t="n">
        <f aca="false">M16*Water_Requirement</f>
        <v>101683677.401801</v>
      </c>
      <c r="N24" s="43" t="n">
        <f aca="false">N16*Water_Requirement</f>
        <v>100883537.096581</v>
      </c>
      <c r="O24" s="43" t="n">
        <f aca="false">O16*Water_Requirement</f>
        <v>100095890.949412</v>
      </c>
      <c r="P24" s="43" t="n">
        <f aca="false">P16*Water_Requirement</f>
        <v>99320448.5837539</v>
      </c>
      <c r="Q24" s="43" t="n">
        <f aca="false">Q16*Water_Requirement</f>
        <v>98556928.5520772</v>
      </c>
      <c r="R24" s="43" t="n">
        <f aca="false">R16*Water_Requirement</f>
        <v>97805057.9952732</v>
      </c>
      <c r="S24" s="43" t="n">
        <f aca="false">S16*Water_Requirement</f>
        <v>97064572.3175385</v>
      </c>
      <c r="T24" s="43" t="n">
        <f aca="false">T16*Water_Requirement</f>
        <v>108572680.733852</v>
      </c>
      <c r="U24" s="43" t="n">
        <f aca="false">U16*Water_Requirement</f>
        <v>107660935.893075</v>
      </c>
      <c r="V24" s="43" t="n">
        <f aca="false">V16*Water_Requirement</f>
        <v>106764376.383915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V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22" min="3" style="0" width="16"/>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row>
    <row r="2" customFormat="false" ht="22.05" hidden="false" customHeight="false" outlineLevel="0" collapsed="false">
      <c r="A2" s="5"/>
      <c r="B2" s="28" t="s">
        <v>171</v>
      </c>
      <c r="C2" s="5"/>
      <c r="D2" s="5"/>
      <c r="E2" s="5"/>
      <c r="F2" s="5"/>
      <c r="G2" s="5"/>
      <c r="H2" s="5"/>
      <c r="I2" s="5"/>
      <c r="J2" s="5"/>
      <c r="K2" s="5"/>
      <c r="L2" s="5"/>
      <c r="M2" s="5"/>
      <c r="N2" s="5"/>
      <c r="O2" s="5"/>
      <c r="P2" s="5"/>
      <c r="Q2" s="5"/>
      <c r="R2" s="5"/>
      <c r="S2" s="5"/>
      <c r="T2" s="5"/>
      <c r="U2" s="5"/>
      <c r="V2" s="5"/>
    </row>
    <row r="3" customFormat="false" ht="15" hidden="false" customHeight="false" outlineLevel="0" collapsed="false">
      <c r="A3" s="5"/>
      <c r="B3" s="29" t="s">
        <v>172</v>
      </c>
      <c r="C3" s="5"/>
      <c r="D3" s="5"/>
      <c r="E3" s="5"/>
      <c r="F3" s="5"/>
      <c r="G3" s="5"/>
      <c r="H3" s="5"/>
      <c r="I3" s="5"/>
      <c r="J3" s="5"/>
      <c r="K3" s="5"/>
      <c r="L3" s="5"/>
      <c r="M3" s="5"/>
      <c r="N3" s="5"/>
      <c r="O3" s="5"/>
      <c r="P3" s="5"/>
      <c r="Q3" s="5"/>
      <c r="R3" s="5"/>
      <c r="S3" s="5"/>
      <c r="T3" s="5"/>
      <c r="U3" s="5"/>
      <c r="V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row>
    <row r="5" customFormat="false" ht="15" hidden="false" customHeight="false" outlineLevel="0" collapsed="false">
      <c r="A5" s="5"/>
      <c r="B5" s="39" t="s">
        <v>67</v>
      </c>
      <c r="C5" s="40" t="n">
        <f aca="false">Model_Start+0</f>
        <v>2026</v>
      </c>
      <c r="D5" s="40" t="n">
        <f aca="false">Model_Start+1</f>
        <v>2027</v>
      </c>
      <c r="E5" s="40" t="n">
        <f aca="false">Model_Start+2</f>
        <v>2028</v>
      </c>
      <c r="F5" s="40" t="n">
        <f aca="false">Model_Start+3</f>
        <v>2029</v>
      </c>
      <c r="G5" s="40" t="n">
        <f aca="false">Model_Start+4</f>
        <v>2030</v>
      </c>
      <c r="H5" s="40" t="n">
        <f aca="false">Model_Start+5</f>
        <v>2031</v>
      </c>
      <c r="I5" s="40" t="n">
        <f aca="false">Model_Start+6</f>
        <v>2032</v>
      </c>
      <c r="J5" s="40" t="n">
        <f aca="false">Model_Start+7</f>
        <v>2033</v>
      </c>
      <c r="K5" s="40" t="n">
        <f aca="false">Model_Start+8</f>
        <v>2034</v>
      </c>
      <c r="L5" s="40" t="n">
        <f aca="false">Model_Start+9</f>
        <v>2035</v>
      </c>
      <c r="M5" s="40" t="n">
        <f aca="false">Model_Start+10</f>
        <v>2036</v>
      </c>
      <c r="N5" s="40" t="n">
        <f aca="false">Model_Start+11</f>
        <v>2037</v>
      </c>
      <c r="O5" s="40" t="n">
        <f aca="false">Model_Start+12</f>
        <v>2038</v>
      </c>
      <c r="P5" s="40" t="n">
        <f aca="false">Model_Start+13</f>
        <v>2039</v>
      </c>
      <c r="Q5" s="40" t="n">
        <f aca="false">Model_Start+14</f>
        <v>2040</v>
      </c>
      <c r="R5" s="40" t="n">
        <f aca="false">Model_Start+15</f>
        <v>2041</v>
      </c>
      <c r="S5" s="40" t="n">
        <f aca="false">Model_Start+16</f>
        <v>2042</v>
      </c>
      <c r="T5" s="40" t="n">
        <f aca="false">Model_Start+17</f>
        <v>2043</v>
      </c>
      <c r="U5" s="40" t="n">
        <f aca="false">Model_Start+18</f>
        <v>2044</v>
      </c>
      <c r="V5" s="40" t="n">
        <f aca="false">Model_Start+19</f>
        <v>2045</v>
      </c>
    </row>
    <row r="6" customFormat="false" ht="15" hidden="false" customHeight="false" outlineLevel="0" collapsed="false">
      <c r="A6" s="5"/>
      <c r="B6" s="29" t="s">
        <v>146</v>
      </c>
      <c r="C6" s="41" t="n">
        <v>1</v>
      </c>
      <c r="D6" s="41" t="n">
        <v>2</v>
      </c>
      <c r="E6" s="41" t="n">
        <v>3</v>
      </c>
      <c r="F6" s="41" t="n">
        <v>4</v>
      </c>
      <c r="G6" s="41" t="n">
        <v>5</v>
      </c>
      <c r="H6" s="41" t="n">
        <v>6</v>
      </c>
      <c r="I6" s="41" t="n">
        <v>7</v>
      </c>
      <c r="J6" s="41" t="n">
        <v>8</v>
      </c>
      <c r="K6" s="41" t="n">
        <v>9</v>
      </c>
      <c r="L6" s="41" t="n">
        <v>10</v>
      </c>
      <c r="M6" s="41" t="n">
        <v>11</v>
      </c>
      <c r="N6" s="41" t="n">
        <v>12</v>
      </c>
      <c r="O6" s="41" t="n">
        <v>13</v>
      </c>
      <c r="P6" s="41" t="n">
        <v>14</v>
      </c>
      <c r="Q6" s="41" t="n">
        <v>15</v>
      </c>
      <c r="R6" s="41" t="n">
        <v>16</v>
      </c>
      <c r="S6" s="41" t="n">
        <v>17</v>
      </c>
      <c r="T6" s="41" t="n">
        <v>18</v>
      </c>
      <c r="U6" s="41" t="n">
        <v>19</v>
      </c>
      <c r="V6" s="41" t="n">
        <v>20</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row>
    <row r="8" customFormat="false" ht="15" hidden="false" customHeight="false" outlineLevel="0" collapsed="false">
      <c r="A8" s="5"/>
      <c r="B8" s="32" t="s">
        <v>173</v>
      </c>
      <c r="C8" s="16"/>
      <c r="D8" s="16"/>
      <c r="E8" s="16"/>
      <c r="F8" s="16"/>
      <c r="G8" s="16"/>
      <c r="H8" s="16"/>
      <c r="I8" s="16"/>
      <c r="J8" s="16"/>
      <c r="K8" s="16"/>
      <c r="L8" s="16"/>
      <c r="M8" s="16"/>
      <c r="N8" s="16"/>
      <c r="O8" s="16"/>
      <c r="P8" s="16"/>
      <c r="Q8" s="16"/>
      <c r="R8" s="16"/>
      <c r="S8" s="16"/>
      <c r="T8" s="16"/>
      <c r="U8" s="16"/>
      <c r="V8" s="16"/>
    </row>
    <row r="9" customFormat="false" ht="15" hidden="false" customHeight="false" outlineLevel="0" collapsed="false">
      <c r="A9" s="5"/>
      <c r="B9" s="42" t="s">
        <v>174</v>
      </c>
      <c r="C9" s="43" t="n">
        <f aca="false">OP_H2_Prod*H2_Sale_Price*(1+Price_Escalation)^MAX(0,OP_Year_Num-1)</f>
        <v>0</v>
      </c>
      <c r="D9" s="43" t="n">
        <f aca="false">OP_H2_Prod*H2_Sale_Price*(1+Price_Escalation)^MAX(0,OP_Year_Num-1)</f>
        <v>0</v>
      </c>
      <c r="E9" s="43" t="n">
        <f aca="false">OP_H2_Prod*H2_Sale_Price*(1+Price_Escalation)^MAX(0,OP_Year_Num-1)</f>
        <v>70572242.4770039</v>
      </c>
      <c r="F9" s="43" t="n">
        <f aca="false">OP_H2_Prod*H2_Sale_Price*(1+Price_Escalation)^MAX(0,OP_Year_Num-1)</f>
        <v>71729098.5387609</v>
      </c>
      <c r="G9" s="43" t="n">
        <f aca="false">OP_H2_Prod*H2_Sale_Price*(1+Price_Escalation)^MAX(0,OP_Year_Num-1)</f>
        <v>72910059.9099279</v>
      </c>
      <c r="H9" s="43" t="n">
        <f aca="false">OP_H2_Prod*H2_Sale_Price*(1+Price_Escalation)^MAX(0,OP_Year_Num-1)</f>
        <v>74115604.7148953</v>
      </c>
      <c r="I9" s="43" t="n">
        <f aca="false">OP_H2_Prod*H2_Sale_Price*(1+Price_Escalation)^MAX(0,OP_Year_Num-1)</f>
        <v>75346222.0764592</v>
      </c>
      <c r="J9" s="43" t="n">
        <f aca="false">OP_H2_Prod*H2_Sale_Price*(1+Price_Escalation)^MAX(0,OP_Year_Num-1)</f>
        <v>76602412.330216</v>
      </c>
      <c r="K9" s="43" t="n">
        <f aca="false">OP_H2_Prod*H2_Sale_Price*(1+Price_Escalation)^MAX(0,OP_Year_Num-1)</f>
        <v>77884687.2449864</v>
      </c>
      <c r="L9" s="43" t="n">
        <f aca="false">OP_H2_Prod*H2_Sale_Price*(1+Price_Escalation)^MAX(0,OP_Year_Num-1)</f>
        <v>79193570.2493382</v>
      </c>
      <c r="M9" s="43" t="n">
        <f aca="false">OP_H2_Prod*H2_Sale_Price*(1+Price_Escalation)^MAX(0,OP_Year_Num-1)</f>
        <v>80529596.6642817</v>
      </c>
      <c r="N9" s="43" t="n">
        <f aca="false">OP_H2_Prod*H2_Sale_Price*(1+Price_Escalation)^MAX(0,OP_Year_Num-1)</f>
        <v>81893313.9422201</v>
      </c>
      <c r="O9" s="43" t="n">
        <f aca="false">OP_H2_Prod*H2_Sale_Price*(1+Price_Escalation)^MAX(0,OP_Year_Num-1)</f>
        <v>83285281.9122389</v>
      </c>
      <c r="P9" s="43" t="n">
        <f aca="false">OP_H2_Prod*H2_Sale_Price*(1+Price_Escalation)^MAX(0,OP_Year_Num-1)</f>
        <v>84706073.0318271</v>
      </c>
      <c r="Q9" s="43" t="n">
        <f aca="false">OP_H2_Prod*H2_Sale_Price*(1+Price_Escalation)^MAX(0,OP_Year_Num-1)</f>
        <v>86156272.6451241</v>
      </c>
      <c r="R9" s="43" t="n">
        <f aca="false">OP_H2_Prod*H2_Sale_Price*(1+Price_Escalation)^MAX(0,OP_Year_Num-1)</f>
        <v>87636479.2477973</v>
      </c>
      <c r="S9" s="43" t="n">
        <f aca="false">OP_H2_Prod*H2_Sale_Price*(1+Price_Escalation)^MAX(0,OP_Year_Num-1)</f>
        <v>89147304.7586529</v>
      </c>
      <c r="T9" s="43" t="n">
        <f aca="false">OP_H2_Prod*H2_Sale_Price*(1+Price_Escalation)^MAX(0,OP_Year_Num-1)</f>
        <v>102209649.385105</v>
      </c>
      <c r="U9" s="43" t="n">
        <f aca="false">OP_H2_Prod*H2_Sale_Price*(1+Price_Escalation)^MAX(0,OP_Year_Num-1)</f>
        <v>103885121.89825</v>
      </c>
      <c r="V9" s="43" t="n">
        <f aca="false">OP_H2_Prod*H2_Sale_Price*(1+Price_Escalation)^MAX(0,OP_Year_Num-1)</f>
        <v>105595506.086816</v>
      </c>
    </row>
    <row r="10" customFormat="false" ht="15" hidden="false" customHeight="false" outlineLevel="0" collapsed="false">
      <c r="A10" s="5"/>
      <c r="B10" s="42" t="s">
        <v>175</v>
      </c>
      <c r="C10" s="43" t="n">
        <f aca="false">OP_H2_Prod*Subsidy_per_kg</f>
        <v>0</v>
      </c>
      <c r="D10" s="43" t="n">
        <f aca="false">OP_H2_Prod*Subsidy_per_kg</f>
        <v>0</v>
      </c>
      <c r="E10" s="43" t="n">
        <f aca="false">OP_H2_Prod*Subsidy_per_kg</f>
        <v>0</v>
      </c>
      <c r="F10" s="43" t="n">
        <f aca="false">OP_H2_Prod*Subsidy_per_kg</f>
        <v>0</v>
      </c>
      <c r="G10" s="43" t="n">
        <f aca="false">OP_H2_Prod*Subsidy_per_kg</f>
        <v>0</v>
      </c>
      <c r="H10" s="43" t="n">
        <f aca="false">OP_H2_Prod*Subsidy_per_kg</f>
        <v>0</v>
      </c>
      <c r="I10" s="43" t="n">
        <f aca="false">OP_H2_Prod*Subsidy_per_kg</f>
        <v>0</v>
      </c>
      <c r="J10" s="43" t="n">
        <f aca="false">OP_H2_Prod*Subsidy_per_kg</f>
        <v>0</v>
      </c>
      <c r="K10" s="43" t="n">
        <f aca="false">OP_H2_Prod*Subsidy_per_kg</f>
        <v>0</v>
      </c>
      <c r="L10" s="43" t="n">
        <f aca="false">OP_H2_Prod*Subsidy_per_kg</f>
        <v>0</v>
      </c>
      <c r="M10" s="43" t="n">
        <f aca="false">OP_H2_Prod*Subsidy_per_kg</f>
        <v>0</v>
      </c>
      <c r="N10" s="43" t="n">
        <f aca="false">OP_H2_Prod*Subsidy_per_kg</f>
        <v>0</v>
      </c>
      <c r="O10" s="43" t="n">
        <f aca="false">OP_H2_Prod*Subsidy_per_kg</f>
        <v>0</v>
      </c>
      <c r="P10" s="43" t="n">
        <f aca="false">OP_H2_Prod*Subsidy_per_kg</f>
        <v>0</v>
      </c>
      <c r="Q10" s="43" t="n">
        <f aca="false">OP_H2_Prod*Subsidy_per_kg</f>
        <v>0</v>
      </c>
      <c r="R10" s="43" t="n">
        <f aca="false">OP_H2_Prod*Subsidy_per_kg</f>
        <v>0</v>
      </c>
      <c r="S10" s="43" t="n">
        <f aca="false">OP_H2_Prod*Subsidy_per_kg</f>
        <v>0</v>
      </c>
      <c r="T10" s="43" t="n">
        <f aca="false">OP_H2_Prod*Subsidy_per_kg</f>
        <v>0</v>
      </c>
      <c r="U10" s="43" t="n">
        <f aca="false">OP_H2_Prod*Subsidy_per_kg</f>
        <v>0</v>
      </c>
      <c r="V10" s="43" t="n">
        <f aca="false">OP_H2_Prod*Subsidy_per_kg</f>
        <v>0</v>
      </c>
    </row>
    <row r="11" customFormat="false" ht="15" hidden="false" customHeight="false" outlineLevel="0" collapsed="false">
      <c r="A11" s="5"/>
      <c r="B11" s="44" t="s">
        <v>176</v>
      </c>
      <c r="C11" s="45" t="n">
        <f aca="false">C9+C10</f>
        <v>0</v>
      </c>
      <c r="D11" s="45" t="n">
        <f aca="false">D9+D10</f>
        <v>0</v>
      </c>
      <c r="E11" s="45" t="n">
        <f aca="false">E9+E10</f>
        <v>70572242.4770039</v>
      </c>
      <c r="F11" s="45" t="n">
        <f aca="false">F9+F10</f>
        <v>71729098.5387609</v>
      </c>
      <c r="G11" s="45" t="n">
        <f aca="false">G9+G10</f>
        <v>72910059.9099279</v>
      </c>
      <c r="H11" s="45" t="n">
        <f aca="false">H9+H10</f>
        <v>74115604.7148953</v>
      </c>
      <c r="I11" s="45" t="n">
        <f aca="false">I9+I10</f>
        <v>75346222.0764592</v>
      </c>
      <c r="J11" s="45" t="n">
        <f aca="false">J9+J10</f>
        <v>76602412.330216</v>
      </c>
      <c r="K11" s="45" t="n">
        <f aca="false">K9+K10</f>
        <v>77884687.2449864</v>
      </c>
      <c r="L11" s="45" t="n">
        <f aca="false">L9+L10</f>
        <v>79193570.2493382</v>
      </c>
      <c r="M11" s="45" t="n">
        <f aca="false">M9+M10</f>
        <v>80529596.6642817</v>
      </c>
      <c r="N11" s="45" t="n">
        <f aca="false">N9+N10</f>
        <v>81893313.9422201</v>
      </c>
      <c r="O11" s="45" t="n">
        <f aca="false">O9+O10</f>
        <v>83285281.9122389</v>
      </c>
      <c r="P11" s="45" t="n">
        <f aca="false">P9+P10</f>
        <v>84706073.0318271</v>
      </c>
      <c r="Q11" s="45" t="n">
        <f aca="false">Q9+Q10</f>
        <v>86156272.6451241</v>
      </c>
      <c r="R11" s="45" t="n">
        <f aca="false">R9+R10</f>
        <v>87636479.2477973</v>
      </c>
      <c r="S11" s="45" t="n">
        <f aca="false">S9+S10</f>
        <v>89147304.7586529</v>
      </c>
      <c r="T11" s="45" t="n">
        <f aca="false">T9+T10</f>
        <v>102209649.385105</v>
      </c>
      <c r="U11" s="45" t="n">
        <f aca="false">U9+U10</f>
        <v>103885121.89825</v>
      </c>
      <c r="V11" s="45" t="n">
        <f aca="false">V9+V10</f>
        <v>105595506.086816</v>
      </c>
    </row>
    <row r="12" customFormat="false" ht="15" hidden="false" customHeight="false" outlineLevel="0" collapsed="false">
      <c r="A12" s="5"/>
      <c r="B12" s="5"/>
      <c r="C12" s="5"/>
      <c r="D12" s="5"/>
      <c r="E12" s="5"/>
      <c r="F12" s="5"/>
      <c r="G12" s="5"/>
      <c r="H12" s="5"/>
      <c r="I12" s="5"/>
      <c r="J12" s="5"/>
      <c r="K12" s="5"/>
      <c r="L12" s="5"/>
      <c r="M12" s="5"/>
      <c r="N12" s="5"/>
      <c r="O12" s="5"/>
      <c r="P12" s="5"/>
      <c r="Q12" s="5"/>
      <c r="R12" s="5"/>
      <c r="S12" s="5"/>
      <c r="T12" s="5"/>
      <c r="U12" s="5"/>
      <c r="V12" s="5"/>
    </row>
    <row r="13" customFormat="false" ht="15" hidden="false" customHeight="false" outlineLevel="0" collapsed="false">
      <c r="A13" s="5"/>
      <c r="B13" s="32" t="s">
        <v>177</v>
      </c>
      <c r="C13" s="16"/>
      <c r="D13" s="16"/>
      <c r="E13" s="16"/>
      <c r="F13" s="16"/>
      <c r="G13" s="16"/>
      <c r="H13" s="16"/>
      <c r="I13" s="16"/>
      <c r="J13" s="16"/>
      <c r="K13" s="16"/>
      <c r="L13" s="16"/>
      <c r="M13" s="16"/>
      <c r="N13" s="16"/>
      <c r="O13" s="16"/>
      <c r="P13" s="16"/>
      <c r="Q13" s="16"/>
      <c r="R13" s="16"/>
      <c r="S13" s="16"/>
      <c r="T13" s="16"/>
      <c r="U13" s="16"/>
      <c r="V13" s="16"/>
    </row>
    <row r="14" customFormat="false" ht="15" hidden="false" customHeight="false" outlineLevel="0" collapsed="false">
      <c r="A14" s="5"/>
      <c r="B14" s="42" t="s">
        <v>178</v>
      </c>
      <c r="C14" s="43" t="n">
        <f aca="false">OP_Total_Power/1000*Power_Cost_MWh*(1+Inflation_Rate)^(OP_Year_Num-1)</f>
        <v>0</v>
      </c>
      <c r="D14" s="43" t="n">
        <f aca="false">OP_Total_Power/1000*Power_Cost_MWh*(1+Inflation_Rate)^(OP_Year_Num-1)</f>
        <v>0</v>
      </c>
      <c r="E14" s="43" t="n">
        <f aca="false">OP_Total_Power/1000*Power_Cost_MWh*(1+Inflation_Rate)^(OP_Year_Num-1)</f>
        <v>27088731.189907</v>
      </c>
      <c r="F14" s="43" t="n">
        <f aca="false">OP_Total_Power/1000*Power_Cost_MWh*(1+Inflation_Rate)^(OP_Year_Num-1)</f>
        <v>27753333.2004204</v>
      </c>
      <c r="G14" s="43" t="n">
        <f aca="false">OP_Total_Power/1000*Power_Cost_MWh*(1+Inflation_Rate)^(OP_Year_Num-1)</f>
        <v>28434450.2346677</v>
      </c>
      <c r="H14" s="43" t="n">
        <f aca="false">OP_Total_Power/1000*Power_Cost_MWh*(1+Inflation_Rate)^(OP_Year_Num-1)</f>
        <v>29132492.5822997</v>
      </c>
      <c r="I14" s="43" t="n">
        <f aca="false">OP_Total_Power/1000*Power_Cost_MWh*(1+Inflation_Rate)^(OP_Year_Num-1)</f>
        <v>29847880.7703801</v>
      </c>
      <c r="J14" s="43" t="n">
        <f aca="false">OP_Total_Power/1000*Power_Cost_MWh*(1+Inflation_Rate)^(OP_Year_Num-1)</f>
        <v>30581045.8180625</v>
      </c>
      <c r="K14" s="43" t="n">
        <f aca="false">OP_Total_Power/1000*Power_Cost_MWh*(1+Inflation_Rate)^(OP_Year_Num-1)</f>
        <v>31332429.4976494</v>
      </c>
      <c r="L14" s="43" t="n">
        <f aca="false">OP_Total_Power/1000*Power_Cost_MWh*(1+Inflation_Rate)^(OP_Year_Num-1)</f>
        <v>32102484.6021884</v>
      </c>
      <c r="M14" s="43" t="n">
        <f aca="false">OP_Total_Power/1000*Power_Cost_MWh*(1+Inflation_Rate)^(OP_Year_Num-1)</f>
        <v>32891675.2197702</v>
      </c>
      <c r="N14" s="43" t="n">
        <f aca="false">OP_Total_Power/1000*Power_Cost_MWh*(1+Inflation_Rate)^(OP_Year_Num-1)</f>
        <v>33700477.0146921</v>
      </c>
      <c r="O14" s="43" t="n">
        <f aca="false">OP_Total_Power/1000*Power_Cost_MWh*(1+Inflation_Rate)^(OP_Year_Num-1)</f>
        <v>34529377.515659</v>
      </c>
      <c r="P14" s="43" t="n">
        <f aca="false">OP_Total_Power/1000*Power_Cost_MWh*(1+Inflation_Rate)^(OP_Year_Num-1)</f>
        <v>35378876.4111952</v>
      </c>
      <c r="Q14" s="43" t="n">
        <f aca="false">OP_Total_Power/1000*Power_Cost_MWh*(1+Inflation_Rate)^(OP_Year_Num-1)</f>
        <v>36249485.8524462</v>
      </c>
      <c r="R14" s="43" t="n">
        <f aca="false">OP_Total_Power/1000*Power_Cost_MWh*(1+Inflation_Rate)^(OP_Year_Num-1)</f>
        <v>37141730.7635548</v>
      </c>
      <c r="S14" s="43" t="n">
        <f aca="false">OP_Total_Power/1000*Power_Cost_MWh*(1+Inflation_Rate)^(OP_Year_Num-1)</f>
        <v>38056149.1597982</v>
      </c>
      <c r="T14" s="43" t="n">
        <f aca="false">OP_Total_Power/1000*Power_Cost_MWh*(1+Inflation_Rate)^(OP_Year_Num-1)</f>
        <v>39232559.7151025</v>
      </c>
      <c r="U14" s="43" t="n">
        <f aca="false">OP_Total_Power/1000*Power_Cost_MWh*(1+Inflation_Rate)^(OP_Year_Num-1)</f>
        <v>40195101.58838</v>
      </c>
      <c r="V14" s="43" t="n">
        <f aca="false">OP_Total_Power/1000*Power_Cost_MWh*(1+Inflation_Rate)^(OP_Year_Num-1)</f>
        <v>41181562.140251</v>
      </c>
    </row>
    <row r="15" customFormat="false" ht="15" hidden="false" customHeight="false" outlineLevel="0" collapsed="false">
      <c r="A15" s="5"/>
      <c r="B15" s="42" t="s">
        <v>110</v>
      </c>
      <c r="C15" s="43" t="n">
        <f aca="false">OP_Water_Vol/1000*Water_Cost_m3*(1+Inflation_Rate)^(OP_Year_Num-1)</f>
        <v>0</v>
      </c>
      <c r="D15" s="43" t="n">
        <f aca="false">OP_Water_Vol/1000*Water_Cost_m3*(1+Inflation_Rate)^(OP_Year_Num-1)</f>
        <v>0</v>
      </c>
      <c r="E15" s="43" t="n">
        <f aca="false">OP_Water_Vol/1000*Water_Cost_m3*(1+Inflation_Rate)^(OP_Year_Num-1)</f>
        <v>217145.361467704</v>
      </c>
      <c r="F15" s="43" t="n">
        <f aca="false">OP_Water_Vol/1000*Water_Cost_m3*(1+Inflation_Rate)^(OP_Year_Num-1)</f>
        <v>220704.918580803</v>
      </c>
      <c r="G15" s="43" t="n">
        <f aca="false">OP_Water_Vol/1000*Water_Cost_m3*(1+Inflation_Rate)^(OP_Year_Num-1)</f>
        <v>224338.645876701</v>
      </c>
      <c r="H15" s="43" t="n">
        <f aca="false">OP_Water_Vol/1000*Water_Cost_m3*(1+Inflation_Rate)^(OP_Year_Num-1)</f>
        <v>228048.01450737</v>
      </c>
      <c r="I15" s="43" t="n">
        <f aca="false">OP_Water_Vol/1000*Water_Cost_m3*(1+Inflation_Rate)^(OP_Year_Num-1)</f>
        <v>231834.529466028</v>
      </c>
      <c r="J15" s="43" t="n">
        <f aca="false">OP_Water_Vol/1000*Water_Cost_m3*(1+Inflation_Rate)^(OP_Year_Num-1)</f>
        <v>235699.730246818</v>
      </c>
      <c r="K15" s="43" t="n">
        <f aca="false">OP_Water_Vol/1000*Water_Cost_m3*(1+Inflation_Rate)^(OP_Year_Num-1)</f>
        <v>239645.191523035</v>
      </c>
      <c r="L15" s="43" t="n">
        <f aca="false">OP_Water_Vol/1000*Water_Cost_m3*(1+Inflation_Rate)^(OP_Year_Num-1)</f>
        <v>243672.523844118</v>
      </c>
      <c r="M15" s="43" t="n">
        <f aca="false">OP_Water_Vol/1000*Water_Cost_m3*(1+Inflation_Rate)^(OP_Year_Num-1)</f>
        <v>247783.374351636</v>
      </c>
      <c r="N15" s="43" t="n">
        <f aca="false">OP_Water_Vol/1000*Water_Cost_m3*(1+Inflation_Rate)^(OP_Year_Num-1)</f>
        <v>251979.427514523</v>
      </c>
      <c r="O15" s="43" t="n">
        <f aca="false">OP_Water_Vol/1000*Water_Cost_m3*(1+Inflation_Rate)^(OP_Year_Num-1)</f>
        <v>256262.405883812</v>
      </c>
      <c r="P15" s="43" t="n">
        <f aca="false">OP_Water_Vol/1000*Water_Cost_m3*(1+Inflation_Rate)^(OP_Year_Num-1)</f>
        <v>260634.07086716</v>
      </c>
      <c r="Q15" s="43" t="n">
        <f aca="false">OP_Water_Vol/1000*Water_Cost_m3*(1+Inflation_Rate)^(OP_Year_Num-1)</f>
        <v>265096.223523459</v>
      </c>
      <c r="R15" s="43" t="n">
        <f aca="false">OP_Water_Vol/1000*Water_Cost_m3*(1+Inflation_Rate)^(OP_Year_Num-1)</f>
        <v>269650.705377838</v>
      </c>
      <c r="S15" s="43" t="n">
        <f aca="false">OP_Water_Vol/1000*Water_Cost_m3*(1+Inflation_Rate)^(OP_Year_Num-1)</f>
        <v>274299.399257394</v>
      </c>
      <c r="T15" s="43" t="n">
        <f aca="false">OP_Water_Vol/1000*Water_Cost_m3*(1+Inflation_Rate)^(OP_Year_Num-1)</f>
        <v>314491.228877245</v>
      </c>
      <c r="U15" s="43" t="n">
        <f aca="false">OP_Water_Vol/1000*Water_Cost_m3*(1+Inflation_Rate)^(OP_Year_Num-1)</f>
        <v>319646.528917691</v>
      </c>
      <c r="V15" s="43" t="n">
        <f aca="false">OP_Water_Vol/1000*Water_Cost_m3*(1+Inflation_Rate)^(OP_Year_Num-1)</f>
        <v>324909.249497895</v>
      </c>
    </row>
    <row r="16" customFormat="false" ht="15" hidden="false" customHeight="false" outlineLevel="0" collapsed="false">
      <c r="A16" s="5"/>
      <c r="B16" s="44" t="s">
        <v>179</v>
      </c>
      <c r="C16" s="45" t="n">
        <f aca="false">C14+C15</f>
        <v>0</v>
      </c>
      <c r="D16" s="45" t="n">
        <f aca="false">D14+D15</f>
        <v>0</v>
      </c>
      <c r="E16" s="45" t="n">
        <f aca="false">E14+E15</f>
        <v>27305876.5513747</v>
      </c>
      <c r="F16" s="45" t="n">
        <f aca="false">F14+F15</f>
        <v>27974038.1190012</v>
      </c>
      <c r="G16" s="45" t="n">
        <f aca="false">G14+G15</f>
        <v>28658788.8805444</v>
      </c>
      <c r="H16" s="45" t="n">
        <f aca="false">H14+H15</f>
        <v>29360540.5968071</v>
      </c>
      <c r="I16" s="45" t="n">
        <f aca="false">I14+I15</f>
        <v>30079715.2998461</v>
      </c>
      <c r="J16" s="45" t="n">
        <f aca="false">J14+J15</f>
        <v>30816745.5483093</v>
      </c>
      <c r="K16" s="45" t="n">
        <f aca="false">K14+K15</f>
        <v>31572074.6891724</v>
      </c>
      <c r="L16" s="45" t="n">
        <f aca="false">L14+L15</f>
        <v>32346157.1260325</v>
      </c>
      <c r="M16" s="45" t="n">
        <f aca="false">M14+M15</f>
        <v>33139458.5941218</v>
      </c>
      <c r="N16" s="45" t="n">
        <f aca="false">N14+N15</f>
        <v>33952456.4422066</v>
      </c>
      <c r="O16" s="45" t="n">
        <f aca="false">O14+O15</f>
        <v>34785639.9215428</v>
      </c>
      <c r="P16" s="45" t="n">
        <f aca="false">P14+P15</f>
        <v>35639510.4820623</v>
      </c>
      <c r="Q16" s="45" t="n">
        <f aca="false">Q14+Q15</f>
        <v>36514582.0759697</v>
      </c>
      <c r="R16" s="45" t="n">
        <f aca="false">R14+R15</f>
        <v>37411381.4689327</v>
      </c>
      <c r="S16" s="45" t="n">
        <f aca="false">S14+S15</f>
        <v>38330448.5590556</v>
      </c>
      <c r="T16" s="45" t="n">
        <f aca="false">T14+T15</f>
        <v>39547050.9439797</v>
      </c>
      <c r="U16" s="45" t="n">
        <f aca="false">U14+U15</f>
        <v>40514748.1172977</v>
      </c>
      <c r="V16" s="45" t="n">
        <f aca="false">V14+V15</f>
        <v>41506471.3897489</v>
      </c>
    </row>
    <row r="17" customFormat="false" ht="15" hidden="false" customHeight="false" outlineLevel="0" collapsed="false">
      <c r="A17" s="5"/>
      <c r="B17" s="50" t="s">
        <v>180</v>
      </c>
      <c r="C17" s="51" t="n">
        <f aca="false">C11-C16</f>
        <v>0</v>
      </c>
      <c r="D17" s="51" t="n">
        <f aca="false">D11-D16</f>
        <v>0</v>
      </c>
      <c r="E17" s="51" t="n">
        <f aca="false">E11-E16</f>
        <v>43266365.9256292</v>
      </c>
      <c r="F17" s="51" t="n">
        <f aca="false">F11-F16</f>
        <v>43755060.4197597</v>
      </c>
      <c r="G17" s="51" t="n">
        <f aca="false">G11-G16</f>
        <v>44251271.0293835</v>
      </c>
      <c r="H17" s="51" t="n">
        <f aca="false">H11-H16</f>
        <v>44755064.1180882</v>
      </c>
      <c r="I17" s="51" t="n">
        <f aca="false">I11-I16</f>
        <v>45266506.7766131</v>
      </c>
      <c r="J17" s="51" t="n">
        <f aca="false">J11-J16</f>
        <v>45785666.7819067</v>
      </c>
      <c r="K17" s="51" t="n">
        <f aca="false">K11-K16</f>
        <v>46312612.555814</v>
      </c>
      <c r="L17" s="51" t="n">
        <f aca="false">L11-L16</f>
        <v>46847413.1233057</v>
      </c>
      <c r="M17" s="51" t="n">
        <f aca="false">M11-M16</f>
        <v>47390138.0701599</v>
      </c>
      <c r="N17" s="51" t="n">
        <f aca="false">N11-N16</f>
        <v>47940857.5000135</v>
      </c>
      <c r="O17" s="51" t="n">
        <f aca="false">O11-O16</f>
        <v>48499641.9906961</v>
      </c>
      <c r="P17" s="51" t="n">
        <f aca="false">P11-P16</f>
        <v>49066562.5497647</v>
      </c>
      <c r="Q17" s="51" t="n">
        <f aca="false">Q11-Q16</f>
        <v>49641690.5691545</v>
      </c>
      <c r="R17" s="51" t="n">
        <f aca="false">R11-R16</f>
        <v>50225097.7788646</v>
      </c>
      <c r="S17" s="51" t="n">
        <f aca="false">S11-S16</f>
        <v>50816856.1995973</v>
      </c>
      <c r="T17" s="51" t="n">
        <f aca="false">T11-T16</f>
        <v>62662598.4411251</v>
      </c>
      <c r="U17" s="51" t="n">
        <f aca="false">U11-U16</f>
        <v>63370373.7809519</v>
      </c>
      <c r="V17" s="51" t="n">
        <f aca="false">V11-V16</f>
        <v>64089034.697067</v>
      </c>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row>
    <row r="19" customFormat="false" ht="15" hidden="false" customHeight="false" outlineLevel="0" collapsed="false">
      <c r="A19" s="5"/>
      <c r="B19" s="32" t="s">
        <v>181</v>
      </c>
      <c r="C19" s="16"/>
      <c r="D19" s="16"/>
      <c r="E19" s="16"/>
      <c r="F19" s="16"/>
      <c r="G19" s="16"/>
      <c r="H19" s="16"/>
      <c r="I19" s="16"/>
      <c r="J19" s="16"/>
      <c r="K19" s="16"/>
      <c r="L19" s="16"/>
      <c r="M19" s="16"/>
      <c r="N19" s="16"/>
      <c r="O19" s="16"/>
      <c r="P19" s="16"/>
      <c r="Q19" s="16"/>
      <c r="R19" s="16"/>
      <c r="S19" s="16"/>
      <c r="T19" s="16"/>
      <c r="U19" s="16"/>
      <c r="V19" s="16"/>
    </row>
    <row r="20" customFormat="false" ht="15" hidden="false" customHeight="false" outlineLevel="0" collapsed="false">
      <c r="A20" s="5"/>
      <c r="B20" s="42" t="s">
        <v>103</v>
      </c>
      <c r="C20" s="43" t="n">
        <f aca="false">OP_Is_Ops*Fixed_OM_Pct*Capacity_kW*EPC_Capex_per_kW*(1+Inflation_Rate)^(OP_Year_Num-1)</f>
        <v>0</v>
      </c>
      <c r="D20" s="43" t="n">
        <f aca="false">OP_Is_Ops*Fixed_OM_Pct*Capacity_kW*EPC_Capex_per_kW*(1+Inflation_Rate)^(OP_Year_Num-1)</f>
        <v>0</v>
      </c>
      <c r="E20" s="43" t="n">
        <f aca="false">OP_Is_Ops*Fixed_OM_Pct*Capacity_kW*EPC_Capex_per_kW*(1+Inflation_Rate)^(OP_Year_Num-1)</f>
        <v>3750000</v>
      </c>
      <c r="F20" s="43" t="n">
        <f aca="false">OP_Is_Ops*Fixed_OM_Pct*Capacity_kW*EPC_Capex_per_kW*(1+Inflation_Rate)^(OP_Year_Num-1)</f>
        <v>3843750</v>
      </c>
      <c r="G20" s="43" t="n">
        <f aca="false">OP_Is_Ops*Fixed_OM_Pct*Capacity_kW*EPC_Capex_per_kW*(1+Inflation_Rate)^(OP_Year_Num-1)</f>
        <v>3939843.75</v>
      </c>
      <c r="H20" s="43" t="n">
        <f aca="false">OP_Is_Ops*Fixed_OM_Pct*Capacity_kW*EPC_Capex_per_kW*(1+Inflation_Rate)^(OP_Year_Num-1)</f>
        <v>4038339.84375</v>
      </c>
      <c r="I20" s="43" t="n">
        <f aca="false">OP_Is_Ops*Fixed_OM_Pct*Capacity_kW*EPC_Capex_per_kW*(1+Inflation_Rate)^(OP_Year_Num-1)</f>
        <v>4139298.33984375</v>
      </c>
      <c r="J20" s="43" t="n">
        <f aca="false">OP_Is_Ops*Fixed_OM_Pct*Capacity_kW*EPC_Capex_per_kW*(1+Inflation_Rate)^(OP_Year_Num-1)</f>
        <v>4242780.79833984</v>
      </c>
      <c r="K20" s="43" t="n">
        <f aca="false">OP_Is_Ops*Fixed_OM_Pct*Capacity_kW*EPC_Capex_per_kW*(1+Inflation_Rate)^(OP_Year_Num-1)</f>
        <v>4348850.31829834</v>
      </c>
      <c r="L20" s="43" t="n">
        <f aca="false">OP_Is_Ops*Fixed_OM_Pct*Capacity_kW*EPC_Capex_per_kW*(1+Inflation_Rate)^(OP_Year_Num-1)</f>
        <v>4457571.5762558</v>
      </c>
      <c r="M20" s="43" t="n">
        <f aca="false">OP_Is_Ops*Fixed_OM_Pct*Capacity_kW*EPC_Capex_per_kW*(1+Inflation_Rate)^(OP_Year_Num-1)</f>
        <v>4569010.86566219</v>
      </c>
      <c r="N20" s="43" t="n">
        <f aca="false">OP_Is_Ops*Fixed_OM_Pct*Capacity_kW*EPC_Capex_per_kW*(1+Inflation_Rate)^(OP_Year_Num-1)</f>
        <v>4683236.13730374</v>
      </c>
      <c r="O20" s="43" t="n">
        <f aca="false">OP_Is_Ops*Fixed_OM_Pct*Capacity_kW*EPC_Capex_per_kW*(1+Inflation_Rate)^(OP_Year_Num-1)</f>
        <v>4800317.04073634</v>
      </c>
      <c r="P20" s="43" t="n">
        <f aca="false">OP_Is_Ops*Fixed_OM_Pct*Capacity_kW*EPC_Capex_per_kW*(1+Inflation_Rate)^(OP_Year_Num-1)</f>
        <v>4920324.96675475</v>
      </c>
      <c r="Q20" s="43" t="n">
        <f aca="false">OP_Is_Ops*Fixed_OM_Pct*Capacity_kW*EPC_Capex_per_kW*(1+Inflation_Rate)^(OP_Year_Num-1)</f>
        <v>5043333.09092361</v>
      </c>
      <c r="R20" s="43" t="n">
        <f aca="false">OP_Is_Ops*Fixed_OM_Pct*Capacity_kW*EPC_Capex_per_kW*(1+Inflation_Rate)^(OP_Year_Num-1)</f>
        <v>5169416.4181967</v>
      </c>
      <c r="S20" s="43" t="n">
        <f aca="false">OP_Is_Ops*Fixed_OM_Pct*Capacity_kW*EPC_Capex_per_kW*(1+Inflation_Rate)^(OP_Year_Num-1)</f>
        <v>5298651.82865162</v>
      </c>
      <c r="T20" s="43" t="n">
        <f aca="false">OP_Is_Ops*Fixed_OM_Pct*Capacity_kW*EPC_Capex_per_kW*(1+Inflation_Rate)^(OP_Year_Num-1)</f>
        <v>5431118.12436791</v>
      </c>
      <c r="U20" s="43" t="n">
        <f aca="false">OP_Is_Ops*Fixed_OM_Pct*Capacity_kW*EPC_Capex_per_kW*(1+Inflation_Rate)^(OP_Year_Num-1)</f>
        <v>5566896.07747711</v>
      </c>
      <c r="V20" s="43" t="n">
        <f aca="false">OP_Is_Ops*Fixed_OM_Pct*Capacity_kW*EPC_Capex_per_kW*(1+Inflation_Rate)^(OP_Year_Num-1)</f>
        <v>5706068.47941404</v>
      </c>
    </row>
    <row r="21" customFormat="false" ht="15" hidden="false" customHeight="false" outlineLevel="0" collapsed="false">
      <c r="A21" s="5"/>
      <c r="B21" s="44" t="s">
        <v>182</v>
      </c>
      <c r="C21" s="45" t="n">
        <f aca="false">C16+C20</f>
        <v>0</v>
      </c>
      <c r="D21" s="45" t="n">
        <f aca="false">D16+D20</f>
        <v>0</v>
      </c>
      <c r="E21" s="45" t="n">
        <f aca="false">E16+E20</f>
        <v>31055876.5513747</v>
      </c>
      <c r="F21" s="45" t="n">
        <f aca="false">F16+F20</f>
        <v>31817788.1190012</v>
      </c>
      <c r="G21" s="45" t="n">
        <f aca="false">G16+G20</f>
        <v>32598632.6305444</v>
      </c>
      <c r="H21" s="45" t="n">
        <f aca="false">H16+H20</f>
        <v>33398880.4405571</v>
      </c>
      <c r="I21" s="45" t="n">
        <f aca="false">I16+I20</f>
        <v>34219013.6396898</v>
      </c>
      <c r="J21" s="45" t="n">
        <f aca="false">J16+J20</f>
        <v>35059526.3466492</v>
      </c>
      <c r="K21" s="45" t="n">
        <f aca="false">K16+K20</f>
        <v>35920925.0074707</v>
      </c>
      <c r="L21" s="45" t="n">
        <f aca="false">L16+L20</f>
        <v>36803728.7022883</v>
      </c>
      <c r="M21" s="45" t="n">
        <f aca="false">M16+M20</f>
        <v>37708469.459784</v>
      </c>
      <c r="N21" s="45" t="n">
        <f aca="false">N16+N20</f>
        <v>38635692.5795103</v>
      </c>
      <c r="O21" s="45" t="n">
        <f aca="false">O16+O20</f>
        <v>39585956.9622791</v>
      </c>
      <c r="P21" s="45" t="n">
        <f aca="false">P16+P20</f>
        <v>40559835.4488171</v>
      </c>
      <c r="Q21" s="45" t="n">
        <f aca="false">Q16+Q20</f>
        <v>41557915.1668933</v>
      </c>
      <c r="R21" s="45" t="n">
        <f aca="false">R16+R20</f>
        <v>42580797.8871294</v>
      </c>
      <c r="S21" s="45" t="n">
        <f aca="false">S16+S20</f>
        <v>43629100.3877072</v>
      </c>
      <c r="T21" s="45" t="n">
        <f aca="false">T16+T20</f>
        <v>44978169.0683476</v>
      </c>
      <c r="U21" s="45" t="n">
        <f aca="false">U16+U20</f>
        <v>46081644.1947748</v>
      </c>
      <c r="V21" s="45" t="n">
        <f aca="false">V16+V20</f>
        <v>47212539.869163</v>
      </c>
    </row>
    <row r="22" customFormat="false" ht="15" hidden="false" customHeight="false" outlineLevel="0" collapsed="false">
      <c r="A22" s="5"/>
      <c r="B22" s="46" t="s">
        <v>183</v>
      </c>
      <c r="C22" s="47" t="n">
        <f aca="false">C11-C21</f>
        <v>0</v>
      </c>
      <c r="D22" s="47" t="n">
        <f aca="false">D11-D21</f>
        <v>0</v>
      </c>
      <c r="E22" s="47" t="n">
        <f aca="false">E11-E21</f>
        <v>39516365.9256292</v>
      </c>
      <c r="F22" s="47" t="n">
        <f aca="false">F11-F21</f>
        <v>39911310.4197597</v>
      </c>
      <c r="G22" s="47" t="n">
        <f aca="false">G11-G21</f>
        <v>40311427.2793835</v>
      </c>
      <c r="H22" s="47" t="n">
        <f aca="false">H11-H21</f>
        <v>40716724.2743382</v>
      </c>
      <c r="I22" s="47" t="n">
        <f aca="false">I11-I21</f>
        <v>41127208.4367693</v>
      </c>
      <c r="J22" s="47" t="n">
        <f aca="false">J11-J21</f>
        <v>41542885.9835668</v>
      </c>
      <c r="K22" s="47" t="n">
        <f aca="false">K11-K21</f>
        <v>41963762.2375157</v>
      </c>
      <c r="L22" s="47" t="n">
        <f aca="false">L11-L21</f>
        <v>42389841.5470499</v>
      </c>
      <c r="M22" s="47" t="n">
        <f aca="false">M11-M21</f>
        <v>42821127.2044977</v>
      </c>
      <c r="N22" s="47" t="n">
        <f aca="false">N11-N21</f>
        <v>43257621.3627097</v>
      </c>
      <c r="O22" s="47" t="n">
        <f aca="false">O11-O21</f>
        <v>43699324.9499598</v>
      </c>
      <c r="P22" s="47" t="n">
        <f aca="false">P11-P21</f>
        <v>44146237.58301</v>
      </c>
      <c r="Q22" s="47" t="n">
        <f aca="false">Q11-Q21</f>
        <v>44598357.4782309</v>
      </c>
      <c r="R22" s="47" t="n">
        <f aca="false">R11-R21</f>
        <v>45055681.3606679</v>
      </c>
      <c r="S22" s="47" t="n">
        <f aca="false">S11-S21</f>
        <v>45518204.3709457</v>
      </c>
      <c r="T22" s="47" t="n">
        <f aca="false">T11-T21</f>
        <v>57231480.3167571</v>
      </c>
      <c r="U22" s="47" t="n">
        <f aca="false">U11-U21</f>
        <v>57803477.7034748</v>
      </c>
      <c r="V22" s="47" t="n">
        <f aca="false">V11-V21</f>
        <v>58382966.217653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V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22" min="3" style="0" width="16"/>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row>
    <row r="2" customFormat="false" ht="22.05" hidden="false" customHeight="false" outlineLevel="0" collapsed="false">
      <c r="A2" s="5"/>
      <c r="B2" s="28" t="s">
        <v>184</v>
      </c>
      <c r="C2" s="5"/>
      <c r="D2" s="5"/>
      <c r="E2" s="5"/>
      <c r="F2" s="5"/>
      <c r="G2" s="5"/>
      <c r="H2" s="5"/>
      <c r="I2" s="5"/>
      <c r="J2" s="5"/>
      <c r="K2" s="5"/>
      <c r="L2" s="5"/>
      <c r="M2" s="5"/>
      <c r="N2" s="5"/>
      <c r="O2" s="5"/>
      <c r="P2" s="5"/>
      <c r="Q2" s="5"/>
      <c r="R2" s="5"/>
      <c r="S2" s="5"/>
      <c r="T2" s="5"/>
      <c r="U2" s="5"/>
      <c r="V2" s="5"/>
    </row>
    <row r="3" customFormat="false" ht="15" hidden="false" customHeight="false" outlineLevel="0" collapsed="false">
      <c r="A3" s="5"/>
      <c r="B3" s="29" t="s">
        <v>185</v>
      </c>
      <c r="C3" s="5"/>
      <c r="D3" s="5"/>
      <c r="E3" s="5"/>
      <c r="F3" s="5"/>
      <c r="G3" s="5"/>
      <c r="H3" s="5"/>
      <c r="I3" s="5"/>
      <c r="J3" s="5"/>
      <c r="K3" s="5"/>
      <c r="L3" s="5"/>
      <c r="M3" s="5"/>
      <c r="N3" s="5"/>
      <c r="O3" s="5"/>
      <c r="P3" s="5"/>
      <c r="Q3" s="5"/>
      <c r="R3" s="5"/>
      <c r="S3" s="5"/>
      <c r="T3" s="5"/>
      <c r="U3" s="5"/>
      <c r="V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row>
    <row r="5" customFormat="false" ht="15" hidden="false" customHeight="false" outlineLevel="0" collapsed="false">
      <c r="A5" s="5"/>
      <c r="B5" s="39" t="s">
        <v>67</v>
      </c>
      <c r="C5" s="40" t="n">
        <f aca="false">Model_Start+0</f>
        <v>2026</v>
      </c>
      <c r="D5" s="40" t="n">
        <f aca="false">Model_Start+1</f>
        <v>2027</v>
      </c>
      <c r="E5" s="40" t="n">
        <f aca="false">Model_Start+2</f>
        <v>2028</v>
      </c>
      <c r="F5" s="40" t="n">
        <f aca="false">Model_Start+3</f>
        <v>2029</v>
      </c>
      <c r="G5" s="40" t="n">
        <f aca="false">Model_Start+4</f>
        <v>2030</v>
      </c>
      <c r="H5" s="40" t="n">
        <f aca="false">Model_Start+5</f>
        <v>2031</v>
      </c>
      <c r="I5" s="40" t="n">
        <f aca="false">Model_Start+6</f>
        <v>2032</v>
      </c>
      <c r="J5" s="40" t="n">
        <f aca="false">Model_Start+7</f>
        <v>2033</v>
      </c>
      <c r="K5" s="40" t="n">
        <f aca="false">Model_Start+8</f>
        <v>2034</v>
      </c>
      <c r="L5" s="40" t="n">
        <f aca="false">Model_Start+9</f>
        <v>2035</v>
      </c>
      <c r="M5" s="40" t="n">
        <f aca="false">Model_Start+10</f>
        <v>2036</v>
      </c>
      <c r="N5" s="40" t="n">
        <f aca="false">Model_Start+11</f>
        <v>2037</v>
      </c>
      <c r="O5" s="40" t="n">
        <f aca="false">Model_Start+12</f>
        <v>2038</v>
      </c>
      <c r="P5" s="40" t="n">
        <f aca="false">Model_Start+13</f>
        <v>2039</v>
      </c>
      <c r="Q5" s="40" t="n">
        <f aca="false">Model_Start+14</f>
        <v>2040</v>
      </c>
      <c r="R5" s="40" t="n">
        <f aca="false">Model_Start+15</f>
        <v>2041</v>
      </c>
      <c r="S5" s="40" t="n">
        <f aca="false">Model_Start+16</f>
        <v>2042</v>
      </c>
      <c r="T5" s="40" t="n">
        <f aca="false">Model_Start+17</f>
        <v>2043</v>
      </c>
      <c r="U5" s="40" t="n">
        <f aca="false">Model_Start+18</f>
        <v>2044</v>
      </c>
      <c r="V5" s="40" t="n">
        <f aca="false">Model_Start+19</f>
        <v>2045</v>
      </c>
    </row>
    <row r="6" customFormat="false" ht="15" hidden="false" customHeight="false" outlineLevel="0" collapsed="false">
      <c r="A6" s="5"/>
      <c r="B6" s="29" t="s">
        <v>146</v>
      </c>
      <c r="C6" s="41" t="n">
        <v>1</v>
      </c>
      <c r="D6" s="41" t="n">
        <v>2</v>
      </c>
      <c r="E6" s="41" t="n">
        <v>3</v>
      </c>
      <c r="F6" s="41" t="n">
        <v>4</v>
      </c>
      <c r="G6" s="41" t="n">
        <v>5</v>
      </c>
      <c r="H6" s="41" t="n">
        <v>6</v>
      </c>
      <c r="I6" s="41" t="n">
        <v>7</v>
      </c>
      <c r="J6" s="41" t="n">
        <v>8</v>
      </c>
      <c r="K6" s="41" t="n">
        <v>9</v>
      </c>
      <c r="L6" s="41" t="n">
        <v>10</v>
      </c>
      <c r="M6" s="41" t="n">
        <v>11</v>
      </c>
      <c r="N6" s="41" t="n">
        <v>12</v>
      </c>
      <c r="O6" s="41" t="n">
        <v>13</v>
      </c>
      <c r="P6" s="41" t="n">
        <v>14</v>
      </c>
      <c r="Q6" s="41" t="n">
        <v>15</v>
      </c>
      <c r="R6" s="41" t="n">
        <v>16</v>
      </c>
      <c r="S6" s="41" t="n">
        <v>17</v>
      </c>
      <c r="T6" s="41" t="n">
        <v>18</v>
      </c>
      <c r="U6" s="41" t="n">
        <v>19</v>
      </c>
      <c r="V6" s="41" t="n">
        <v>20</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row>
    <row r="8" customFormat="false" ht="15" hidden="false" customHeight="false" outlineLevel="0" collapsed="false">
      <c r="A8" s="5"/>
      <c r="B8" s="32" t="s">
        <v>186</v>
      </c>
      <c r="C8" s="16"/>
      <c r="D8" s="16"/>
      <c r="E8" s="16"/>
      <c r="F8" s="16"/>
      <c r="G8" s="16"/>
      <c r="H8" s="16"/>
      <c r="I8" s="16"/>
      <c r="J8" s="16"/>
      <c r="K8" s="16"/>
      <c r="L8" s="16"/>
      <c r="M8" s="16"/>
      <c r="N8" s="16"/>
      <c r="O8" s="16"/>
      <c r="P8" s="16"/>
      <c r="Q8" s="16"/>
      <c r="R8" s="16"/>
      <c r="S8" s="16"/>
      <c r="T8" s="16"/>
      <c r="U8" s="16"/>
      <c r="V8" s="16"/>
    </row>
    <row r="9" customFormat="false" ht="15" hidden="false" customHeight="false" outlineLevel="0" collapsed="false">
      <c r="A9" s="5"/>
      <c r="B9" s="42" t="s">
        <v>187</v>
      </c>
      <c r="C9" s="43" t="n">
        <f aca="false">0</f>
        <v>0</v>
      </c>
      <c r="D9" s="43" t="n">
        <f aca="false">C11</f>
        <v>55125000</v>
      </c>
      <c r="E9" s="43" t="n">
        <f aca="false">D11</f>
        <v>110250000</v>
      </c>
      <c r="F9" s="43" t="n">
        <f aca="false">E11</f>
        <v>106050000</v>
      </c>
      <c r="G9" s="43" t="n">
        <f aca="false">F11</f>
        <v>101850000</v>
      </c>
      <c r="H9" s="43" t="n">
        <f aca="false">G11</f>
        <v>97650000</v>
      </c>
      <c r="I9" s="43" t="n">
        <f aca="false">H11</f>
        <v>93450000</v>
      </c>
      <c r="J9" s="43" t="n">
        <f aca="false">I11</f>
        <v>89250000</v>
      </c>
      <c r="K9" s="43" t="n">
        <f aca="false">J11</f>
        <v>85050000</v>
      </c>
      <c r="L9" s="43" t="n">
        <f aca="false">K11</f>
        <v>80850000</v>
      </c>
      <c r="M9" s="43" t="n">
        <f aca="false">L11</f>
        <v>76650000</v>
      </c>
      <c r="N9" s="43" t="n">
        <f aca="false">M11</f>
        <v>72450000</v>
      </c>
      <c r="O9" s="43" t="n">
        <f aca="false">N11</f>
        <v>68250000</v>
      </c>
      <c r="P9" s="43" t="n">
        <f aca="false">O11</f>
        <v>64050000</v>
      </c>
      <c r="Q9" s="43" t="n">
        <f aca="false">P11</f>
        <v>59850000</v>
      </c>
      <c r="R9" s="43" t="n">
        <f aca="false">Q11</f>
        <v>55650000</v>
      </c>
      <c r="S9" s="43" t="n">
        <f aca="false">R11</f>
        <v>51450000</v>
      </c>
      <c r="T9" s="43" t="n">
        <f aca="false">S11</f>
        <v>47250000</v>
      </c>
      <c r="U9" s="43" t="n">
        <f aca="false">T11</f>
        <v>43050000</v>
      </c>
      <c r="V9" s="43" t="n">
        <f aca="false">U11</f>
        <v>38850000</v>
      </c>
    </row>
    <row r="10" customFormat="false" ht="15" hidden="false" customHeight="false" outlineLevel="0" collapsed="false">
      <c r="A10" s="5"/>
      <c r="B10" s="42" t="s">
        <v>188</v>
      </c>
      <c r="C10" s="43" t="n">
        <f aca="false">IF(OP_Is_Ops=1,MIN(Capacity_kW*(EPC_Capex_per_kW-Stack_Replace_kW)/25,C9),0)</f>
        <v>0</v>
      </c>
      <c r="D10" s="43" t="n">
        <f aca="false">IF(OP_Is_Ops=1,MIN(Capacity_kW*(EPC_Capex_per_kW-Stack_Replace_kW)/25,D9),0)</f>
        <v>0</v>
      </c>
      <c r="E10" s="43" t="n">
        <f aca="false">IF(OP_Is_Ops=1,MIN(Capacity_kW*(EPC_Capex_per_kW-Stack_Replace_kW)/25,E9),0)</f>
        <v>4200000</v>
      </c>
      <c r="F10" s="43" t="n">
        <f aca="false">IF(OP_Is_Ops=1,MIN(Capacity_kW*(EPC_Capex_per_kW-Stack_Replace_kW)/25,F9),0)</f>
        <v>4200000</v>
      </c>
      <c r="G10" s="43" t="n">
        <f aca="false">IF(OP_Is_Ops=1,MIN(Capacity_kW*(EPC_Capex_per_kW-Stack_Replace_kW)/25,G9),0)</f>
        <v>4200000</v>
      </c>
      <c r="H10" s="43" t="n">
        <f aca="false">IF(OP_Is_Ops=1,MIN(Capacity_kW*(EPC_Capex_per_kW-Stack_Replace_kW)/25,H9),0)</f>
        <v>4200000</v>
      </c>
      <c r="I10" s="43" t="n">
        <f aca="false">IF(OP_Is_Ops=1,MIN(Capacity_kW*(EPC_Capex_per_kW-Stack_Replace_kW)/25,I9),0)</f>
        <v>4200000</v>
      </c>
      <c r="J10" s="43" t="n">
        <f aca="false">IF(OP_Is_Ops=1,MIN(Capacity_kW*(EPC_Capex_per_kW-Stack_Replace_kW)/25,J9),0)</f>
        <v>4200000</v>
      </c>
      <c r="K10" s="43" t="n">
        <f aca="false">IF(OP_Is_Ops=1,MIN(Capacity_kW*(EPC_Capex_per_kW-Stack_Replace_kW)/25,K9),0)</f>
        <v>4200000</v>
      </c>
      <c r="L10" s="43" t="n">
        <f aca="false">IF(OP_Is_Ops=1,MIN(Capacity_kW*(EPC_Capex_per_kW-Stack_Replace_kW)/25,L9),0)</f>
        <v>4200000</v>
      </c>
      <c r="M10" s="43" t="n">
        <f aca="false">IF(OP_Is_Ops=1,MIN(Capacity_kW*(EPC_Capex_per_kW-Stack_Replace_kW)/25,M9),0)</f>
        <v>4200000</v>
      </c>
      <c r="N10" s="43" t="n">
        <f aca="false">IF(OP_Is_Ops=1,MIN(Capacity_kW*(EPC_Capex_per_kW-Stack_Replace_kW)/25,N9),0)</f>
        <v>4200000</v>
      </c>
      <c r="O10" s="43" t="n">
        <f aca="false">IF(OP_Is_Ops=1,MIN(Capacity_kW*(EPC_Capex_per_kW-Stack_Replace_kW)/25,O9),0)</f>
        <v>4200000</v>
      </c>
      <c r="P10" s="43" t="n">
        <f aca="false">IF(OP_Is_Ops=1,MIN(Capacity_kW*(EPC_Capex_per_kW-Stack_Replace_kW)/25,P9),0)</f>
        <v>4200000</v>
      </c>
      <c r="Q10" s="43" t="n">
        <f aca="false">IF(OP_Is_Ops=1,MIN(Capacity_kW*(EPC_Capex_per_kW-Stack_Replace_kW)/25,Q9),0)</f>
        <v>4200000</v>
      </c>
      <c r="R10" s="43" t="n">
        <f aca="false">IF(OP_Is_Ops=1,MIN(Capacity_kW*(EPC_Capex_per_kW-Stack_Replace_kW)/25,R9),0)</f>
        <v>4200000</v>
      </c>
      <c r="S10" s="43" t="n">
        <f aca="false">IF(OP_Is_Ops=1,MIN(Capacity_kW*(EPC_Capex_per_kW-Stack_Replace_kW)/25,S9),0)</f>
        <v>4200000</v>
      </c>
      <c r="T10" s="43" t="n">
        <f aca="false">IF(OP_Is_Ops=1,MIN(Capacity_kW*(EPC_Capex_per_kW-Stack_Replace_kW)/25,T9),0)</f>
        <v>4200000</v>
      </c>
      <c r="U10" s="43" t="n">
        <f aca="false">IF(OP_Is_Ops=1,MIN(Capacity_kW*(EPC_Capex_per_kW-Stack_Replace_kW)/25,U9),0)</f>
        <v>4200000</v>
      </c>
      <c r="V10" s="43" t="n">
        <f aca="false">IF(OP_Is_Ops=1,MIN(Capacity_kW*(EPC_Capex_per_kW-Stack_Replace_kW)/25,V9),0)</f>
        <v>4200000</v>
      </c>
    </row>
    <row r="11" customFormat="false" ht="15" hidden="false" customHeight="false" outlineLevel="0" collapsed="false">
      <c r="A11" s="5"/>
      <c r="B11" s="52" t="s">
        <v>189</v>
      </c>
      <c r="C11" s="45" t="n">
        <f aca="false">C9+IF(OP_Is_Ops=0,CON_Total_EPC*(1-Stack_Replace_kW/EPC_Capex_per_kW),0)-C10</f>
        <v>55125000</v>
      </c>
      <c r="D11" s="45" t="n">
        <f aca="false">D9+IF(OP_Is_Ops=0,CON_Total_EPC*(1-Stack_Replace_kW/EPC_Capex_per_kW),0)-D10</f>
        <v>110250000</v>
      </c>
      <c r="E11" s="45" t="n">
        <f aca="false">E9+IF(OP_Is_Ops=0,CON_Total_EPC*(1-Stack_Replace_kW/EPC_Capex_per_kW),0)-E10</f>
        <v>106050000</v>
      </c>
      <c r="F11" s="45" t="n">
        <f aca="false">F9+IF(OP_Is_Ops=0,CON_Total_EPC*(1-Stack_Replace_kW/EPC_Capex_per_kW),0)-F10</f>
        <v>101850000</v>
      </c>
      <c r="G11" s="45" t="n">
        <f aca="false">G9+IF(OP_Is_Ops=0,CON_Total_EPC*(1-Stack_Replace_kW/EPC_Capex_per_kW),0)-G10</f>
        <v>97650000</v>
      </c>
      <c r="H11" s="45" t="n">
        <f aca="false">H9+IF(OP_Is_Ops=0,CON_Total_EPC*(1-Stack_Replace_kW/EPC_Capex_per_kW),0)-H10</f>
        <v>93450000</v>
      </c>
      <c r="I11" s="45" t="n">
        <f aca="false">I9+IF(OP_Is_Ops=0,CON_Total_EPC*(1-Stack_Replace_kW/EPC_Capex_per_kW),0)-I10</f>
        <v>89250000</v>
      </c>
      <c r="J11" s="45" t="n">
        <f aca="false">J9+IF(OP_Is_Ops=0,CON_Total_EPC*(1-Stack_Replace_kW/EPC_Capex_per_kW),0)-J10</f>
        <v>85050000</v>
      </c>
      <c r="K11" s="45" t="n">
        <f aca="false">K9+IF(OP_Is_Ops=0,CON_Total_EPC*(1-Stack_Replace_kW/EPC_Capex_per_kW),0)-K10</f>
        <v>80850000</v>
      </c>
      <c r="L11" s="45" t="n">
        <f aca="false">L9+IF(OP_Is_Ops=0,CON_Total_EPC*(1-Stack_Replace_kW/EPC_Capex_per_kW),0)-L10</f>
        <v>76650000</v>
      </c>
      <c r="M11" s="45" t="n">
        <f aca="false">M9+IF(OP_Is_Ops=0,CON_Total_EPC*(1-Stack_Replace_kW/EPC_Capex_per_kW),0)-M10</f>
        <v>72450000</v>
      </c>
      <c r="N11" s="45" t="n">
        <f aca="false">N9+IF(OP_Is_Ops=0,CON_Total_EPC*(1-Stack_Replace_kW/EPC_Capex_per_kW),0)-N10</f>
        <v>68250000</v>
      </c>
      <c r="O11" s="45" t="n">
        <f aca="false">O9+IF(OP_Is_Ops=0,CON_Total_EPC*(1-Stack_Replace_kW/EPC_Capex_per_kW),0)-O10</f>
        <v>64050000</v>
      </c>
      <c r="P11" s="45" t="n">
        <f aca="false">P9+IF(OP_Is_Ops=0,CON_Total_EPC*(1-Stack_Replace_kW/EPC_Capex_per_kW),0)-P10</f>
        <v>59850000</v>
      </c>
      <c r="Q11" s="45" t="n">
        <f aca="false">Q9+IF(OP_Is_Ops=0,CON_Total_EPC*(1-Stack_Replace_kW/EPC_Capex_per_kW),0)-Q10</f>
        <v>55650000</v>
      </c>
      <c r="R11" s="45" t="n">
        <f aca="false">R9+IF(OP_Is_Ops=0,CON_Total_EPC*(1-Stack_Replace_kW/EPC_Capex_per_kW),0)-R10</f>
        <v>51450000</v>
      </c>
      <c r="S11" s="45" t="n">
        <f aca="false">S9+IF(OP_Is_Ops=0,CON_Total_EPC*(1-Stack_Replace_kW/EPC_Capex_per_kW),0)-S10</f>
        <v>47250000</v>
      </c>
      <c r="T11" s="45" t="n">
        <f aca="false">T9+IF(OP_Is_Ops=0,CON_Total_EPC*(1-Stack_Replace_kW/EPC_Capex_per_kW),0)-T10</f>
        <v>43050000</v>
      </c>
      <c r="U11" s="45" t="n">
        <f aca="false">U9+IF(OP_Is_Ops=0,CON_Total_EPC*(1-Stack_Replace_kW/EPC_Capex_per_kW),0)-U10</f>
        <v>38850000</v>
      </c>
      <c r="V11" s="45" t="n">
        <f aca="false">V9+IF(OP_Is_Ops=0,CON_Total_EPC*(1-Stack_Replace_kW/EPC_Capex_per_kW),0)-V10</f>
        <v>34650000</v>
      </c>
    </row>
    <row r="12" customFormat="false" ht="15" hidden="false" customHeight="false" outlineLevel="0" collapsed="false">
      <c r="A12" s="5"/>
      <c r="B12" s="5"/>
      <c r="C12" s="5"/>
      <c r="D12" s="5"/>
      <c r="E12" s="5"/>
      <c r="F12" s="5"/>
      <c r="G12" s="5"/>
      <c r="H12" s="5"/>
      <c r="I12" s="5"/>
      <c r="J12" s="5"/>
      <c r="K12" s="5"/>
      <c r="L12" s="5"/>
      <c r="M12" s="5"/>
      <c r="N12" s="5"/>
      <c r="O12" s="5"/>
      <c r="P12" s="5"/>
      <c r="Q12" s="5"/>
      <c r="R12" s="5"/>
      <c r="S12" s="5"/>
      <c r="T12" s="5"/>
      <c r="U12" s="5"/>
      <c r="V12" s="5"/>
    </row>
    <row r="13" customFormat="false" ht="15" hidden="false" customHeight="false" outlineLevel="0" collapsed="false">
      <c r="A13" s="5"/>
      <c r="B13" s="32" t="s">
        <v>190</v>
      </c>
      <c r="C13" s="16"/>
      <c r="D13" s="16"/>
      <c r="E13" s="16"/>
      <c r="F13" s="16"/>
      <c r="G13" s="16"/>
      <c r="H13" s="16"/>
      <c r="I13" s="16"/>
      <c r="J13" s="16"/>
      <c r="K13" s="16"/>
      <c r="L13" s="16"/>
      <c r="M13" s="16"/>
      <c r="N13" s="16"/>
      <c r="O13" s="16"/>
      <c r="P13" s="16"/>
      <c r="Q13" s="16"/>
      <c r="R13" s="16"/>
      <c r="S13" s="16"/>
      <c r="T13" s="16"/>
      <c r="U13" s="16"/>
      <c r="V13" s="16"/>
    </row>
    <row r="14" customFormat="false" ht="15" hidden="false" customHeight="false" outlineLevel="0" collapsed="false">
      <c r="A14" s="5"/>
      <c r="B14" s="42" t="s">
        <v>191</v>
      </c>
      <c r="C14" s="43" t="n">
        <f aca="false">0</f>
        <v>0</v>
      </c>
      <c r="D14" s="43" t="n">
        <f aca="false">C17</f>
        <v>23625000</v>
      </c>
      <c r="E14" s="43" t="n">
        <f aca="false">D17</f>
        <v>47250000</v>
      </c>
      <c r="F14" s="43" t="n">
        <f aca="false">E17</f>
        <v>43886981.25</v>
      </c>
      <c r="G14" s="43" t="n">
        <f aca="false">F17</f>
        <v>40763325.3595313</v>
      </c>
      <c r="H14" s="43" t="n">
        <f aca="false">G17</f>
        <v>37861995.6770666</v>
      </c>
      <c r="I14" s="43" t="n">
        <f aca="false">H17</f>
        <v>35167168.1347514</v>
      </c>
      <c r="J14" s="43" t="n">
        <f aca="false">I17</f>
        <v>32664144.9427605</v>
      </c>
      <c r="K14" s="43" t="n">
        <f aca="false">J17</f>
        <v>30339274.4264595</v>
      </c>
      <c r="L14" s="43" t="n">
        <f aca="false">K17</f>
        <v>28179876.5691562</v>
      </c>
      <c r="M14" s="43" t="n">
        <f aca="false">L17</f>
        <v>26174173.8543465</v>
      </c>
      <c r="N14" s="43" t="n">
        <f aca="false">M17</f>
        <v>24311227.0302634</v>
      </c>
      <c r="O14" s="43" t="n">
        <f aca="false">N17</f>
        <v>22580875.4463844</v>
      </c>
      <c r="P14" s="43" t="n">
        <f aca="false">O17</f>
        <v>20973681.636488</v>
      </c>
      <c r="Q14" s="43" t="n">
        <f aca="false">P17</f>
        <v>19480879.846011</v>
      </c>
      <c r="R14" s="43" t="n">
        <f aca="false">Q17</f>
        <v>18094328.2229712</v>
      </c>
      <c r="S14" s="43" t="n">
        <f aca="false">R17</f>
        <v>16806464.4117012</v>
      </c>
      <c r="T14" s="43" t="n">
        <f aca="false">S17</f>
        <v>15610264.3071984</v>
      </c>
      <c r="U14" s="43" t="n">
        <f aca="false">T17</f>
        <v>75033903.2475258</v>
      </c>
      <c r="V14" s="43" t="n">
        <f aca="false">U17</f>
        <v>69693365.1838832</v>
      </c>
    </row>
    <row r="15" customFormat="false" ht="15" hidden="false" customHeight="false" outlineLevel="0" collapsed="false">
      <c r="A15" s="5"/>
      <c r="B15" s="42" t="s">
        <v>192</v>
      </c>
      <c r="C15" s="43" t="n">
        <f aca="false">IF(OP_Is_Ops=0,CON_Total_EPC*(Stack_Replace_kW/EPC_Capex_per_kW),IF(OP_Stack_Repl=1,Capacity_kW*Stack_Replace_kW*(1+Inflation_Rate)^(OP_Year_Num-1),0))</f>
        <v>23625000</v>
      </c>
      <c r="D15" s="43" t="n">
        <f aca="false">IF(OP_Is_Ops=0,CON_Total_EPC*(Stack_Replace_kW/EPC_Capex_per_kW),IF(OP_Stack_Repl=1,Capacity_kW*Stack_Replace_kW*(1+Inflation_Rate)^(OP_Year_Num-1),0))</f>
        <v>23625000</v>
      </c>
      <c r="E15" s="43" t="n">
        <f aca="false">IF(OP_Is_Ops=0,CON_Total_EPC*(Stack_Replace_kW/EPC_Capex_per_kW),IF(OP_Stack_Repl=1,Capacity_kW*Stack_Replace_kW*(1+Inflation_Rate)^(OP_Year_Num-1),0))</f>
        <v>0</v>
      </c>
      <c r="F15" s="43" t="n">
        <f aca="false">IF(OP_Is_Ops=0,CON_Total_EPC*(Stack_Replace_kW/EPC_Capex_per_kW),IF(OP_Stack_Repl=1,Capacity_kW*Stack_Replace_kW*(1+Inflation_Rate)^(OP_Year_Num-1),0))</f>
        <v>0</v>
      </c>
      <c r="G15" s="43" t="n">
        <f aca="false">IF(OP_Is_Ops=0,CON_Total_EPC*(Stack_Replace_kW/EPC_Capex_per_kW),IF(OP_Stack_Repl=1,Capacity_kW*Stack_Replace_kW*(1+Inflation_Rate)^(OP_Year_Num-1),0))</f>
        <v>0</v>
      </c>
      <c r="H15" s="43" t="n">
        <f aca="false">IF(OP_Is_Ops=0,CON_Total_EPC*(Stack_Replace_kW/EPC_Capex_per_kW),IF(OP_Stack_Repl=1,Capacity_kW*Stack_Replace_kW*(1+Inflation_Rate)^(OP_Year_Num-1),0))</f>
        <v>0</v>
      </c>
      <c r="I15" s="43" t="n">
        <f aca="false">IF(OP_Is_Ops=0,CON_Total_EPC*(Stack_Replace_kW/EPC_Capex_per_kW),IF(OP_Stack_Repl=1,Capacity_kW*Stack_Replace_kW*(1+Inflation_Rate)^(OP_Year_Num-1),0))</f>
        <v>0</v>
      </c>
      <c r="J15" s="43" t="n">
        <f aca="false">IF(OP_Is_Ops=0,CON_Total_EPC*(Stack_Replace_kW/EPC_Capex_per_kW),IF(OP_Stack_Repl=1,Capacity_kW*Stack_Replace_kW*(1+Inflation_Rate)^(OP_Year_Num-1),0))</f>
        <v>0</v>
      </c>
      <c r="K15" s="43" t="n">
        <f aca="false">IF(OP_Is_Ops=0,CON_Total_EPC*(Stack_Replace_kW/EPC_Capex_per_kW),IF(OP_Stack_Repl=1,Capacity_kW*Stack_Replace_kW*(1+Inflation_Rate)^(OP_Year_Num-1),0))</f>
        <v>0</v>
      </c>
      <c r="L15" s="43" t="n">
        <f aca="false">IF(OP_Is_Ops=0,CON_Total_EPC*(Stack_Replace_kW/EPC_Capex_per_kW),IF(OP_Stack_Repl=1,Capacity_kW*Stack_Replace_kW*(1+Inflation_Rate)^(OP_Year_Num-1),0))</f>
        <v>0</v>
      </c>
      <c r="M15" s="43" t="n">
        <f aca="false">IF(OP_Is_Ops=0,CON_Total_EPC*(Stack_Replace_kW/EPC_Capex_per_kW),IF(OP_Stack_Repl=1,Capacity_kW*Stack_Replace_kW*(1+Inflation_Rate)^(OP_Year_Num-1),0))</f>
        <v>0</v>
      </c>
      <c r="N15" s="43" t="n">
        <f aca="false">IF(OP_Is_Ops=0,CON_Total_EPC*(Stack_Replace_kW/EPC_Capex_per_kW),IF(OP_Stack_Repl=1,Capacity_kW*Stack_Replace_kW*(1+Inflation_Rate)^(OP_Year_Num-1),0))</f>
        <v>0</v>
      </c>
      <c r="O15" s="43" t="n">
        <f aca="false">IF(OP_Is_Ops=0,CON_Total_EPC*(Stack_Replace_kW/EPC_Capex_per_kW),IF(OP_Stack_Repl=1,Capacity_kW*Stack_Replace_kW*(1+Inflation_Rate)^(OP_Year_Num-1),0))</f>
        <v>0</v>
      </c>
      <c r="P15" s="43" t="n">
        <f aca="false">IF(OP_Is_Ops=0,CON_Total_EPC*(Stack_Replace_kW/EPC_Capex_per_kW),IF(OP_Stack_Repl=1,Capacity_kW*Stack_Replace_kW*(1+Inflation_Rate)^(OP_Year_Num-1),0))</f>
        <v>0</v>
      </c>
      <c r="Q15" s="43" t="n">
        <f aca="false">IF(OP_Is_Ops=0,CON_Total_EPC*(Stack_Replace_kW/EPC_Capex_per_kW),IF(OP_Stack_Repl=1,Capacity_kW*Stack_Replace_kW*(1+Inflation_Rate)^(OP_Year_Num-1),0))</f>
        <v>0</v>
      </c>
      <c r="R15" s="43" t="n">
        <f aca="false">IF(OP_Is_Ops=0,CON_Total_EPC*(Stack_Replace_kW/EPC_Capex_per_kW),IF(OP_Stack_Repl=1,Capacity_kW*Stack_Replace_kW*(1+Inflation_Rate)^(OP_Year_Num-1),0))</f>
        <v>0</v>
      </c>
      <c r="S15" s="43" t="n">
        <f aca="false">IF(OP_Is_Ops=0,CON_Total_EPC*(Stack_Replace_kW/EPC_Capex_per_kW),IF(OP_Stack_Repl=1,Capacity_kW*Stack_Replace_kW*(1+Inflation_Rate)^(OP_Year_Num-1),0))</f>
        <v>0</v>
      </c>
      <c r="T15" s="43" t="n">
        <f aca="false">IF(OP_Is_Ops=0,CON_Total_EPC*(Stack_Replace_kW/EPC_Capex_per_kW),IF(OP_Stack_Repl=1,Capacity_kW*Stack_Replace_kW*(1+Inflation_Rate)^(OP_Year_Num-1),0))</f>
        <v>65173417.4924149</v>
      </c>
      <c r="U15" s="43" t="n">
        <f aca="false">IF(OP_Is_Ops=0,CON_Total_EPC*(Stack_Replace_kW/EPC_Capex_per_kW),IF(OP_Stack_Repl=1,Capacity_kW*Stack_Replace_kW*(1+Inflation_Rate)^(OP_Year_Num-1),0))</f>
        <v>0</v>
      </c>
      <c r="V15" s="43" t="n">
        <f aca="false">IF(OP_Is_Ops=0,CON_Total_EPC*(Stack_Replace_kW/EPC_Capex_per_kW),IF(OP_Stack_Repl=1,Capacity_kW*Stack_Replace_kW*(1+Inflation_Rate)^(OP_Year_Num-1),0))</f>
        <v>0</v>
      </c>
    </row>
    <row r="16" customFormat="false" ht="15" hidden="false" customHeight="false" outlineLevel="0" collapsed="false">
      <c r="A16" s="5"/>
      <c r="B16" s="42" t="s">
        <v>193</v>
      </c>
      <c r="C16" s="43" t="n">
        <f aca="false">IF(OP_Is_Ops=1,MIN(C14+C15,(C14+C15)/(Stack_Lifespan/(8760*Capacity_Factor))),0)</f>
        <v>0</v>
      </c>
      <c r="D16" s="43" t="n">
        <f aca="false">IF(OP_Is_Ops=1,MIN(D14+D15,(D14+D15)/(Stack_Lifespan/(8760*Capacity_Factor))),0)</f>
        <v>0</v>
      </c>
      <c r="E16" s="43" t="n">
        <f aca="false">IF(OP_Is_Ops=1,MIN(E14+E15,(E14+E15)/(Stack_Lifespan/(8760*Capacity_Factor))),0)</f>
        <v>3363018.75</v>
      </c>
      <c r="F16" s="43" t="n">
        <f aca="false">IF(OP_Is_Ops=1,MIN(F14+F15,(F14+F15)/(Stack_Lifespan/(8760*Capacity_Factor))),0)</f>
        <v>3123655.89046875</v>
      </c>
      <c r="G16" s="43" t="n">
        <f aca="false">IF(OP_Is_Ops=1,MIN(G14+G15,(G14+G15)/(Stack_Lifespan/(8760*Capacity_Factor))),0)</f>
        <v>2901329.68246464</v>
      </c>
      <c r="H16" s="43" t="n">
        <f aca="false">IF(OP_Is_Ops=1,MIN(H14+H15,(H14+H15)/(Stack_Lifespan/(8760*Capacity_Factor))),0)</f>
        <v>2694827.54231522</v>
      </c>
      <c r="I16" s="43" t="n">
        <f aca="false">IF(OP_Is_Ops=1,MIN(I14+I15,(I14+I15)/(Stack_Lifespan/(8760*Capacity_Factor))),0)</f>
        <v>2503023.19199093</v>
      </c>
      <c r="J16" s="43" t="n">
        <f aca="false">IF(OP_Is_Ops=1,MIN(J14+J15,(J14+J15)/(Stack_Lifespan/(8760*Capacity_Factor))),0)</f>
        <v>2324870.51630098</v>
      </c>
      <c r="K16" s="43" t="n">
        <f aca="false">IF(OP_Is_Ops=1,MIN(K14+K15,(K14+K15)/(Stack_Lifespan/(8760*Capacity_Factor))),0)</f>
        <v>2159397.85730325</v>
      </c>
      <c r="L16" s="43" t="n">
        <f aca="false">IF(OP_Is_Ops=1,MIN(L14+L15,(L14+L15)/(Stack_Lifespan/(8760*Capacity_Factor))),0)</f>
        <v>2005702.7148097</v>
      </c>
      <c r="M16" s="43" t="n">
        <f aca="false">IF(OP_Is_Ops=1,MIN(M14+M15,(M14+M15)/(Stack_Lifespan/(8760*Capacity_Factor))),0)</f>
        <v>1862946.82408312</v>
      </c>
      <c r="N16" s="43" t="n">
        <f aca="false">IF(OP_Is_Ops=1,MIN(N14+N15,(N14+N15)/(Stack_Lifespan/(8760*Capacity_Factor))),0)</f>
        <v>1730351.583879</v>
      </c>
      <c r="O16" s="43" t="n">
        <f aca="false">IF(OP_Is_Ops=1,MIN(O14+O15,(O14+O15)/(Stack_Lifespan/(8760*Capacity_Factor))),0)</f>
        <v>1607193.80989641</v>
      </c>
      <c r="P16" s="43" t="n">
        <f aca="false">IF(OP_Is_Ops=1,MIN(P14+P15,(P14+P15)/(Stack_Lifespan/(8760*Capacity_Factor))),0)</f>
        <v>1492801.79047703</v>
      </c>
      <c r="Q16" s="43" t="n">
        <f aca="false">IF(OP_Is_Ops=1,MIN(Q14+Q15,(Q14+Q15)/(Stack_Lifespan/(8760*Capacity_Factor))),0)</f>
        <v>1386551.62303983</v>
      </c>
      <c r="R16" s="43" t="n">
        <f aca="false">IF(OP_Is_Ops=1,MIN(R14+R15,(R14+R15)/(Stack_Lifespan/(8760*Capacity_Factor))),0)</f>
        <v>1287863.81126997</v>
      </c>
      <c r="S16" s="43" t="n">
        <f aca="false">IF(OP_Is_Ops=1,MIN(S14+S15,(S14+S15)/(Stack_Lifespan/(8760*Capacity_Factor))),0)</f>
        <v>1196200.10450283</v>
      </c>
      <c r="T16" s="43" t="n">
        <f aca="false">IF(OP_Is_Ops=1,MIN(T14+T15,(T14+T15)/(Stack_Lifespan/(8760*Capacity_Factor))),0)</f>
        <v>5749778.55208748</v>
      </c>
      <c r="U16" s="43" t="n">
        <f aca="false">IF(OP_Is_Ops=1,MIN(U14+U15,(U14+U15)/(Stack_Lifespan/(8760*Capacity_Factor))),0)</f>
        <v>5340538.06364265</v>
      </c>
      <c r="V16" s="43" t="n">
        <f aca="false">IF(OP_Is_Ops=1,MIN(V14+V15,(V14+V15)/(Stack_Lifespan/(8760*Capacity_Factor))),0)</f>
        <v>4960425.26696288</v>
      </c>
    </row>
    <row r="17" customFormat="false" ht="15" hidden="false" customHeight="false" outlineLevel="0" collapsed="false">
      <c r="A17" s="5"/>
      <c r="B17" s="52" t="s">
        <v>194</v>
      </c>
      <c r="C17" s="45" t="n">
        <f aca="false">C14+C15-C16</f>
        <v>23625000</v>
      </c>
      <c r="D17" s="45" t="n">
        <f aca="false">D14+D15-D16</f>
        <v>47250000</v>
      </c>
      <c r="E17" s="45" t="n">
        <f aca="false">E14+E15-E16</f>
        <v>43886981.25</v>
      </c>
      <c r="F17" s="45" t="n">
        <f aca="false">F14+F15-F16</f>
        <v>40763325.3595313</v>
      </c>
      <c r="G17" s="45" t="n">
        <f aca="false">G14+G15-G16</f>
        <v>37861995.6770666</v>
      </c>
      <c r="H17" s="45" t="n">
        <f aca="false">H14+H15-H16</f>
        <v>35167168.1347514</v>
      </c>
      <c r="I17" s="45" t="n">
        <f aca="false">I14+I15-I16</f>
        <v>32664144.9427605</v>
      </c>
      <c r="J17" s="45" t="n">
        <f aca="false">J14+J15-J16</f>
        <v>30339274.4264595</v>
      </c>
      <c r="K17" s="45" t="n">
        <f aca="false">K14+K15-K16</f>
        <v>28179876.5691562</v>
      </c>
      <c r="L17" s="45" t="n">
        <f aca="false">L14+L15-L16</f>
        <v>26174173.8543465</v>
      </c>
      <c r="M17" s="45" t="n">
        <f aca="false">M14+M15-M16</f>
        <v>24311227.0302634</v>
      </c>
      <c r="N17" s="45" t="n">
        <f aca="false">N14+N15-N16</f>
        <v>22580875.4463844</v>
      </c>
      <c r="O17" s="45" t="n">
        <f aca="false">O14+O15-O16</f>
        <v>20973681.636488</v>
      </c>
      <c r="P17" s="45" t="n">
        <f aca="false">P14+P15-P16</f>
        <v>19480879.846011</v>
      </c>
      <c r="Q17" s="45" t="n">
        <f aca="false">Q14+Q15-Q16</f>
        <v>18094328.2229712</v>
      </c>
      <c r="R17" s="45" t="n">
        <f aca="false">R14+R15-R16</f>
        <v>16806464.4117012</v>
      </c>
      <c r="S17" s="45" t="n">
        <f aca="false">S14+S15-S16</f>
        <v>15610264.3071984</v>
      </c>
      <c r="T17" s="45" t="n">
        <f aca="false">T14+T15-T16</f>
        <v>75033903.2475258</v>
      </c>
      <c r="U17" s="45" t="n">
        <f aca="false">U14+U15-U16</f>
        <v>69693365.1838832</v>
      </c>
      <c r="V17" s="45" t="n">
        <f aca="false">V14+V15-V16</f>
        <v>64732939.9169203</v>
      </c>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row>
    <row r="19" customFormat="false" ht="15" hidden="false" customHeight="false" outlineLevel="0" collapsed="false">
      <c r="A19" s="5"/>
      <c r="B19" s="32" t="s">
        <v>195</v>
      </c>
      <c r="C19" s="16"/>
      <c r="D19" s="16"/>
      <c r="E19" s="16"/>
      <c r="F19" s="16"/>
      <c r="G19" s="16"/>
      <c r="H19" s="16"/>
      <c r="I19" s="16"/>
      <c r="J19" s="16"/>
      <c r="K19" s="16"/>
      <c r="L19" s="16"/>
      <c r="M19" s="16"/>
      <c r="N19" s="16"/>
      <c r="O19" s="16"/>
      <c r="P19" s="16"/>
      <c r="Q19" s="16"/>
      <c r="R19" s="16"/>
      <c r="S19" s="16"/>
      <c r="T19" s="16"/>
      <c r="U19" s="16"/>
      <c r="V19" s="16"/>
    </row>
    <row r="20" customFormat="false" ht="15" hidden="false" customHeight="false" outlineLevel="0" collapsed="false">
      <c r="A20" s="5"/>
      <c r="B20" s="44" t="s">
        <v>196</v>
      </c>
      <c r="C20" s="45" t="n">
        <f aca="false">C10+C16</f>
        <v>0</v>
      </c>
      <c r="D20" s="45" t="n">
        <f aca="false">D10+D16</f>
        <v>0</v>
      </c>
      <c r="E20" s="45" t="n">
        <f aca="false">E10+E16</f>
        <v>7563018.75</v>
      </c>
      <c r="F20" s="45" t="n">
        <f aca="false">F10+F16</f>
        <v>7323655.89046875</v>
      </c>
      <c r="G20" s="45" t="n">
        <f aca="false">G10+G16</f>
        <v>7101329.68246464</v>
      </c>
      <c r="H20" s="45" t="n">
        <f aca="false">H10+H16</f>
        <v>6894827.54231522</v>
      </c>
      <c r="I20" s="45" t="n">
        <f aca="false">I10+I16</f>
        <v>6703023.19199093</v>
      </c>
      <c r="J20" s="45" t="n">
        <f aca="false">J10+J16</f>
        <v>6524870.51630098</v>
      </c>
      <c r="K20" s="45" t="n">
        <f aca="false">K10+K16</f>
        <v>6359397.85730325</v>
      </c>
      <c r="L20" s="45" t="n">
        <f aca="false">L10+L16</f>
        <v>6205702.7148097</v>
      </c>
      <c r="M20" s="45" t="n">
        <f aca="false">M10+M16</f>
        <v>6062946.82408312</v>
      </c>
      <c r="N20" s="45" t="n">
        <f aca="false">N10+N16</f>
        <v>5930351.583879</v>
      </c>
      <c r="O20" s="45" t="n">
        <f aca="false">O10+O16</f>
        <v>5807193.80989641</v>
      </c>
      <c r="P20" s="45" t="n">
        <f aca="false">P10+P16</f>
        <v>5692801.79047704</v>
      </c>
      <c r="Q20" s="45" t="n">
        <f aca="false">Q10+Q16</f>
        <v>5586551.62303983</v>
      </c>
      <c r="R20" s="45" t="n">
        <f aca="false">R10+R16</f>
        <v>5487863.81126997</v>
      </c>
      <c r="S20" s="45" t="n">
        <f aca="false">S10+S16</f>
        <v>5396200.10450283</v>
      </c>
      <c r="T20" s="45" t="n">
        <f aca="false">T10+T16</f>
        <v>9949778.55208748</v>
      </c>
      <c r="U20" s="45" t="n">
        <f aca="false">U10+U16</f>
        <v>9540538.06364265</v>
      </c>
      <c r="V20" s="45" t="n">
        <f aca="false">V10+V16</f>
        <v>9160425.26696288</v>
      </c>
    </row>
    <row r="21" customFormat="false" ht="15" hidden="false" customHeight="false" outlineLevel="0" collapsed="false">
      <c r="A21" s="5"/>
      <c r="B21" s="50" t="s">
        <v>197</v>
      </c>
      <c r="C21" s="51" t="n">
        <f aca="false">C11+C17</f>
        <v>78750000</v>
      </c>
      <c r="D21" s="51" t="n">
        <f aca="false">D11+D17</f>
        <v>157500000</v>
      </c>
      <c r="E21" s="51" t="n">
        <f aca="false">E11+E17</f>
        <v>149936981.25</v>
      </c>
      <c r="F21" s="51" t="n">
        <f aca="false">F11+F17</f>
        <v>142613325.359531</v>
      </c>
      <c r="G21" s="51" t="n">
        <f aca="false">G11+G17</f>
        <v>135511995.677067</v>
      </c>
      <c r="H21" s="51" t="n">
        <f aca="false">H11+H17</f>
        <v>128617168.134751</v>
      </c>
      <c r="I21" s="51" t="n">
        <f aca="false">I11+I17</f>
        <v>121914144.94276</v>
      </c>
      <c r="J21" s="51" t="n">
        <f aca="false">J11+J17</f>
        <v>115389274.426459</v>
      </c>
      <c r="K21" s="51" t="n">
        <f aca="false">K11+K17</f>
        <v>109029876.569156</v>
      </c>
      <c r="L21" s="51" t="n">
        <f aca="false">L11+L17</f>
        <v>102824173.854347</v>
      </c>
      <c r="M21" s="51" t="n">
        <f aca="false">M11+M17</f>
        <v>96761227.0302634</v>
      </c>
      <c r="N21" s="51" t="n">
        <f aca="false">N11+N17</f>
        <v>90830875.4463844</v>
      </c>
      <c r="O21" s="51" t="n">
        <f aca="false">O11+O17</f>
        <v>85023681.636488</v>
      </c>
      <c r="P21" s="51" t="n">
        <f aca="false">P11+P17</f>
        <v>79330879.846011</v>
      </c>
      <c r="Q21" s="51" t="n">
        <f aca="false">Q11+Q17</f>
        <v>73744328.2229712</v>
      </c>
      <c r="R21" s="51" t="n">
        <f aca="false">R11+R17</f>
        <v>68256464.4117012</v>
      </c>
      <c r="S21" s="51" t="n">
        <f aca="false">S11+S17</f>
        <v>62860264.3071983</v>
      </c>
      <c r="T21" s="51" t="n">
        <f aca="false">T11+T17</f>
        <v>118083903.247526</v>
      </c>
      <c r="U21" s="51" t="n">
        <f aca="false">U11+U17</f>
        <v>108543365.183883</v>
      </c>
      <c r="V21" s="51" t="n">
        <f aca="false">V11+V17</f>
        <v>99382939.9169203</v>
      </c>
    </row>
    <row r="22" customFormat="false" ht="15" hidden="false" customHeight="false" outlineLevel="0" collapsed="false">
      <c r="A22" s="5"/>
      <c r="B22" s="42" t="s">
        <v>198</v>
      </c>
      <c r="C22" s="43" t="n">
        <f aca="false">OP_Is_Ops*Capacity_kW*EPC_Capex_per_kW*0.01*(1+Inflation_Rate)^(OP_Year_Num-1)</f>
        <v>0</v>
      </c>
      <c r="D22" s="43" t="n">
        <f aca="false">OP_Is_Ops*Capacity_kW*EPC_Capex_per_kW*0.01*(1+Inflation_Rate)^(OP_Year_Num-1)</f>
        <v>0</v>
      </c>
      <c r="E22" s="43" t="n">
        <f aca="false">OP_Is_Ops*Capacity_kW*EPC_Capex_per_kW*0.01*(1+Inflation_Rate)^(OP_Year_Num-1)</f>
        <v>1500000</v>
      </c>
      <c r="F22" s="43" t="n">
        <f aca="false">OP_Is_Ops*Capacity_kW*EPC_Capex_per_kW*0.01*(1+Inflation_Rate)^(OP_Year_Num-1)</f>
        <v>1537500</v>
      </c>
      <c r="G22" s="43" t="n">
        <f aca="false">OP_Is_Ops*Capacity_kW*EPC_Capex_per_kW*0.01*(1+Inflation_Rate)^(OP_Year_Num-1)</f>
        <v>1575937.5</v>
      </c>
      <c r="H22" s="43" t="n">
        <f aca="false">OP_Is_Ops*Capacity_kW*EPC_Capex_per_kW*0.01*(1+Inflation_Rate)^(OP_Year_Num-1)</f>
        <v>1615335.9375</v>
      </c>
      <c r="I22" s="43" t="n">
        <f aca="false">OP_Is_Ops*Capacity_kW*EPC_Capex_per_kW*0.01*(1+Inflation_Rate)^(OP_Year_Num-1)</f>
        <v>1655719.3359375</v>
      </c>
      <c r="J22" s="43" t="n">
        <f aca="false">OP_Is_Ops*Capacity_kW*EPC_Capex_per_kW*0.01*(1+Inflation_Rate)^(OP_Year_Num-1)</f>
        <v>1697112.31933594</v>
      </c>
      <c r="K22" s="43" t="n">
        <f aca="false">OP_Is_Ops*Capacity_kW*EPC_Capex_per_kW*0.01*(1+Inflation_Rate)^(OP_Year_Num-1)</f>
        <v>1739540.12731934</v>
      </c>
      <c r="L22" s="43" t="n">
        <f aca="false">OP_Is_Ops*Capacity_kW*EPC_Capex_per_kW*0.01*(1+Inflation_Rate)^(OP_Year_Num-1)</f>
        <v>1783028.63050232</v>
      </c>
      <c r="M22" s="43" t="n">
        <f aca="false">OP_Is_Ops*Capacity_kW*EPC_Capex_per_kW*0.01*(1+Inflation_Rate)^(OP_Year_Num-1)</f>
        <v>1827604.34626488</v>
      </c>
      <c r="N22" s="43" t="n">
        <f aca="false">OP_Is_Ops*Capacity_kW*EPC_Capex_per_kW*0.01*(1+Inflation_Rate)^(OP_Year_Num-1)</f>
        <v>1873294.4549215</v>
      </c>
      <c r="O22" s="43" t="n">
        <f aca="false">OP_Is_Ops*Capacity_kW*EPC_Capex_per_kW*0.01*(1+Inflation_Rate)^(OP_Year_Num-1)</f>
        <v>1920126.81629454</v>
      </c>
      <c r="P22" s="43" t="n">
        <f aca="false">OP_Is_Ops*Capacity_kW*EPC_Capex_per_kW*0.01*(1+Inflation_Rate)^(OP_Year_Num-1)</f>
        <v>1968129.9867019</v>
      </c>
      <c r="Q22" s="43" t="n">
        <f aca="false">OP_Is_Ops*Capacity_kW*EPC_Capex_per_kW*0.01*(1+Inflation_Rate)^(OP_Year_Num-1)</f>
        <v>2017333.23636945</v>
      </c>
      <c r="R22" s="43" t="n">
        <f aca="false">OP_Is_Ops*Capacity_kW*EPC_Capex_per_kW*0.01*(1+Inflation_Rate)^(OP_Year_Num-1)</f>
        <v>2067766.56727868</v>
      </c>
      <c r="S22" s="43" t="n">
        <f aca="false">OP_Is_Ops*Capacity_kW*EPC_Capex_per_kW*0.01*(1+Inflation_Rate)^(OP_Year_Num-1)</f>
        <v>2119460.73146065</v>
      </c>
      <c r="T22" s="43" t="n">
        <f aca="false">OP_Is_Ops*Capacity_kW*EPC_Capex_per_kW*0.01*(1+Inflation_Rate)^(OP_Year_Num-1)</f>
        <v>2172447.24974716</v>
      </c>
      <c r="U22" s="43" t="n">
        <f aca="false">OP_Is_Ops*Capacity_kW*EPC_Capex_per_kW*0.01*(1+Inflation_Rate)^(OP_Year_Num-1)</f>
        <v>2226758.43099084</v>
      </c>
      <c r="V22" s="43" t="n">
        <f aca="false">OP_Is_Ops*Capacity_kW*EPC_Capex_per_kW*0.01*(1+Inflation_Rate)^(OP_Year_Num-1)</f>
        <v>2282427.39176561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V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22" min="3" style="0" width="16"/>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row>
    <row r="2" customFormat="false" ht="22.05" hidden="false" customHeight="false" outlineLevel="0" collapsed="false">
      <c r="A2" s="5"/>
      <c r="B2" s="28" t="s">
        <v>199</v>
      </c>
      <c r="C2" s="5"/>
      <c r="D2" s="5"/>
      <c r="E2" s="5"/>
      <c r="F2" s="5"/>
      <c r="G2" s="5"/>
      <c r="H2" s="5"/>
      <c r="I2" s="5"/>
      <c r="J2" s="5"/>
      <c r="K2" s="5"/>
      <c r="L2" s="5"/>
      <c r="M2" s="5"/>
      <c r="N2" s="5"/>
      <c r="O2" s="5"/>
      <c r="P2" s="5"/>
      <c r="Q2" s="5"/>
      <c r="R2" s="5"/>
      <c r="S2" s="5"/>
      <c r="T2" s="5"/>
      <c r="U2" s="5"/>
      <c r="V2" s="5"/>
    </row>
    <row r="3" customFormat="false" ht="15" hidden="false" customHeight="false" outlineLevel="0" collapsed="false">
      <c r="A3" s="5"/>
      <c r="B3" s="29" t="s">
        <v>200</v>
      </c>
      <c r="C3" s="5"/>
      <c r="D3" s="5"/>
      <c r="E3" s="5"/>
      <c r="F3" s="5"/>
      <c r="G3" s="5"/>
      <c r="H3" s="5"/>
      <c r="I3" s="5"/>
      <c r="J3" s="5"/>
      <c r="K3" s="5"/>
      <c r="L3" s="5"/>
      <c r="M3" s="5"/>
      <c r="N3" s="5"/>
      <c r="O3" s="5"/>
      <c r="P3" s="5"/>
      <c r="Q3" s="5"/>
      <c r="R3" s="5"/>
      <c r="S3" s="5"/>
      <c r="T3" s="5"/>
      <c r="U3" s="5"/>
      <c r="V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row>
    <row r="5" customFormat="false" ht="15" hidden="false" customHeight="false" outlineLevel="0" collapsed="false">
      <c r="A5" s="5"/>
      <c r="B5" s="39" t="s">
        <v>67</v>
      </c>
      <c r="C5" s="40" t="n">
        <f aca="false">Model_Start+0</f>
        <v>2026</v>
      </c>
      <c r="D5" s="40" t="n">
        <f aca="false">Model_Start+1</f>
        <v>2027</v>
      </c>
      <c r="E5" s="40" t="n">
        <f aca="false">Model_Start+2</f>
        <v>2028</v>
      </c>
      <c r="F5" s="40" t="n">
        <f aca="false">Model_Start+3</f>
        <v>2029</v>
      </c>
      <c r="G5" s="40" t="n">
        <f aca="false">Model_Start+4</f>
        <v>2030</v>
      </c>
      <c r="H5" s="40" t="n">
        <f aca="false">Model_Start+5</f>
        <v>2031</v>
      </c>
      <c r="I5" s="40" t="n">
        <f aca="false">Model_Start+6</f>
        <v>2032</v>
      </c>
      <c r="J5" s="40" t="n">
        <f aca="false">Model_Start+7</f>
        <v>2033</v>
      </c>
      <c r="K5" s="40" t="n">
        <f aca="false">Model_Start+8</f>
        <v>2034</v>
      </c>
      <c r="L5" s="40" t="n">
        <f aca="false">Model_Start+9</f>
        <v>2035</v>
      </c>
      <c r="M5" s="40" t="n">
        <f aca="false">Model_Start+10</f>
        <v>2036</v>
      </c>
      <c r="N5" s="40" t="n">
        <f aca="false">Model_Start+11</f>
        <v>2037</v>
      </c>
      <c r="O5" s="40" t="n">
        <f aca="false">Model_Start+12</f>
        <v>2038</v>
      </c>
      <c r="P5" s="40" t="n">
        <f aca="false">Model_Start+13</f>
        <v>2039</v>
      </c>
      <c r="Q5" s="40" t="n">
        <f aca="false">Model_Start+14</f>
        <v>2040</v>
      </c>
      <c r="R5" s="40" t="n">
        <f aca="false">Model_Start+15</f>
        <v>2041</v>
      </c>
      <c r="S5" s="40" t="n">
        <f aca="false">Model_Start+16</f>
        <v>2042</v>
      </c>
      <c r="T5" s="40" t="n">
        <f aca="false">Model_Start+17</f>
        <v>2043</v>
      </c>
      <c r="U5" s="40" t="n">
        <f aca="false">Model_Start+18</f>
        <v>2044</v>
      </c>
      <c r="V5" s="40" t="n">
        <f aca="false">Model_Start+19</f>
        <v>2045</v>
      </c>
    </row>
    <row r="6" customFormat="false" ht="15" hidden="false" customHeight="false" outlineLevel="0" collapsed="false">
      <c r="A6" s="5"/>
      <c r="B6" s="29" t="s">
        <v>146</v>
      </c>
      <c r="C6" s="41" t="n">
        <v>1</v>
      </c>
      <c r="D6" s="41" t="n">
        <v>2</v>
      </c>
      <c r="E6" s="41" t="n">
        <v>3</v>
      </c>
      <c r="F6" s="41" t="n">
        <v>4</v>
      </c>
      <c r="G6" s="41" t="n">
        <v>5</v>
      </c>
      <c r="H6" s="41" t="n">
        <v>6</v>
      </c>
      <c r="I6" s="41" t="n">
        <v>7</v>
      </c>
      <c r="J6" s="41" t="n">
        <v>8</v>
      </c>
      <c r="K6" s="41" t="n">
        <v>9</v>
      </c>
      <c r="L6" s="41" t="n">
        <v>10</v>
      </c>
      <c r="M6" s="41" t="n">
        <v>11</v>
      </c>
      <c r="N6" s="41" t="n">
        <v>12</v>
      </c>
      <c r="O6" s="41" t="n">
        <v>13</v>
      </c>
      <c r="P6" s="41" t="n">
        <v>14</v>
      </c>
      <c r="Q6" s="41" t="n">
        <v>15</v>
      </c>
      <c r="R6" s="41" t="n">
        <v>16</v>
      </c>
      <c r="S6" s="41" t="n">
        <v>17</v>
      </c>
      <c r="T6" s="41" t="n">
        <v>18</v>
      </c>
      <c r="U6" s="41" t="n">
        <v>19</v>
      </c>
      <c r="V6" s="41" t="n">
        <v>20</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row>
    <row r="8" customFormat="false" ht="15" hidden="false" customHeight="false" outlineLevel="0" collapsed="false">
      <c r="A8" s="5"/>
      <c r="B8" s="32" t="s">
        <v>201</v>
      </c>
      <c r="C8" s="16"/>
      <c r="D8" s="16"/>
      <c r="E8" s="16"/>
      <c r="F8" s="16"/>
      <c r="G8" s="16"/>
      <c r="H8" s="16"/>
      <c r="I8" s="16"/>
      <c r="J8" s="16"/>
      <c r="K8" s="16"/>
      <c r="L8" s="16"/>
      <c r="M8" s="16"/>
      <c r="N8" s="16"/>
      <c r="O8" s="16"/>
      <c r="P8" s="16"/>
      <c r="Q8" s="16"/>
      <c r="R8" s="16"/>
      <c r="S8" s="16"/>
      <c r="T8" s="16"/>
      <c r="U8" s="16"/>
      <c r="V8" s="16"/>
    </row>
    <row r="9" customFormat="false" ht="15" hidden="false" customHeight="false" outlineLevel="0" collapsed="false">
      <c r="A9" s="5"/>
      <c r="B9" s="42" t="s">
        <v>202</v>
      </c>
      <c r="C9" s="43" t="n">
        <f aca="false">0</f>
        <v>0</v>
      </c>
      <c r="D9" s="43" t="n">
        <f aca="false">C12</f>
        <v>51187500</v>
      </c>
      <c r="E9" s="43" t="n">
        <f aca="false">D12</f>
        <v>102375000</v>
      </c>
      <c r="F9" s="43" t="n">
        <f aca="false">E12</f>
        <v>98141508.8439517</v>
      </c>
      <c r="G9" s="43" t="n">
        <f aca="false">F12</f>
        <v>93632840.7627603</v>
      </c>
      <c r="H9" s="43" t="n">
        <f aca="false">G12</f>
        <v>88831109.2562915</v>
      </c>
      <c r="I9" s="43" t="n">
        <f aca="false">H12</f>
        <v>83717265.2019022</v>
      </c>
      <c r="J9" s="43" t="n">
        <f aca="false">I12</f>
        <v>78271021.2839775</v>
      </c>
      <c r="K9" s="43" t="n">
        <f aca="false">J12</f>
        <v>72470771.5113878</v>
      </c>
      <c r="L9" s="43" t="n">
        <f aca="false">K12</f>
        <v>66293505.5035797</v>
      </c>
      <c r="M9" s="43" t="n">
        <f aca="false">L12</f>
        <v>59714717.2052642</v>
      </c>
      <c r="N9" s="43" t="n">
        <f aca="false">M12</f>
        <v>52708307.6675581</v>
      </c>
      <c r="O9" s="43" t="n">
        <f aca="false">N12</f>
        <v>45246481.5099011</v>
      </c>
      <c r="P9" s="43" t="n">
        <f aca="false">O12</f>
        <v>37299636.6519964</v>
      </c>
      <c r="Q9" s="43" t="n">
        <f aca="false">P12</f>
        <v>28836246.8783278</v>
      </c>
      <c r="R9" s="43" t="n">
        <f aca="false">Q12</f>
        <v>19822736.7693709</v>
      </c>
      <c r="S9" s="43" t="n">
        <f aca="false">R12</f>
        <v>10223348.5033317</v>
      </c>
      <c r="T9" s="43" t="n">
        <f aca="false">S12</f>
        <v>0</v>
      </c>
      <c r="U9" s="43" t="n">
        <f aca="false">T12</f>
        <v>0</v>
      </c>
      <c r="V9" s="43" t="n">
        <f aca="false">U12</f>
        <v>0</v>
      </c>
    </row>
    <row r="10" customFormat="false" ht="15" hidden="false" customHeight="false" outlineLevel="0" collapsed="false">
      <c r="A10" s="5"/>
      <c r="B10" s="42" t="s">
        <v>203</v>
      </c>
      <c r="C10" s="43" t="n">
        <f aca="false">CON_Debt_Draw</f>
        <v>51187500</v>
      </c>
      <c r="D10" s="43" t="n">
        <f aca="false">CON_Debt_Draw</f>
        <v>51187500</v>
      </c>
      <c r="E10" s="43" t="n">
        <f aca="false">CON_Debt_Draw</f>
        <v>0</v>
      </c>
      <c r="F10" s="43" t="n">
        <f aca="false">CON_Debt_Draw</f>
        <v>0</v>
      </c>
      <c r="G10" s="43" t="n">
        <f aca="false">CON_Debt_Draw</f>
        <v>0</v>
      </c>
      <c r="H10" s="43" t="n">
        <f aca="false">CON_Debt_Draw</f>
        <v>0</v>
      </c>
      <c r="I10" s="43" t="n">
        <f aca="false">CON_Debt_Draw</f>
        <v>0</v>
      </c>
      <c r="J10" s="43" t="n">
        <f aca="false">CON_Debt_Draw</f>
        <v>0</v>
      </c>
      <c r="K10" s="43" t="n">
        <f aca="false">CON_Debt_Draw</f>
        <v>0</v>
      </c>
      <c r="L10" s="43" t="n">
        <f aca="false">CON_Debt_Draw</f>
        <v>0</v>
      </c>
      <c r="M10" s="43" t="n">
        <f aca="false">CON_Debt_Draw</f>
        <v>0</v>
      </c>
      <c r="N10" s="43" t="n">
        <f aca="false">CON_Debt_Draw</f>
        <v>0</v>
      </c>
      <c r="O10" s="43" t="n">
        <f aca="false">CON_Debt_Draw</f>
        <v>0</v>
      </c>
      <c r="P10" s="43" t="n">
        <f aca="false">CON_Debt_Draw</f>
        <v>0</v>
      </c>
      <c r="Q10" s="43" t="n">
        <f aca="false">CON_Debt_Draw</f>
        <v>0</v>
      </c>
      <c r="R10" s="43" t="n">
        <f aca="false">CON_Debt_Draw</f>
        <v>0</v>
      </c>
      <c r="S10" s="43" t="n">
        <f aca="false">CON_Debt_Draw</f>
        <v>0</v>
      </c>
      <c r="T10" s="43" t="n">
        <f aca="false">CON_Debt_Draw</f>
        <v>0</v>
      </c>
      <c r="U10" s="43" t="n">
        <f aca="false">CON_Debt_Draw</f>
        <v>0</v>
      </c>
      <c r="V10" s="43" t="n">
        <f aca="false">CON_Debt_Draw</f>
        <v>0</v>
      </c>
    </row>
    <row r="11" customFormat="false" ht="15" hidden="false" customHeight="false" outlineLevel="0" collapsed="false">
      <c r="A11" s="5"/>
      <c r="B11" s="42" t="s">
        <v>204</v>
      </c>
      <c r="C11" s="43" t="n">
        <f aca="false">IF(AND(OP_Is_Ops=1,C9&gt;0),-PMT(Debt_Rate,MAX(1,Debt_Tenor-(C6-Construction_Period-1)),C9)-C9*Debt_Rate,0)</f>
        <v>0</v>
      </c>
      <c r="D11" s="43" t="n">
        <f aca="false">IF(AND(OP_Is_Ops=1,D9&gt;0),-PMT(Debt_Rate,MAX(1,Debt_Tenor-(D6-Construction_Period-1)),D9)-D9*Debt_Rate,0)</f>
        <v>0</v>
      </c>
      <c r="E11" s="43" t="n">
        <f aca="false">IF(AND(OP_Is_Ops=1,E9&gt;0),-PMT(Debt_Rate,MAX(1,Debt_Tenor-(E6-Construction_Period-1)),E9)-E9*Debt_Rate,0)</f>
        <v>4233491.15604827</v>
      </c>
      <c r="F11" s="43" t="n">
        <f aca="false">IF(AND(OP_Is_Ops=1,F9&gt;0),-PMT(Debt_Rate,MAX(1,Debt_Tenor-(F6-Construction_Period-1)),F9)-F9*Debt_Rate,0)</f>
        <v>4508668.08119141</v>
      </c>
      <c r="G11" s="43" t="n">
        <f aca="false">IF(AND(OP_Is_Ops=1,G9&gt;0),-PMT(Debt_Rate,MAX(1,Debt_Tenor-(G6-Construction_Period-1)),G9)-G9*Debt_Rate,0)</f>
        <v>4801731.50646885</v>
      </c>
      <c r="H11" s="43" t="n">
        <f aca="false">IF(AND(OP_Is_Ops=1,H9&gt;0),-PMT(Debt_Rate,MAX(1,Debt_Tenor-(H6-Construction_Period-1)),H9)-H9*Debt_Rate,0)</f>
        <v>5113844.05438933</v>
      </c>
      <c r="I11" s="43" t="n">
        <f aca="false">IF(AND(OP_Is_Ops=1,I9&gt;0),-PMT(Debt_Rate,MAX(1,Debt_Tenor-(I6-Construction_Period-1)),I9)-I9*Debt_Rate,0)</f>
        <v>5446243.91792463</v>
      </c>
      <c r="J11" s="43" t="n">
        <f aca="false">IF(AND(OP_Is_Ops=1,J9&gt;0),-PMT(Debt_Rate,MAX(1,Debt_Tenor-(J6-Construction_Period-1)),J9)-J9*Debt_Rate,0)</f>
        <v>5800249.77258973</v>
      </c>
      <c r="K11" s="43" t="n">
        <f aca="false">IF(AND(OP_Is_Ops=1,K9&gt;0),-PMT(Debt_Rate,MAX(1,Debt_Tenor-(K6-Construction_Period-1)),K9)-K9*Debt_Rate,0)</f>
        <v>6177266.00780806</v>
      </c>
      <c r="L11" s="43" t="n">
        <f aca="false">IF(AND(OP_Is_Ops=1,L9&gt;0),-PMT(Debt_Rate,MAX(1,Debt_Tenor-(L6-Construction_Period-1)),L9)-L9*Debt_Rate,0)</f>
        <v>6578788.29831559</v>
      </c>
      <c r="M11" s="43" t="n">
        <f aca="false">IF(AND(OP_Is_Ops=1,M9&gt;0),-PMT(Debt_Rate,MAX(1,Debt_Tenor-(M6-Construction_Period-1)),M9)-M9*Debt_Rate,0)</f>
        <v>7006409.5377061</v>
      </c>
      <c r="N11" s="43" t="n">
        <f aca="false">IF(AND(OP_Is_Ops=1,N9&gt;0),-PMT(Debt_Rate,MAX(1,Debt_Tenor-(N6-Construction_Period-1)),N9)-N9*Debt_Rate,0)</f>
        <v>7461826.157657</v>
      </c>
      <c r="O11" s="43" t="n">
        <f aca="false">IF(AND(OP_Is_Ops=1,O9&gt;0),-PMT(Debt_Rate,MAX(1,Debt_Tenor-(O6-Construction_Period-1)),O9)-O9*Debt_Rate,0)</f>
        <v>7946844.85790471</v>
      </c>
      <c r="P11" s="43" t="n">
        <f aca="false">IF(AND(OP_Is_Ops=1,P9&gt;0),-PMT(Debt_Rate,MAX(1,Debt_Tenor-(P6-Construction_Period-1)),P9)-P9*Debt_Rate,0)</f>
        <v>8463389.77366851</v>
      </c>
      <c r="Q11" s="43" t="n">
        <f aca="false">IF(AND(OP_Is_Ops=1,Q9&gt;0),-PMT(Debt_Rate,MAX(1,Debt_Tenor-(Q6-Construction_Period-1)),Q9)-Q9*Debt_Rate,0)</f>
        <v>9013510.10895696</v>
      </c>
      <c r="R11" s="43" t="n">
        <f aca="false">IF(AND(OP_Is_Ops=1,R9&gt;0),-PMT(Debt_Rate,MAX(1,Debt_Tenor-(R6-Construction_Period-1)),R9)-R9*Debt_Rate,0)</f>
        <v>9599388.26603917</v>
      </c>
      <c r="S11" s="43" t="n">
        <f aca="false">IF(AND(OP_Is_Ops=1,S9&gt;0),-PMT(Debt_Rate,MAX(1,Debt_Tenor-(S6-Construction_Period-1)),S9)-S9*Debt_Rate,0)</f>
        <v>10223348.5033317</v>
      </c>
      <c r="T11" s="43" t="n">
        <f aca="false">IF(AND(OP_Is_Ops=1,T9&gt;0),-PMT(Debt_Rate,MAX(1,Debt_Tenor-(T6-Construction_Period-1)),T9)-T9*Debt_Rate,0)</f>
        <v>0</v>
      </c>
      <c r="U11" s="43" t="n">
        <f aca="false">IF(AND(OP_Is_Ops=1,U9&gt;0),-PMT(Debt_Rate,MAX(1,Debt_Tenor-(U6-Construction_Period-1)),U9)-U9*Debt_Rate,0)</f>
        <v>0</v>
      </c>
      <c r="V11" s="43" t="n">
        <f aca="false">IF(AND(OP_Is_Ops=1,V9&gt;0),-PMT(Debt_Rate,MAX(1,Debt_Tenor-(V6-Construction_Period-1)),V9)-V9*Debt_Rate,0)</f>
        <v>0</v>
      </c>
    </row>
    <row r="12" customFormat="false" ht="15" hidden="false" customHeight="false" outlineLevel="0" collapsed="false">
      <c r="A12" s="5"/>
      <c r="B12" s="52" t="s">
        <v>205</v>
      </c>
      <c r="C12" s="45" t="n">
        <f aca="false">C9+C10-C11</f>
        <v>51187500</v>
      </c>
      <c r="D12" s="45" t="n">
        <f aca="false">D9+D10-D11</f>
        <v>102375000</v>
      </c>
      <c r="E12" s="45" t="n">
        <f aca="false">E9+E10-E11</f>
        <v>98141508.8439517</v>
      </c>
      <c r="F12" s="45" t="n">
        <f aca="false">F9+F10-F11</f>
        <v>93632840.7627603</v>
      </c>
      <c r="G12" s="45" t="n">
        <f aca="false">G9+G10-G11</f>
        <v>88831109.2562915</v>
      </c>
      <c r="H12" s="45" t="n">
        <f aca="false">H9+H10-H11</f>
        <v>83717265.2019022</v>
      </c>
      <c r="I12" s="45" t="n">
        <f aca="false">I9+I10-I11</f>
        <v>78271021.2839775</v>
      </c>
      <c r="J12" s="45" t="n">
        <f aca="false">J9+J10-J11</f>
        <v>72470771.5113878</v>
      </c>
      <c r="K12" s="45" t="n">
        <f aca="false">K9+K10-K11</f>
        <v>66293505.5035797</v>
      </c>
      <c r="L12" s="45" t="n">
        <f aca="false">L9+L10-L11</f>
        <v>59714717.2052642</v>
      </c>
      <c r="M12" s="45" t="n">
        <f aca="false">M9+M10-M11</f>
        <v>52708307.6675581</v>
      </c>
      <c r="N12" s="45" t="n">
        <f aca="false">N9+N10-N11</f>
        <v>45246481.5099011</v>
      </c>
      <c r="O12" s="45" t="n">
        <f aca="false">O9+O10-O11</f>
        <v>37299636.6519964</v>
      </c>
      <c r="P12" s="45" t="n">
        <f aca="false">P9+P10-P11</f>
        <v>28836246.8783278</v>
      </c>
      <c r="Q12" s="45" t="n">
        <f aca="false">Q9+Q10-Q11</f>
        <v>19822736.7693709</v>
      </c>
      <c r="R12" s="45" t="n">
        <f aca="false">R9+R10-R11</f>
        <v>10223348.5033317</v>
      </c>
      <c r="S12" s="45" t="n">
        <f aca="false">S9+S10-S11</f>
        <v>0</v>
      </c>
      <c r="T12" s="45" t="n">
        <f aca="false">T9+T10-T11</f>
        <v>0</v>
      </c>
      <c r="U12" s="45" t="n">
        <f aca="false">U9+U10-U11</f>
        <v>0</v>
      </c>
      <c r="V12" s="45" t="n">
        <f aca="false">V9+V10-V11</f>
        <v>0</v>
      </c>
    </row>
    <row r="13" customFormat="false" ht="15" hidden="false" customHeight="false" outlineLevel="0" collapsed="false">
      <c r="A13" s="5"/>
      <c r="B13" s="5"/>
      <c r="C13" s="5"/>
      <c r="D13" s="5"/>
      <c r="E13" s="5"/>
      <c r="F13" s="5"/>
      <c r="G13" s="5"/>
      <c r="H13" s="5"/>
      <c r="I13" s="5"/>
      <c r="J13" s="5"/>
      <c r="K13" s="5"/>
      <c r="L13" s="5"/>
      <c r="M13" s="5"/>
      <c r="N13" s="5"/>
      <c r="O13" s="5"/>
      <c r="P13" s="5"/>
      <c r="Q13" s="5"/>
      <c r="R13" s="5"/>
      <c r="S13" s="5"/>
      <c r="T13" s="5"/>
      <c r="U13" s="5"/>
      <c r="V13" s="5"/>
    </row>
    <row r="14" customFormat="false" ht="15" hidden="false" customHeight="false" outlineLevel="0" collapsed="false">
      <c r="A14" s="5"/>
      <c r="B14" s="32" t="s">
        <v>206</v>
      </c>
      <c r="C14" s="16"/>
      <c r="D14" s="16"/>
      <c r="E14" s="16"/>
      <c r="F14" s="16"/>
      <c r="G14" s="16"/>
      <c r="H14" s="16"/>
      <c r="I14" s="16"/>
      <c r="J14" s="16"/>
      <c r="K14" s="16"/>
      <c r="L14" s="16"/>
      <c r="M14" s="16"/>
      <c r="N14" s="16"/>
      <c r="O14" s="16"/>
      <c r="P14" s="16"/>
      <c r="Q14" s="16"/>
      <c r="R14" s="16"/>
      <c r="S14" s="16"/>
      <c r="T14" s="16"/>
      <c r="U14" s="16"/>
      <c r="V14" s="16"/>
    </row>
    <row r="15" customFormat="false" ht="15" hidden="false" customHeight="false" outlineLevel="0" collapsed="false">
      <c r="A15" s="5"/>
      <c r="B15" s="42" t="s">
        <v>207</v>
      </c>
      <c r="C15" s="43" t="n">
        <f aca="false">IF(OP_Is_Ops=1,C9*Debt_Rate,0)</f>
        <v>0</v>
      </c>
      <c r="D15" s="43" t="n">
        <f aca="false">IF(OP_Is_Ops=1,D9*Debt_Rate,0)</f>
        <v>0</v>
      </c>
      <c r="E15" s="43" t="n">
        <f aca="false">IF(OP_Is_Ops=1,E9*Debt_Rate,0)</f>
        <v>6654375</v>
      </c>
      <c r="F15" s="43" t="n">
        <f aca="false">IF(OP_Is_Ops=1,F9*Debt_Rate,0)</f>
        <v>6379198.07485686</v>
      </c>
      <c r="G15" s="43" t="n">
        <f aca="false">IF(OP_Is_Ops=1,G9*Debt_Rate,0)</f>
        <v>6086134.64957942</v>
      </c>
      <c r="H15" s="43" t="n">
        <f aca="false">IF(OP_Is_Ops=1,H9*Debt_Rate,0)</f>
        <v>5774022.10165895</v>
      </c>
      <c r="I15" s="43" t="n">
        <f aca="false">IF(OP_Is_Ops=1,I9*Debt_Rate,0)</f>
        <v>5441622.23812364</v>
      </c>
      <c r="J15" s="43" t="n">
        <f aca="false">IF(OP_Is_Ops=1,J9*Debt_Rate,0)</f>
        <v>5087616.38345854</v>
      </c>
      <c r="K15" s="43" t="n">
        <f aca="false">IF(OP_Is_Ops=1,K9*Debt_Rate,0)</f>
        <v>4710600.14824021</v>
      </c>
      <c r="L15" s="43" t="n">
        <f aca="false">IF(OP_Is_Ops=1,L9*Debt_Rate,0)</f>
        <v>4309077.85773268</v>
      </c>
      <c r="M15" s="43" t="n">
        <f aca="false">IF(OP_Is_Ops=1,M9*Debt_Rate,0)</f>
        <v>3881456.61834217</v>
      </c>
      <c r="N15" s="43" t="n">
        <f aca="false">IF(OP_Is_Ops=1,N9*Debt_Rate,0)</f>
        <v>3426039.99839127</v>
      </c>
      <c r="O15" s="43" t="n">
        <f aca="false">IF(OP_Is_Ops=1,O9*Debt_Rate,0)</f>
        <v>2941021.29814357</v>
      </c>
      <c r="P15" s="43" t="n">
        <f aca="false">IF(OP_Is_Ops=1,P9*Debt_Rate,0)</f>
        <v>2424476.38237976</v>
      </c>
      <c r="Q15" s="43" t="n">
        <f aca="false">IF(OP_Is_Ops=1,Q9*Debt_Rate,0)</f>
        <v>1874356.04709131</v>
      </c>
      <c r="R15" s="43" t="n">
        <f aca="false">IF(OP_Is_Ops=1,R9*Debt_Rate,0)</f>
        <v>1288477.89000911</v>
      </c>
      <c r="S15" s="43" t="n">
        <f aca="false">IF(OP_Is_Ops=1,S9*Debt_Rate,0)</f>
        <v>664517.652716561</v>
      </c>
      <c r="T15" s="43" t="n">
        <f aca="false">IF(OP_Is_Ops=1,T9*Debt_Rate,0)</f>
        <v>0</v>
      </c>
      <c r="U15" s="43" t="n">
        <f aca="false">IF(OP_Is_Ops=1,U9*Debt_Rate,0)</f>
        <v>0</v>
      </c>
      <c r="V15" s="43" t="n">
        <f aca="false">IF(OP_Is_Ops=1,V9*Debt_Rate,0)</f>
        <v>0</v>
      </c>
    </row>
    <row r="16" customFormat="false" ht="15" hidden="false" customHeight="false" outlineLevel="0" collapsed="false">
      <c r="A16" s="5"/>
      <c r="B16" s="42" t="s">
        <v>208</v>
      </c>
      <c r="C16" s="43" t="n">
        <f aca="false">C11</f>
        <v>0</v>
      </c>
      <c r="D16" s="43" t="n">
        <f aca="false">D11</f>
        <v>0</v>
      </c>
      <c r="E16" s="43" t="n">
        <f aca="false">E11</f>
        <v>4233491.15604827</v>
      </c>
      <c r="F16" s="43" t="n">
        <f aca="false">F11</f>
        <v>4508668.08119141</v>
      </c>
      <c r="G16" s="43" t="n">
        <f aca="false">G11</f>
        <v>4801731.50646885</v>
      </c>
      <c r="H16" s="43" t="n">
        <f aca="false">H11</f>
        <v>5113844.05438933</v>
      </c>
      <c r="I16" s="43" t="n">
        <f aca="false">I11</f>
        <v>5446243.91792463</v>
      </c>
      <c r="J16" s="43" t="n">
        <f aca="false">J11</f>
        <v>5800249.77258973</v>
      </c>
      <c r="K16" s="43" t="n">
        <f aca="false">K11</f>
        <v>6177266.00780806</v>
      </c>
      <c r="L16" s="43" t="n">
        <f aca="false">L11</f>
        <v>6578788.29831559</v>
      </c>
      <c r="M16" s="43" t="n">
        <f aca="false">M11</f>
        <v>7006409.5377061</v>
      </c>
      <c r="N16" s="43" t="n">
        <f aca="false">N11</f>
        <v>7461826.157657</v>
      </c>
      <c r="O16" s="43" t="n">
        <f aca="false">O11</f>
        <v>7946844.85790471</v>
      </c>
      <c r="P16" s="43" t="n">
        <f aca="false">P11</f>
        <v>8463389.77366851</v>
      </c>
      <c r="Q16" s="43" t="n">
        <f aca="false">Q11</f>
        <v>9013510.10895696</v>
      </c>
      <c r="R16" s="43" t="n">
        <f aca="false">R11</f>
        <v>9599388.26603917</v>
      </c>
      <c r="S16" s="43" t="n">
        <f aca="false">S11</f>
        <v>10223348.5033317</v>
      </c>
      <c r="T16" s="43" t="n">
        <f aca="false">T11</f>
        <v>0</v>
      </c>
      <c r="U16" s="43" t="n">
        <f aca="false">U11</f>
        <v>0</v>
      </c>
      <c r="V16" s="43" t="n">
        <f aca="false">V11</f>
        <v>0</v>
      </c>
    </row>
    <row r="17" customFormat="false" ht="15" hidden="false" customHeight="false" outlineLevel="0" collapsed="false">
      <c r="A17" s="5"/>
      <c r="B17" s="44" t="s">
        <v>209</v>
      </c>
      <c r="C17" s="45" t="n">
        <f aca="false">C15+C16</f>
        <v>0</v>
      </c>
      <c r="D17" s="45" t="n">
        <f aca="false">D15+D16</f>
        <v>0</v>
      </c>
      <c r="E17" s="45" t="n">
        <f aca="false">E15+E16</f>
        <v>10887866.1560483</v>
      </c>
      <c r="F17" s="45" t="n">
        <f aca="false">F15+F16</f>
        <v>10887866.1560483</v>
      </c>
      <c r="G17" s="45" t="n">
        <f aca="false">G15+G16</f>
        <v>10887866.1560483</v>
      </c>
      <c r="H17" s="45" t="n">
        <f aca="false">H15+H16</f>
        <v>10887866.1560483</v>
      </c>
      <c r="I17" s="45" t="n">
        <f aca="false">I15+I16</f>
        <v>10887866.1560483</v>
      </c>
      <c r="J17" s="45" t="n">
        <f aca="false">J15+J16</f>
        <v>10887866.1560483</v>
      </c>
      <c r="K17" s="45" t="n">
        <f aca="false">K15+K16</f>
        <v>10887866.1560483</v>
      </c>
      <c r="L17" s="45" t="n">
        <f aca="false">L15+L16</f>
        <v>10887866.1560483</v>
      </c>
      <c r="M17" s="45" t="n">
        <f aca="false">M15+M16</f>
        <v>10887866.1560483</v>
      </c>
      <c r="N17" s="45" t="n">
        <f aca="false">N15+N16</f>
        <v>10887866.1560483</v>
      </c>
      <c r="O17" s="45" t="n">
        <f aca="false">O15+O16</f>
        <v>10887866.1560483</v>
      </c>
      <c r="P17" s="45" t="n">
        <f aca="false">P15+P16</f>
        <v>10887866.1560483</v>
      </c>
      <c r="Q17" s="45" t="n">
        <f aca="false">Q15+Q16</f>
        <v>10887866.1560483</v>
      </c>
      <c r="R17" s="45" t="n">
        <f aca="false">R15+R16</f>
        <v>10887866.1560483</v>
      </c>
      <c r="S17" s="45" t="n">
        <f aca="false">S15+S16</f>
        <v>10887866.1560483</v>
      </c>
      <c r="T17" s="45" t="n">
        <f aca="false">T15+T16</f>
        <v>0</v>
      </c>
      <c r="U17" s="45" t="n">
        <f aca="false">U15+U16</f>
        <v>0</v>
      </c>
      <c r="V17" s="45" t="n">
        <f aca="false">V15+V16</f>
        <v>0</v>
      </c>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row>
    <row r="19" customFormat="false" ht="15" hidden="false" customHeight="false" outlineLevel="0" collapsed="false">
      <c r="A19" s="5"/>
      <c r="B19" s="32" t="s">
        <v>210</v>
      </c>
      <c r="C19" s="16"/>
      <c r="D19" s="16"/>
      <c r="E19" s="16"/>
      <c r="F19" s="16"/>
      <c r="G19" s="16"/>
      <c r="H19" s="16"/>
      <c r="I19" s="16"/>
      <c r="J19" s="16"/>
      <c r="K19" s="16"/>
      <c r="L19" s="16"/>
      <c r="M19" s="16"/>
      <c r="N19" s="16"/>
      <c r="O19" s="16"/>
      <c r="P19" s="16"/>
      <c r="Q19" s="16"/>
      <c r="R19" s="16"/>
      <c r="S19" s="16"/>
      <c r="T19" s="16"/>
      <c r="U19" s="16"/>
      <c r="V19" s="16"/>
    </row>
    <row r="20" customFormat="false" ht="15" hidden="false" customHeight="false" outlineLevel="0" collapsed="false">
      <c r="A20" s="5"/>
      <c r="B20" s="7" t="s">
        <v>211</v>
      </c>
      <c r="C20" s="53" t="n">
        <f aca="false">IF(C17&gt;0,RO_EBITDA/C17,0)</f>
        <v>0</v>
      </c>
      <c r="D20" s="53" t="n">
        <f aca="false">IF(D17&gt;0,RO_EBITDA/D17,0)</f>
        <v>0</v>
      </c>
      <c r="E20" s="53" t="n">
        <f aca="false">IF(E17&gt;0,RO_EBITDA/E17,0)</f>
        <v>3.62939490247845</v>
      </c>
      <c r="F20" s="53" t="n">
        <f aca="false">IF(F17&gt;0,RO_EBITDA/F17,0)</f>
        <v>3.66566872220308</v>
      </c>
      <c r="G20" s="53" t="n">
        <f aca="false">IF(G17&gt;0,RO_EBITDA/G17,0)</f>
        <v>3.70241759970481</v>
      </c>
      <c r="H20" s="53" t="n">
        <f aca="false">IF(H17&gt;0,RO_EBITDA/H17,0)</f>
        <v>3.73964224860716</v>
      </c>
      <c r="I20" s="53" t="n">
        <f aca="false">IF(I17&gt;0,RO_EBITDA/I17,0)</f>
        <v>3.77734331478009</v>
      </c>
      <c r="J20" s="53" t="n">
        <f aca="false">IF(J17&gt;0,RO_EBITDA/J17,0)</f>
        <v>3.81552136921609</v>
      </c>
      <c r="K20" s="53" t="n">
        <f aca="false">IF(K17&gt;0,RO_EBITDA/K17,0)</f>
        <v>3.85417690078828</v>
      </c>
      <c r="L20" s="53" t="n">
        <f aca="false">IF(L17&gt;0,RO_EBITDA/L17,0)</f>
        <v>3.89331030888014</v>
      </c>
      <c r="M20" s="53" t="n">
        <f aca="false">IF(M17&gt;0,RO_EBITDA/M17,0)</f>
        <v>3.93292189587675</v>
      </c>
      <c r="N20" s="53" t="n">
        <f aca="false">IF(N17&gt;0,RO_EBITDA/N17,0)</f>
        <v>3.97301185950746</v>
      </c>
      <c r="O20" s="53" t="n">
        <f aca="false">IF(O17&gt;0,RO_EBITDA/O17,0)</f>
        <v>4.01358028502991</v>
      </c>
      <c r="P20" s="53" t="n">
        <f aca="false">IF(P17&gt;0,RO_EBITDA/P17,0)</f>
        <v>4.05462713724548</v>
      </c>
      <c r="Q20" s="53" t="n">
        <f aca="false">IF(Q17&gt;0,RO_EBITDA/Q17,0)</f>
        <v>4.09615225233608</v>
      </c>
      <c r="R20" s="53" t="n">
        <f aca="false">IF(R17&gt;0,RO_EBITDA/R17,0)</f>
        <v>4.13815532951232</v>
      </c>
      <c r="S20" s="53" t="n">
        <f aca="false">IF(S17&gt;0,RO_EBITDA/S17,0)</f>
        <v>4.18063592246311</v>
      </c>
      <c r="T20" s="53" t="n">
        <f aca="false">IF(T17&gt;0,RO_EBITDA/T17,0)</f>
        <v>0</v>
      </c>
      <c r="U20" s="53" t="n">
        <f aca="false">IF(U17&gt;0,RO_EBITDA/U17,0)</f>
        <v>0</v>
      </c>
      <c r="V20" s="53" t="n">
        <f aca="false">IF(V17&gt;0,RO_EBITDA/V17,0)</f>
        <v>0</v>
      </c>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row>
    <row r="22" customFormat="false" ht="15" hidden="false" customHeight="false" outlineLevel="0" collapsed="false">
      <c r="A22" s="5"/>
      <c r="B22" s="32" t="s">
        <v>212</v>
      </c>
      <c r="C22" s="16"/>
      <c r="D22" s="16"/>
      <c r="E22" s="16"/>
      <c r="F22" s="16"/>
      <c r="G22" s="16"/>
      <c r="H22" s="16"/>
      <c r="I22" s="16"/>
      <c r="J22" s="16"/>
      <c r="K22" s="16"/>
      <c r="L22" s="16"/>
      <c r="M22" s="16"/>
      <c r="N22" s="16"/>
      <c r="O22" s="16"/>
      <c r="P22" s="16"/>
      <c r="Q22" s="16"/>
      <c r="R22" s="16"/>
      <c r="S22" s="16"/>
      <c r="T22" s="16"/>
      <c r="U22" s="16"/>
      <c r="V22" s="16"/>
    </row>
    <row r="23" customFormat="false" ht="15" hidden="false" customHeight="false" outlineLevel="0" collapsed="false">
      <c r="A23" s="5"/>
      <c r="B23" s="42" t="s">
        <v>213</v>
      </c>
      <c r="C23" s="43" t="n">
        <f aca="false">0</f>
        <v>0</v>
      </c>
      <c r="D23" s="43" t="n">
        <f aca="false">C26</f>
        <v>0</v>
      </c>
      <c r="E23" s="43" t="n">
        <f aca="false">D26</f>
        <v>3168750</v>
      </c>
      <c r="F23" s="43" t="n">
        <f aca="false">E26</f>
        <v>5443933.07802413</v>
      </c>
      <c r="G23" s="43" t="n">
        <f aca="false">F26</f>
        <v>5443933.07802413</v>
      </c>
      <c r="H23" s="43" t="n">
        <f aca="false">G26</f>
        <v>5443933.07802413</v>
      </c>
      <c r="I23" s="43" t="n">
        <f aca="false">H26</f>
        <v>5443933.07802413</v>
      </c>
      <c r="J23" s="43" t="n">
        <f aca="false">I26</f>
        <v>5443933.07802413</v>
      </c>
      <c r="K23" s="43" t="n">
        <f aca="false">J26</f>
        <v>5443933.07802413</v>
      </c>
      <c r="L23" s="43" t="n">
        <f aca="false">K26</f>
        <v>5443933.07802413</v>
      </c>
      <c r="M23" s="43" t="n">
        <f aca="false">L26</f>
        <v>5443933.07802413</v>
      </c>
      <c r="N23" s="43" t="n">
        <f aca="false">M26</f>
        <v>5443933.07802413</v>
      </c>
      <c r="O23" s="43" t="n">
        <f aca="false">N26</f>
        <v>5443933.07802413</v>
      </c>
      <c r="P23" s="43" t="n">
        <f aca="false">O26</f>
        <v>5443933.07802413</v>
      </c>
      <c r="Q23" s="43" t="n">
        <f aca="false">P26</f>
        <v>5443933.07802413</v>
      </c>
      <c r="R23" s="43" t="n">
        <f aca="false">Q26</f>
        <v>5443933.07802413</v>
      </c>
      <c r="S23" s="43" t="n">
        <f aca="false">R26</f>
        <v>5443933.07802413</v>
      </c>
      <c r="T23" s="43" t="n">
        <f aca="false">S26</f>
        <v>0</v>
      </c>
      <c r="U23" s="43" t="n">
        <f aca="false">T26</f>
        <v>0</v>
      </c>
      <c r="V23" s="43" t="n">
        <f aca="false">U26</f>
        <v>0</v>
      </c>
    </row>
    <row r="24" customFormat="false" ht="15" hidden="false" customHeight="false" outlineLevel="0" collapsed="false">
      <c r="A24" s="5"/>
      <c r="B24" s="42" t="s">
        <v>214</v>
      </c>
      <c r="C24" s="43" t="n">
        <f aca="false">IF(OP_Is_Ops=0,CON_DSRA_Init,MAX(0,C17*0.5-C23))</f>
        <v>0</v>
      </c>
      <c r="D24" s="43" t="n">
        <f aca="false">IF(OP_Is_Ops=0,CON_DSRA_Init,MAX(0,D17*0.5-D23))</f>
        <v>3168750</v>
      </c>
      <c r="E24" s="43" t="n">
        <f aca="false">IF(OP_Is_Ops=0,CON_DSRA_Init,MAX(0,E17*0.5-E23))</f>
        <v>2275183.07802413</v>
      </c>
      <c r="F24" s="43" t="n">
        <f aca="false">IF(OP_Is_Ops=0,CON_DSRA_Init,MAX(0,F17*0.5-F23))</f>
        <v>0</v>
      </c>
      <c r="G24" s="43" t="n">
        <f aca="false">IF(OP_Is_Ops=0,CON_DSRA_Init,MAX(0,G17*0.5-G23))</f>
        <v>0</v>
      </c>
      <c r="H24" s="43" t="n">
        <f aca="false">IF(OP_Is_Ops=0,CON_DSRA_Init,MAX(0,H17*0.5-H23))</f>
        <v>0</v>
      </c>
      <c r="I24" s="43" t="n">
        <f aca="false">IF(OP_Is_Ops=0,CON_DSRA_Init,MAX(0,I17*0.5-I23))</f>
        <v>0</v>
      </c>
      <c r="J24" s="43" t="n">
        <f aca="false">IF(OP_Is_Ops=0,CON_DSRA_Init,MAX(0,J17*0.5-J23))</f>
        <v>0</v>
      </c>
      <c r="K24" s="43" t="n">
        <f aca="false">IF(OP_Is_Ops=0,CON_DSRA_Init,MAX(0,K17*0.5-K23))</f>
        <v>0</v>
      </c>
      <c r="L24" s="43" t="n">
        <f aca="false">IF(OP_Is_Ops=0,CON_DSRA_Init,MAX(0,L17*0.5-L23))</f>
        <v>0</v>
      </c>
      <c r="M24" s="43" t="n">
        <f aca="false">IF(OP_Is_Ops=0,CON_DSRA_Init,MAX(0,M17*0.5-M23))</f>
        <v>0</v>
      </c>
      <c r="N24" s="43" t="n">
        <f aca="false">IF(OP_Is_Ops=0,CON_DSRA_Init,MAX(0,N17*0.5-N23))</f>
        <v>0</v>
      </c>
      <c r="O24" s="43" t="n">
        <f aca="false">IF(OP_Is_Ops=0,CON_DSRA_Init,MAX(0,O17*0.5-O23))</f>
        <v>0</v>
      </c>
      <c r="P24" s="43" t="n">
        <f aca="false">IF(OP_Is_Ops=0,CON_DSRA_Init,MAX(0,P17*0.5-P23))</f>
        <v>0</v>
      </c>
      <c r="Q24" s="43" t="n">
        <f aca="false">IF(OP_Is_Ops=0,CON_DSRA_Init,MAX(0,Q17*0.5-Q23))</f>
        <v>0</v>
      </c>
      <c r="R24" s="43" t="n">
        <f aca="false">IF(OP_Is_Ops=0,CON_DSRA_Init,MAX(0,R17*0.5-R23))</f>
        <v>0</v>
      </c>
      <c r="S24" s="43" t="n">
        <f aca="false">IF(OP_Is_Ops=0,CON_DSRA_Init,MAX(0,S17*0.5-S23))</f>
        <v>0</v>
      </c>
      <c r="T24" s="43" t="n">
        <f aca="false">IF(OP_Is_Ops=0,CON_DSRA_Init,MAX(0,T17*0.5-T23))</f>
        <v>0</v>
      </c>
      <c r="U24" s="43" t="n">
        <f aca="false">IF(OP_Is_Ops=0,CON_DSRA_Init,MAX(0,U17*0.5-U23))</f>
        <v>0</v>
      </c>
      <c r="V24" s="43" t="n">
        <f aca="false">IF(OP_Is_Ops=0,CON_DSRA_Init,MAX(0,V17*0.5-V23))</f>
        <v>0</v>
      </c>
    </row>
    <row r="25" customFormat="false" ht="15" hidden="false" customHeight="false" outlineLevel="0" collapsed="false">
      <c r="A25" s="5"/>
      <c r="B25" s="42" t="s">
        <v>215</v>
      </c>
      <c r="C25" s="43" t="n">
        <f aca="false">IF(AND(OP_Is_Ops=1,C12=0),C23+C24,0)</f>
        <v>0</v>
      </c>
      <c r="D25" s="43" t="n">
        <f aca="false">IF(AND(OP_Is_Ops=1,D12=0),D23+D24,0)</f>
        <v>0</v>
      </c>
      <c r="E25" s="43" t="n">
        <f aca="false">IF(AND(OP_Is_Ops=1,E12=0),E23+E24,0)</f>
        <v>0</v>
      </c>
      <c r="F25" s="43" t="n">
        <f aca="false">IF(AND(OP_Is_Ops=1,F12=0),F23+F24,0)</f>
        <v>0</v>
      </c>
      <c r="G25" s="43" t="n">
        <f aca="false">IF(AND(OP_Is_Ops=1,G12=0),G23+G24,0)</f>
        <v>0</v>
      </c>
      <c r="H25" s="43" t="n">
        <f aca="false">IF(AND(OP_Is_Ops=1,H12=0),H23+H24,0)</f>
        <v>0</v>
      </c>
      <c r="I25" s="43" t="n">
        <f aca="false">IF(AND(OP_Is_Ops=1,I12=0),I23+I24,0)</f>
        <v>0</v>
      </c>
      <c r="J25" s="43" t="n">
        <f aca="false">IF(AND(OP_Is_Ops=1,J12=0),J23+J24,0)</f>
        <v>0</v>
      </c>
      <c r="K25" s="43" t="n">
        <f aca="false">IF(AND(OP_Is_Ops=1,K12=0),K23+K24,0)</f>
        <v>0</v>
      </c>
      <c r="L25" s="43" t="n">
        <f aca="false">IF(AND(OP_Is_Ops=1,L12=0),L23+L24,0)</f>
        <v>0</v>
      </c>
      <c r="M25" s="43" t="n">
        <f aca="false">IF(AND(OP_Is_Ops=1,M12=0),M23+M24,0)</f>
        <v>0</v>
      </c>
      <c r="N25" s="43" t="n">
        <f aca="false">IF(AND(OP_Is_Ops=1,N12=0),N23+N24,0)</f>
        <v>0</v>
      </c>
      <c r="O25" s="43" t="n">
        <f aca="false">IF(AND(OP_Is_Ops=1,O12=0),O23+O24,0)</f>
        <v>0</v>
      </c>
      <c r="P25" s="43" t="n">
        <f aca="false">IF(AND(OP_Is_Ops=1,P12=0),P23+P24,0)</f>
        <v>0</v>
      </c>
      <c r="Q25" s="43" t="n">
        <f aca="false">IF(AND(OP_Is_Ops=1,Q12=0),Q23+Q24,0)</f>
        <v>0</v>
      </c>
      <c r="R25" s="43" t="n">
        <f aca="false">IF(AND(OP_Is_Ops=1,R12=0),R23+R24,0)</f>
        <v>0</v>
      </c>
      <c r="S25" s="43" t="n">
        <f aca="false">IF(AND(OP_Is_Ops=1,S12=0),S23+S24,0)</f>
        <v>5443933.07802413</v>
      </c>
      <c r="T25" s="43" t="n">
        <f aca="false">IF(AND(OP_Is_Ops=1,T12=0),T23+T24,0)</f>
        <v>0</v>
      </c>
      <c r="U25" s="43" t="n">
        <f aca="false">IF(AND(OP_Is_Ops=1,U12=0),U23+U24,0)</f>
        <v>0</v>
      </c>
      <c r="V25" s="43" t="n">
        <f aca="false">IF(AND(OP_Is_Ops=1,V12=0),V23+V24,0)</f>
        <v>0</v>
      </c>
    </row>
    <row r="26" customFormat="false" ht="15" hidden="false" customHeight="false" outlineLevel="0" collapsed="false">
      <c r="A26" s="5"/>
      <c r="B26" s="52" t="s">
        <v>216</v>
      </c>
      <c r="C26" s="45" t="n">
        <f aca="false">C23+C24-C25</f>
        <v>0</v>
      </c>
      <c r="D26" s="45" t="n">
        <f aca="false">D23+D24-D25</f>
        <v>3168750</v>
      </c>
      <c r="E26" s="45" t="n">
        <f aca="false">E23+E24-E25</f>
        <v>5443933.07802413</v>
      </c>
      <c r="F26" s="45" t="n">
        <f aca="false">F23+F24-F25</f>
        <v>5443933.07802413</v>
      </c>
      <c r="G26" s="45" t="n">
        <f aca="false">G23+G24-G25</f>
        <v>5443933.07802413</v>
      </c>
      <c r="H26" s="45" t="n">
        <f aca="false">H23+H24-H25</f>
        <v>5443933.07802413</v>
      </c>
      <c r="I26" s="45" t="n">
        <f aca="false">I23+I24-I25</f>
        <v>5443933.07802413</v>
      </c>
      <c r="J26" s="45" t="n">
        <f aca="false">J23+J24-J25</f>
        <v>5443933.07802413</v>
      </c>
      <c r="K26" s="45" t="n">
        <f aca="false">K23+K24-K25</f>
        <v>5443933.07802413</v>
      </c>
      <c r="L26" s="45" t="n">
        <f aca="false">L23+L24-L25</f>
        <v>5443933.07802413</v>
      </c>
      <c r="M26" s="45" t="n">
        <f aca="false">M23+M24-M25</f>
        <v>5443933.07802413</v>
      </c>
      <c r="N26" s="45" t="n">
        <f aca="false">N23+N24-N25</f>
        <v>5443933.07802413</v>
      </c>
      <c r="O26" s="45" t="n">
        <f aca="false">O23+O24-O25</f>
        <v>5443933.07802413</v>
      </c>
      <c r="P26" s="45" t="n">
        <f aca="false">P23+P24-P25</f>
        <v>5443933.07802413</v>
      </c>
      <c r="Q26" s="45" t="n">
        <f aca="false">Q23+Q24-Q25</f>
        <v>5443933.07802413</v>
      </c>
      <c r="R26" s="45" t="n">
        <f aca="false">R23+R24-R25</f>
        <v>5443933.07802413</v>
      </c>
      <c r="S26" s="45" t="n">
        <f aca="false">S23+S24-S25</f>
        <v>0</v>
      </c>
      <c r="T26" s="45" t="n">
        <f aca="false">T23+T24-T25</f>
        <v>0</v>
      </c>
      <c r="U26" s="45" t="n">
        <f aca="false">U23+U24-U25</f>
        <v>0</v>
      </c>
      <c r="V26" s="45" t="n">
        <f aca="false">V23+V24-V25</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V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22" min="3" style="0" width="16"/>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row>
    <row r="2" customFormat="false" ht="22.05" hidden="false" customHeight="false" outlineLevel="0" collapsed="false">
      <c r="A2" s="5"/>
      <c r="B2" s="28" t="s">
        <v>217</v>
      </c>
      <c r="C2" s="5"/>
      <c r="D2" s="5"/>
      <c r="E2" s="5"/>
      <c r="F2" s="5"/>
      <c r="G2" s="5"/>
      <c r="H2" s="5"/>
      <c r="I2" s="5"/>
      <c r="J2" s="5"/>
      <c r="K2" s="5"/>
      <c r="L2" s="5"/>
      <c r="M2" s="5"/>
      <c r="N2" s="5"/>
      <c r="O2" s="5"/>
      <c r="P2" s="5"/>
      <c r="Q2" s="5"/>
      <c r="R2" s="5"/>
      <c r="S2" s="5"/>
      <c r="T2" s="5"/>
      <c r="U2" s="5"/>
      <c r="V2" s="5"/>
    </row>
    <row r="3" customFormat="false" ht="15" hidden="false" customHeight="false" outlineLevel="0" collapsed="false">
      <c r="A3" s="5"/>
      <c r="B3" s="29" t="s">
        <v>218</v>
      </c>
      <c r="C3" s="5"/>
      <c r="D3" s="5"/>
      <c r="E3" s="5"/>
      <c r="F3" s="5"/>
      <c r="G3" s="5"/>
      <c r="H3" s="5"/>
      <c r="I3" s="5"/>
      <c r="J3" s="5"/>
      <c r="K3" s="5"/>
      <c r="L3" s="5"/>
      <c r="M3" s="5"/>
      <c r="N3" s="5"/>
      <c r="O3" s="5"/>
      <c r="P3" s="5"/>
      <c r="Q3" s="5"/>
      <c r="R3" s="5"/>
      <c r="S3" s="5"/>
      <c r="T3" s="5"/>
      <c r="U3" s="5"/>
      <c r="V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row>
    <row r="5" customFormat="false" ht="15" hidden="false" customHeight="false" outlineLevel="0" collapsed="false">
      <c r="A5" s="5"/>
      <c r="B5" s="39" t="s">
        <v>67</v>
      </c>
      <c r="C5" s="40" t="n">
        <f aca="false">Model_Start+0</f>
        <v>2026</v>
      </c>
      <c r="D5" s="40" t="n">
        <f aca="false">Model_Start+1</f>
        <v>2027</v>
      </c>
      <c r="E5" s="40" t="n">
        <f aca="false">Model_Start+2</f>
        <v>2028</v>
      </c>
      <c r="F5" s="40" t="n">
        <f aca="false">Model_Start+3</f>
        <v>2029</v>
      </c>
      <c r="G5" s="40" t="n">
        <f aca="false">Model_Start+4</f>
        <v>2030</v>
      </c>
      <c r="H5" s="40" t="n">
        <f aca="false">Model_Start+5</f>
        <v>2031</v>
      </c>
      <c r="I5" s="40" t="n">
        <f aca="false">Model_Start+6</f>
        <v>2032</v>
      </c>
      <c r="J5" s="40" t="n">
        <f aca="false">Model_Start+7</f>
        <v>2033</v>
      </c>
      <c r="K5" s="40" t="n">
        <f aca="false">Model_Start+8</f>
        <v>2034</v>
      </c>
      <c r="L5" s="40" t="n">
        <f aca="false">Model_Start+9</f>
        <v>2035</v>
      </c>
      <c r="M5" s="40" t="n">
        <f aca="false">Model_Start+10</f>
        <v>2036</v>
      </c>
      <c r="N5" s="40" t="n">
        <f aca="false">Model_Start+11</f>
        <v>2037</v>
      </c>
      <c r="O5" s="40" t="n">
        <f aca="false">Model_Start+12</f>
        <v>2038</v>
      </c>
      <c r="P5" s="40" t="n">
        <f aca="false">Model_Start+13</f>
        <v>2039</v>
      </c>
      <c r="Q5" s="40" t="n">
        <f aca="false">Model_Start+14</f>
        <v>2040</v>
      </c>
      <c r="R5" s="40" t="n">
        <f aca="false">Model_Start+15</f>
        <v>2041</v>
      </c>
      <c r="S5" s="40" t="n">
        <f aca="false">Model_Start+16</f>
        <v>2042</v>
      </c>
      <c r="T5" s="40" t="n">
        <f aca="false">Model_Start+17</f>
        <v>2043</v>
      </c>
      <c r="U5" s="40" t="n">
        <f aca="false">Model_Start+18</f>
        <v>2044</v>
      </c>
      <c r="V5" s="40" t="n">
        <f aca="false">Model_Start+19</f>
        <v>2045</v>
      </c>
    </row>
    <row r="6" customFormat="false" ht="15" hidden="false" customHeight="false" outlineLevel="0" collapsed="false">
      <c r="A6" s="5"/>
      <c r="B6" s="29" t="s">
        <v>146</v>
      </c>
      <c r="C6" s="41" t="n">
        <v>1</v>
      </c>
      <c r="D6" s="41" t="n">
        <v>2</v>
      </c>
      <c r="E6" s="41" t="n">
        <v>3</v>
      </c>
      <c r="F6" s="41" t="n">
        <v>4</v>
      </c>
      <c r="G6" s="41" t="n">
        <v>5</v>
      </c>
      <c r="H6" s="41" t="n">
        <v>6</v>
      </c>
      <c r="I6" s="41" t="n">
        <v>7</v>
      </c>
      <c r="J6" s="41" t="n">
        <v>8</v>
      </c>
      <c r="K6" s="41" t="n">
        <v>9</v>
      </c>
      <c r="L6" s="41" t="n">
        <v>10</v>
      </c>
      <c r="M6" s="41" t="n">
        <v>11</v>
      </c>
      <c r="N6" s="41" t="n">
        <v>12</v>
      </c>
      <c r="O6" s="41" t="n">
        <v>13</v>
      </c>
      <c r="P6" s="41" t="n">
        <v>14</v>
      </c>
      <c r="Q6" s="41" t="n">
        <v>15</v>
      </c>
      <c r="R6" s="41" t="n">
        <v>16</v>
      </c>
      <c r="S6" s="41" t="n">
        <v>17</v>
      </c>
      <c r="T6" s="41" t="n">
        <v>18</v>
      </c>
      <c r="U6" s="41" t="n">
        <v>19</v>
      </c>
      <c r="V6" s="41" t="n">
        <v>20</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row>
    <row r="8" customFormat="false" ht="15" hidden="false" customHeight="false" outlineLevel="0" collapsed="false">
      <c r="A8" s="5"/>
      <c r="B8" s="32" t="s">
        <v>219</v>
      </c>
      <c r="C8" s="16"/>
      <c r="D8" s="16"/>
      <c r="E8" s="16"/>
      <c r="F8" s="16"/>
      <c r="G8" s="16"/>
      <c r="H8" s="16"/>
      <c r="I8" s="16"/>
      <c r="J8" s="16"/>
      <c r="K8" s="16"/>
      <c r="L8" s="16"/>
      <c r="M8" s="16"/>
      <c r="N8" s="16"/>
      <c r="O8" s="16"/>
      <c r="P8" s="16"/>
      <c r="Q8" s="16"/>
      <c r="R8" s="16"/>
      <c r="S8" s="16"/>
      <c r="T8" s="16"/>
      <c r="U8" s="16"/>
      <c r="V8" s="16"/>
    </row>
    <row r="9" customFormat="false" ht="15" hidden="false" customHeight="false" outlineLevel="0" collapsed="false">
      <c r="A9" s="5"/>
      <c r="B9" s="42" t="s">
        <v>220</v>
      </c>
      <c r="C9" s="43" t="n">
        <f aca="false">RO_Total_Rev</f>
        <v>0</v>
      </c>
      <c r="D9" s="43" t="n">
        <f aca="false">RO_Total_Rev</f>
        <v>0</v>
      </c>
      <c r="E9" s="43" t="n">
        <f aca="false">RO_Total_Rev</f>
        <v>70572242.4770039</v>
      </c>
      <c r="F9" s="43" t="n">
        <f aca="false">RO_Total_Rev</f>
        <v>71729098.5387609</v>
      </c>
      <c r="G9" s="43" t="n">
        <f aca="false">RO_Total_Rev</f>
        <v>72910059.9099279</v>
      </c>
      <c r="H9" s="43" t="n">
        <f aca="false">RO_Total_Rev</f>
        <v>74115604.7148953</v>
      </c>
      <c r="I9" s="43" t="n">
        <f aca="false">RO_Total_Rev</f>
        <v>75346222.0764592</v>
      </c>
      <c r="J9" s="43" t="n">
        <f aca="false">RO_Total_Rev</f>
        <v>76602412.330216</v>
      </c>
      <c r="K9" s="43" t="n">
        <f aca="false">RO_Total_Rev</f>
        <v>77884687.2449864</v>
      </c>
      <c r="L9" s="43" t="n">
        <f aca="false">RO_Total_Rev</f>
        <v>79193570.2493382</v>
      </c>
      <c r="M9" s="43" t="n">
        <f aca="false">RO_Total_Rev</f>
        <v>80529596.6642817</v>
      </c>
      <c r="N9" s="43" t="n">
        <f aca="false">RO_Total_Rev</f>
        <v>81893313.9422201</v>
      </c>
      <c r="O9" s="43" t="n">
        <f aca="false">RO_Total_Rev</f>
        <v>83285281.9122389</v>
      </c>
      <c r="P9" s="43" t="n">
        <f aca="false">RO_Total_Rev</f>
        <v>84706073.0318271</v>
      </c>
      <c r="Q9" s="43" t="n">
        <f aca="false">RO_Total_Rev</f>
        <v>86156272.6451241</v>
      </c>
      <c r="R9" s="43" t="n">
        <f aca="false">RO_Total_Rev</f>
        <v>87636479.2477973</v>
      </c>
      <c r="S9" s="43" t="n">
        <f aca="false">RO_Total_Rev</f>
        <v>89147304.7586529</v>
      </c>
      <c r="T9" s="43" t="n">
        <f aca="false">RO_Total_Rev</f>
        <v>102209649.385105</v>
      </c>
      <c r="U9" s="43" t="n">
        <f aca="false">RO_Total_Rev</f>
        <v>103885121.89825</v>
      </c>
      <c r="V9" s="43" t="n">
        <f aca="false">RO_Total_Rev</f>
        <v>105595506.086816</v>
      </c>
    </row>
    <row r="10" customFormat="false" ht="15" hidden="false" customHeight="false" outlineLevel="0" collapsed="false">
      <c r="A10" s="5"/>
      <c r="B10" s="42" t="s">
        <v>177</v>
      </c>
      <c r="C10" s="43" t="n">
        <f aca="false">-RO_Total_Var</f>
        <v>-0</v>
      </c>
      <c r="D10" s="43" t="n">
        <f aca="false">-RO_Total_Var</f>
        <v>-0</v>
      </c>
      <c r="E10" s="43" t="n">
        <f aca="false">-RO_Total_Var</f>
        <v>-27305876.5513747</v>
      </c>
      <c r="F10" s="43" t="n">
        <f aca="false">-RO_Total_Var</f>
        <v>-27974038.1190012</v>
      </c>
      <c r="G10" s="43" t="n">
        <f aca="false">-RO_Total_Var</f>
        <v>-28658788.8805444</v>
      </c>
      <c r="H10" s="43" t="n">
        <f aca="false">-RO_Total_Var</f>
        <v>-29360540.5968071</v>
      </c>
      <c r="I10" s="43" t="n">
        <f aca="false">-RO_Total_Var</f>
        <v>-30079715.2998461</v>
      </c>
      <c r="J10" s="43" t="n">
        <f aca="false">-RO_Total_Var</f>
        <v>-30816745.5483093</v>
      </c>
      <c r="K10" s="43" t="n">
        <f aca="false">-RO_Total_Var</f>
        <v>-31572074.6891724</v>
      </c>
      <c r="L10" s="43" t="n">
        <f aca="false">-RO_Total_Var</f>
        <v>-32346157.1260325</v>
      </c>
      <c r="M10" s="43" t="n">
        <f aca="false">-RO_Total_Var</f>
        <v>-33139458.5941218</v>
      </c>
      <c r="N10" s="43" t="n">
        <f aca="false">-RO_Total_Var</f>
        <v>-33952456.4422066</v>
      </c>
      <c r="O10" s="43" t="n">
        <f aca="false">-RO_Total_Var</f>
        <v>-34785639.9215428</v>
      </c>
      <c r="P10" s="43" t="n">
        <f aca="false">-RO_Total_Var</f>
        <v>-35639510.4820623</v>
      </c>
      <c r="Q10" s="43" t="n">
        <f aca="false">-RO_Total_Var</f>
        <v>-36514582.0759697</v>
      </c>
      <c r="R10" s="43" t="n">
        <f aca="false">-RO_Total_Var</f>
        <v>-37411381.4689327</v>
      </c>
      <c r="S10" s="43" t="n">
        <f aca="false">-RO_Total_Var</f>
        <v>-38330448.5590556</v>
      </c>
      <c r="T10" s="43" t="n">
        <f aca="false">-RO_Total_Var</f>
        <v>-39547050.9439797</v>
      </c>
      <c r="U10" s="43" t="n">
        <f aca="false">-RO_Total_Var</f>
        <v>-40514748.1172977</v>
      </c>
      <c r="V10" s="43" t="n">
        <f aca="false">-RO_Total_Var</f>
        <v>-41506471.3897489</v>
      </c>
    </row>
    <row r="11" customFormat="false" ht="15" hidden="false" customHeight="false" outlineLevel="0" collapsed="false">
      <c r="A11" s="5"/>
      <c r="B11" s="42" t="s">
        <v>103</v>
      </c>
      <c r="C11" s="43" t="n">
        <f aca="false">-RO_Fixed_OM</f>
        <v>-0</v>
      </c>
      <c r="D11" s="43" t="n">
        <f aca="false">-RO_Fixed_OM</f>
        <v>-0</v>
      </c>
      <c r="E11" s="43" t="n">
        <f aca="false">-RO_Fixed_OM</f>
        <v>-3750000</v>
      </c>
      <c r="F11" s="43" t="n">
        <f aca="false">-RO_Fixed_OM</f>
        <v>-3843750</v>
      </c>
      <c r="G11" s="43" t="n">
        <f aca="false">-RO_Fixed_OM</f>
        <v>-3939843.75</v>
      </c>
      <c r="H11" s="43" t="n">
        <f aca="false">-RO_Fixed_OM</f>
        <v>-4038339.84375</v>
      </c>
      <c r="I11" s="43" t="n">
        <f aca="false">-RO_Fixed_OM</f>
        <v>-4139298.33984375</v>
      </c>
      <c r="J11" s="43" t="n">
        <f aca="false">-RO_Fixed_OM</f>
        <v>-4242780.79833984</v>
      </c>
      <c r="K11" s="43" t="n">
        <f aca="false">-RO_Fixed_OM</f>
        <v>-4348850.31829834</v>
      </c>
      <c r="L11" s="43" t="n">
        <f aca="false">-RO_Fixed_OM</f>
        <v>-4457571.5762558</v>
      </c>
      <c r="M11" s="43" t="n">
        <f aca="false">-RO_Fixed_OM</f>
        <v>-4569010.86566219</v>
      </c>
      <c r="N11" s="43" t="n">
        <f aca="false">-RO_Fixed_OM</f>
        <v>-4683236.13730374</v>
      </c>
      <c r="O11" s="43" t="n">
        <f aca="false">-RO_Fixed_OM</f>
        <v>-4800317.04073634</v>
      </c>
      <c r="P11" s="43" t="n">
        <f aca="false">-RO_Fixed_OM</f>
        <v>-4920324.96675475</v>
      </c>
      <c r="Q11" s="43" t="n">
        <f aca="false">-RO_Fixed_OM</f>
        <v>-5043333.09092361</v>
      </c>
      <c r="R11" s="43" t="n">
        <f aca="false">-RO_Fixed_OM</f>
        <v>-5169416.4181967</v>
      </c>
      <c r="S11" s="43" t="n">
        <f aca="false">-RO_Fixed_OM</f>
        <v>-5298651.82865162</v>
      </c>
      <c r="T11" s="43" t="n">
        <f aca="false">-RO_Fixed_OM</f>
        <v>-5431118.12436791</v>
      </c>
      <c r="U11" s="43" t="n">
        <f aca="false">-RO_Fixed_OM</f>
        <v>-5566896.07747711</v>
      </c>
      <c r="V11" s="43" t="n">
        <f aca="false">-RO_Fixed_OM</f>
        <v>-5706068.47941404</v>
      </c>
    </row>
    <row r="12" customFormat="false" ht="15" hidden="false" customHeight="false" outlineLevel="0" collapsed="false">
      <c r="A12" s="5"/>
      <c r="B12" s="44" t="s">
        <v>183</v>
      </c>
      <c r="C12" s="45" t="n">
        <f aca="false">C9+C10+C11</f>
        <v>0</v>
      </c>
      <c r="D12" s="45" t="n">
        <f aca="false">D9+D10+D11</f>
        <v>0</v>
      </c>
      <c r="E12" s="45" t="n">
        <f aca="false">E9+E10+E11</f>
        <v>39516365.9256292</v>
      </c>
      <c r="F12" s="45" t="n">
        <f aca="false">F9+F10+F11</f>
        <v>39911310.4197597</v>
      </c>
      <c r="G12" s="45" t="n">
        <f aca="false">G9+G10+G11</f>
        <v>40311427.2793835</v>
      </c>
      <c r="H12" s="45" t="n">
        <f aca="false">H9+H10+H11</f>
        <v>40716724.2743382</v>
      </c>
      <c r="I12" s="45" t="n">
        <f aca="false">I9+I10+I11</f>
        <v>41127208.4367693</v>
      </c>
      <c r="J12" s="45" t="n">
        <f aca="false">J9+J10+J11</f>
        <v>41542885.9835668</v>
      </c>
      <c r="K12" s="45" t="n">
        <f aca="false">K9+K10+K11</f>
        <v>41963762.2375157</v>
      </c>
      <c r="L12" s="45" t="n">
        <f aca="false">L9+L10+L11</f>
        <v>42389841.5470499</v>
      </c>
      <c r="M12" s="45" t="n">
        <f aca="false">M9+M10+M11</f>
        <v>42821127.2044977</v>
      </c>
      <c r="N12" s="45" t="n">
        <f aca="false">N9+N10+N11</f>
        <v>43257621.3627097</v>
      </c>
      <c r="O12" s="45" t="n">
        <f aca="false">O9+O10+O11</f>
        <v>43699324.9499598</v>
      </c>
      <c r="P12" s="45" t="n">
        <f aca="false">P9+P10+P11</f>
        <v>44146237.58301</v>
      </c>
      <c r="Q12" s="45" t="n">
        <f aca="false">Q9+Q10+Q11</f>
        <v>44598357.4782309</v>
      </c>
      <c r="R12" s="45" t="n">
        <f aca="false">R9+R10+R11</f>
        <v>45055681.3606679</v>
      </c>
      <c r="S12" s="45" t="n">
        <f aca="false">S9+S10+S11</f>
        <v>45518204.3709457</v>
      </c>
      <c r="T12" s="45" t="n">
        <f aca="false">T9+T10+T11</f>
        <v>57231480.3167571</v>
      </c>
      <c r="U12" s="45" t="n">
        <f aca="false">U9+U10+U11</f>
        <v>57803477.7034748</v>
      </c>
      <c r="V12" s="45" t="n">
        <f aca="false">V9+V10+V11</f>
        <v>58382966.217653</v>
      </c>
    </row>
    <row r="13" customFormat="false" ht="15" hidden="false" customHeight="false" outlineLevel="0" collapsed="false">
      <c r="A13" s="5"/>
      <c r="B13" s="5"/>
      <c r="C13" s="5"/>
      <c r="D13" s="5"/>
      <c r="E13" s="5"/>
      <c r="F13" s="5"/>
      <c r="G13" s="5"/>
      <c r="H13" s="5"/>
      <c r="I13" s="5"/>
      <c r="J13" s="5"/>
      <c r="K13" s="5"/>
      <c r="L13" s="5"/>
      <c r="M13" s="5"/>
      <c r="N13" s="5"/>
      <c r="O13" s="5"/>
      <c r="P13" s="5"/>
      <c r="Q13" s="5"/>
      <c r="R13" s="5"/>
      <c r="S13" s="5"/>
      <c r="T13" s="5"/>
      <c r="U13" s="5"/>
      <c r="V13" s="5"/>
    </row>
    <row r="14" customFormat="false" ht="15" hidden="false" customHeight="false" outlineLevel="0" collapsed="false">
      <c r="A14" s="5"/>
      <c r="B14" s="32" t="s">
        <v>221</v>
      </c>
      <c r="C14" s="16"/>
      <c r="D14" s="16"/>
      <c r="E14" s="16"/>
      <c r="F14" s="16"/>
      <c r="G14" s="16"/>
      <c r="H14" s="16"/>
      <c r="I14" s="16"/>
      <c r="J14" s="16"/>
      <c r="K14" s="16"/>
      <c r="L14" s="16"/>
      <c r="M14" s="16"/>
      <c r="N14" s="16"/>
      <c r="O14" s="16"/>
      <c r="P14" s="16"/>
      <c r="Q14" s="16"/>
      <c r="R14" s="16"/>
      <c r="S14" s="16"/>
      <c r="T14" s="16"/>
      <c r="U14" s="16"/>
      <c r="V14" s="16"/>
    </row>
    <row r="15" customFormat="false" ht="15" hidden="false" customHeight="false" outlineLevel="0" collapsed="false">
      <c r="A15" s="5"/>
      <c r="B15" s="42" t="s">
        <v>222</v>
      </c>
      <c r="C15" s="43" t="n">
        <f aca="false">-CD_Total_Depr</f>
        <v>-0</v>
      </c>
      <c r="D15" s="43" t="n">
        <f aca="false">-CD_Total_Depr</f>
        <v>-0</v>
      </c>
      <c r="E15" s="43" t="n">
        <f aca="false">-CD_Total_Depr</f>
        <v>-7563018.75</v>
      </c>
      <c r="F15" s="43" t="n">
        <f aca="false">-CD_Total_Depr</f>
        <v>-7323655.89046875</v>
      </c>
      <c r="G15" s="43" t="n">
        <f aca="false">-CD_Total_Depr</f>
        <v>-7101329.68246464</v>
      </c>
      <c r="H15" s="43" t="n">
        <f aca="false">-CD_Total_Depr</f>
        <v>-6894827.54231522</v>
      </c>
      <c r="I15" s="43" t="n">
        <f aca="false">-CD_Total_Depr</f>
        <v>-6703023.19199093</v>
      </c>
      <c r="J15" s="43" t="n">
        <f aca="false">-CD_Total_Depr</f>
        <v>-6524870.51630098</v>
      </c>
      <c r="K15" s="43" t="n">
        <f aca="false">-CD_Total_Depr</f>
        <v>-6359397.85730325</v>
      </c>
      <c r="L15" s="43" t="n">
        <f aca="false">-CD_Total_Depr</f>
        <v>-6205702.7148097</v>
      </c>
      <c r="M15" s="43" t="n">
        <f aca="false">-CD_Total_Depr</f>
        <v>-6062946.82408312</v>
      </c>
      <c r="N15" s="43" t="n">
        <f aca="false">-CD_Total_Depr</f>
        <v>-5930351.583879</v>
      </c>
      <c r="O15" s="43" t="n">
        <f aca="false">-CD_Total_Depr</f>
        <v>-5807193.80989641</v>
      </c>
      <c r="P15" s="43" t="n">
        <f aca="false">-CD_Total_Depr</f>
        <v>-5692801.79047704</v>
      </c>
      <c r="Q15" s="43" t="n">
        <f aca="false">-CD_Total_Depr</f>
        <v>-5586551.62303983</v>
      </c>
      <c r="R15" s="43" t="n">
        <f aca="false">-CD_Total_Depr</f>
        <v>-5487863.81126997</v>
      </c>
      <c r="S15" s="43" t="n">
        <f aca="false">-CD_Total_Depr</f>
        <v>-5396200.10450283</v>
      </c>
      <c r="T15" s="43" t="n">
        <f aca="false">-CD_Total_Depr</f>
        <v>-9949778.55208748</v>
      </c>
      <c r="U15" s="43" t="n">
        <f aca="false">-CD_Total_Depr</f>
        <v>-9540538.06364265</v>
      </c>
      <c r="V15" s="43" t="n">
        <f aca="false">-CD_Total_Depr</f>
        <v>-9160425.26696288</v>
      </c>
    </row>
    <row r="16" customFormat="false" ht="15" hidden="false" customHeight="false" outlineLevel="0" collapsed="false">
      <c r="A16" s="5"/>
      <c r="B16" s="54" t="s">
        <v>223</v>
      </c>
      <c r="C16" s="51" t="n">
        <f aca="false">C12+C15</f>
        <v>0</v>
      </c>
      <c r="D16" s="51" t="n">
        <f aca="false">D12+D15</f>
        <v>0</v>
      </c>
      <c r="E16" s="51" t="n">
        <f aca="false">E12+E15</f>
        <v>31953347.1756292</v>
      </c>
      <c r="F16" s="51" t="n">
        <f aca="false">F12+F15</f>
        <v>32587654.5292909</v>
      </c>
      <c r="G16" s="51" t="n">
        <f aca="false">G12+G15</f>
        <v>33210097.5969188</v>
      </c>
      <c r="H16" s="51" t="n">
        <f aca="false">H12+H15</f>
        <v>33821896.732023</v>
      </c>
      <c r="I16" s="51" t="n">
        <f aca="false">I12+I15</f>
        <v>34424185.2447784</v>
      </c>
      <c r="J16" s="51" t="n">
        <f aca="false">J12+J15</f>
        <v>35018015.4672658</v>
      </c>
      <c r="K16" s="51" t="n">
        <f aca="false">K12+K15</f>
        <v>35604364.3802125</v>
      </c>
      <c r="L16" s="51" t="n">
        <f aca="false">L12+L15</f>
        <v>36184138.8322402</v>
      </c>
      <c r="M16" s="51" t="n">
        <f aca="false">M12+M15</f>
        <v>36758180.3804146</v>
      </c>
      <c r="N16" s="51" t="n">
        <f aca="false">N12+N15</f>
        <v>37327269.7788307</v>
      </c>
      <c r="O16" s="51" t="n">
        <f aca="false">O12+O15</f>
        <v>37892131.1400634</v>
      </c>
      <c r="P16" s="51" t="n">
        <f aca="false">P12+P15</f>
        <v>38453435.792533</v>
      </c>
      <c r="Q16" s="51" t="n">
        <f aca="false">Q12+Q15</f>
        <v>39011805.855191</v>
      </c>
      <c r="R16" s="51" t="n">
        <f aca="false">R12+R15</f>
        <v>39567817.549398</v>
      </c>
      <c r="S16" s="51" t="n">
        <f aca="false">S12+S15</f>
        <v>40122004.2664429</v>
      </c>
      <c r="T16" s="51" t="n">
        <f aca="false">T12+T15</f>
        <v>47281701.7646697</v>
      </c>
      <c r="U16" s="51" t="n">
        <f aca="false">U12+U15</f>
        <v>48262939.6398322</v>
      </c>
      <c r="V16" s="51" t="n">
        <f aca="false">V12+V15</f>
        <v>49222540.9506901</v>
      </c>
    </row>
    <row r="17" customFormat="false" ht="15" hidden="false" customHeight="false" outlineLevel="0" collapsed="false">
      <c r="A17" s="5"/>
      <c r="B17" s="42" t="s">
        <v>224</v>
      </c>
      <c r="C17" s="43" t="n">
        <f aca="false">-MAX(0,C16)*Tax_Rate</f>
        <v>-0</v>
      </c>
      <c r="D17" s="43" t="n">
        <f aca="false">-MAX(0,D16)*Tax_Rate</f>
        <v>-0</v>
      </c>
      <c r="E17" s="43" t="n">
        <f aca="false">-MAX(0,E16)*Tax_Rate</f>
        <v>-7988336.7939073</v>
      </c>
      <c r="F17" s="43" t="n">
        <f aca="false">-MAX(0,F16)*Tax_Rate</f>
        <v>-8146913.63232273</v>
      </c>
      <c r="G17" s="43" t="n">
        <f aca="false">-MAX(0,G16)*Tax_Rate</f>
        <v>-8302524.39922971</v>
      </c>
      <c r="H17" s="43" t="n">
        <f aca="false">-MAX(0,H16)*Tax_Rate</f>
        <v>-8455474.18300574</v>
      </c>
      <c r="I17" s="43" t="n">
        <f aca="false">-MAX(0,I16)*Tax_Rate</f>
        <v>-8606046.3111946</v>
      </c>
      <c r="J17" s="43" t="n">
        <f aca="false">-MAX(0,J16)*Tax_Rate</f>
        <v>-8754503.86681646</v>
      </c>
      <c r="K17" s="43" t="n">
        <f aca="false">-MAX(0,K16)*Tax_Rate</f>
        <v>-8901091.09505311</v>
      </c>
      <c r="L17" s="43" t="n">
        <f aca="false">-MAX(0,L16)*Tax_Rate</f>
        <v>-9046034.70806005</v>
      </c>
      <c r="M17" s="43" t="n">
        <f aca="false">-MAX(0,M16)*Tax_Rate</f>
        <v>-9189545.09510365</v>
      </c>
      <c r="N17" s="43" t="n">
        <f aca="false">-MAX(0,N16)*Tax_Rate</f>
        <v>-9331817.44470768</v>
      </c>
      <c r="O17" s="43" t="n">
        <f aca="false">-MAX(0,O16)*Tax_Rate</f>
        <v>-9473032.78501585</v>
      </c>
      <c r="P17" s="43" t="n">
        <f aca="false">-MAX(0,P16)*Tax_Rate</f>
        <v>-9613358.94813324</v>
      </c>
      <c r="Q17" s="43" t="n">
        <f aca="false">-MAX(0,Q16)*Tax_Rate</f>
        <v>-9752951.46379775</v>
      </c>
      <c r="R17" s="43" t="n">
        <f aca="false">-MAX(0,R16)*Tax_Rate</f>
        <v>-9891954.38734949</v>
      </c>
      <c r="S17" s="43" t="n">
        <f aca="false">-MAX(0,S16)*Tax_Rate</f>
        <v>-10030501.0666107</v>
      </c>
      <c r="T17" s="43" t="n">
        <f aca="false">-MAX(0,T16)*Tax_Rate</f>
        <v>-11820425.4411674</v>
      </c>
      <c r="U17" s="43" t="n">
        <f aca="false">-MAX(0,U16)*Tax_Rate</f>
        <v>-12065734.909958</v>
      </c>
      <c r="V17" s="43" t="n">
        <f aca="false">-MAX(0,V16)*Tax_Rate</f>
        <v>-12305635.2376725</v>
      </c>
    </row>
    <row r="18" customFormat="false" ht="15" hidden="false" customHeight="false" outlineLevel="0" collapsed="false">
      <c r="A18" s="5"/>
      <c r="B18" s="44" t="s">
        <v>225</v>
      </c>
      <c r="C18" s="45" t="n">
        <f aca="false">C16+C17</f>
        <v>0</v>
      </c>
      <c r="D18" s="45" t="n">
        <f aca="false">D16+D17</f>
        <v>0</v>
      </c>
      <c r="E18" s="45" t="n">
        <f aca="false">E16+E17</f>
        <v>23965010.3817219</v>
      </c>
      <c r="F18" s="45" t="n">
        <f aca="false">F16+F17</f>
        <v>24440740.8969682</v>
      </c>
      <c r="G18" s="45" t="n">
        <f aca="false">G16+G17</f>
        <v>24907573.1976891</v>
      </c>
      <c r="H18" s="45" t="n">
        <f aca="false">H16+H17</f>
        <v>25366422.5490172</v>
      </c>
      <c r="I18" s="45" t="n">
        <f aca="false">I16+I17</f>
        <v>25818138.9335838</v>
      </c>
      <c r="J18" s="45" t="n">
        <f aca="false">J16+J17</f>
        <v>26263511.6004494</v>
      </c>
      <c r="K18" s="45" t="n">
        <f aca="false">K16+K17</f>
        <v>26703273.2851593</v>
      </c>
      <c r="L18" s="45" t="n">
        <f aca="false">L16+L17</f>
        <v>27138104.1241802</v>
      </c>
      <c r="M18" s="45" t="n">
        <f aca="false">M16+M17</f>
        <v>27568635.2853109</v>
      </c>
      <c r="N18" s="45" t="n">
        <f aca="false">N16+N17</f>
        <v>27995452.334123</v>
      </c>
      <c r="O18" s="45" t="n">
        <f aca="false">O16+O17</f>
        <v>28419098.3550475</v>
      </c>
      <c r="P18" s="45" t="n">
        <f aca="false">P16+P17</f>
        <v>28840076.8443997</v>
      </c>
      <c r="Q18" s="45" t="n">
        <f aca="false">Q16+Q17</f>
        <v>29258854.3913933</v>
      </c>
      <c r="R18" s="45" t="n">
        <f aca="false">R16+R17</f>
        <v>29675863.1620485</v>
      </c>
      <c r="S18" s="45" t="n">
        <f aca="false">S16+S17</f>
        <v>30091503.1998322</v>
      </c>
      <c r="T18" s="45" t="n">
        <f aca="false">T16+T17</f>
        <v>35461276.3235023</v>
      </c>
      <c r="U18" s="45" t="n">
        <f aca="false">U16+U17</f>
        <v>36197204.7298741</v>
      </c>
      <c r="V18" s="45" t="n">
        <f aca="false">V16+V17</f>
        <v>36916905.7130176</v>
      </c>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row>
    <row r="20" customFormat="false" ht="15" hidden="false" customHeight="false" outlineLevel="0" collapsed="false">
      <c r="A20" s="5"/>
      <c r="B20" s="32" t="s">
        <v>226</v>
      </c>
      <c r="C20" s="16"/>
      <c r="D20" s="16"/>
      <c r="E20" s="16"/>
      <c r="F20" s="16"/>
      <c r="G20" s="16"/>
      <c r="H20" s="16"/>
      <c r="I20" s="16"/>
      <c r="J20" s="16"/>
      <c r="K20" s="16"/>
      <c r="L20" s="16"/>
      <c r="M20" s="16"/>
      <c r="N20" s="16"/>
      <c r="O20" s="16"/>
      <c r="P20" s="16"/>
      <c r="Q20" s="16"/>
      <c r="R20" s="16"/>
      <c r="S20" s="16"/>
      <c r="T20" s="16"/>
      <c r="U20" s="16"/>
      <c r="V20" s="16"/>
    </row>
    <row r="21" customFormat="false" ht="15" hidden="false" customHeight="false" outlineLevel="0" collapsed="false">
      <c r="A21" s="5"/>
      <c r="B21" s="42" t="s">
        <v>227</v>
      </c>
      <c r="C21" s="43" t="n">
        <f aca="false">CD_Total_Depr</f>
        <v>0</v>
      </c>
      <c r="D21" s="43" t="n">
        <f aca="false">CD_Total_Depr</f>
        <v>0</v>
      </c>
      <c r="E21" s="43" t="n">
        <f aca="false">CD_Total_Depr</f>
        <v>7563018.75</v>
      </c>
      <c r="F21" s="43" t="n">
        <f aca="false">CD_Total_Depr</f>
        <v>7323655.89046875</v>
      </c>
      <c r="G21" s="43" t="n">
        <f aca="false">CD_Total_Depr</f>
        <v>7101329.68246464</v>
      </c>
      <c r="H21" s="43" t="n">
        <f aca="false">CD_Total_Depr</f>
        <v>6894827.54231522</v>
      </c>
      <c r="I21" s="43" t="n">
        <f aca="false">CD_Total_Depr</f>
        <v>6703023.19199093</v>
      </c>
      <c r="J21" s="43" t="n">
        <f aca="false">CD_Total_Depr</f>
        <v>6524870.51630098</v>
      </c>
      <c r="K21" s="43" t="n">
        <f aca="false">CD_Total_Depr</f>
        <v>6359397.85730325</v>
      </c>
      <c r="L21" s="43" t="n">
        <f aca="false">CD_Total_Depr</f>
        <v>6205702.7148097</v>
      </c>
      <c r="M21" s="43" t="n">
        <f aca="false">CD_Total_Depr</f>
        <v>6062946.82408312</v>
      </c>
      <c r="N21" s="43" t="n">
        <f aca="false">CD_Total_Depr</f>
        <v>5930351.583879</v>
      </c>
      <c r="O21" s="43" t="n">
        <f aca="false">CD_Total_Depr</f>
        <v>5807193.80989641</v>
      </c>
      <c r="P21" s="43" t="n">
        <f aca="false">CD_Total_Depr</f>
        <v>5692801.79047704</v>
      </c>
      <c r="Q21" s="43" t="n">
        <f aca="false">CD_Total_Depr</f>
        <v>5586551.62303983</v>
      </c>
      <c r="R21" s="43" t="n">
        <f aca="false">CD_Total_Depr</f>
        <v>5487863.81126997</v>
      </c>
      <c r="S21" s="43" t="n">
        <f aca="false">CD_Total_Depr</f>
        <v>5396200.10450283</v>
      </c>
      <c r="T21" s="43" t="n">
        <f aca="false">CD_Total_Depr</f>
        <v>9949778.55208748</v>
      </c>
      <c r="U21" s="43" t="n">
        <f aca="false">CD_Total_Depr</f>
        <v>9540538.06364265</v>
      </c>
      <c r="V21" s="43" t="n">
        <f aca="false">CD_Total_Depr</f>
        <v>9160425.26696288</v>
      </c>
    </row>
    <row r="22" customFormat="false" ht="15" hidden="false" customHeight="false" outlineLevel="0" collapsed="false">
      <c r="A22" s="5"/>
      <c r="B22" s="42" t="s">
        <v>228</v>
      </c>
      <c r="C22" s="43" t="n">
        <f aca="false">-((RO_Total_Rev*DSO_Days/365-RO_Total_Opex*DPO_Days/365)*OP_Is_Ops)</f>
        <v>-0</v>
      </c>
      <c r="D22" s="43" t="n">
        <f aca="false">-((Revenue_Opex!D11*DSO_Days/365-Revenue_Opex!D21*DPO_Days/365)*Operations!D10-(Revenue_Opex!C11*DSO_Days/365-Revenue_Opex!C21*DPO_Days/365)*Operations!C10)</f>
        <v>-0</v>
      </c>
      <c r="E22" s="43" t="n">
        <f aca="false">-((Revenue_Opex!E11*DSO_Days/365-Revenue_Opex!E21*DPO_Days/365)*Operations!E10-(Revenue_Opex!D11*DSO_Days/365-Revenue_Opex!D21*DPO_Days/365)*Operations!D10)</f>
        <v>-3789240.56821102</v>
      </c>
      <c r="F22" s="43" t="n">
        <f aca="false">-((Revenue_Opex!F11*DSO_Days/365-Revenue_Opex!F21*DPO_Days/365)*Operations!F10-(Revenue_Opex!E11*DSO_Days/365-Revenue_Opex!E21*DPO_Days/365)*Operations!E10)</f>
        <v>-37871.3898481256</v>
      </c>
      <c r="G22" s="43" t="n">
        <f aca="false">-((Revenue_Opex!G11*DSO_Days/365-Revenue_Opex!G21*DPO_Days/365)*Operations!G10-(Revenue_Opex!F11*DSO_Days/365-Revenue_Opex!F21*DPO_Days/365)*Operations!F10)</f>
        <v>-38367.3701009126</v>
      </c>
      <c r="H22" s="43" t="n">
        <f aca="false">-((Revenue_Opex!H11*DSO_Days/365-Revenue_Opex!H21*DPO_Days/365)*Operations!H10-(Revenue_Opex!G11*DSO_Days/365-Revenue_Opex!G21*DPO_Days/365)*Operations!G10)</f>
        <v>-38864.0954066156</v>
      </c>
      <c r="I22" s="43" t="n">
        <f aca="false">-((Revenue_Opex!I11*DSO_Days/365-Revenue_Opex!I21*DPO_Days/365)*Operations!I10-(Revenue_Opex!H11*DSO_Days/365-Revenue_Opex!H21*DPO_Days/365)*Operations!H10)</f>
        <v>-39361.495027645</v>
      </c>
      <c r="J22" s="43" t="n">
        <f aca="false">-((Revenue_Opex!J11*DSO_Days/365-Revenue_Opex!J21*DPO_Days/365)*Operations!J10-(Revenue_Opex!I11*DSO_Days/365-Revenue_Opex!I21*DPO_Days/365)*Operations!I10)</f>
        <v>-39859.4907887992</v>
      </c>
      <c r="K22" s="43" t="n">
        <f aca="false">-((Revenue_Opex!K11*DSO_Days/365-Revenue_Opex!K21*DPO_Days/365)*Operations!K10-(Revenue_Opex!J11*DSO_Days/365-Revenue_Opex!J21*DPO_Days/365)*Operations!J10)</f>
        <v>-40357.9969540043</v>
      </c>
      <c r="L22" s="43" t="n">
        <f aca="false">-((Revenue_Opex!L11*DSO_Days/365-Revenue_Opex!L21*DPO_Days/365)*Operations!L10-(Revenue_Opex!K11*DSO_Days/365-Revenue_Opex!K21*DPO_Days/365)*Operations!K10)</f>
        <v>-40856.920092321</v>
      </c>
      <c r="M22" s="43" t="n">
        <f aca="false">-((Revenue_Opex!M11*DSO_Days/365-Revenue_Opex!M21*DPO_Days/365)*Operations!M10-(Revenue_Opex!L11*DSO_Days/365-Revenue_Opex!L21*DPO_Days/365)*Operations!L10)</f>
        <v>-41356.1589333513</v>
      </c>
      <c r="N22" s="43" t="n">
        <f aca="false">-((Revenue_Opex!N11*DSO_Days/365-Revenue_Opex!N21*DPO_Days/365)*Operations!N10-(Revenue_Opex!M11*DSO_Days/365-Revenue_Opex!M21*DPO_Days/365)*Operations!M10)</f>
        <v>-41855.6042121095</v>
      </c>
      <c r="O22" s="43" t="n">
        <f aca="false">-((Revenue_Opex!O11*DSO_Days/365-Revenue_Opex!O21*DPO_Days/365)*Operations!O10-(Revenue_Opex!N11*DSO_Days/365-Revenue_Opex!N21*DPO_Days/365)*Operations!N10)</f>
        <v>-42355.1385034318</v>
      </c>
      <c r="P22" s="43" t="n">
        <f aca="false">-((Revenue_Opex!P11*DSO_Days/365-Revenue_Opex!P21*DPO_Days/365)*Operations!P10-(Revenue_Opex!O11*DSO_Days/365-Revenue_Opex!O21*DPO_Days/365)*Operations!O10)</f>
        <v>-42854.6360459095</v>
      </c>
      <c r="Q22" s="43" t="n">
        <f aca="false">-((Revenue_Opex!Q11*DSO_Days/365-Revenue_Opex!Q21*DPO_Days/365)*Operations!Q10-(Revenue_Opex!P11*DSO_Days/365-Revenue_Opex!P21*DPO_Days/365)*Operations!P10)</f>
        <v>-43353.9625554243</v>
      </c>
      <c r="R22" s="43" t="n">
        <f aca="false">-((Revenue_Opex!R11*DSO_Days/365-Revenue_Opex!R21*DPO_Days/365)*Operations!R10-(Revenue_Opex!Q11*DSO_Days/365-Revenue_Opex!Q21*DPO_Days/365)*Operations!Q10)</f>
        <v>-43852.975028215</v>
      </c>
      <c r="S22" s="43" t="n">
        <f aca="false">-((Revenue_Opex!S11*DSO_Days/365-Revenue_Opex!S21*DPO_Days/365)*Operations!S10-(Revenue_Opex!R11*DSO_Days/365-Revenue_Opex!R21*DPO_Days/365)*Operations!R10)</f>
        <v>-44351.5215334864</v>
      </c>
      <c r="T22" s="43" t="n">
        <f aca="false">-((Revenue_Opex!T11*DSO_Days/365-Revenue_Opex!T21*DPO_Days/365)*Operations!T10-(Revenue_Opex!S11*DSO_Days/365-Revenue_Opex!S21*DPO_Days/365)*Operations!S10)</f>
        <v>-1123190.8441189</v>
      </c>
      <c r="U22" s="43" t="n">
        <f aca="false">-((Revenue_Opex!U11*DSO_Days/365-Revenue_Opex!U21*DPO_Days/365)*Operations!U10-(Revenue_Opex!T11*DSO_Days/365-Revenue_Opex!T21*DPO_Days/365)*Operations!T10)</f>
        <v>-54849.0644797776</v>
      </c>
      <c r="V22" s="43" t="n">
        <f aca="false">-((Revenue_Opex!V11*DSO_Days/365-Revenue_Opex!V21*DPO_Days/365)*Operations!V10-(Revenue_Opex!U11*DSO_Days/365-Revenue_Opex!U21*DPO_Days/365)*Operations!U10)</f>
        <v>-55567.3917705072</v>
      </c>
    </row>
    <row r="23" customFormat="false" ht="15" hidden="false" customHeight="false" outlineLevel="0" collapsed="false">
      <c r="A23" s="5"/>
      <c r="B23" s="42" t="s">
        <v>198</v>
      </c>
      <c r="C23" s="43" t="n">
        <f aca="false">-CD_Maint_Capex</f>
        <v>-0</v>
      </c>
      <c r="D23" s="43" t="n">
        <f aca="false">-CD_Maint_Capex</f>
        <v>-0</v>
      </c>
      <c r="E23" s="43" t="n">
        <f aca="false">-CD_Maint_Capex</f>
        <v>-1500000</v>
      </c>
      <c r="F23" s="43" t="n">
        <f aca="false">-CD_Maint_Capex</f>
        <v>-1537500</v>
      </c>
      <c r="G23" s="43" t="n">
        <f aca="false">-CD_Maint_Capex</f>
        <v>-1575937.5</v>
      </c>
      <c r="H23" s="43" t="n">
        <f aca="false">-CD_Maint_Capex</f>
        <v>-1615335.9375</v>
      </c>
      <c r="I23" s="43" t="n">
        <f aca="false">-CD_Maint_Capex</f>
        <v>-1655719.3359375</v>
      </c>
      <c r="J23" s="43" t="n">
        <f aca="false">-CD_Maint_Capex</f>
        <v>-1697112.31933594</v>
      </c>
      <c r="K23" s="43" t="n">
        <f aca="false">-CD_Maint_Capex</f>
        <v>-1739540.12731934</v>
      </c>
      <c r="L23" s="43" t="n">
        <f aca="false">-CD_Maint_Capex</f>
        <v>-1783028.63050232</v>
      </c>
      <c r="M23" s="43" t="n">
        <f aca="false">-CD_Maint_Capex</f>
        <v>-1827604.34626488</v>
      </c>
      <c r="N23" s="43" t="n">
        <f aca="false">-CD_Maint_Capex</f>
        <v>-1873294.4549215</v>
      </c>
      <c r="O23" s="43" t="n">
        <f aca="false">-CD_Maint_Capex</f>
        <v>-1920126.81629454</v>
      </c>
      <c r="P23" s="43" t="n">
        <f aca="false">-CD_Maint_Capex</f>
        <v>-1968129.9867019</v>
      </c>
      <c r="Q23" s="43" t="n">
        <f aca="false">-CD_Maint_Capex</f>
        <v>-2017333.23636945</v>
      </c>
      <c r="R23" s="43" t="n">
        <f aca="false">-CD_Maint_Capex</f>
        <v>-2067766.56727868</v>
      </c>
      <c r="S23" s="43" t="n">
        <f aca="false">-CD_Maint_Capex</f>
        <v>-2119460.73146065</v>
      </c>
      <c r="T23" s="43" t="n">
        <f aca="false">-CD_Maint_Capex</f>
        <v>-2172447.24974716</v>
      </c>
      <c r="U23" s="43" t="n">
        <f aca="false">-CD_Maint_Capex</f>
        <v>-2226758.43099084</v>
      </c>
      <c r="V23" s="43" t="n">
        <f aca="false">-CD_Maint_Capex</f>
        <v>-2282427.39176561</v>
      </c>
    </row>
    <row r="24" customFormat="false" ht="15" hidden="false" customHeight="false" outlineLevel="0" collapsed="false">
      <c r="A24" s="5"/>
      <c r="B24" s="46" t="s">
        <v>229</v>
      </c>
      <c r="C24" s="47" t="n">
        <f aca="false">C18+C21+C22+C23</f>
        <v>0</v>
      </c>
      <c r="D24" s="47" t="n">
        <f aca="false">D18+D21+D22+D23</f>
        <v>0</v>
      </c>
      <c r="E24" s="47" t="n">
        <f aca="false">E18+E21+E22+E23</f>
        <v>26238788.5635109</v>
      </c>
      <c r="F24" s="47" t="n">
        <f aca="false">F18+F21+F22+F23</f>
        <v>30189025.3975888</v>
      </c>
      <c r="G24" s="47" t="n">
        <f aca="false">G18+G21+G22+G23</f>
        <v>30394598.0100529</v>
      </c>
      <c r="H24" s="47" t="n">
        <f aca="false">H18+H21+H22+H23</f>
        <v>30607050.0584258</v>
      </c>
      <c r="I24" s="47" t="n">
        <f aca="false">I18+I21+I22+I23</f>
        <v>30826081.2946096</v>
      </c>
      <c r="J24" s="47" t="n">
        <f aca="false">J18+J21+J22+J23</f>
        <v>31051410.3066256</v>
      </c>
      <c r="K24" s="47" t="n">
        <f aca="false">K18+K21+K22+K23</f>
        <v>31282773.0181892</v>
      </c>
      <c r="L24" s="47" t="n">
        <f aca="false">L18+L21+L22+L23</f>
        <v>31519921.2883952</v>
      </c>
      <c r="M24" s="47" t="n">
        <f aca="false">M18+M21+M22+M23</f>
        <v>31762621.6041958</v>
      </c>
      <c r="N24" s="47" t="n">
        <f aca="false">N18+N21+N22+N23</f>
        <v>32010653.8588684</v>
      </c>
      <c r="O24" s="47" t="n">
        <f aca="false">O18+O21+O22+O23</f>
        <v>32263810.210146</v>
      </c>
      <c r="P24" s="47" t="n">
        <f aca="false">P18+P21+P22+P23</f>
        <v>32521894.0121289</v>
      </c>
      <c r="Q24" s="47" t="n">
        <f aca="false">Q18+Q21+Q22+Q23</f>
        <v>32784718.8155082</v>
      </c>
      <c r="R24" s="47" t="n">
        <f aca="false">R18+R21+R22+R23</f>
        <v>33052107.4310115</v>
      </c>
      <c r="S24" s="47" t="n">
        <f aca="false">S18+S21+S22+S23</f>
        <v>33323891.0513409</v>
      </c>
      <c r="T24" s="47" t="n">
        <f aca="false">T18+T21+T22+T23</f>
        <v>42115416.7817237</v>
      </c>
      <c r="U24" s="47" t="n">
        <f aca="false">U18+U21+U22+U23</f>
        <v>43456135.2980462</v>
      </c>
      <c r="V24" s="47" t="n">
        <f aca="false">V18+V21+V22+V23</f>
        <v>43739336.1964443</v>
      </c>
    </row>
    <row r="25" customFormat="false" ht="15" hidden="false" customHeight="false" outlineLevel="0" collapsed="false">
      <c r="A25" s="5"/>
      <c r="B25" s="5"/>
      <c r="C25" s="5"/>
      <c r="D25" s="5"/>
      <c r="E25" s="5"/>
      <c r="F25" s="5"/>
      <c r="G25" s="5"/>
      <c r="H25" s="5"/>
      <c r="I25" s="5"/>
      <c r="J25" s="5"/>
      <c r="K25" s="5"/>
      <c r="L25" s="5"/>
      <c r="M25" s="5"/>
      <c r="N25" s="5"/>
      <c r="O25" s="5"/>
      <c r="P25" s="5"/>
      <c r="Q25" s="5"/>
      <c r="R25" s="5"/>
      <c r="S25" s="5"/>
      <c r="T25" s="5"/>
      <c r="U25" s="5"/>
      <c r="V25" s="5"/>
    </row>
    <row r="26" customFormat="false" ht="15" hidden="false" customHeight="false" outlineLevel="0" collapsed="false">
      <c r="A26" s="5"/>
      <c r="B26" s="32" t="s">
        <v>206</v>
      </c>
      <c r="C26" s="16"/>
      <c r="D26" s="16"/>
      <c r="E26" s="16"/>
      <c r="F26" s="16"/>
      <c r="G26" s="16"/>
      <c r="H26" s="16"/>
      <c r="I26" s="16"/>
      <c r="J26" s="16"/>
      <c r="K26" s="16"/>
      <c r="L26" s="16"/>
      <c r="M26" s="16"/>
      <c r="N26" s="16"/>
      <c r="O26" s="16"/>
      <c r="P26" s="16"/>
      <c r="Q26" s="16"/>
      <c r="R26" s="16"/>
      <c r="S26" s="16"/>
      <c r="T26" s="16"/>
      <c r="U26" s="16"/>
      <c r="V26" s="16"/>
    </row>
    <row r="27" customFormat="false" ht="15" hidden="false" customHeight="false" outlineLevel="0" collapsed="false">
      <c r="A27" s="5"/>
      <c r="B27" s="42" t="s">
        <v>230</v>
      </c>
      <c r="C27" s="43" t="n">
        <f aca="false">-DS_Interest</f>
        <v>-0</v>
      </c>
      <c r="D27" s="43" t="n">
        <f aca="false">-DS_Interest</f>
        <v>-0</v>
      </c>
      <c r="E27" s="43" t="n">
        <f aca="false">-DS_Interest</f>
        <v>-6654375</v>
      </c>
      <c r="F27" s="43" t="n">
        <f aca="false">-DS_Interest</f>
        <v>-6379198.07485686</v>
      </c>
      <c r="G27" s="43" t="n">
        <f aca="false">-DS_Interest</f>
        <v>-6086134.64957942</v>
      </c>
      <c r="H27" s="43" t="n">
        <f aca="false">-DS_Interest</f>
        <v>-5774022.10165895</v>
      </c>
      <c r="I27" s="43" t="n">
        <f aca="false">-DS_Interest</f>
        <v>-5441622.23812364</v>
      </c>
      <c r="J27" s="43" t="n">
        <f aca="false">-DS_Interest</f>
        <v>-5087616.38345854</v>
      </c>
      <c r="K27" s="43" t="n">
        <f aca="false">-DS_Interest</f>
        <v>-4710600.14824021</v>
      </c>
      <c r="L27" s="43" t="n">
        <f aca="false">-DS_Interest</f>
        <v>-4309077.85773268</v>
      </c>
      <c r="M27" s="43" t="n">
        <f aca="false">-DS_Interest</f>
        <v>-3881456.61834217</v>
      </c>
      <c r="N27" s="43" t="n">
        <f aca="false">-DS_Interest</f>
        <v>-3426039.99839127</v>
      </c>
      <c r="O27" s="43" t="n">
        <f aca="false">-DS_Interest</f>
        <v>-2941021.29814357</v>
      </c>
      <c r="P27" s="43" t="n">
        <f aca="false">-DS_Interest</f>
        <v>-2424476.38237976</v>
      </c>
      <c r="Q27" s="43" t="n">
        <f aca="false">-DS_Interest</f>
        <v>-1874356.04709131</v>
      </c>
      <c r="R27" s="43" t="n">
        <f aca="false">-DS_Interest</f>
        <v>-1288477.89000911</v>
      </c>
      <c r="S27" s="43" t="n">
        <f aca="false">-DS_Interest</f>
        <v>-664517.652716561</v>
      </c>
      <c r="T27" s="43" t="n">
        <f aca="false">-DS_Interest</f>
        <v>-0</v>
      </c>
      <c r="U27" s="43" t="n">
        <f aca="false">-DS_Interest</f>
        <v>-0</v>
      </c>
      <c r="V27" s="43" t="n">
        <f aca="false">-DS_Interest</f>
        <v>-0</v>
      </c>
    </row>
    <row r="28" customFormat="false" ht="15" hidden="false" customHeight="false" outlineLevel="0" collapsed="false">
      <c r="A28" s="5"/>
      <c r="B28" s="42" t="s">
        <v>231</v>
      </c>
      <c r="C28" s="43" t="n">
        <f aca="false">-DS_Principal</f>
        <v>-0</v>
      </c>
      <c r="D28" s="43" t="n">
        <f aca="false">-DS_Principal</f>
        <v>-0</v>
      </c>
      <c r="E28" s="43" t="n">
        <f aca="false">-DS_Principal</f>
        <v>-4233491.15604827</v>
      </c>
      <c r="F28" s="43" t="n">
        <f aca="false">-DS_Principal</f>
        <v>-4508668.08119141</v>
      </c>
      <c r="G28" s="43" t="n">
        <f aca="false">-DS_Principal</f>
        <v>-4801731.50646885</v>
      </c>
      <c r="H28" s="43" t="n">
        <f aca="false">-DS_Principal</f>
        <v>-5113844.05438933</v>
      </c>
      <c r="I28" s="43" t="n">
        <f aca="false">-DS_Principal</f>
        <v>-5446243.91792463</v>
      </c>
      <c r="J28" s="43" t="n">
        <f aca="false">-DS_Principal</f>
        <v>-5800249.77258973</v>
      </c>
      <c r="K28" s="43" t="n">
        <f aca="false">-DS_Principal</f>
        <v>-6177266.00780806</v>
      </c>
      <c r="L28" s="43" t="n">
        <f aca="false">-DS_Principal</f>
        <v>-6578788.29831559</v>
      </c>
      <c r="M28" s="43" t="n">
        <f aca="false">-DS_Principal</f>
        <v>-7006409.5377061</v>
      </c>
      <c r="N28" s="43" t="n">
        <f aca="false">-DS_Principal</f>
        <v>-7461826.157657</v>
      </c>
      <c r="O28" s="43" t="n">
        <f aca="false">-DS_Principal</f>
        <v>-7946844.85790471</v>
      </c>
      <c r="P28" s="43" t="n">
        <f aca="false">-DS_Principal</f>
        <v>-8463389.77366851</v>
      </c>
      <c r="Q28" s="43" t="n">
        <f aca="false">-DS_Principal</f>
        <v>-9013510.10895696</v>
      </c>
      <c r="R28" s="43" t="n">
        <f aca="false">-DS_Principal</f>
        <v>-9599388.26603917</v>
      </c>
      <c r="S28" s="43" t="n">
        <f aca="false">-DS_Principal</f>
        <v>-10223348.5033317</v>
      </c>
      <c r="T28" s="43" t="n">
        <f aca="false">-DS_Principal</f>
        <v>-0</v>
      </c>
      <c r="U28" s="43" t="n">
        <f aca="false">-DS_Principal</f>
        <v>-0</v>
      </c>
      <c r="V28" s="43" t="n">
        <f aca="false">-DS_Principal</f>
        <v>-0</v>
      </c>
    </row>
    <row r="29" customFormat="false" ht="15" hidden="false" customHeight="false" outlineLevel="0" collapsed="false">
      <c r="A29" s="5"/>
      <c r="B29" s="44" t="s">
        <v>209</v>
      </c>
      <c r="C29" s="45" t="n">
        <f aca="false">C27+C28</f>
        <v>-0</v>
      </c>
      <c r="D29" s="45" t="n">
        <f aca="false">D27+D28</f>
        <v>-0</v>
      </c>
      <c r="E29" s="45" t="n">
        <f aca="false">E27+E28</f>
        <v>-10887866.1560483</v>
      </c>
      <c r="F29" s="45" t="n">
        <f aca="false">F27+F28</f>
        <v>-10887866.1560483</v>
      </c>
      <c r="G29" s="45" t="n">
        <f aca="false">G27+G28</f>
        <v>-10887866.1560483</v>
      </c>
      <c r="H29" s="45" t="n">
        <f aca="false">H27+H28</f>
        <v>-10887866.1560483</v>
      </c>
      <c r="I29" s="45" t="n">
        <f aca="false">I27+I28</f>
        <v>-10887866.1560483</v>
      </c>
      <c r="J29" s="45" t="n">
        <f aca="false">J27+J28</f>
        <v>-10887866.1560483</v>
      </c>
      <c r="K29" s="45" t="n">
        <f aca="false">K27+K28</f>
        <v>-10887866.1560483</v>
      </c>
      <c r="L29" s="45" t="n">
        <f aca="false">L27+L28</f>
        <v>-10887866.1560483</v>
      </c>
      <c r="M29" s="45" t="n">
        <f aca="false">M27+M28</f>
        <v>-10887866.1560483</v>
      </c>
      <c r="N29" s="45" t="n">
        <f aca="false">N27+N28</f>
        <v>-10887866.1560483</v>
      </c>
      <c r="O29" s="45" t="n">
        <f aca="false">O27+O28</f>
        <v>-10887866.1560483</v>
      </c>
      <c r="P29" s="45" t="n">
        <f aca="false">P27+P28</f>
        <v>-10887866.1560483</v>
      </c>
      <c r="Q29" s="45" t="n">
        <f aca="false">Q27+Q28</f>
        <v>-10887866.1560483</v>
      </c>
      <c r="R29" s="45" t="n">
        <f aca="false">R27+R28</f>
        <v>-10887866.1560483</v>
      </c>
      <c r="S29" s="45" t="n">
        <f aca="false">S27+S28</f>
        <v>-10887866.1560483</v>
      </c>
      <c r="T29" s="45" t="n">
        <f aca="false">T27+T28</f>
        <v>-0</v>
      </c>
      <c r="U29" s="45" t="n">
        <f aca="false">U27+U28</f>
        <v>-0</v>
      </c>
      <c r="V29" s="45" t="n">
        <f aca="false">V27+V28</f>
        <v>-0</v>
      </c>
    </row>
    <row r="30" customFormat="false" ht="15" hidden="false" customHeight="false" outlineLevel="0" collapsed="false">
      <c r="A30" s="5"/>
      <c r="B30" s="5"/>
      <c r="C30" s="5"/>
      <c r="D30" s="5"/>
      <c r="E30" s="5"/>
      <c r="F30" s="5"/>
      <c r="G30" s="5"/>
      <c r="H30" s="5"/>
      <c r="I30" s="5"/>
      <c r="J30" s="5"/>
      <c r="K30" s="5"/>
      <c r="L30" s="5"/>
      <c r="M30" s="5"/>
      <c r="N30" s="5"/>
      <c r="O30" s="5"/>
      <c r="P30" s="5"/>
      <c r="Q30" s="5"/>
      <c r="R30" s="5"/>
      <c r="S30" s="5"/>
      <c r="T30" s="5"/>
      <c r="U30" s="5"/>
      <c r="V30" s="5"/>
    </row>
    <row r="31" customFormat="false" ht="15" hidden="false" customHeight="false" outlineLevel="0" collapsed="false">
      <c r="A31" s="5"/>
      <c r="B31" s="32" t="s">
        <v>232</v>
      </c>
      <c r="C31" s="16"/>
      <c r="D31" s="16"/>
      <c r="E31" s="16"/>
      <c r="F31" s="16"/>
      <c r="G31" s="16"/>
      <c r="H31" s="16"/>
      <c r="I31" s="16"/>
      <c r="J31" s="16"/>
      <c r="K31" s="16"/>
      <c r="L31" s="16"/>
      <c r="M31" s="16"/>
      <c r="N31" s="16"/>
      <c r="O31" s="16"/>
      <c r="P31" s="16"/>
      <c r="Q31" s="16"/>
      <c r="R31" s="16"/>
      <c r="S31" s="16"/>
      <c r="T31" s="16"/>
      <c r="U31" s="16"/>
      <c r="V31" s="16"/>
    </row>
    <row r="32" customFormat="false" ht="15" hidden="false" customHeight="false" outlineLevel="0" collapsed="false">
      <c r="A32" s="5"/>
      <c r="B32" s="42" t="s">
        <v>233</v>
      </c>
      <c r="C32" s="43" t="n">
        <f aca="false">-DS_DSRA_Fund+DS_DSRA_Rel</f>
        <v>0</v>
      </c>
      <c r="D32" s="43" t="n">
        <f aca="false">-DS_DSRA_Fund+DS_DSRA_Rel</f>
        <v>-3168750</v>
      </c>
      <c r="E32" s="43" t="n">
        <f aca="false">-DS_DSRA_Fund+DS_DSRA_Rel</f>
        <v>-2275183.07802413</v>
      </c>
      <c r="F32" s="43" t="n">
        <f aca="false">-DS_DSRA_Fund+DS_DSRA_Rel</f>
        <v>0</v>
      </c>
      <c r="G32" s="43" t="n">
        <f aca="false">-DS_DSRA_Fund+DS_DSRA_Rel</f>
        <v>0</v>
      </c>
      <c r="H32" s="43" t="n">
        <f aca="false">-DS_DSRA_Fund+DS_DSRA_Rel</f>
        <v>0</v>
      </c>
      <c r="I32" s="43" t="n">
        <f aca="false">-DS_DSRA_Fund+DS_DSRA_Rel</f>
        <v>0</v>
      </c>
      <c r="J32" s="43" t="n">
        <f aca="false">-DS_DSRA_Fund+DS_DSRA_Rel</f>
        <v>0</v>
      </c>
      <c r="K32" s="43" t="n">
        <f aca="false">-DS_DSRA_Fund+DS_DSRA_Rel</f>
        <v>0</v>
      </c>
      <c r="L32" s="43" t="n">
        <f aca="false">-DS_DSRA_Fund+DS_DSRA_Rel</f>
        <v>0</v>
      </c>
      <c r="M32" s="43" t="n">
        <f aca="false">-DS_DSRA_Fund+DS_DSRA_Rel</f>
        <v>0</v>
      </c>
      <c r="N32" s="43" t="n">
        <f aca="false">-DS_DSRA_Fund+DS_DSRA_Rel</f>
        <v>0</v>
      </c>
      <c r="O32" s="43" t="n">
        <f aca="false">-DS_DSRA_Fund+DS_DSRA_Rel</f>
        <v>0</v>
      </c>
      <c r="P32" s="43" t="n">
        <f aca="false">-DS_DSRA_Fund+DS_DSRA_Rel</f>
        <v>0</v>
      </c>
      <c r="Q32" s="43" t="n">
        <f aca="false">-DS_DSRA_Fund+DS_DSRA_Rel</f>
        <v>0</v>
      </c>
      <c r="R32" s="43" t="n">
        <f aca="false">-DS_DSRA_Fund+DS_DSRA_Rel</f>
        <v>0</v>
      </c>
      <c r="S32" s="43" t="n">
        <f aca="false">-DS_DSRA_Fund+DS_DSRA_Rel</f>
        <v>5443933.07802413</v>
      </c>
      <c r="T32" s="43" t="n">
        <f aca="false">-DS_DSRA_Fund+DS_DSRA_Rel</f>
        <v>0</v>
      </c>
      <c r="U32" s="43" t="n">
        <f aca="false">-DS_DSRA_Fund+DS_DSRA_Rel</f>
        <v>0</v>
      </c>
      <c r="V32" s="43" t="n">
        <f aca="false">-DS_DSRA_Fund+DS_DSRA_Rel</f>
        <v>0</v>
      </c>
    </row>
    <row r="33" customFormat="false" ht="15" hidden="false" customHeight="false" outlineLevel="0" collapsed="false">
      <c r="A33" s="5"/>
      <c r="B33" s="54" t="s">
        <v>234</v>
      </c>
      <c r="C33" s="51" t="n">
        <f aca="false">C24+C29+C32</f>
        <v>0</v>
      </c>
      <c r="D33" s="51" t="n">
        <f aca="false">D24+D29+D32</f>
        <v>-3168750</v>
      </c>
      <c r="E33" s="51" t="n">
        <f aca="false">E24+E29+E32</f>
        <v>13075739.3294385</v>
      </c>
      <c r="F33" s="51" t="n">
        <f aca="false">F24+F29+F32</f>
        <v>19301159.2415405</v>
      </c>
      <c r="G33" s="51" t="n">
        <f aca="false">G24+G29+G32</f>
        <v>19506731.8540046</v>
      </c>
      <c r="H33" s="51" t="n">
        <f aca="false">H24+H29+H32</f>
        <v>19719183.9023776</v>
      </c>
      <c r="I33" s="51" t="n">
        <f aca="false">I24+I29+I32</f>
        <v>19938215.1385613</v>
      </c>
      <c r="J33" s="51" t="n">
        <f aca="false">J24+J29+J32</f>
        <v>20163544.1505773</v>
      </c>
      <c r="K33" s="51" t="n">
        <f aca="false">K24+K29+K32</f>
        <v>20394906.862141</v>
      </c>
      <c r="L33" s="51" t="n">
        <f aca="false">L24+L29+L32</f>
        <v>20632055.1323469</v>
      </c>
      <c r="M33" s="51" t="n">
        <f aca="false">M24+M29+M32</f>
        <v>20874755.4481476</v>
      </c>
      <c r="N33" s="51" t="n">
        <f aca="false">N24+N29+N32</f>
        <v>21122787.7028202</v>
      </c>
      <c r="O33" s="51" t="n">
        <f aca="false">O24+O29+O32</f>
        <v>21375944.0540977</v>
      </c>
      <c r="P33" s="51" t="n">
        <f aca="false">P24+P29+P32</f>
        <v>21634027.8560807</v>
      </c>
      <c r="Q33" s="51" t="n">
        <f aca="false">Q24+Q29+Q32</f>
        <v>21896852.65946</v>
      </c>
      <c r="R33" s="51" t="n">
        <f aca="false">R24+R29+R32</f>
        <v>22164241.2749633</v>
      </c>
      <c r="S33" s="51" t="n">
        <f aca="false">S24+S29+S32</f>
        <v>27879957.9733167</v>
      </c>
      <c r="T33" s="51" t="n">
        <f aca="false">T24+T29+T32</f>
        <v>42115416.7817237</v>
      </c>
      <c r="U33" s="51" t="n">
        <f aca="false">U24+U29+U32</f>
        <v>43456135.2980462</v>
      </c>
      <c r="V33" s="51" t="n">
        <f aca="false">V24+V29+V32</f>
        <v>43739336.1964443</v>
      </c>
    </row>
    <row r="34" customFormat="false" ht="15" hidden="false" customHeight="false" outlineLevel="0" collapsed="false">
      <c r="A34" s="5"/>
      <c r="B34" s="46" t="s">
        <v>235</v>
      </c>
      <c r="C34" s="47" t="n">
        <f aca="false">IF(DS_DSCR&gt;=Min_DSCR,MAX(0,C33),0)</f>
        <v>0</v>
      </c>
      <c r="D34" s="47" t="n">
        <f aca="false">IF(DS_DSCR&gt;=Min_DSCR,MAX(0,D33),0)</f>
        <v>0</v>
      </c>
      <c r="E34" s="47" t="n">
        <f aca="false">IF(DS_DSCR&gt;=Min_DSCR,MAX(0,E33),0)</f>
        <v>13075739.3294385</v>
      </c>
      <c r="F34" s="47" t="n">
        <f aca="false">IF(DS_DSCR&gt;=Min_DSCR,MAX(0,F33),0)</f>
        <v>19301159.2415405</v>
      </c>
      <c r="G34" s="47" t="n">
        <f aca="false">IF(DS_DSCR&gt;=Min_DSCR,MAX(0,G33),0)</f>
        <v>19506731.8540046</v>
      </c>
      <c r="H34" s="47" t="n">
        <f aca="false">IF(DS_DSCR&gt;=Min_DSCR,MAX(0,H33),0)</f>
        <v>19719183.9023776</v>
      </c>
      <c r="I34" s="47" t="n">
        <f aca="false">IF(DS_DSCR&gt;=Min_DSCR,MAX(0,I33),0)</f>
        <v>19938215.1385613</v>
      </c>
      <c r="J34" s="47" t="n">
        <f aca="false">IF(DS_DSCR&gt;=Min_DSCR,MAX(0,J33),0)</f>
        <v>20163544.1505773</v>
      </c>
      <c r="K34" s="47" t="n">
        <f aca="false">IF(DS_DSCR&gt;=Min_DSCR,MAX(0,K33),0)</f>
        <v>20394906.862141</v>
      </c>
      <c r="L34" s="47" t="n">
        <f aca="false">IF(DS_DSCR&gt;=Min_DSCR,MAX(0,L33),0)</f>
        <v>20632055.1323469</v>
      </c>
      <c r="M34" s="47" t="n">
        <f aca="false">IF(DS_DSCR&gt;=Min_DSCR,MAX(0,M33),0)</f>
        <v>20874755.4481476</v>
      </c>
      <c r="N34" s="47" t="n">
        <f aca="false">IF(DS_DSCR&gt;=Min_DSCR,MAX(0,N33),0)</f>
        <v>21122787.7028202</v>
      </c>
      <c r="O34" s="47" t="n">
        <f aca="false">IF(DS_DSCR&gt;=Min_DSCR,MAX(0,O33),0)</f>
        <v>21375944.0540977</v>
      </c>
      <c r="P34" s="47" t="n">
        <f aca="false">IF(DS_DSCR&gt;=Min_DSCR,MAX(0,P33),0)</f>
        <v>21634027.8560807</v>
      </c>
      <c r="Q34" s="47" t="n">
        <f aca="false">IF(DS_DSCR&gt;=Min_DSCR,MAX(0,Q33),0)</f>
        <v>21896852.65946</v>
      </c>
      <c r="R34" s="47" t="n">
        <f aca="false">IF(DS_DSCR&gt;=Min_DSCR,MAX(0,R33),0)</f>
        <v>22164241.2749633</v>
      </c>
      <c r="S34" s="47" t="n">
        <f aca="false">IF(DS_DSCR&gt;=Min_DSCR,MAX(0,S33),0)</f>
        <v>27879957.9733167</v>
      </c>
      <c r="T34" s="47" t="n">
        <f aca="false">IF(DS_DSCR&gt;=Min_DSCR,MAX(0,T33),0)</f>
        <v>0</v>
      </c>
      <c r="U34" s="47" t="n">
        <f aca="false">IF(DS_DSCR&gt;=Min_DSCR,MAX(0,U33),0)</f>
        <v>0</v>
      </c>
      <c r="V34" s="47" t="n">
        <f aca="false">IF(DS_DSCR&gt;=Min_DSCR,MAX(0,V33),0)</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2026-05-15T18:53:20Z</dcterms:created>
  <dc:creator>openpyxl</dc:creator>
  <dc:description/>
  <dc:language>en-GB</dc:language>
  <cp:lastModifiedBy/>
  <dcterms:modified xsi:type="dcterms:W3CDTF">2026-05-15T18:53:20Z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