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Rent_Roll" sheetId="4" state="visible" r:id="rId6"/>
    <sheet name="Operating_Expenses" sheetId="5" state="visible" r:id="rId7"/>
    <sheet name="Capital_Reserves" sheetId="6" state="visible" r:id="rId8"/>
    <sheet name="Debt_Schedule" sheetId="7" state="visible" r:id="rId9"/>
    <sheet name="Cash_Flow" sheetId="8" state="visible" r:id="rId10"/>
    <sheet name="Checks" sheetId="9" state="visible" r:id="rId11"/>
  </sheets>
  <definedNames>
    <definedName function="false" hidden="false" name="Acq_Costs_Pct" vbProcedure="false">Assumptions!$C$46</definedName>
    <definedName function="false" hidden="false" name="Amort_Period" vbProcedure="false">Assumptions!$C$54</definedName>
    <definedName function="false" hidden="false" name="CAM_Maint_PSF" vbProcedure="false">Assumptions!$C$31</definedName>
    <definedName function="false" hidden="false" name="CAM_Recovery" vbProcedure="false">Rent_Roll!$D$20</definedName>
    <definedName function="false" hidden="false" name="CAM_Recovery_Ratio" vbProcedure="false">Assumptions!$C$24</definedName>
    <definedName function="false" hidden="false" name="CapEx_Reserve_PSF" vbProcedure="false">Assumptions!$C$40</definedName>
    <definedName function="false" hidden="false" name="CF_CoC_Y1" vbProcedure="false">Cash_Flow!$C$34</definedName>
    <definedName function="false" hidden="false" name="CF_EM" vbProcedure="false">Cash_Flow!$C$33</definedName>
    <definedName function="false" hidden="false" name="CF_Lev_IRR" vbProcedure="false">Cash_Flow!$C$32</definedName>
    <definedName function="false" hidden="false" name="CF_Net_Proceeds_J" vbProcedure="false">Cash_Flow!$J$19</definedName>
    <definedName function="false" hidden="false" name="CF_Total_Equity" vbProcedure="false">Cash_Flow!$C$35</definedName>
    <definedName function="false" hidden="false" name="CF_Unlev_IRR" vbProcedure="false">Cash_Flow!$C$31</definedName>
    <definedName function="false" hidden="false" name="CR_CapEx" vbProcedure="false">Capital_Reserves!$D$12</definedName>
    <definedName function="false" hidden="false" name="CR_LC" vbProcedure="false">Capital_Reserves!$D$11</definedName>
    <definedName function="false" hidden="false" name="CR_TI_Reserve" vbProcedure="false">Capital_Reserves!$D$10</definedName>
    <definedName function="false" hidden="false" name="CR_Total" vbProcedure="false">Capital_Reserves!$D$14</definedName>
    <definedName function="false" hidden="false" name="DS_Closing" vbProcedure="false">Debt_Schedule!$D$11</definedName>
    <definedName function="false" hidden="false" name="DS_Closing_Y1" vbProcedure="false">Debt_Schedule!$D$11</definedName>
    <definedName function="false" hidden="false" name="DS_Closing_Y2" vbProcedure="false">Debt_Schedule!$E$11</definedName>
    <definedName function="false" hidden="false" name="DS_Closing_Y3" vbProcedure="false">Debt_Schedule!$F$11</definedName>
    <definedName function="false" hidden="false" name="DS_Closing_Y4" vbProcedure="false">Debt_Schedule!$G$11</definedName>
    <definedName function="false" hidden="false" name="DS_Closing_Y5" vbProcedure="false">Debt_Schedule!$H$11</definedName>
    <definedName function="false" hidden="false" name="DS_Closing_Y6" vbProcedure="false">Debt_Schedule!$I$11</definedName>
    <definedName function="false" hidden="false" name="DS_Closing_Y7" vbProcedure="false">Debt_Schedule!$J$11</definedName>
    <definedName function="false" hidden="false" name="DS_DSCR" vbProcedure="false">Debt_Schedule!$D$15</definedName>
    <definedName function="false" hidden="false" name="DS_Interest" vbProcedure="false">Debt_Schedule!$D$9</definedName>
    <definedName function="false" hidden="false" name="DS_Opening" vbProcedure="false">Debt_Schedule!$D$8</definedName>
    <definedName function="false" hidden="false" name="DS_Opening_Y1" vbProcedure="false">Debt_Schedule!$D$8</definedName>
    <definedName function="false" hidden="false" name="DS_Opening_Y2" vbProcedure="false">Debt_Schedule!$E$8</definedName>
    <definedName function="false" hidden="false" name="DS_Opening_Y3" vbProcedure="false">Debt_Schedule!$F$8</definedName>
    <definedName function="false" hidden="false" name="DS_Opening_Y4" vbProcedure="false">Debt_Schedule!$G$8</definedName>
    <definedName function="false" hidden="false" name="DS_Opening_Y5" vbProcedure="false">Debt_Schedule!$H$8</definedName>
    <definedName function="false" hidden="false" name="DS_Opening_Y6" vbProcedure="false">Debt_Schedule!$I$8</definedName>
    <definedName function="false" hidden="false" name="DS_Opening_Y7" vbProcedure="false">Debt_Schedule!$J$8</definedName>
    <definedName function="false" hidden="false" name="DS_Principal" vbProcedure="false">Debt_Schedule!$D$10</definedName>
    <definedName function="false" hidden="false" name="DS_Principal_Y1" vbProcedure="false">Debt_Schedule!$D$10</definedName>
    <definedName function="false" hidden="false" name="DS_Principal_Y2" vbProcedure="false">Debt_Schedule!$E$10</definedName>
    <definedName function="false" hidden="false" name="DS_Principal_Y3" vbProcedure="false">Debt_Schedule!$F$10</definedName>
    <definedName function="false" hidden="false" name="DS_Principal_Y4" vbProcedure="false">Debt_Schedule!$G$10</definedName>
    <definedName function="false" hidden="false" name="DS_Principal_Y5" vbProcedure="false">Debt_Schedule!$H$10</definedName>
    <definedName function="false" hidden="false" name="DS_Principal_Y6" vbProcedure="false">Debt_Schedule!$I$10</definedName>
    <definedName function="false" hidden="false" name="DS_Principal_Y7" vbProcedure="false">Debt_Schedule!$J$10</definedName>
    <definedName function="false" hidden="false" name="DS_Total_DS" vbProcedure="false">Debt_Schedule!$D$13</definedName>
    <definedName function="false" hidden="false" name="Entry_Cap_Rate" vbProcedure="false">Assumptions!$C$47</definedName>
    <definedName function="false" hidden="false" name="Exit_Cap_Rate" vbProcedure="false">Assumptions!$C$48</definedName>
    <definedName function="false" hidden="false" name="Exit_Costs_Pct" vbProcedure="false">Assumptions!$C$49</definedName>
    <definedName function="false" hidden="false" name="Gross_Revenue" vbProcedure="false">Rent_Roll!$D$22</definedName>
    <definedName function="false" hidden="false" name="Hold_Period" vbProcedure="false">Assumptions!$C$55</definedName>
    <definedName function="false" hidden="false" name="Hurdle_DSCR" vbProcedure="false">Assumptions!$C$63</definedName>
    <definedName function="false" hidden="false" name="Hurdle_EM" vbProcedure="false">Assumptions!$C$62</definedName>
    <definedName function="false" hidden="false" name="Hurdle_Levered" vbProcedure="false">Assumptions!$C$61</definedName>
    <definedName function="false" hidden="false" name="Hurdle_Unlevered" vbProcedure="false">Assumptions!$C$60</definedName>
    <definedName function="false" hidden="false" name="Initial_CapEx" vbProcedure="false">Assumptions!$C$41</definedName>
    <definedName function="false" hidden="false" name="Insurance_PSF" vbProcedure="false">Assumptions!$C$30</definedName>
    <definedName function="false" hidden="false" name="Interest_Rate" vbProcedure="false">Assumptions!$C$52</definedName>
    <definedName function="false" hidden="false" name="IO_Period" vbProcedure="false">Assumptions!$C$53</definedName>
    <definedName function="false" hidden="false" name="Landscaping_PSF" vbProcedure="false">Assumptions!$C$32</definedName>
    <definedName function="false" hidden="false" name="LC_Pct" vbProcedure="false">Assumptions!$C$39</definedName>
    <definedName function="false" hidden="false" name="Loan_Amount" vbProcedure="false">Assumptions!$C$51</definedName>
    <definedName function="false" hidden="false" name="LTV" vbProcedure="false">Assumptions!$C$50</definedName>
    <definedName function="false" hidden="false" name="Mgmt_Fee_Pct" vbProcedure="false">Assumptions!$C$28</definedName>
    <definedName function="false" hidden="false" name="OE_CAM_Recovery" vbProcedure="false">Operating_Expenses!$D$17</definedName>
    <definedName function="false" hidden="false" name="OE_EGI" vbProcedure="false">Operating_Expenses!$D$23</definedName>
    <definedName function="false" hidden="false" name="OE_Mgmt_Fee" vbProcedure="false">Operating_Expenses!$D$21</definedName>
    <definedName function="false" hidden="false" name="OE_Net_OpEx" vbProcedure="false">Operating_Expenses!$D$19</definedName>
    <definedName function="false" hidden="false" name="OE_NOI" vbProcedure="false">Operating_Expenses!$D$25</definedName>
    <definedName function="false" hidden="false" name="OE_Recoverable_OpEx" vbProcedure="false">Operating_Expenses!$D$16</definedName>
    <definedName function="false" hidden="false" name="Office_EGI" vbProcedure="false">Rent_Roll!$D$14</definedName>
    <definedName function="false" hidden="false" name="Office_GPR" vbProcedure="false">Rent_Roll!$D$12</definedName>
    <definedName function="false" hidden="false" name="Office_Pct" vbProcedure="false">Assumptions!$C$9</definedName>
    <definedName function="false" hidden="false" name="Office_Rent_Y1" vbProcedure="false">Assumptions!$C$18</definedName>
    <definedName function="false" hidden="false" name="Office_SF" vbProcedure="false">Assumptions!$C$11</definedName>
    <definedName function="false" hidden="false" name="Office_Vacancy_Stb" vbProcedure="false">Assumptions!$C$23</definedName>
    <definedName function="false" hidden="false" name="Office_Vacancy_Y1" vbProcedure="false">Assumptions!$C$22</definedName>
    <definedName function="false" hidden="false" name="OpEx_Escalator" vbProcedure="false">Assumptions!$C$34</definedName>
    <definedName function="false" hidden="false" name="Prop_Tax_PSF" vbProcedure="false">Assumptions!$C$29</definedName>
    <definedName function="false" hidden="false" name="Purchase_Price" vbProcedure="false">Assumptions!$C$45</definedName>
    <definedName function="false" hidden="false" name="Rent_Escalator" vbProcedure="false">Assumptions!$C$19</definedName>
    <definedName function="false" hidden="false" name="Rollover_Adj" vbProcedure="false">Rent_Roll!$D$16</definedName>
    <definedName function="false" hidden="false" name="Rollover_Rent_Bump" vbProcedure="false">Assumptions!$C$26</definedName>
    <definedName function="false" hidden="false" name="Rollover_Year" vbProcedure="false">Assumptions!$C$25</definedName>
    <definedName function="false" hidden="false" name="Structural_PSF" vbProcedure="false">Assumptions!$C$33</definedName>
    <definedName function="false" hidden="false" name="TI_Reserve_PSF" vbProcedure="false">Assumptions!$C$38</definedName>
    <definedName function="false" hidden="false" name="Total_EGI" vbProcedure="false">Rent_Roll!$D$18</definedName>
    <definedName function="false" hidden="false" name="Total_SF" vbProcedure="false">Assumptions!$C$7</definedName>
    <definedName function="false" hidden="false" name="Warehouse_Pct" vbProcedure="false">Assumptions!$C$8</definedName>
    <definedName function="false" hidden="false" name="Warehouse_SF" vbProcedure="false">Assumptions!$C$10</definedName>
    <definedName function="false" hidden="false" name="WH_EGI" vbProcedure="false">Rent_Roll!$D$10</definedName>
    <definedName function="false" hidden="false" name="WH_GPR" vbProcedure="false">Rent_Roll!$D$8</definedName>
    <definedName function="false" hidden="false" name="WH_Rent_Y1" vbProcedure="false">Assumptions!$C$17</definedName>
    <definedName function="false" hidden="false" name="WH_Vacancy_Stb" vbProcedure="false">Assumptions!$C$21</definedName>
    <definedName function="false" hidden="false" name="WH_Vacancy_Y1" vbProcedure="false">Assumptions!$C$20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<sst xmlns="http://schemas.openxmlformats.org/spreadsheetml/2006/main" count="335" uniqueCount="243">
  <si>
    <t xml:space="preserve">Industrial Warehouse Acquisition Analysis</t>
  </si>
  <si>
    <t xml:space="preserve">FINAMODEL.com</t>
  </si>
  <si>
    <t xml:space="preserve">7-Year Hold Period · NNN Lease · Project Finance Model</t>
  </si>
  <si>
    <t xml:space="preserve">Property Name</t>
  </si>
  <si>
    <t xml:space="preserve">Location</t>
  </si>
  <si>
    <t xml:space="preserve">Analysis Date</t>
  </si>
  <si>
    <t xml:space="preserve">Prepared by:</t>
  </si>
  <si>
    <t xml:space="preserve">Sheet Index</t>
  </si>
  <si>
    <t xml:space="preserve">Cover</t>
  </si>
  <si>
    <t xml:space="preserve">Title and navigation</t>
  </si>
  <si>
    <t xml:space="preserve">Assumptions</t>
  </si>
  <si>
    <t xml:space="preserve">Model inputs and parameters</t>
  </si>
  <si>
    <t xml:space="preserve">Rent_Roll</t>
  </si>
  <si>
    <t xml:space="preserve">GPR, vacancy, EGI, CAM recovery</t>
  </si>
  <si>
    <t xml:space="preserve">Operating_Expenses</t>
  </si>
  <si>
    <t xml:space="preserve">OpEx, NOI, management fee</t>
  </si>
  <si>
    <t xml:space="preserve">Capital_Reserves</t>
  </si>
  <si>
    <t xml:space="preserve">TI, leasing commissions, CapEx reserves</t>
  </si>
  <si>
    <t xml:space="preserve">Debt_Schedule</t>
  </si>
  <si>
    <t xml:space="preserve">Loan roll-forward, debt service, DSCR</t>
  </si>
  <si>
    <t xml:space="preserve">Cash_Flow</t>
  </si>
  <si>
    <t xml:space="preserve">Unlevered + levered cash flows, IRR, EM</t>
  </si>
  <si>
    <t xml:space="preserve">Checks</t>
  </si>
  <si>
    <t xml:space="preserve">Model integrity checks</t>
  </si>
  <si>
    <t xml:space="preserve">About this model</t>
  </si>
  <si>
    <t xml:space="preserve">This project finance model values an industrial warehouse acquisition (150k sqm, multi-tenant NNN) by forecasting net rent escalation, CAM recovery, operating expense pass-through, and calculating unlevered and levered IRR over a 7-year hold. Answer: do rent escalations and tenant rollover mark-to-market growth (15â25%) support 8â11% unlevered IRR and 12â16% levered IRR at 65% LTV?
The workbook projects warehouse base rent (Â£8.50/sqf, 93% occupancy Year 1, 5% vacancy Years 2â7) and office rent (Â£18/sqf, 90% occupancy, modified gross structure). Both escalate 3% annually per lease. CAM recovery (92% of operating expenses) offsets landlord opex, leaving 8% non-recoverable + 4% management fee deducted before NOI. Property taxes (Â£1.20/sqf), insurance (Â£0.30/sqf), and maintenance (Â£0.50/sqf) are mostly recovered. Tenant improvement reserves (Â£0.75/sqf/year) and leasing commissions (3% on rollover) are funded but non-recoverable. Senior debt Â£9.6M (65% LTV on Â£14.8M purchase) at 6.5%, 25-year amortisation with 2-year IO period. Exit: forward NOI (Year 8) / 6.5% cap rate.
Used by logistics and real estate sponsors, institutional investors deploying capital in e-commerce-driven warehouse space, and lenders underwriting industrial CRE mortgages. The model captures Prologis economics: 94â97% institutional occupancy, 70â75% NOI margin (NNN pass-through), negative working capital (collect rent before paying suppliers). Rent growth on rollover (15â25%) is the primary return lever in secondary markets; entry-exit cap rate differential (25â50 bps expansion) is the key risk. Benchmarks: Prologis trades 5.0â5.75% entry cap in primary markets, 5.75â6.5% in secondary; hold periods typically 5â7 years.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</si>
  <si>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</si>
  <si>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</si>
  <si>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</si>
  <si>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</si>
  <si>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</si>
  <si>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</si>
  <si>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</si>
  <si>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</si>
  <si>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</si>
  <si>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</si>
  <si>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</si>
  <si>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</si>
  <si>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</si>
  <si>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</si>
  <si>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</si>
  <si>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</si>
  <si>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</si>
  <si>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</si>
  <si>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</si>
  <si>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</si>
  <si>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</si>
  <si>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Model parameters — all inputs in column C</t>
  </si>
  <si>
    <t xml:space="preserve">Parameter</t>
  </si>
  <si>
    <t xml:space="preserve">Value</t>
  </si>
  <si>
    <t xml:space="preserve">Unit</t>
  </si>
  <si>
    <t xml:space="preserve">Notes</t>
  </si>
  <si>
    <t xml:space="preserve">A. Property Inputs</t>
  </si>
  <si>
    <t xml:space="preserve">Total Building SF</t>
  </si>
  <si>
    <t xml:space="preserve">SF</t>
  </si>
  <si>
    <t xml:space="preserve">Total square footage</t>
  </si>
  <si>
    <t xml:space="preserve">Warehouse %</t>
  </si>
  <si>
    <t xml:space="preserve">%</t>
  </si>
  <si>
    <t xml:space="preserve">Warehouse as % of total</t>
  </si>
  <si>
    <t xml:space="preserve">Office %</t>
  </si>
  <si>
    <t xml:space="preserve">Office as % of total</t>
  </si>
  <si>
    <t xml:space="preserve">Warehouse SF</t>
  </si>
  <si>
    <t xml:space="preserve">Formula</t>
  </si>
  <si>
    <t xml:space="preserve">Office SF</t>
  </si>
  <si>
    <t xml:space="preserve">B. Revenue Inputs</t>
  </si>
  <si>
    <t xml:space="preserve">WH Base Rent Y1</t>
  </si>
  <si>
    <t xml:space="preserve">$/SF/yr</t>
  </si>
  <si>
    <t xml:space="preserve">Year 1 warehouse rent</t>
  </si>
  <si>
    <t xml:space="preserve">Office Base Rent Y1</t>
  </si>
  <si>
    <t xml:space="preserve">Year 1 office rent</t>
  </si>
  <si>
    <t xml:space="preserve">Rent Escalator</t>
  </si>
  <si>
    <t xml:space="preserve">%/yr</t>
  </si>
  <si>
    <t xml:space="preserve">Annual fixed escalation</t>
  </si>
  <si>
    <t xml:space="preserve">WH Vacancy Y1</t>
  </si>
  <si>
    <t xml:space="preserve">Warehouse vacancy Yr 1</t>
  </si>
  <si>
    <t xml:space="preserve">WH Vacancy Stabilised</t>
  </si>
  <si>
    <t xml:space="preserve">Warehouse vacancy Yrs 2-7</t>
  </si>
  <si>
    <t xml:space="preserve">Office Vacancy Y1</t>
  </si>
  <si>
    <t xml:space="preserve">Office vacancy Yr 1</t>
  </si>
  <si>
    <t xml:space="preserve">Office Vacancy Stab.</t>
  </si>
  <si>
    <t xml:space="preserve">Office vacancy Yrs 2-7</t>
  </si>
  <si>
    <t xml:space="preserve">CAM Recovery Ratio</t>
  </si>
  <si>
    <t xml:space="preserve">% recoverable opex to tenants</t>
  </si>
  <si>
    <t xml:space="preserve">Rollover Year</t>
  </si>
  <si>
    <t xml:space="preserve">Year#</t>
  </si>
  <si>
    <t xml:space="preserve">Major lease rollover year</t>
  </si>
  <si>
    <t xml:space="preserve">Rollover Rent Bump</t>
  </si>
  <si>
    <t xml:space="preserve">New rent premium at rollover</t>
  </si>
  <si>
    <t xml:space="preserve">C. Operating Expense Inputs</t>
  </si>
  <si>
    <t xml:space="preserve">Mgmt Fee %</t>
  </si>
  <si>
    <t xml:space="preserve">% of EGI; non-recoverable</t>
  </si>
  <si>
    <t xml:space="preserve">Property Tax PSF</t>
  </si>
  <si>
    <t xml:space="preserve">Recovered via CAM</t>
  </si>
  <si>
    <t xml:space="preserve">Insurance PSF</t>
  </si>
  <si>
    <t xml:space="preserve">CAM Maint PSF</t>
  </si>
  <si>
    <t xml:space="preserve">Landscaping PSF</t>
  </si>
  <si>
    <t xml:space="preserve">Structural Reserve PSF</t>
  </si>
  <si>
    <t xml:space="preserve">Non-recoverable</t>
  </si>
  <si>
    <t xml:space="preserve">OpEx Escalator</t>
  </si>
  <si>
    <t xml:space="preserve">Annual OpEx inflation</t>
  </si>
  <si>
    <t xml:space="preserve">D. Capital Reserve Inputs</t>
  </si>
  <si>
    <t xml:space="preserve">TI Reserve PSF</t>
  </si>
  <si>
    <t xml:space="preserve">TI reserves per year</t>
  </si>
  <si>
    <t xml:space="preserve">Leasing Commission %</t>
  </si>
  <si>
    <t xml:space="preserve">% of first-year gross rent</t>
  </si>
  <si>
    <t xml:space="preserve">CapEx Reserve PSF</t>
  </si>
  <si>
    <t xml:space="preserve">Ongoing CapEx reserves</t>
  </si>
  <si>
    <t xml:space="preserve">Initial CapEx</t>
  </si>
  <si>
    <t xml:space="preserve">$</t>
  </si>
  <si>
    <t xml:space="preserve">Year 0 deferred maintenance</t>
  </si>
  <si>
    <t xml:space="preserve">E. Acquisition &amp; Financing</t>
  </si>
  <si>
    <t xml:space="preserve">Purchase Price</t>
  </si>
  <si>
    <t xml:space="preserve">Acquisition price</t>
  </si>
  <si>
    <t xml:space="preserve">Acq Costs %</t>
  </si>
  <si>
    <t xml:space="preserve">Transaction costs % of price</t>
  </si>
  <si>
    <t xml:space="preserve">Entry Cap Rate</t>
  </si>
  <si>
    <t xml:space="preserve">Memo only</t>
  </si>
  <si>
    <t xml:space="preserve">Exit Cap Rate</t>
  </si>
  <si>
    <t xml:space="preserve">Applied to forward NOI</t>
  </si>
  <si>
    <t xml:space="preserve">Exit Costs %</t>
  </si>
  <si>
    <t xml:space="preserve">Broker + legal at disposition</t>
  </si>
  <si>
    <t xml:space="preserve">LTV</t>
  </si>
  <si>
    <t xml:space="preserve">Loan-to-value ratio</t>
  </si>
  <si>
    <t xml:space="preserve">Loan Amount</t>
  </si>
  <si>
    <t xml:space="preserve">Interest Rate</t>
  </si>
  <si>
    <t xml:space="preserve">Annual fixed rate</t>
  </si>
  <si>
    <t xml:space="preserve">IO Period</t>
  </si>
  <si>
    <t xml:space="preserve">Yrs</t>
  </si>
  <si>
    <t xml:space="preserve">Interest-only years</t>
  </si>
  <si>
    <t xml:space="preserve">Amort Period</t>
  </si>
  <si>
    <t xml:space="preserve">Amortisation period</t>
  </si>
  <si>
    <t xml:space="preserve">Hold Period</t>
  </si>
  <si>
    <t xml:space="preserve">Investment hold period</t>
  </si>
  <si>
    <t xml:space="preserve">F. Return Hurdles</t>
  </si>
  <si>
    <t xml:space="preserve">Hurdle — Unlevered IRR</t>
  </si>
  <si>
    <t xml:space="preserve">Unlevered IRR minimum</t>
  </si>
  <si>
    <t xml:space="preserve">Hurdle — Levered IRR</t>
  </si>
  <si>
    <t xml:space="preserve">Levered IRR minimum</t>
  </si>
  <si>
    <t xml:space="preserve">Hurdle — Equity Multiple</t>
  </si>
  <si>
    <t xml:space="preserve">x</t>
  </si>
  <si>
    <t xml:space="preserve">EM minimum</t>
  </si>
  <si>
    <t xml:space="preserve">Hurdle — DSCR</t>
  </si>
  <si>
    <t xml:space="preserve">Min DSCR covenant</t>
  </si>
  <si>
    <t xml:space="preserve">Rent Roll</t>
  </si>
  <si>
    <t xml:space="preserve">Gross potential rent, vacancy, EGI, CAM recovery</t>
  </si>
  <si>
    <t xml:space="preserve">Year 0</t>
  </si>
  <si>
    <t xml:space="preserve">Year 1</t>
  </si>
  <si>
    <t xml:space="preserve">Year 2</t>
  </si>
  <si>
    <t xml:space="preserve">Year 3</t>
  </si>
  <si>
    <t xml:space="preserve">Year 4</t>
  </si>
  <si>
    <t xml:space="preserve">Year 5</t>
  </si>
  <si>
    <t xml:space="preserve">Year 6</t>
  </si>
  <si>
    <t xml:space="preserve">Year 7</t>
  </si>
  <si>
    <t xml:space="preserve">Year Number</t>
  </si>
  <si>
    <t xml:space="preserve">Warehouse</t>
  </si>
  <si>
    <t xml:space="preserve">Wh Gross Rent</t>
  </si>
  <si>
    <t xml:space="preserve">Wh Vacancy</t>
  </si>
  <si>
    <t xml:space="preserve">Wh Effective Rent</t>
  </si>
  <si>
    <t xml:space="preserve">Office</t>
  </si>
  <si>
    <t xml:space="preserve">Office Gross Rent</t>
  </si>
  <si>
    <t xml:space="preserve">Office Vacancy</t>
  </si>
  <si>
    <t xml:space="preserve">Office Effective Rent</t>
  </si>
  <si>
    <t xml:space="preserve">Rollover &amp; Totals</t>
  </si>
  <si>
    <t xml:space="preserve">Rollover Uplift</t>
  </si>
  <si>
    <t xml:space="preserve">Total EGI (pre-CAM)</t>
  </si>
  <si>
    <t xml:space="preserve">CAM Recovery</t>
  </si>
  <si>
    <t xml:space="preserve">Gross Revenue</t>
  </si>
  <si>
    <t xml:space="preserve">Operating Expenses</t>
  </si>
  <si>
    <t xml:space="preserve">Property taxes, insurance, CAM, management fee, NOI</t>
  </si>
  <si>
    <t xml:space="preserve">Gross Operating Expenses</t>
  </si>
  <si>
    <t xml:space="preserve">Property Tax</t>
  </si>
  <si>
    <t xml:space="preserve">Insurance</t>
  </si>
  <si>
    <t xml:space="preserve">CAM Maintenance</t>
  </si>
  <si>
    <t xml:space="preserve">Landscaping</t>
  </si>
  <si>
    <t xml:space="preserve">Structural Reserve</t>
  </si>
  <si>
    <t xml:space="preserve">Gross OpEx</t>
  </si>
  <si>
    <t xml:space="preserve">Recoverable OpEx</t>
  </si>
  <si>
    <t xml:space="preserve">CAM Recovery Income</t>
  </si>
  <si>
    <t xml:space="preserve">Net Landlord OpEx &amp; NOI</t>
  </si>
  <si>
    <t xml:space="preserve">Net Landlord OpEx</t>
  </si>
  <si>
    <t xml:space="preserve">Management Fee</t>
  </si>
  <si>
    <t xml:space="preserve">Effective Gross Income</t>
  </si>
  <si>
    <t xml:space="preserve">NOI</t>
  </si>
  <si>
    <t xml:space="preserve">Capital Reserves</t>
  </si>
  <si>
    <t xml:space="preserve">TI reserves, leasing commissions, ongoing CapEx</t>
  </si>
  <si>
    <t xml:space="preserve">TI Reserve</t>
  </si>
  <si>
    <t xml:space="preserve">Leasing Commissions</t>
  </si>
  <si>
    <t xml:space="preserve">CapEx Reserve</t>
  </si>
  <si>
    <t xml:space="preserve">Total Cap Reserves</t>
  </si>
  <si>
    <t xml:space="preserve">Debt Schedule</t>
  </si>
  <si>
    <t xml:space="preserve">Senior loan roll-forward, debt service, DSCR</t>
  </si>
  <si>
    <t xml:space="preserve">Debt Balance Roll-Forward</t>
  </si>
  <si>
    <t xml:space="preserve">Opening Balance</t>
  </si>
  <si>
    <t xml:space="preserve">Interest Expense</t>
  </si>
  <si>
    <t xml:space="preserve">Principal Repayment</t>
  </si>
  <si>
    <t xml:space="preserve">Closing Balance</t>
  </si>
  <si>
    <t xml:space="preserve">Debt Service &amp; Coverage</t>
  </si>
  <si>
    <t xml:space="preserve">Total Debt Service</t>
  </si>
  <si>
    <t xml:space="preserve">DSCR</t>
  </si>
  <si>
    <t xml:space="preserve">Cash Flow Analysis</t>
  </si>
  <si>
    <t xml:space="preserve">Unlevered + levered cash flows, exit, IRR, equity multiple</t>
  </si>
  <si>
    <t xml:space="preserve">Date</t>
  </si>
  <si>
    <t xml:space="preserve">A. Unlevered Cash Flows</t>
  </si>
  <si>
    <t xml:space="preserve">Acquisition Price</t>
  </si>
  <si>
    <t xml:space="preserve">Acquisition Costs</t>
  </si>
  <si>
    <t xml:space="preserve">Unlevered FCF</t>
  </si>
  <si>
    <t xml:space="preserve">Exit Value (gross)</t>
  </si>
  <si>
    <t xml:space="preserve">Exit Costs</t>
  </si>
  <si>
    <t xml:space="preserve">Net Sale Proceeds</t>
  </si>
  <si>
    <t xml:space="preserve">UNLEV TOTAL CF</t>
  </si>
  <si>
    <t xml:space="preserve">B. Levered Cash Flows</t>
  </si>
  <si>
    <t xml:space="preserve">Loan Repayment at Exit</t>
  </si>
  <si>
    <t xml:space="preserve">Loan Proceeds</t>
  </si>
  <si>
    <t xml:space="preserve">LEVERED FCF</t>
  </si>
  <si>
    <t xml:space="preserve">C. Returns Summary</t>
  </si>
  <si>
    <t xml:space="preserve">Unlevered IRR</t>
  </si>
  <si>
    <t xml:space="preserve">Levered IRR</t>
  </si>
  <si>
    <t xml:space="preserve">Equity Multiple</t>
  </si>
  <si>
    <t xml:space="preserve">Cash-on-Cash Yr 1</t>
  </si>
  <si>
    <t xml:space="preserve">Total Equity Invested</t>
  </si>
  <si>
    <t xml:space="preserve">Model Checks</t>
  </si>
  <si>
    <t xml:space="preserve">Automated integrity checks — all should show PASS</t>
  </si>
  <si>
    <t xml:space="preserve">Check</t>
  </si>
  <si>
    <t xml:space="preserve">Formula / Logic</t>
  </si>
  <si>
    <t xml:space="preserve">Result</t>
  </si>
  <si>
    <t xml:space="preserve">Expected</t>
  </si>
  <si>
    <t xml:space="preserve">Pass/Fail</t>
  </si>
  <si>
    <t xml:space="preserve">Structural Checks</t>
  </si>
  <si>
    <t xml:space="preserve">Debt Declining (Yrs 3-7)</t>
  </si>
  <si>
    <t xml:space="preserve">TRUE</t>
  </si>
  <si>
    <t xml:space="preserve">IO Period Principal = 0 (Yrs 1-2)</t>
  </si>
  <si>
    <t xml:space="preserve">Min DSCR &gt;= Hurdle (1.25x)</t>
  </si>
  <si>
    <t xml:space="preserve">NOI Positive All Years</t>
  </si>
  <si>
    <t xml:space="preserve">Unlevered IRR is Numeric</t>
  </si>
  <si>
    <t xml:space="preserve">Levered IRR is Numeric</t>
  </si>
  <si>
    <t xml:space="preserve">Levered IRR &gt; Unlevered IRR</t>
  </si>
  <si>
    <t xml:space="preserve">Equity Multiple &gt; 1.0x</t>
  </si>
  <si>
    <t xml:space="preserve">Exit Proceeds &gt; Balloon Repayment</t>
  </si>
  <si>
    <t xml:space="preserve">Hurdle Benchmarks (Advisory)</t>
  </si>
  <si>
    <t xml:space="preserve">Unlevered IRR &gt;= Hurdle (8%)</t>
  </si>
  <si>
    <t xml:space="preserve">PASS</t>
  </si>
  <si>
    <t xml:space="preserve">Levered IRR &gt;= Hurdle (12%)</t>
  </si>
  <si>
    <t xml:space="preserve">Equity Multiple &gt;= Hurdle (1.8x)</t>
  </si>
</sst>
</file>

<file path=xl/styles.xml><?xml version="1.0" encoding="utf-8"?>
<styleSheet xmlns="http://schemas.openxmlformats.org/spreadsheetml/2006/main">
  <numFmts count="7">
    <numFmt numFmtId="164" formatCode="General"/>
    <numFmt numFmtId="165" formatCode="yyyy\-mm\-dd"/>
    <numFmt numFmtId="166" formatCode="#,##0.00"/>
    <numFmt numFmtId="167" formatCode="0.00%"/>
    <numFmt numFmtId="168" formatCode="\$#,##0.00"/>
    <numFmt numFmtId="169" formatCode="0.00\x"/>
    <numFmt numFmtId="170" formatCode="0"/>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color theme="3"/>
      <name val="Arial"/>
      <family val="0"/>
      <charset val="1"/>
    </font>
    <font>
      <sz val="10"/>
      <name val="Arial"/>
      <family val="0"/>
      <charset val="1"/>
    </font>
    <font>
      <i val="true"/>
      <sz val="10"/>
      <color rgb="FF595959"/>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0"/>
      <color rgb="FFFFFFFF"/>
      <name val="Arial"/>
      <family val="0"/>
      <charset val="1"/>
    </font>
    <font>
      <sz val="10"/>
      <color rgb="FF2E75B6"/>
      <name val="Arial"/>
      <family val="0"/>
      <charset val="1"/>
    </font>
    <font>
      <sz val="10"/>
      <color rgb="FF000000"/>
      <name val="Arial"/>
      <family val="0"/>
      <charset val="1"/>
    </font>
  </fonts>
  <fills count="8">
    <fill>
      <patternFill patternType="none"/>
    </fill>
    <fill>
      <patternFill patternType="gray125"/>
    </fill>
    <fill>
      <patternFill patternType="solid">
        <fgColor theme="3"/>
        <bgColor rgb="FF1F4E79"/>
      </patternFill>
    </fill>
    <fill>
      <patternFill patternType="solid">
        <fgColor rgb="FFFFF2CC"/>
        <bgColor rgb="FFF2F2F2"/>
      </patternFill>
    </fill>
    <fill>
      <patternFill patternType="solid">
        <fgColor rgb="FFD6E4F0"/>
        <bgColor rgb="FFD9D9D9"/>
      </patternFill>
    </fill>
    <fill>
      <patternFill patternType="solid">
        <fgColor rgb="FF1F4E79"/>
        <bgColor rgb="FF1F497D"/>
      </patternFill>
    </fill>
    <fill>
      <patternFill patternType="solid">
        <fgColor rgb="FFF2F2F2"/>
        <bgColor rgb="FFFFFFFF"/>
      </patternFill>
    </fill>
    <fill>
      <patternFill patternType="solid">
        <fgColor rgb="FFD9D9D9"/>
        <bgColor rgb="FFD6E4F0"/>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5" fontId="10" fillId="3"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1" fillId="6"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3" fillId="5" borderId="0" xfId="0" applyFont="true" applyBorder="false" applyAlignment="true" applyProtection="false">
      <alignment horizontal="left" vertical="center" textRotation="0" wrapText="false" indent="0" shrinkToFit="false"/>
      <protection locked="true" hidden="false"/>
    </xf>
    <xf numFmtId="164" fontId="23" fillId="5" borderId="0" xfId="0" applyFont="true" applyBorder="false" applyAlignment="true" applyProtection="false">
      <alignment horizontal="center" vertical="center" textRotation="0" wrapText="false" indent="0" shrinkToFit="false"/>
      <protection locked="true" hidden="false"/>
    </xf>
    <xf numFmtId="164" fontId="13" fillId="7"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6" fontId="24" fillId="3"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7" fontId="24" fillId="3" borderId="0" xfId="0" applyFont="true" applyBorder="false" applyAlignment="true" applyProtection="false">
      <alignment horizontal="right" vertical="center" textRotation="0" wrapText="false" indent="0" shrinkToFit="false"/>
      <protection locked="true" hidden="false"/>
    </xf>
    <xf numFmtId="168" fontId="24" fillId="3" borderId="0" xfId="0" applyFont="true" applyBorder="false" applyAlignment="true" applyProtection="false">
      <alignment horizontal="right" vertical="center" textRotation="0" wrapText="false" indent="0" shrinkToFit="false"/>
      <protection locked="true" hidden="false"/>
    </xf>
    <xf numFmtId="169" fontId="24" fillId="3" borderId="0" xfId="0" applyFont="true" applyBorder="false" applyAlignment="true" applyProtection="false">
      <alignment horizontal="right" vertical="center" textRotation="0" wrapText="false" indent="0" shrinkToFit="false"/>
      <protection locked="true" hidden="false"/>
    </xf>
    <xf numFmtId="164" fontId="23" fillId="5" borderId="0" xfId="0" applyFont="true" applyBorder="false" applyAlignment="false" applyProtection="false">
      <alignment horizontal="general" vertical="bottom" textRotation="0" wrapText="false" indent="0" shrinkToFit="false"/>
      <protection locked="true" hidden="false"/>
    </xf>
    <xf numFmtId="170" fontId="23" fillId="5"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70" fontId="12" fillId="0" borderId="0" xfId="0" applyFont="true" applyBorder="false" applyAlignment="true" applyProtection="false">
      <alignment horizontal="center" vertical="center" textRotation="0" wrapText="false" indent="0" shrinkToFit="false"/>
      <protection locked="true" hidden="false"/>
    </xf>
    <xf numFmtId="164" fontId="13" fillId="7"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6" fontId="25"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25"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6" fontId="25" fillId="0" borderId="3" xfId="0" applyFont="true" applyBorder="true" applyAlignment="true" applyProtection="false">
      <alignment horizontal="right" vertical="center"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9" fontId="25" fillId="0" borderId="0" xfId="0" applyFont="true" applyBorder="false" applyAlignment="true" applyProtection="false">
      <alignment horizontal="right" vertical="center" textRotation="0" wrapText="false" indent="0" shrinkToFit="false"/>
      <protection locked="true" hidden="false"/>
    </xf>
    <xf numFmtId="165" fontId="12" fillId="0" borderId="0" xfId="0" applyFont="true" applyBorder="false" applyAlignment="true" applyProtection="false">
      <alignment horizontal="center" vertical="center"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7" fontId="25"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D6E4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0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5"/>
    <col collapsed="false" customWidth="true" hidden="false" outlineLevel="0" max="4"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4</v>
      </c>
      <c r="C6" s="7"/>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5</v>
      </c>
      <c r="C7" s="8"/>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6</v>
      </c>
      <c r="C9" s="7"/>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6" t="s">
        <v>7</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9" t="s">
        <v>8</v>
      </c>
      <c r="C12" s="10" t="s">
        <v>9</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9" t="s">
        <v>10</v>
      </c>
      <c r="C13" s="10" t="s">
        <v>11</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9" t="s">
        <v>12</v>
      </c>
      <c r="C14" s="10" t="s">
        <v>13</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9" t="s">
        <v>14</v>
      </c>
      <c r="C15" s="10" t="s">
        <v>15</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9" t="s">
        <v>16</v>
      </c>
      <c r="C16" s="10" t="s">
        <v>17</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9" t="s">
        <v>18</v>
      </c>
      <c r="C17" s="10" t="s">
        <v>19</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9" t="s">
        <v>20</v>
      </c>
      <c r="C18" s="10" t="s">
        <v>21</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9" t="s">
        <v>22</v>
      </c>
      <c r="C19" s="10" t="s">
        <v>23</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9.5" hidden="false" customHeight="true" outlineLevel="0" collapsed="false">
      <c r="A22" s="5"/>
      <c r="B22" s="11" t="s">
        <v>24</v>
      </c>
      <c r="C22" s="12"/>
      <c r="D22" s="12"/>
      <c r="E22" s="12"/>
      <c r="F22" s="12"/>
      <c r="G22" s="12"/>
      <c r="H22" s="5"/>
      <c r="I22" s="5"/>
      <c r="J22" s="5"/>
      <c r="K22" s="5"/>
      <c r="L22" s="5"/>
      <c r="M22" s="5"/>
      <c r="N22" s="5"/>
      <c r="O22" s="5"/>
      <c r="P22" s="5"/>
      <c r="Q22" s="5"/>
      <c r="R22" s="5"/>
      <c r="S22" s="5"/>
      <c r="T22" s="5"/>
      <c r="U22" s="5"/>
      <c r="V22" s="5"/>
      <c r="W22" s="5"/>
      <c r="X22" s="5"/>
      <c r="Y22" s="5"/>
      <c r="Z22" s="5"/>
      <c r="AA22" s="5"/>
      <c r="AB22" s="5"/>
      <c r="AC22" s="5"/>
      <c r="AD22" s="5"/>
    </row>
    <row r="23" customFormat="false" ht="246" hidden="false" customHeight="true" outlineLevel="0" collapsed="false">
      <c r="A23" s="5"/>
      <c r="B23" s="13" t="s">
        <v>25</v>
      </c>
      <c r="C23" s="13"/>
      <c r="D23" s="13"/>
      <c r="E23" s="13"/>
      <c r="F23" s="13"/>
      <c r="G23" s="13"/>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9.5" hidden="false" customHeight="true" outlineLevel="0" collapsed="false">
      <c r="A25" s="5"/>
      <c r="B25" s="11" t="s">
        <v>26</v>
      </c>
      <c r="C25" s="12"/>
      <c r="D25" s="12"/>
      <c r="E25" s="12"/>
      <c r="F25" s="12"/>
      <c r="G25" s="12"/>
      <c r="H25" s="5"/>
      <c r="I25" s="5"/>
      <c r="J25" s="5"/>
      <c r="K25" s="5"/>
      <c r="L25" s="5"/>
      <c r="M25" s="5"/>
      <c r="N25" s="5"/>
      <c r="O25" s="5"/>
      <c r="P25" s="5"/>
      <c r="Q25" s="5"/>
      <c r="R25" s="5"/>
      <c r="S25" s="5"/>
      <c r="T25" s="5"/>
      <c r="U25" s="5"/>
      <c r="V25" s="5"/>
      <c r="W25" s="5"/>
      <c r="X25" s="5"/>
      <c r="Y25" s="5"/>
      <c r="Z25" s="5"/>
      <c r="AA25" s="5"/>
      <c r="AB25" s="5"/>
      <c r="AC25" s="5"/>
      <c r="AD25" s="5"/>
    </row>
    <row r="26" customFormat="false" ht="57" hidden="false" customHeight="true" outlineLevel="0" collapsed="false">
      <c r="A26" s="5"/>
      <c r="B26" s="13" t="s">
        <v>27</v>
      </c>
      <c r="C26" s="13"/>
      <c r="D26" s="13"/>
      <c r="E26" s="13"/>
      <c r="F26" s="13"/>
      <c r="G26" s="13"/>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4" t="s">
        <v>28</v>
      </c>
      <c r="C27" s="14"/>
      <c r="D27" s="14"/>
      <c r="E27" s="14"/>
      <c r="F27" s="14"/>
      <c r="G27" s="14"/>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5" t="s">
        <v>29</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sheetData>
  <mergeCells count="3">
    <mergeCell ref="B23:G23"/>
    <mergeCell ref="B26:G26"/>
    <mergeCell ref="B27:G2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16" t="s">
        <v>30</v>
      </c>
    </row>
    <row r="3" customFormat="false" ht="3.75" hidden="false" customHeight="true" outlineLevel="0" collapsed="false">
      <c r="A3" s="5"/>
      <c r="B3" s="17"/>
    </row>
    <row r="4" customFormat="false" ht="15" hidden="false" customHeight="false" outlineLevel="0" collapsed="false">
      <c r="A4" s="5"/>
      <c r="B4" s="5"/>
    </row>
    <row r="5" customFormat="false" ht="19.5" hidden="false" customHeight="true" outlineLevel="0" collapsed="false">
      <c r="A5" s="5"/>
      <c r="B5" s="18" t="s">
        <v>31</v>
      </c>
    </row>
    <row r="6" customFormat="false" ht="48" hidden="false" customHeight="true" outlineLevel="0" collapsed="false">
      <c r="A6" s="5"/>
      <c r="B6" s="19" t="s">
        <v>32</v>
      </c>
    </row>
    <row r="7" customFormat="false" ht="15" hidden="false" customHeight="false" outlineLevel="0" collapsed="false">
      <c r="A7" s="5"/>
      <c r="B7" s="5"/>
    </row>
    <row r="8" customFormat="false" ht="19.5" hidden="false" customHeight="true" outlineLevel="0" collapsed="false">
      <c r="A8" s="5"/>
      <c r="B8" s="18" t="s">
        <v>33</v>
      </c>
    </row>
    <row r="9" customFormat="false" ht="61.5" hidden="false" customHeight="true" outlineLevel="0" collapsed="false">
      <c r="A9" s="5"/>
      <c r="B9" s="19" t="s">
        <v>34</v>
      </c>
    </row>
    <row r="10" customFormat="false" ht="15" hidden="false" customHeight="false" outlineLevel="0" collapsed="false">
      <c r="A10" s="5"/>
      <c r="B10" s="5"/>
    </row>
    <row r="11" customFormat="false" ht="19.5" hidden="false" customHeight="true" outlineLevel="0" collapsed="false">
      <c r="A11" s="5"/>
      <c r="B11" s="18" t="s">
        <v>35</v>
      </c>
    </row>
    <row r="12" customFormat="false" ht="75.75" hidden="false" customHeight="true" outlineLevel="0" collapsed="false">
      <c r="A12" s="5"/>
      <c r="B12" s="19" t="s">
        <v>36</v>
      </c>
    </row>
    <row r="13" customFormat="false" ht="15" hidden="false" customHeight="false" outlineLevel="0" collapsed="false">
      <c r="A13" s="5"/>
      <c r="B13" s="5"/>
    </row>
    <row r="14" customFormat="false" ht="19.5" hidden="false" customHeight="true" outlineLevel="0" collapsed="false">
      <c r="A14" s="5"/>
      <c r="B14" s="18" t="s">
        <v>37</v>
      </c>
    </row>
    <row r="15" customFormat="false" ht="61.5" hidden="false" customHeight="true" outlineLevel="0" collapsed="false">
      <c r="A15" s="5"/>
      <c r="B15" s="19" t="s">
        <v>38</v>
      </c>
    </row>
    <row r="16" customFormat="false" ht="15" hidden="false" customHeight="false" outlineLevel="0" collapsed="false">
      <c r="A16" s="5"/>
      <c r="B16" s="5"/>
    </row>
    <row r="17" customFormat="false" ht="19.5" hidden="false" customHeight="true" outlineLevel="0" collapsed="false">
      <c r="A17" s="5"/>
      <c r="B17" s="18" t="s">
        <v>39</v>
      </c>
    </row>
    <row r="18" customFormat="false" ht="33.75" hidden="false" customHeight="true" outlineLevel="0" collapsed="false">
      <c r="A18" s="5"/>
      <c r="B18" s="19" t="s">
        <v>40</v>
      </c>
    </row>
    <row r="19" customFormat="false" ht="15" hidden="false" customHeight="false" outlineLevel="0" collapsed="false">
      <c r="A19" s="5"/>
      <c r="B19" s="5"/>
    </row>
    <row r="20" customFormat="false" ht="19.5" hidden="false" customHeight="true" outlineLevel="0" collapsed="false">
      <c r="A20" s="5"/>
      <c r="B20" s="18" t="s">
        <v>41</v>
      </c>
    </row>
    <row r="21" customFormat="false" ht="33.75" hidden="false" customHeight="true" outlineLevel="0" collapsed="false">
      <c r="A21" s="5"/>
      <c r="B21" s="19" t="s">
        <v>42</v>
      </c>
    </row>
    <row r="22" customFormat="false" ht="15" hidden="false" customHeight="false" outlineLevel="0" collapsed="false">
      <c r="A22" s="5"/>
      <c r="B22" s="5"/>
    </row>
    <row r="23" customFormat="false" ht="21.75" hidden="false" customHeight="true" outlineLevel="0" collapsed="false">
      <c r="A23" s="5"/>
      <c r="B23" s="20" t="s">
        <v>43</v>
      </c>
    </row>
    <row r="24" customFormat="false" ht="15" hidden="false" customHeight="false" outlineLevel="0" collapsed="false">
      <c r="A24" s="5"/>
      <c r="B24" s="5"/>
    </row>
    <row r="25" customFormat="false" ht="18" hidden="false" customHeight="true" outlineLevel="0" collapsed="false">
      <c r="A25" s="5"/>
      <c r="B25" s="21" t="s">
        <v>44</v>
      </c>
    </row>
    <row r="26" customFormat="false" ht="201.75" hidden="false" customHeight="true" outlineLevel="0" collapsed="false">
      <c r="A26" s="5"/>
      <c r="B26" s="22" t="s">
        <v>45</v>
      </c>
    </row>
    <row r="27" customFormat="false" ht="15" hidden="false" customHeight="false" outlineLevel="0" collapsed="false">
      <c r="A27" s="5"/>
      <c r="B27" s="5"/>
    </row>
    <row r="28" customFormat="false" ht="18" hidden="false" customHeight="true" outlineLevel="0" collapsed="false">
      <c r="A28" s="5"/>
      <c r="B28" s="23" t="s">
        <v>46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E6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4" t="s">
        <v>10</v>
      </c>
      <c r="C2" s="5"/>
      <c r="D2" s="5"/>
      <c r="E2" s="5"/>
    </row>
    <row r="3" customFormat="false" ht="15" hidden="false" customHeight="false" outlineLevel="0" collapsed="false">
      <c r="A3" s="5"/>
      <c r="B3" s="25" t="s">
        <v>47</v>
      </c>
      <c r="C3" s="5"/>
      <c r="D3" s="5"/>
      <c r="E3" s="5"/>
    </row>
    <row r="4" customFormat="false" ht="15" hidden="false" customHeight="false" outlineLevel="0" collapsed="false">
      <c r="A4" s="5"/>
      <c r="B4" s="5"/>
      <c r="C4" s="5"/>
      <c r="D4" s="5"/>
      <c r="E4" s="5"/>
    </row>
    <row r="5" customFormat="false" ht="15" hidden="false" customHeight="false" outlineLevel="0" collapsed="false">
      <c r="A5" s="5"/>
      <c r="B5" s="26" t="s">
        <v>48</v>
      </c>
      <c r="C5" s="27" t="s">
        <v>49</v>
      </c>
      <c r="D5" s="27" t="s">
        <v>50</v>
      </c>
      <c r="E5" s="27" t="s">
        <v>51</v>
      </c>
    </row>
    <row r="6" customFormat="false" ht="15" hidden="false" customHeight="false" outlineLevel="0" collapsed="false">
      <c r="A6" s="5"/>
      <c r="B6" s="28" t="s">
        <v>52</v>
      </c>
      <c r="C6" s="29"/>
      <c r="D6" s="29"/>
      <c r="E6" s="29"/>
    </row>
    <row r="7" customFormat="false" ht="15" hidden="false" customHeight="false" outlineLevel="0" collapsed="false">
      <c r="A7" s="5"/>
      <c r="B7" s="30" t="s">
        <v>53</v>
      </c>
      <c r="C7" s="31" t="n">
        <v>150000</v>
      </c>
      <c r="D7" s="32" t="s">
        <v>54</v>
      </c>
      <c r="E7" s="10" t="s">
        <v>55</v>
      </c>
    </row>
    <row r="8" customFormat="false" ht="15" hidden="false" customHeight="false" outlineLevel="0" collapsed="false">
      <c r="A8" s="5"/>
      <c r="B8" s="30" t="s">
        <v>56</v>
      </c>
      <c r="C8" s="33" t="n">
        <v>0.85</v>
      </c>
      <c r="D8" s="32" t="s">
        <v>57</v>
      </c>
      <c r="E8" s="10" t="s">
        <v>58</v>
      </c>
    </row>
    <row r="9" customFormat="false" ht="15" hidden="false" customHeight="false" outlineLevel="0" collapsed="false">
      <c r="A9" s="5"/>
      <c r="B9" s="30" t="s">
        <v>59</v>
      </c>
      <c r="C9" s="33" t="n">
        <v>0.15</v>
      </c>
      <c r="D9" s="32" t="s">
        <v>57</v>
      </c>
      <c r="E9" s="10" t="s">
        <v>60</v>
      </c>
    </row>
    <row r="10" customFormat="false" ht="15" hidden="false" customHeight="false" outlineLevel="0" collapsed="false">
      <c r="A10" s="5"/>
      <c r="B10" s="9" t="s">
        <v>61</v>
      </c>
      <c r="C10" s="31" t="n">
        <f aca="false">Total_SF*Warehouse_Pct</f>
        <v>127500</v>
      </c>
      <c r="D10" s="32" t="s">
        <v>54</v>
      </c>
      <c r="E10" s="10" t="s">
        <v>62</v>
      </c>
    </row>
    <row r="11" customFormat="false" ht="15" hidden="false" customHeight="false" outlineLevel="0" collapsed="false">
      <c r="A11" s="5"/>
      <c r="B11" s="9" t="s">
        <v>63</v>
      </c>
      <c r="C11" s="31" t="n">
        <f aca="false">Total_SF*Office_Pct</f>
        <v>22500</v>
      </c>
      <c r="D11" s="32" t="s">
        <v>54</v>
      </c>
      <c r="E11" s="10" t="s">
        <v>62</v>
      </c>
    </row>
    <row r="12" customFormat="false" ht="15" hidden="false" customHeight="false" outlineLevel="0" collapsed="false">
      <c r="A12" s="5"/>
      <c r="B12" s="5"/>
      <c r="C12" s="5"/>
      <c r="D12" s="5"/>
      <c r="E12" s="5"/>
    </row>
    <row r="13" customFormat="false" ht="15" hidden="false" customHeight="false" outlineLevel="0" collapsed="false">
      <c r="A13" s="5"/>
      <c r="B13" s="5"/>
      <c r="C13" s="5"/>
      <c r="D13" s="5"/>
      <c r="E13" s="5"/>
    </row>
    <row r="14" customFormat="false" ht="15" hidden="false" customHeight="false" outlineLevel="0" collapsed="false">
      <c r="A14" s="5"/>
      <c r="B14" s="5"/>
      <c r="C14" s="5"/>
      <c r="D14" s="5"/>
      <c r="E14" s="5"/>
    </row>
    <row r="15" customFormat="false" ht="15" hidden="false" customHeight="false" outlineLevel="0" collapsed="false">
      <c r="A15" s="5"/>
      <c r="B15" s="5"/>
      <c r="C15" s="5"/>
      <c r="D15" s="5"/>
      <c r="E15" s="5"/>
    </row>
    <row r="16" customFormat="false" ht="15" hidden="false" customHeight="false" outlineLevel="0" collapsed="false">
      <c r="A16" s="5"/>
      <c r="B16" s="28" t="s">
        <v>64</v>
      </c>
      <c r="C16" s="29"/>
      <c r="D16" s="29"/>
      <c r="E16" s="29"/>
    </row>
    <row r="17" customFormat="false" ht="15" hidden="false" customHeight="false" outlineLevel="0" collapsed="false">
      <c r="A17" s="5"/>
      <c r="B17" s="30" t="s">
        <v>65</v>
      </c>
      <c r="C17" s="34" t="n">
        <v>8.5</v>
      </c>
      <c r="D17" s="32" t="s">
        <v>66</v>
      </c>
      <c r="E17" s="10" t="s">
        <v>67</v>
      </c>
    </row>
    <row r="18" customFormat="false" ht="15" hidden="false" customHeight="false" outlineLevel="0" collapsed="false">
      <c r="A18" s="5"/>
      <c r="B18" s="30" t="s">
        <v>68</v>
      </c>
      <c r="C18" s="34" t="n">
        <v>18</v>
      </c>
      <c r="D18" s="32" t="s">
        <v>66</v>
      </c>
      <c r="E18" s="10" t="s">
        <v>69</v>
      </c>
    </row>
    <row r="19" customFormat="false" ht="15" hidden="false" customHeight="false" outlineLevel="0" collapsed="false">
      <c r="A19" s="5"/>
      <c r="B19" s="30" t="s">
        <v>70</v>
      </c>
      <c r="C19" s="33" t="n">
        <v>0.03</v>
      </c>
      <c r="D19" s="32" t="s">
        <v>71</v>
      </c>
      <c r="E19" s="10" t="s">
        <v>72</v>
      </c>
    </row>
    <row r="20" customFormat="false" ht="15" hidden="false" customHeight="false" outlineLevel="0" collapsed="false">
      <c r="A20" s="5"/>
      <c r="B20" s="30" t="s">
        <v>73</v>
      </c>
      <c r="C20" s="33" t="n">
        <v>0.07</v>
      </c>
      <c r="D20" s="32" t="s">
        <v>57</v>
      </c>
      <c r="E20" s="10" t="s">
        <v>74</v>
      </c>
    </row>
    <row r="21" customFormat="false" ht="15" hidden="false" customHeight="false" outlineLevel="0" collapsed="false">
      <c r="A21" s="5"/>
      <c r="B21" s="30" t="s">
        <v>75</v>
      </c>
      <c r="C21" s="33" t="n">
        <v>0.05</v>
      </c>
      <c r="D21" s="32" t="s">
        <v>57</v>
      </c>
      <c r="E21" s="10" t="s">
        <v>76</v>
      </c>
    </row>
    <row r="22" customFormat="false" ht="15" hidden="false" customHeight="false" outlineLevel="0" collapsed="false">
      <c r="A22" s="5"/>
      <c r="B22" s="30" t="s">
        <v>77</v>
      </c>
      <c r="C22" s="33" t="n">
        <v>0.1</v>
      </c>
      <c r="D22" s="32" t="s">
        <v>57</v>
      </c>
      <c r="E22" s="10" t="s">
        <v>78</v>
      </c>
    </row>
    <row r="23" customFormat="false" ht="15" hidden="false" customHeight="false" outlineLevel="0" collapsed="false">
      <c r="A23" s="5"/>
      <c r="B23" s="30" t="s">
        <v>79</v>
      </c>
      <c r="C23" s="33" t="n">
        <v>0.08</v>
      </c>
      <c r="D23" s="32" t="s">
        <v>57</v>
      </c>
      <c r="E23" s="10" t="s">
        <v>80</v>
      </c>
    </row>
    <row r="24" customFormat="false" ht="15" hidden="false" customHeight="false" outlineLevel="0" collapsed="false">
      <c r="A24" s="5"/>
      <c r="B24" s="30" t="s">
        <v>81</v>
      </c>
      <c r="C24" s="33" t="n">
        <v>0.92</v>
      </c>
      <c r="D24" s="32" t="s">
        <v>57</v>
      </c>
      <c r="E24" s="10" t="s">
        <v>82</v>
      </c>
    </row>
    <row r="25" customFormat="false" ht="15" hidden="false" customHeight="false" outlineLevel="0" collapsed="false">
      <c r="A25" s="5"/>
      <c r="B25" s="30" t="s">
        <v>83</v>
      </c>
      <c r="C25" s="31" t="n">
        <v>4</v>
      </c>
      <c r="D25" s="32" t="s">
        <v>84</v>
      </c>
      <c r="E25" s="10" t="s">
        <v>85</v>
      </c>
    </row>
    <row r="26" customFormat="false" ht="15" hidden="false" customHeight="false" outlineLevel="0" collapsed="false">
      <c r="A26" s="5"/>
      <c r="B26" s="30" t="s">
        <v>86</v>
      </c>
      <c r="C26" s="33" t="n">
        <v>0.15</v>
      </c>
      <c r="D26" s="32" t="s">
        <v>57</v>
      </c>
      <c r="E26" s="10" t="s">
        <v>87</v>
      </c>
    </row>
    <row r="27" customFormat="false" ht="15" hidden="false" customHeight="false" outlineLevel="0" collapsed="false">
      <c r="A27" s="5"/>
      <c r="B27" s="28" t="s">
        <v>88</v>
      </c>
      <c r="C27" s="29"/>
      <c r="D27" s="29"/>
      <c r="E27" s="29"/>
    </row>
    <row r="28" customFormat="false" ht="15" hidden="false" customHeight="false" outlineLevel="0" collapsed="false">
      <c r="A28" s="5"/>
      <c r="B28" s="30" t="s">
        <v>89</v>
      </c>
      <c r="C28" s="33" t="n">
        <v>0.04</v>
      </c>
      <c r="D28" s="32" t="s">
        <v>57</v>
      </c>
      <c r="E28" s="10" t="s">
        <v>90</v>
      </c>
    </row>
    <row r="29" customFormat="false" ht="15" hidden="false" customHeight="false" outlineLevel="0" collapsed="false">
      <c r="A29" s="5"/>
      <c r="B29" s="30" t="s">
        <v>91</v>
      </c>
      <c r="C29" s="34" t="n">
        <v>1.2</v>
      </c>
      <c r="D29" s="32" t="s">
        <v>66</v>
      </c>
      <c r="E29" s="10" t="s">
        <v>92</v>
      </c>
    </row>
    <row r="30" customFormat="false" ht="15" hidden="false" customHeight="false" outlineLevel="0" collapsed="false">
      <c r="A30" s="5"/>
      <c r="B30" s="30" t="s">
        <v>93</v>
      </c>
      <c r="C30" s="34" t="n">
        <v>0.3</v>
      </c>
      <c r="D30" s="32" t="s">
        <v>66</v>
      </c>
      <c r="E30" s="10" t="s">
        <v>92</v>
      </c>
    </row>
    <row r="31" customFormat="false" ht="15" hidden="false" customHeight="false" outlineLevel="0" collapsed="false">
      <c r="A31" s="5"/>
      <c r="B31" s="30" t="s">
        <v>94</v>
      </c>
      <c r="C31" s="34" t="n">
        <v>0.5</v>
      </c>
      <c r="D31" s="32" t="s">
        <v>66</v>
      </c>
      <c r="E31" s="10" t="s">
        <v>92</v>
      </c>
    </row>
    <row r="32" customFormat="false" ht="15" hidden="false" customHeight="false" outlineLevel="0" collapsed="false">
      <c r="A32" s="5"/>
      <c r="B32" s="30" t="s">
        <v>95</v>
      </c>
      <c r="C32" s="34" t="n">
        <v>0.2</v>
      </c>
      <c r="D32" s="32" t="s">
        <v>66</v>
      </c>
      <c r="E32" s="10" t="s">
        <v>92</v>
      </c>
    </row>
    <row r="33" customFormat="false" ht="15" hidden="false" customHeight="false" outlineLevel="0" collapsed="false">
      <c r="A33" s="5"/>
      <c r="B33" s="30" t="s">
        <v>96</v>
      </c>
      <c r="C33" s="34" t="n">
        <v>0.1</v>
      </c>
      <c r="D33" s="32" t="s">
        <v>66</v>
      </c>
      <c r="E33" s="10" t="s">
        <v>97</v>
      </c>
    </row>
    <row r="34" customFormat="false" ht="15" hidden="false" customHeight="false" outlineLevel="0" collapsed="false">
      <c r="A34" s="5"/>
      <c r="B34" s="30" t="s">
        <v>98</v>
      </c>
      <c r="C34" s="33" t="n">
        <v>0.025</v>
      </c>
      <c r="D34" s="32" t="s">
        <v>71</v>
      </c>
      <c r="E34" s="10" t="s">
        <v>99</v>
      </c>
    </row>
    <row r="35" customFormat="false" ht="15" hidden="false" customHeight="false" outlineLevel="0" collapsed="false">
      <c r="A35" s="5"/>
      <c r="B35" s="5"/>
      <c r="C35" s="5"/>
      <c r="D35" s="5"/>
      <c r="E35" s="5"/>
    </row>
    <row r="36" customFormat="false" ht="15" hidden="false" customHeight="false" outlineLevel="0" collapsed="false">
      <c r="A36" s="5"/>
      <c r="B36" s="5"/>
      <c r="C36" s="5"/>
      <c r="D36" s="5"/>
      <c r="E36" s="5"/>
    </row>
    <row r="37" customFormat="false" ht="15" hidden="false" customHeight="false" outlineLevel="0" collapsed="false">
      <c r="A37" s="5"/>
      <c r="B37" s="28" t="s">
        <v>100</v>
      </c>
      <c r="C37" s="29"/>
      <c r="D37" s="29"/>
      <c r="E37" s="29"/>
    </row>
    <row r="38" customFormat="false" ht="15" hidden="false" customHeight="false" outlineLevel="0" collapsed="false">
      <c r="A38" s="5"/>
      <c r="B38" s="30" t="s">
        <v>101</v>
      </c>
      <c r="C38" s="34" t="n">
        <v>0.75</v>
      </c>
      <c r="D38" s="32" t="s">
        <v>66</v>
      </c>
      <c r="E38" s="10" t="s">
        <v>102</v>
      </c>
    </row>
    <row r="39" customFormat="false" ht="15" hidden="false" customHeight="false" outlineLevel="0" collapsed="false">
      <c r="A39" s="5"/>
      <c r="B39" s="30" t="s">
        <v>103</v>
      </c>
      <c r="C39" s="33" t="n">
        <v>0.03</v>
      </c>
      <c r="D39" s="32" t="s">
        <v>57</v>
      </c>
      <c r="E39" s="10" t="s">
        <v>104</v>
      </c>
    </row>
    <row r="40" customFormat="false" ht="15" hidden="false" customHeight="false" outlineLevel="0" collapsed="false">
      <c r="A40" s="5"/>
      <c r="B40" s="30" t="s">
        <v>105</v>
      </c>
      <c r="C40" s="34" t="n">
        <v>0.25</v>
      </c>
      <c r="D40" s="32" t="s">
        <v>66</v>
      </c>
      <c r="E40" s="10" t="s">
        <v>106</v>
      </c>
    </row>
    <row r="41" customFormat="false" ht="15" hidden="false" customHeight="false" outlineLevel="0" collapsed="false">
      <c r="A41" s="5"/>
      <c r="B41" s="30" t="s">
        <v>107</v>
      </c>
      <c r="C41" s="31" t="n">
        <v>375000</v>
      </c>
      <c r="D41" s="32" t="s">
        <v>108</v>
      </c>
      <c r="E41" s="10" t="s">
        <v>109</v>
      </c>
    </row>
    <row r="42" customFormat="false" ht="15" hidden="false" customHeight="false" outlineLevel="0" collapsed="false">
      <c r="A42" s="5"/>
      <c r="B42" s="5"/>
      <c r="C42" s="5"/>
      <c r="D42" s="5"/>
      <c r="E42" s="5"/>
    </row>
    <row r="43" customFormat="false" ht="15" hidden="false" customHeight="false" outlineLevel="0" collapsed="false">
      <c r="A43" s="5"/>
      <c r="B43" s="5"/>
      <c r="C43" s="5"/>
      <c r="D43" s="5"/>
      <c r="E43" s="5"/>
    </row>
    <row r="44" customFormat="false" ht="15" hidden="false" customHeight="false" outlineLevel="0" collapsed="false">
      <c r="A44" s="5"/>
      <c r="B44" s="28" t="s">
        <v>110</v>
      </c>
      <c r="C44" s="29"/>
      <c r="D44" s="29"/>
      <c r="E44" s="29"/>
    </row>
    <row r="45" customFormat="false" ht="15" hidden="false" customHeight="false" outlineLevel="0" collapsed="false">
      <c r="A45" s="5"/>
      <c r="B45" s="30" t="s">
        <v>111</v>
      </c>
      <c r="C45" s="31" t="n">
        <v>14800000</v>
      </c>
      <c r="D45" s="32" t="s">
        <v>108</v>
      </c>
      <c r="E45" s="10" t="s">
        <v>112</v>
      </c>
    </row>
    <row r="46" customFormat="false" ht="15" hidden="false" customHeight="false" outlineLevel="0" collapsed="false">
      <c r="A46" s="5"/>
      <c r="B46" s="30" t="s">
        <v>113</v>
      </c>
      <c r="C46" s="33" t="n">
        <v>0.02</v>
      </c>
      <c r="D46" s="32" t="s">
        <v>57</v>
      </c>
      <c r="E46" s="10" t="s">
        <v>114</v>
      </c>
    </row>
    <row r="47" customFormat="false" ht="15" hidden="false" customHeight="false" outlineLevel="0" collapsed="false">
      <c r="A47" s="5"/>
      <c r="B47" s="30" t="s">
        <v>115</v>
      </c>
      <c r="C47" s="33" t="n">
        <v>0.0625</v>
      </c>
      <c r="D47" s="32" t="s">
        <v>57</v>
      </c>
      <c r="E47" s="10" t="s">
        <v>116</v>
      </c>
    </row>
    <row r="48" customFormat="false" ht="15" hidden="false" customHeight="false" outlineLevel="0" collapsed="false">
      <c r="A48" s="5"/>
      <c r="B48" s="30" t="s">
        <v>117</v>
      </c>
      <c r="C48" s="33" t="n">
        <v>0.065</v>
      </c>
      <c r="D48" s="32" t="s">
        <v>57</v>
      </c>
      <c r="E48" s="10" t="s">
        <v>118</v>
      </c>
    </row>
    <row r="49" customFormat="false" ht="15" hidden="false" customHeight="false" outlineLevel="0" collapsed="false">
      <c r="A49" s="5"/>
      <c r="B49" s="30" t="s">
        <v>119</v>
      </c>
      <c r="C49" s="33" t="n">
        <v>0.015</v>
      </c>
      <c r="D49" s="32" t="s">
        <v>57</v>
      </c>
      <c r="E49" s="10" t="s">
        <v>120</v>
      </c>
    </row>
    <row r="50" customFormat="false" ht="15" hidden="false" customHeight="false" outlineLevel="0" collapsed="false">
      <c r="A50" s="5"/>
      <c r="B50" s="30" t="s">
        <v>121</v>
      </c>
      <c r="C50" s="33" t="n">
        <v>0.65</v>
      </c>
      <c r="D50" s="32" t="s">
        <v>57</v>
      </c>
      <c r="E50" s="10" t="s">
        <v>122</v>
      </c>
    </row>
    <row r="51" customFormat="false" ht="15" hidden="false" customHeight="false" outlineLevel="0" collapsed="false">
      <c r="A51" s="5"/>
      <c r="B51" s="9" t="s">
        <v>123</v>
      </c>
      <c r="C51" s="31" t="n">
        <f aca="false">Purchase_Price*LTV</f>
        <v>9620000</v>
      </c>
      <c r="D51" s="32" t="s">
        <v>108</v>
      </c>
      <c r="E51" s="10" t="n">
        <f aca="false">Purchase_Price*LTV</f>
        <v>9620000</v>
      </c>
    </row>
    <row r="52" customFormat="false" ht="15" hidden="false" customHeight="false" outlineLevel="0" collapsed="false">
      <c r="A52" s="5"/>
      <c r="B52" s="30" t="s">
        <v>124</v>
      </c>
      <c r="C52" s="33" t="n">
        <v>0.065</v>
      </c>
      <c r="D52" s="32" t="s">
        <v>57</v>
      </c>
      <c r="E52" s="10" t="s">
        <v>125</v>
      </c>
    </row>
    <row r="53" customFormat="false" ht="15" hidden="false" customHeight="false" outlineLevel="0" collapsed="false">
      <c r="A53" s="5"/>
      <c r="B53" s="30" t="s">
        <v>126</v>
      </c>
      <c r="C53" s="31" t="n">
        <v>2</v>
      </c>
      <c r="D53" s="32" t="s">
        <v>127</v>
      </c>
      <c r="E53" s="10" t="s">
        <v>128</v>
      </c>
    </row>
    <row r="54" customFormat="false" ht="15" hidden="false" customHeight="false" outlineLevel="0" collapsed="false">
      <c r="A54" s="5"/>
      <c r="B54" s="30" t="s">
        <v>129</v>
      </c>
      <c r="C54" s="31" t="n">
        <v>25</v>
      </c>
      <c r="D54" s="32" t="s">
        <v>127</v>
      </c>
      <c r="E54" s="10" t="s">
        <v>130</v>
      </c>
    </row>
    <row r="55" customFormat="false" ht="15" hidden="false" customHeight="false" outlineLevel="0" collapsed="false">
      <c r="A55" s="5"/>
      <c r="B55" s="30" t="s">
        <v>131</v>
      </c>
      <c r="C55" s="31" t="n">
        <v>7</v>
      </c>
      <c r="D55" s="32" t="s">
        <v>127</v>
      </c>
      <c r="E55" s="10" t="s">
        <v>132</v>
      </c>
    </row>
    <row r="56" customFormat="false" ht="15" hidden="false" customHeight="false" outlineLevel="0" collapsed="false">
      <c r="A56" s="5"/>
      <c r="B56" s="5"/>
      <c r="C56" s="5"/>
      <c r="D56" s="5"/>
      <c r="E56" s="5"/>
    </row>
    <row r="57" customFormat="false" ht="15" hidden="false" customHeight="false" outlineLevel="0" collapsed="false">
      <c r="A57" s="5"/>
      <c r="B57" s="5"/>
      <c r="C57" s="5"/>
      <c r="D57" s="5"/>
      <c r="E57" s="5"/>
    </row>
    <row r="58" customFormat="false" ht="15" hidden="false" customHeight="false" outlineLevel="0" collapsed="false">
      <c r="A58" s="5"/>
      <c r="B58" s="5"/>
      <c r="C58" s="5"/>
      <c r="D58" s="5"/>
      <c r="E58" s="5"/>
    </row>
    <row r="59" customFormat="false" ht="15" hidden="false" customHeight="false" outlineLevel="0" collapsed="false">
      <c r="A59" s="5"/>
      <c r="B59" s="28" t="s">
        <v>133</v>
      </c>
      <c r="C59" s="29"/>
      <c r="D59" s="29"/>
      <c r="E59" s="29"/>
    </row>
    <row r="60" customFormat="false" ht="15" hidden="false" customHeight="false" outlineLevel="0" collapsed="false">
      <c r="A60" s="5"/>
      <c r="B60" s="30" t="s">
        <v>134</v>
      </c>
      <c r="C60" s="33" t="n">
        <v>0.08</v>
      </c>
      <c r="D60" s="32" t="s">
        <v>57</v>
      </c>
      <c r="E60" s="10" t="s">
        <v>135</v>
      </c>
    </row>
    <row r="61" customFormat="false" ht="15" hidden="false" customHeight="false" outlineLevel="0" collapsed="false">
      <c r="A61" s="5"/>
      <c r="B61" s="30" t="s">
        <v>136</v>
      </c>
      <c r="C61" s="33" t="n">
        <v>0.12</v>
      </c>
      <c r="D61" s="32" t="s">
        <v>57</v>
      </c>
      <c r="E61" s="10" t="s">
        <v>137</v>
      </c>
    </row>
    <row r="62" customFormat="false" ht="15" hidden="false" customHeight="false" outlineLevel="0" collapsed="false">
      <c r="A62" s="5"/>
      <c r="B62" s="30" t="s">
        <v>138</v>
      </c>
      <c r="C62" s="35" t="n">
        <v>1.8</v>
      </c>
      <c r="D62" s="32" t="s">
        <v>139</v>
      </c>
      <c r="E62" s="10" t="s">
        <v>140</v>
      </c>
    </row>
    <row r="63" customFormat="false" ht="15" hidden="false" customHeight="false" outlineLevel="0" collapsed="false">
      <c r="A63" s="5"/>
      <c r="B63" s="30" t="s">
        <v>141</v>
      </c>
      <c r="C63" s="35" t="n">
        <v>1.25</v>
      </c>
      <c r="D63" s="32" t="s">
        <v>139</v>
      </c>
      <c r="E63" s="10" t="s">
        <v>142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J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0" min="3" style="0" width="14"/>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24" t="s">
        <v>143</v>
      </c>
      <c r="C2" s="5"/>
      <c r="D2" s="5"/>
      <c r="E2" s="5"/>
      <c r="F2" s="5"/>
      <c r="G2" s="5"/>
      <c r="H2" s="5"/>
      <c r="I2" s="5"/>
      <c r="J2" s="5"/>
    </row>
    <row r="3" customFormat="false" ht="15" hidden="false" customHeight="false" outlineLevel="0" collapsed="false">
      <c r="A3" s="5"/>
      <c r="B3" s="25" t="s">
        <v>144</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6"/>
      <c r="C5" s="37" t="s">
        <v>145</v>
      </c>
      <c r="D5" s="37" t="s">
        <v>146</v>
      </c>
      <c r="E5" s="37" t="s">
        <v>147</v>
      </c>
      <c r="F5" s="37" t="s">
        <v>148</v>
      </c>
      <c r="G5" s="37" t="s">
        <v>149</v>
      </c>
      <c r="H5" s="37" t="s">
        <v>150</v>
      </c>
      <c r="I5" s="37" t="s">
        <v>151</v>
      </c>
      <c r="J5" s="37" t="s">
        <v>152</v>
      </c>
    </row>
    <row r="6" customFormat="false" ht="15" hidden="false" customHeight="false" outlineLevel="0" collapsed="false">
      <c r="A6" s="5"/>
      <c r="B6" s="38" t="s">
        <v>153</v>
      </c>
      <c r="C6" s="39" t="n">
        <v>0</v>
      </c>
      <c r="D6" s="39" t="n">
        <v>1</v>
      </c>
      <c r="E6" s="39" t="n">
        <v>2</v>
      </c>
      <c r="F6" s="39" t="n">
        <v>3</v>
      </c>
      <c r="G6" s="39" t="n">
        <v>4</v>
      </c>
      <c r="H6" s="39" t="n">
        <v>5</v>
      </c>
      <c r="I6" s="39" t="n">
        <v>6</v>
      </c>
      <c r="J6" s="39" t="n">
        <v>7</v>
      </c>
    </row>
    <row r="7" customFormat="false" ht="15" hidden="false" customHeight="false" outlineLevel="0" collapsed="false">
      <c r="A7" s="5"/>
      <c r="B7" s="40" t="s">
        <v>154</v>
      </c>
      <c r="C7" s="29"/>
      <c r="D7" s="29"/>
      <c r="E7" s="29"/>
      <c r="F7" s="29"/>
      <c r="G7" s="29"/>
      <c r="H7" s="29"/>
      <c r="I7" s="29"/>
      <c r="J7" s="29"/>
    </row>
    <row r="8" customFormat="false" ht="15" hidden="false" customHeight="false" outlineLevel="0" collapsed="false">
      <c r="A8" s="5"/>
      <c r="B8" s="41" t="s">
        <v>155</v>
      </c>
      <c r="C8" s="5"/>
      <c r="D8" s="42" t="n">
        <f aca="false">Warehouse_SF*WH_Rent_Y1</f>
        <v>1083750</v>
      </c>
      <c r="E8" s="42" t="n">
        <f aca="false">D8*(1+Rent_Escalator)</f>
        <v>1116262.5</v>
      </c>
      <c r="F8" s="42" t="n">
        <f aca="false">E8*(1+Rent_Escalator)</f>
        <v>1149750.375</v>
      </c>
      <c r="G8" s="42" t="n">
        <f aca="false">F8*(1+Rent_Escalator)</f>
        <v>1184242.88625</v>
      </c>
      <c r="H8" s="42" t="n">
        <f aca="false">G8*(1+Rent_Escalator)</f>
        <v>1219770.1728375</v>
      </c>
      <c r="I8" s="42" t="n">
        <f aca="false">H8*(1+Rent_Escalator)</f>
        <v>1256363.27802263</v>
      </c>
      <c r="J8" s="42" t="n">
        <f aca="false">I8*(1+Rent_Escalator)</f>
        <v>1294054.1763633</v>
      </c>
    </row>
    <row r="9" customFormat="false" ht="15" hidden="false" customHeight="false" outlineLevel="0" collapsed="false">
      <c r="A9" s="5"/>
      <c r="B9" s="41" t="s">
        <v>156</v>
      </c>
      <c r="C9" s="5"/>
      <c r="D9" s="42" t="n">
        <f aca="false">-D8*WH_Vacancy_Y1</f>
        <v>-75862.5</v>
      </c>
      <c r="E9" s="42" t="n">
        <f aca="false">-E8*WH_Vacancy_Stb</f>
        <v>-55813.125</v>
      </c>
      <c r="F9" s="42" t="n">
        <f aca="false">-F8*WH_Vacancy_Stb</f>
        <v>-57487.51875</v>
      </c>
      <c r="G9" s="42" t="n">
        <f aca="false">-G8*WH_Vacancy_Stb</f>
        <v>-59212.1443125</v>
      </c>
      <c r="H9" s="42" t="n">
        <f aca="false">-H8*WH_Vacancy_Stb</f>
        <v>-60988.508641875</v>
      </c>
      <c r="I9" s="42" t="n">
        <f aca="false">-I8*WH_Vacancy_Stb</f>
        <v>-62818.1639011313</v>
      </c>
      <c r="J9" s="42" t="n">
        <f aca="false">-J8*WH_Vacancy_Stb</f>
        <v>-64702.7088181652</v>
      </c>
    </row>
    <row r="10" customFormat="false" ht="15" hidden="false" customHeight="false" outlineLevel="0" collapsed="false">
      <c r="A10" s="5"/>
      <c r="B10" s="43" t="s">
        <v>157</v>
      </c>
      <c r="C10" s="5"/>
      <c r="D10" s="44" t="n">
        <f aca="false">D8+D9</f>
        <v>1007887.5</v>
      </c>
      <c r="E10" s="44" t="n">
        <f aca="false">E8+E9</f>
        <v>1060449.375</v>
      </c>
      <c r="F10" s="44" t="n">
        <f aca="false">F8+F9</f>
        <v>1092262.85625</v>
      </c>
      <c r="G10" s="44" t="n">
        <f aca="false">G8+G9</f>
        <v>1125030.7419375</v>
      </c>
      <c r="H10" s="44" t="n">
        <f aca="false">H8+H9</f>
        <v>1158781.66419563</v>
      </c>
      <c r="I10" s="44" t="n">
        <f aca="false">I8+I9</f>
        <v>1193545.11412149</v>
      </c>
      <c r="J10" s="44" t="n">
        <f aca="false">J8+J9</f>
        <v>1229351.46754514</v>
      </c>
    </row>
    <row r="11" customFormat="false" ht="15" hidden="false" customHeight="false" outlineLevel="0" collapsed="false">
      <c r="A11" s="5"/>
      <c r="B11" s="40" t="s">
        <v>158</v>
      </c>
      <c r="C11" s="29"/>
      <c r="D11" s="29"/>
      <c r="E11" s="29"/>
      <c r="F11" s="29"/>
      <c r="G11" s="29"/>
      <c r="H11" s="29"/>
      <c r="I11" s="29"/>
      <c r="J11" s="29"/>
    </row>
    <row r="12" customFormat="false" ht="15" hidden="false" customHeight="false" outlineLevel="0" collapsed="false">
      <c r="A12" s="5"/>
      <c r="B12" s="41" t="s">
        <v>159</v>
      </c>
      <c r="C12" s="5"/>
      <c r="D12" s="42" t="n">
        <f aca="false">Office_SF*Office_Rent_Y1</f>
        <v>405000</v>
      </c>
      <c r="E12" s="42" t="n">
        <f aca="false">D12*(1+Rent_Escalator)</f>
        <v>417150</v>
      </c>
      <c r="F12" s="42" t="n">
        <f aca="false">E12*(1+Rent_Escalator)</f>
        <v>429664.5</v>
      </c>
      <c r="G12" s="42" t="n">
        <f aca="false">F12*(1+Rent_Escalator)</f>
        <v>442554.435</v>
      </c>
      <c r="H12" s="42" t="n">
        <f aca="false">G12*(1+Rent_Escalator)</f>
        <v>455831.06805</v>
      </c>
      <c r="I12" s="42" t="n">
        <f aca="false">H12*(1+Rent_Escalator)</f>
        <v>469506.0000915</v>
      </c>
      <c r="J12" s="42" t="n">
        <f aca="false">I12*(1+Rent_Escalator)</f>
        <v>483591.180094245</v>
      </c>
    </row>
    <row r="13" customFormat="false" ht="15" hidden="false" customHeight="false" outlineLevel="0" collapsed="false">
      <c r="A13" s="5"/>
      <c r="B13" s="41" t="s">
        <v>160</v>
      </c>
      <c r="C13" s="5"/>
      <c r="D13" s="42" t="n">
        <f aca="false">-D12*Office_Vacancy_Y1</f>
        <v>-40500</v>
      </c>
      <c r="E13" s="42" t="n">
        <f aca="false">-E12*Office_Vacancy_Stb</f>
        <v>-33372</v>
      </c>
      <c r="F13" s="42" t="n">
        <f aca="false">-F12*Office_Vacancy_Stb</f>
        <v>-34373.16</v>
      </c>
      <c r="G13" s="42" t="n">
        <f aca="false">-G12*Office_Vacancy_Stb</f>
        <v>-35404.3548</v>
      </c>
      <c r="H13" s="42" t="n">
        <f aca="false">-H12*Office_Vacancy_Stb</f>
        <v>-36466.485444</v>
      </c>
      <c r="I13" s="42" t="n">
        <f aca="false">-I12*Office_Vacancy_Stb</f>
        <v>-37560.48000732</v>
      </c>
      <c r="J13" s="42" t="n">
        <f aca="false">-J12*Office_Vacancy_Stb</f>
        <v>-38687.2944075396</v>
      </c>
    </row>
    <row r="14" customFormat="false" ht="15" hidden="false" customHeight="false" outlineLevel="0" collapsed="false">
      <c r="A14" s="5"/>
      <c r="B14" s="43" t="s">
        <v>161</v>
      </c>
      <c r="C14" s="5"/>
      <c r="D14" s="44" t="n">
        <f aca="false">D12+D13</f>
        <v>364500</v>
      </c>
      <c r="E14" s="44" t="n">
        <f aca="false">E12+E13</f>
        <v>383778</v>
      </c>
      <c r="F14" s="44" t="n">
        <f aca="false">F12+F13</f>
        <v>395291.34</v>
      </c>
      <c r="G14" s="44" t="n">
        <f aca="false">G12+G13</f>
        <v>407150.0802</v>
      </c>
      <c r="H14" s="44" t="n">
        <f aca="false">H12+H13</f>
        <v>419364.582606</v>
      </c>
      <c r="I14" s="44" t="n">
        <f aca="false">I12+I13</f>
        <v>431945.52008418</v>
      </c>
      <c r="J14" s="44" t="n">
        <f aca="false">J12+J13</f>
        <v>444903.885686705</v>
      </c>
    </row>
    <row r="15" customFormat="false" ht="15" hidden="false" customHeight="false" outlineLevel="0" collapsed="false">
      <c r="A15" s="5"/>
      <c r="B15" s="40" t="s">
        <v>162</v>
      </c>
      <c r="C15" s="29"/>
      <c r="D15" s="29"/>
      <c r="E15" s="29"/>
      <c r="F15" s="29"/>
      <c r="G15" s="29"/>
      <c r="H15" s="29"/>
      <c r="I15" s="29"/>
      <c r="J15" s="29"/>
    </row>
    <row r="16" customFormat="false" ht="15" hidden="false" customHeight="false" outlineLevel="0" collapsed="false">
      <c r="A16" s="5"/>
      <c r="B16" s="41" t="s">
        <v>163</v>
      </c>
      <c r="C16" s="5"/>
      <c r="D16" s="42" t="n">
        <f aca="false">IF(D6=Rollover_Year,(D10+D14)*Rollover_Rent_Bump,0)</f>
        <v>0</v>
      </c>
      <c r="E16" s="42" t="n">
        <f aca="false">IF(E6=Rollover_Year,(E10+E14)*Rollover_Rent_Bump,0)</f>
        <v>0</v>
      </c>
      <c r="F16" s="42" t="n">
        <f aca="false">IF(F6=Rollover_Year,(F10+F14)*Rollover_Rent_Bump,0)</f>
        <v>0</v>
      </c>
      <c r="G16" s="42" t="n">
        <f aca="false">IF(G6=Rollover_Year,(G10+G14)*Rollover_Rent_Bump,0)</f>
        <v>229827.123320625</v>
      </c>
      <c r="H16" s="42" t="n">
        <f aca="false">IF(H6=Rollover_Year,(H10+H14)*Rollover_Rent_Bump,0)</f>
        <v>0</v>
      </c>
      <c r="I16" s="42" t="n">
        <f aca="false">IF(I6=Rollover_Year,(I10+I14)*Rollover_Rent_Bump,0)</f>
        <v>0</v>
      </c>
      <c r="J16" s="42" t="n">
        <f aca="false">IF(J6=Rollover_Year,(J10+J14)*Rollover_Rent_Bump,0)</f>
        <v>0</v>
      </c>
    </row>
    <row r="17" customFormat="false" ht="15" hidden="false" customHeight="false" outlineLevel="0" collapsed="false">
      <c r="A17" s="5"/>
      <c r="B17" s="5"/>
      <c r="C17" s="5"/>
      <c r="D17" s="5"/>
      <c r="E17" s="5"/>
      <c r="F17" s="5"/>
      <c r="G17" s="5"/>
      <c r="H17" s="5"/>
      <c r="I17" s="5"/>
      <c r="J17" s="5"/>
    </row>
    <row r="18" customFormat="false" ht="15" hidden="false" customHeight="false" outlineLevel="0" collapsed="false">
      <c r="A18" s="5"/>
      <c r="B18" s="43" t="s">
        <v>164</v>
      </c>
      <c r="C18" s="5"/>
      <c r="D18" s="44" t="n">
        <f aca="false">D10+D14+D16</f>
        <v>1372387.5</v>
      </c>
      <c r="E18" s="44" t="n">
        <f aca="false">E10+E14+E16</f>
        <v>1444227.375</v>
      </c>
      <c r="F18" s="44" t="n">
        <f aca="false">F10+F14+F16</f>
        <v>1487554.19625</v>
      </c>
      <c r="G18" s="44" t="n">
        <f aca="false">G10+G14+G16</f>
        <v>1762007.94545812</v>
      </c>
      <c r="H18" s="44" t="n">
        <f aca="false">H10+H14+H16</f>
        <v>1578146.24680163</v>
      </c>
      <c r="I18" s="44" t="n">
        <f aca="false">I10+I14+I16</f>
        <v>1625490.63420567</v>
      </c>
      <c r="J18" s="44" t="n">
        <f aca="false">J10+J14+J16</f>
        <v>1674255.35323184</v>
      </c>
    </row>
    <row r="19" customFormat="false" ht="15" hidden="false" customHeight="false" outlineLevel="0" collapsed="false">
      <c r="A19" s="5"/>
      <c r="B19" s="5"/>
      <c r="C19" s="5"/>
      <c r="D19" s="5"/>
      <c r="E19" s="5"/>
      <c r="F19" s="5"/>
      <c r="G19" s="5"/>
      <c r="H19" s="5"/>
      <c r="I19" s="5"/>
      <c r="J19" s="5"/>
    </row>
    <row r="20" customFormat="false" ht="15" hidden="false" customHeight="false" outlineLevel="0" collapsed="false">
      <c r="A20" s="5"/>
      <c r="B20" s="41" t="s">
        <v>165</v>
      </c>
      <c r="C20" s="5"/>
      <c r="D20" s="42" t="n">
        <f aca="false">Operating_Expenses!D17</f>
        <v>303600</v>
      </c>
      <c r="E20" s="42" t="n">
        <f aca="false">Operating_Expenses!E17</f>
        <v>311190</v>
      </c>
      <c r="F20" s="42" t="n">
        <f aca="false">Operating_Expenses!F17</f>
        <v>318969.75</v>
      </c>
      <c r="G20" s="42" t="n">
        <f aca="false">Operating_Expenses!G17</f>
        <v>326943.99375</v>
      </c>
      <c r="H20" s="42" t="n">
        <f aca="false">Operating_Expenses!H17</f>
        <v>335117.59359375</v>
      </c>
      <c r="I20" s="42" t="n">
        <f aca="false">Operating_Expenses!I17</f>
        <v>343495.533433594</v>
      </c>
      <c r="J20" s="42" t="n">
        <f aca="false">Operating_Expenses!J17</f>
        <v>352082.921769433</v>
      </c>
    </row>
    <row r="21" customFormat="false" ht="15" hidden="false" customHeight="false" outlineLevel="0" collapsed="false">
      <c r="A21" s="5"/>
      <c r="B21" s="5"/>
      <c r="C21" s="5"/>
      <c r="D21" s="5"/>
      <c r="E21" s="5"/>
      <c r="F21" s="5"/>
      <c r="G21" s="5"/>
      <c r="H21" s="5"/>
      <c r="I21" s="5"/>
      <c r="J21" s="5"/>
    </row>
    <row r="22" customFormat="false" ht="15" hidden="false" customHeight="false" outlineLevel="0" collapsed="false">
      <c r="A22" s="5"/>
      <c r="B22" s="45" t="s">
        <v>166</v>
      </c>
      <c r="C22" s="5"/>
      <c r="D22" s="46" t="n">
        <f aca="false">D18+D20</f>
        <v>1675987.5</v>
      </c>
      <c r="E22" s="46" t="n">
        <f aca="false">E18+E20</f>
        <v>1755417.375</v>
      </c>
      <c r="F22" s="46" t="n">
        <f aca="false">F18+F20</f>
        <v>1806523.94625</v>
      </c>
      <c r="G22" s="46" t="n">
        <f aca="false">G18+G20</f>
        <v>2088951.93920812</v>
      </c>
      <c r="H22" s="46" t="n">
        <f aca="false">H18+H20</f>
        <v>1913263.84039538</v>
      </c>
      <c r="I22" s="46" t="n">
        <f aca="false">I18+I20</f>
        <v>1968986.16763927</v>
      </c>
      <c r="J22" s="46" t="n">
        <f aca="false">J18+J20</f>
        <v>2026338.27500128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J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0" min="3" style="0" width="14"/>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24" t="s">
        <v>167</v>
      </c>
      <c r="C2" s="5"/>
      <c r="D2" s="5"/>
      <c r="E2" s="5"/>
      <c r="F2" s="5"/>
      <c r="G2" s="5"/>
      <c r="H2" s="5"/>
      <c r="I2" s="5"/>
      <c r="J2" s="5"/>
    </row>
    <row r="3" customFormat="false" ht="15" hidden="false" customHeight="false" outlineLevel="0" collapsed="false">
      <c r="A3" s="5"/>
      <c r="B3" s="25" t="s">
        <v>168</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6"/>
      <c r="C5" s="37" t="s">
        <v>145</v>
      </c>
      <c r="D5" s="37" t="s">
        <v>146</v>
      </c>
      <c r="E5" s="37" t="s">
        <v>147</v>
      </c>
      <c r="F5" s="37" t="s">
        <v>148</v>
      </c>
      <c r="G5" s="37" t="s">
        <v>149</v>
      </c>
      <c r="H5" s="37" t="s">
        <v>150</v>
      </c>
      <c r="I5" s="37" t="s">
        <v>151</v>
      </c>
      <c r="J5" s="37" t="s">
        <v>152</v>
      </c>
    </row>
    <row r="6" customFormat="false" ht="15" hidden="false" customHeight="false" outlineLevel="0" collapsed="false">
      <c r="A6" s="5"/>
      <c r="B6" s="10" t="s">
        <v>153</v>
      </c>
      <c r="C6" s="39" t="n">
        <v>0</v>
      </c>
      <c r="D6" s="39" t="n">
        <v>1</v>
      </c>
      <c r="E6" s="39" t="n">
        <v>2</v>
      </c>
      <c r="F6" s="39" t="n">
        <v>3</v>
      </c>
      <c r="G6" s="39" t="n">
        <v>4</v>
      </c>
      <c r="H6" s="39" t="n">
        <v>5</v>
      </c>
      <c r="I6" s="39" t="n">
        <v>6</v>
      </c>
      <c r="J6" s="39" t="n">
        <v>7</v>
      </c>
    </row>
    <row r="7" customFormat="false" ht="15" hidden="false" customHeight="false" outlineLevel="0" collapsed="false">
      <c r="A7" s="5"/>
      <c r="B7" s="40" t="s">
        <v>169</v>
      </c>
      <c r="C7" s="29"/>
      <c r="D7" s="29"/>
      <c r="E7" s="29"/>
      <c r="F7" s="29"/>
      <c r="G7" s="29"/>
      <c r="H7" s="29"/>
      <c r="I7" s="29"/>
      <c r="J7" s="29"/>
    </row>
    <row r="8" customFormat="false" ht="15" hidden="false" customHeight="false" outlineLevel="0" collapsed="false">
      <c r="A8" s="5"/>
      <c r="B8" s="41" t="s">
        <v>170</v>
      </c>
      <c r="C8" s="5"/>
      <c r="D8" s="42" t="n">
        <f aca="false">-Prop_Tax_PSF*Total_SF</f>
        <v>-180000</v>
      </c>
      <c r="E8" s="42" t="n">
        <f aca="false">D8*(1+OpEx_Escalator)</f>
        <v>-184500</v>
      </c>
      <c r="F8" s="42" t="n">
        <f aca="false">E8*(1+OpEx_Escalator)</f>
        <v>-189112.5</v>
      </c>
      <c r="G8" s="42" t="n">
        <f aca="false">F8*(1+OpEx_Escalator)</f>
        <v>-193840.3125</v>
      </c>
      <c r="H8" s="42" t="n">
        <f aca="false">G8*(1+OpEx_Escalator)</f>
        <v>-198686.3203125</v>
      </c>
      <c r="I8" s="42" t="n">
        <f aca="false">H8*(1+OpEx_Escalator)</f>
        <v>-203653.478320312</v>
      </c>
      <c r="J8" s="42" t="n">
        <f aca="false">I8*(1+OpEx_Escalator)</f>
        <v>-208744.81527832</v>
      </c>
    </row>
    <row r="9" customFormat="false" ht="15" hidden="false" customHeight="false" outlineLevel="0" collapsed="false">
      <c r="A9" s="5"/>
      <c r="B9" s="41" t="s">
        <v>171</v>
      </c>
      <c r="C9" s="5"/>
      <c r="D9" s="42" t="n">
        <f aca="false">-Insurance_PSF*Total_SF</f>
        <v>-45000</v>
      </c>
      <c r="E9" s="42" t="n">
        <f aca="false">D9*(1+OpEx_Escalator)</f>
        <v>-46125</v>
      </c>
      <c r="F9" s="42" t="n">
        <f aca="false">E9*(1+OpEx_Escalator)</f>
        <v>-47278.125</v>
      </c>
      <c r="G9" s="42" t="n">
        <f aca="false">F9*(1+OpEx_Escalator)</f>
        <v>-48460.078125</v>
      </c>
      <c r="H9" s="42" t="n">
        <f aca="false">G9*(1+OpEx_Escalator)</f>
        <v>-49671.580078125</v>
      </c>
      <c r="I9" s="42" t="n">
        <f aca="false">H9*(1+OpEx_Escalator)</f>
        <v>-50913.3695800781</v>
      </c>
      <c r="J9" s="42" t="n">
        <f aca="false">I9*(1+OpEx_Escalator)</f>
        <v>-52186.20381958</v>
      </c>
    </row>
    <row r="10" customFormat="false" ht="15" hidden="false" customHeight="false" outlineLevel="0" collapsed="false">
      <c r="A10" s="5"/>
      <c r="B10" s="41" t="s">
        <v>172</v>
      </c>
      <c r="C10" s="5"/>
      <c r="D10" s="42" t="n">
        <f aca="false">-CAM_Maint_PSF*Total_SF</f>
        <v>-75000</v>
      </c>
      <c r="E10" s="42" t="n">
        <f aca="false">D10*(1+OpEx_Escalator)</f>
        <v>-76875</v>
      </c>
      <c r="F10" s="42" t="n">
        <f aca="false">E10*(1+OpEx_Escalator)</f>
        <v>-78796.875</v>
      </c>
      <c r="G10" s="42" t="n">
        <f aca="false">F10*(1+OpEx_Escalator)</f>
        <v>-80766.796875</v>
      </c>
      <c r="H10" s="42" t="n">
        <f aca="false">G10*(1+OpEx_Escalator)</f>
        <v>-82785.966796875</v>
      </c>
      <c r="I10" s="42" t="n">
        <f aca="false">H10*(1+OpEx_Escalator)</f>
        <v>-84855.6159667969</v>
      </c>
      <c r="J10" s="42" t="n">
        <f aca="false">I10*(1+OpEx_Escalator)</f>
        <v>-86977.0063659668</v>
      </c>
    </row>
    <row r="11" customFormat="false" ht="15" hidden="false" customHeight="false" outlineLevel="0" collapsed="false">
      <c r="A11" s="5"/>
      <c r="B11" s="41" t="s">
        <v>173</v>
      </c>
      <c r="C11" s="5"/>
      <c r="D11" s="42" t="n">
        <f aca="false">-Landscaping_PSF*Total_SF</f>
        <v>-30000</v>
      </c>
      <c r="E11" s="42" t="n">
        <f aca="false">D11*(1+OpEx_Escalator)</f>
        <v>-30750</v>
      </c>
      <c r="F11" s="42" t="n">
        <f aca="false">E11*(1+OpEx_Escalator)</f>
        <v>-31518.75</v>
      </c>
      <c r="G11" s="42" t="n">
        <f aca="false">F11*(1+OpEx_Escalator)</f>
        <v>-32306.71875</v>
      </c>
      <c r="H11" s="42" t="n">
        <f aca="false">G11*(1+OpEx_Escalator)</f>
        <v>-33114.38671875</v>
      </c>
      <c r="I11" s="42" t="n">
        <f aca="false">H11*(1+OpEx_Escalator)</f>
        <v>-33942.2463867187</v>
      </c>
      <c r="J11" s="42" t="n">
        <f aca="false">I11*(1+OpEx_Escalator)</f>
        <v>-34790.8025463867</v>
      </c>
    </row>
    <row r="12" customFormat="false" ht="15" hidden="false" customHeight="false" outlineLevel="0" collapsed="false">
      <c r="A12" s="5"/>
      <c r="B12" s="41" t="s">
        <v>174</v>
      </c>
      <c r="C12" s="5"/>
      <c r="D12" s="42" t="n">
        <f aca="false">-Structural_PSF*Total_SF</f>
        <v>-15000</v>
      </c>
      <c r="E12" s="42" t="n">
        <f aca="false">D12*(1+OpEx_Escalator)</f>
        <v>-15375</v>
      </c>
      <c r="F12" s="42" t="n">
        <f aca="false">E12*(1+OpEx_Escalator)</f>
        <v>-15759.375</v>
      </c>
      <c r="G12" s="42" t="n">
        <f aca="false">F12*(1+OpEx_Escalator)</f>
        <v>-16153.359375</v>
      </c>
      <c r="H12" s="42" t="n">
        <f aca="false">G12*(1+OpEx_Escalator)</f>
        <v>-16557.193359375</v>
      </c>
      <c r="I12" s="42" t="n">
        <f aca="false">H12*(1+OpEx_Escalator)</f>
        <v>-16971.1231933594</v>
      </c>
      <c r="J12" s="42" t="n">
        <f aca="false">I12*(1+OpEx_Escalator)</f>
        <v>-17395.4012731933</v>
      </c>
    </row>
    <row r="13" customFormat="false" ht="15" hidden="false" customHeight="false" outlineLevel="0" collapsed="false">
      <c r="A13" s="5"/>
      <c r="B13" s="5"/>
      <c r="C13" s="5"/>
      <c r="D13" s="5"/>
      <c r="E13" s="5"/>
      <c r="F13" s="5"/>
      <c r="G13" s="5"/>
      <c r="H13" s="5"/>
      <c r="I13" s="5"/>
      <c r="J13" s="5"/>
    </row>
    <row r="14" customFormat="false" ht="15" hidden="false" customHeight="false" outlineLevel="0" collapsed="false">
      <c r="A14" s="5"/>
      <c r="B14" s="43" t="s">
        <v>175</v>
      </c>
      <c r="C14" s="5"/>
      <c r="D14" s="44" t="n">
        <f aca="false">SUM(D8:D12)</f>
        <v>-345000</v>
      </c>
      <c r="E14" s="44" t="n">
        <f aca="false">SUM(E8:E12)</f>
        <v>-353625</v>
      </c>
      <c r="F14" s="44" t="n">
        <f aca="false">SUM(F8:F12)</f>
        <v>-362465.625</v>
      </c>
      <c r="G14" s="44" t="n">
        <f aca="false">SUM(G8:G12)</f>
        <v>-371527.265625</v>
      </c>
      <c r="H14" s="44" t="n">
        <f aca="false">SUM(H8:H12)</f>
        <v>-380815.447265625</v>
      </c>
      <c r="I14" s="44" t="n">
        <f aca="false">SUM(I8:I12)</f>
        <v>-390335.833447265</v>
      </c>
      <c r="J14" s="44" t="n">
        <f aca="false">SUM(J8:J12)</f>
        <v>-400094.229283447</v>
      </c>
    </row>
    <row r="15" customFormat="false" ht="15" hidden="false" customHeight="false" outlineLevel="0" collapsed="false">
      <c r="A15" s="5"/>
      <c r="B15" s="40" t="s">
        <v>165</v>
      </c>
      <c r="C15" s="29"/>
      <c r="D15" s="29"/>
      <c r="E15" s="29"/>
      <c r="F15" s="29"/>
      <c r="G15" s="29"/>
      <c r="H15" s="29"/>
      <c r="I15" s="29"/>
      <c r="J15" s="29"/>
    </row>
    <row r="16" customFormat="false" ht="15" hidden="false" customHeight="false" outlineLevel="0" collapsed="false">
      <c r="A16" s="5"/>
      <c r="B16" s="41" t="s">
        <v>176</v>
      </c>
      <c r="C16" s="5"/>
      <c r="D16" s="42" t="n">
        <f aca="false">-1*(D8+D9+D10+D11)</f>
        <v>330000</v>
      </c>
      <c r="E16" s="42" t="n">
        <f aca="false">-1*(E8+E9+E10+E11)</f>
        <v>338250</v>
      </c>
      <c r="F16" s="42" t="n">
        <f aca="false">-1*(F8+F9+F10+F11)</f>
        <v>346706.25</v>
      </c>
      <c r="G16" s="42" t="n">
        <f aca="false">-1*(G8+G9+G10+G11)</f>
        <v>355373.90625</v>
      </c>
      <c r="H16" s="42" t="n">
        <f aca="false">-1*(H8+H9+H10+H11)</f>
        <v>364258.25390625</v>
      </c>
      <c r="I16" s="42" t="n">
        <f aca="false">-1*(I8+I9+I10+I11)</f>
        <v>373364.710253906</v>
      </c>
      <c r="J16" s="42" t="n">
        <f aca="false">-1*(J8+J9+J10+J11)</f>
        <v>382698.828010254</v>
      </c>
    </row>
    <row r="17" customFormat="false" ht="15" hidden="false" customHeight="false" outlineLevel="0" collapsed="false">
      <c r="A17" s="5"/>
      <c r="B17" s="41" t="s">
        <v>177</v>
      </c>
      <c r="C17" s="5"/>
      <c r="D17" s="42" t="n">
        <f aca="false">D16*CAM_Recovery_Ratio</f>
        <v>303600</v>
      </c>
      <c r="E17" s="42" t="n">
        <f aca="false">E16*CAM_Recovery_Ratio</f>
        <v>311190</v>
      </c>
      <c r="F17" s="42" t="n">
        <f aca="false">F16*CAM_Recovery_Ratio</f>
        <v>318969.75</v>
      </c>
      <c r="G17" s="42" t="n">
        <f aca="false">G16*CAM_Recovery_Ratio</f>
        <v>326943.99375</v>
      </c>
      <c r="H17" s="42" t="n">
        <f aca="false">H16*CAM_Recovery_Ratio</f>
        <v>335117.59359375</v>
      </c>
      <c r="I17" s="42" t="n">
        <f aca="false">I16*CAM_Recovery_Ratio</f>
        <v>343495.533433594</v>
      </c>
      <c r="J17" s="42" t="n">
        <f aca="false">J16*CAM_Recovery_Ratio</f>
        <v>352082.921769433</v>
      </c>
    </row>
    <row r="18" customFormat="false" ht="15" hidden="false" customHeight="false" outlineLevel="0" collapsed="false">
      <c r="A18" s="5"/>
      <c r="B18" s="40" t="s">
        <v>178</v>
      </c>
      <c r="C18" s="29"/>
      <c r="D18" s="29"/>
      <c r="E18" s="29"/>
      <c r="F18" s="29"/>
      <c r="G18" s="29"/>
      <c r="H18" s="29"/>
      <c r="I18" s="29"/>
      <c r="J18" s="29"/>
    </row>
    <row r="19" customFormat="false" ht="15" hidden="false" customHeight="false" outlineLevel="0" collapsed="false">
      <c r="A19" s="5"/>
      <c r="B19" s="43" t="s">
        <v>179</v>
      </c>
      <c r="C19" s="5"/>
      <c r="D19" s="44" t="n">
        <f aca="false">D14+D17</f>
        <v>-41400</v>
      </c>
      <c r="E19" s="44" t="n">
        <f aca="false">E14+E17</f>
        <v>-42434.9999999999</v>
      </c>
      <c r="F19" s="44" t="n">
        <f aca="false">F14+F17</f>
        <v>-43495.875</v>
      </c>
      <c r="G19" s="44" t="n">
        <f aca="false">G14+G17</f>
        <v>-44583.271875</v>
      </c>
      <c r="H19" s="44" t="n">
        <f aca="false">H14+H17</f>
        <v>-45697.8536718749</v>
      </c>
      <c r="I19" s="44" t="n">
        <f aca="false">I14+I17</f>
        <v>-46840.3000136718</v>
      </c>
      <c r="J19" s="44" t="n">
        <f aca="false">J14+J17</f>
        <v>-48011.3075140136</v>
      </c>
    </row>
    <row r="20" customFormat="false" ht="15" hidden="false" customHeight="false" outlineLevel="0" collapsed="false">
      <c r="A20" s="5"/>
      <c r="B20" s="5"/>
      <c r="C20" s="5"/>
      <c r="D20" s="5"/>
      <c r="E20" s="5"/>
      <c r="F20" s="5"/>
      <c r="G20" s="5"/>
      <c r="H20" s="5"/>
      <c r="I20" s="5"/>
      <c r="J20" s="5"/>
    </row>
    <row r="21" customFormat="false" ht="15" hidden="false" customHeight="false" outlineLevel="0" collapsed="false">
      <c r="A21" s="5"/>
      <c r="B21" s="41" t="s">
        <v>180</v>
      </c>
      <c r="C21" s="5"/>
      <c r="D21" s="42" t="n">
        <f aca="false">-Rent_Roll!D18*Mgmt_Fee_Pct</f>
        <v>-54895.5</v>
      </c>
      <c r="E21" s="42" t="n">
        <f aca="false">-Rent_Roll!E18*Mgmt_Fee_Pct</f>
        <v>-57769.095</v>
      </c>
      <c r="F21" s="42" t="n">
        <f aca="false">-Rent_Roll!F18*Mgmt_Fee_Pct</f>
        <v>-59502.16785</v>
      </c>
      <c r="G21" s="42" t="n">
        <f aca="false">-Rent_Roll!G18*Mgmt_Fee_Pct</f>
        <v>-70480.317818325</v>
      </c>
      <c r="H21" s="42" t="n">
        <f aca="false">-Rent_Roll!H18*Mgmt_Fee_Pct</f>
        <v>-63125.849872065</v>
      </c>
      <c r="I21" s="42" t="n">
        <f aca="false">-Rent_Roll!I18*Mgmt_Fee_Pct</f>
        <v>-65019.625368227</v>
      </c>
      <c r="J21" s="42" t="n">
        <f aca="false">-Rent_Roll!J18*Mgmt_Fee_Pct</f>
        <v>-66970.2141292738</v>
      </c>
    </row>
    <row r="22" customFormat="false" ht="15" hidden="false" customHeight="false" outlineLevel="0" collapsed="false">
      <c r="A22" s="5"/>
      <c r="B22" s="5"/>
      <c r="C22" s="5"/>
      <c r="D22" s="5"/>
      <c r="E22" s="5"/>
      <c r="F22" s="5"/>
      <c r="G22" s="5"/>
      <c r="H22" s="5"/>
      <c r="I22" s="5"/>
      <c r="J22" s="5"/>
    </row>
    <row r="23" customFormat="false" ht="15" hidden="false" customHeight="false" outlineLevel="0" collapsed="false">
      <c r="A23" s="5"/>
      <c r="B23" s="41" t="s">
        <v>181</v>
      </c>
      <c r="C23" s="5"/>
      <c r="D23" s="42" t="n">
        <f aca="false">Rent_Roll!D22</f>
        <v>1675987.5</v>
      </c>
      <c r="E23" s="42" t="n">
        <f aca="false">Rent_Roll!E22</f>
        <v>1755417.375</v>
      </c>
      <c r="F23" s="42" t="n">
        <f aca="false">Rent_Roll!F22</f>
        <v>1806523.94625</v>
      </c>
      <c r="G23" s="42" t="n">
        <f aca="false">Rent_Roll!G22</f>
        <v>2088951.93920812</v>
      </c>
      <c r="H23" s="42" t="n">
        <f aca="false">Rent_Roll!H22</f>
        <v>1913263.84039538</v>
      </c>
      <c r="I23" s="42" t="n">
        <f aca="false">Rent_Roll!I22</f>
        <v>1968986.16763927</v>
      </c>
      <c r="J23" s="42" t="n">
        <f aca="false">Rent_Roll!J22</f>
        <v>2026338.27500128</v>
      </c>
    </row>
    <row r="24" customFormat="false" ht="15" hidden="false" customHeight="false" outlineLevel="0" collapsed="false">
      <c r="A24" s="5"/>
      <c r="B24" s="5"/>
      <c r="C24" s="5"/>
      <c r="D24" s="5"/>
      <c r="E24" s="5"/>
      <c r="F24" s="5"/>
      <c r="G24" s="5"/>
      <c r="H24" s="5"/>
      <c r="I24" s="5"/>
      <c r="J24" s="5"/>
    </row>
    <row r="25" customFormat="false" ht="15" hidden="false" customHeight="false" outlineLevel="0" collapsed="false">
      <c r="A25" s="5"/>
      <c r="B25" s="45" t="s">
        <v>182</v>
      </c>
      <c r="C25" s="5"/>
      <c r="D25" s="46" t="n">
        <f aca="false">D23+D19+D21</f>
        <v>1579692</v>
      </c>
      <c r="E25" s="46" t="n">
        <f aca="false">E23+E19+E21</f>
        <v>1655213.28</v>
      </c>
      <c r="F25" s="46" t="n">
        <f aca="false">F23+F19+F21</f>
        <v>1703525.9034</v>
      </c>
      <c r="G25" s="46" t="n">
        <f aca="false">G23+G19+G21</f>
        <v>1973888.3495148</v>
      </c>
      <c r="H25" s="46" t="n">
        <f aca="false">H23+H19+H21</f>
        <v>1804440.13685144</v>
      </c>
      <c r="I25" s="46" t="n">
        <f aca="false">I23+I19+I21</f>
        <v>1857126.24225737</v>
      </c>
      <c r="J25" s="46" t="n">
        <f aca="false">J23+J19+J21</f>
        <v>1911356.75335799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J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0" min="3" style="0" width="14"/>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24" t="s">
        <v>183</v>
      </c>
      <c r="C2" s="5"/>
      <c r="D2" s="5"/>
      <c r="E2" s="5"/>
      <c r="F2" s="5"/>
      <c r="G2" s="5"/>
      <c r="H2" s="5"/>
      <c r="I2" s="5"/>
      <c r="J2" s="5"/>
    </row>
    <row r="3" customFormat="false" ht="15" hidden="false" customHeight="false" outlineLevel="0" collapsed="false">
      <c r="A3" s="5"/>
      <c r="B3" s="25" t="s">
        <v>184</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6"/>
      <c r="C5" s="37" t="s">
        <v>145</v>
      </c>
      <c r="D5" s="37" t="s">
        <v>146</v>
      </c>
      <c r="E5" s="37" t="s">
        <v>147</v>
      </c>
      <c r="F5" s="37" t="s">
        <v>148</v>
      </c>
      <c r="G5" s="37" t="s">
        <v>149</v>
      </c>
      <c r="H5" s="37" t="s">
        <v>150</v>
      </c>
      <c r="I5" s="37" t="s">
        <v>151</v>
      </c>
      <c r="J5" s="37" t="s">
        <v>152</v>
      </c>
    </row>
    <row r="6" customFormat="false" ht="15" hidden="false" customHeight="false" outlineLevel="0" collapsed="false">
      <c r="A6" s="5"/>
      <c r="B6" s="10" t="s">
        <v>153</v>
      </c>
      <c r="C6" s="39" t="n">
        <v>0</v>
      </c>
      <c r="D6" s="39" t="n">
        <v>1</v>
      </c>
      <c r="E6" s="39" t="n">
        <v>2</v>
      </c>
      <c r="F6" s="39" t="n">
        <v>3</v>
      </c>
      <c r="G6" s="39" t="n">
        <v>4</v>
      </c>
      <c r="H6" s="39" t="n">
        <v>5</v>
      </c>
      <c r="I6" s="39" t="n">
        <v>6</v>
      </c>
      <c r="J6" s="39" t="n">
        <v>7</v>
      </c>
    </row>
    <row r="7" customFormat="false" ht="15" hidden="false" customHeight="false" outlineLevel="0" collapsed="false">
      <c r="A7" s="5"/>
      <c r="B7" s="40" t="s">
        <v>183</v>
      </c>
      <c r="C7" s="29"/>
      <c r="D7" s="29"/>
      <c r="E7" s="29"/>
      <c r="F7" s="29"/>
      <c r="G7" s="29"/>
      <c r="H7" s="29"/>
      <c r="I7" s="29"/>
      <c r="J7" s="29"/>
    </row>
    <row r="8" customFormat="false" ht="15" hidden="false" customHeight="false" outlineLevel="0" collapsed="false">
      <c r="A8" s="5"/>
      <c r="B8" s="41" t="s">
        <v>107</v>
      </c>
      <c r="C8" s="42" t="n">
        <f aca="false">-Initial_CapEx</f>
        <v>-375000</v>
      </c>
      <c r="D8" s="42" t="n">
        <f aca="false">0</f>
        <v>0</v>
      </c>
      <c r="E8" s="42" t="n">
        <f aca="false">0</f>
        <v>0</v>
      </c>
      <c r="F8" s="42" t="n">
        <f aca="false">0</f>
        <v>0</v>
      </c>
      <c r="G8" s="42" t="n">
        <f aca="false">0</f>
        <v>0</v>
      </c>
      <c r="H8" s="42" t="n">
        <f aca="false">0</f>
        <v>0</v>
      </c>
      <c r="I8" s="42" t="n">
        <f aca="false">0</f>
        <v>0</v>
      </c>
      <c r="J8" s="42" t="n">
        <f aca="false">0</f>
        <v>0</v>
      </c>
    </row>
    <row r="9" customFormat="false" ht="15" hidden="false" customHeight="false" outlineLevel="0" collapsed="false">
      <c r="A9" s="5"/>
      <c r="B9" s="5"/>
      <c r="C9" s="5"/>
      <c r="D9" s="5"/>
      <c r="E9" s="5"/>
      <c r="F9" s="5"/>
      <c r="G9" s="5"/>
      <c r="H9" s="5"/>
      <c r="I9" s="5"/>
      <c r="J9" s="5"/>
    </row>
    <row r="10" customFormat="false" ht="15" hidden="false" customHeight="false" outlineLevel="0" collapsed="false">
      <c r="A10" s="5"/>
      <c r="B10" s="41" t="s">
        <v>185</v>
      </c>
      <c r="C10" s="5"/>
      <c r="D10" s="42" t="n">
        <f aca="false">-TI_Reserve_PSF*Total_SF</f>
        <v>-112500</v>
      </c>
      <c r="E10" s="42" t="n">
        <f aca="false">-TI_Reserve_PSF*Total_SF</f>
        <v>-112500</v>
      </c>
      <c r="F10" s="42" t="n">
        <f aca="false">-TI_Reserve_PSF*Total_SF</f>
        <v>-112500</v>
      </c>
      <c r="G10" s="42" t="n">
        <f aca="false">-TI_Reserve_PSF*Total_SF</f>
        <v>-112500</v>
      </c>
      <c r="H10" s="42" t="n">
        <f aca="false">-TI_Reserve_PSF*Total_SF</f>
        <v>-112500</v>
      </c>
      <c r="I10" s="42" t="n">
        <f aca="false">-TI_Reserve_PSF*Total_SF</f>
        <v>-112500</v>
      </c>
      <c r="J10" s="42" t="n">
        <f aca="false">-TI_Reserve_PSF*Total_SF</f>
        <v>-112500</v>
      </c>
    </row>
    <row r="11" customFormat="false" ht="15" hidden="false" customHeight="false" outlineLevel="0" collapsed="false">
      <c r="A11" s="5"/>
      <c r="B11" s="41" t="s">
        <v>186</v>
      </c>
      <c r="C11" s="5"/>
      <c r="D11" s="42" t="n">
        <f aca="false">IF(D6=Rollover_Year,-(Rent_Roll!D8+Rent_Roll!D12)*LC_Pct,0)</f>
        <v>0</v>
      </c>
      <c r="E11" s="42" t="n">
        <f aca="false">IF(E6=Rollover_Year,-(Rent_Roll!E8+Rent_Roll!E12)*LC_Pct,0)</f>
        <v>0</v>
      </c>
      <c r="F11" s="42" t="n">
        <f aca="false">IF(F6=Rollover_Year,-(Rent_Roll!F8+Rent_Roll!F12)*LC_Pct,0)</f>
        <v>0</v>
      </c>
      <c r="G11" s="42" t="n">
        <f aca="false">IF(G6=Rollover_Year,-(Rent_Roll!G8+Rent_Roll!G12)*LC_Pct,0)</f>
        <v>-48803.9196375</v>
      </c>
      <c r="H11" s="42" t="n">
        <f aca="false">IF(H6=Rollover_Year,-(Rent_Roll!H8+Rent_Roll!H12)*LC_Pct,0)</f>
        <v>0</v>
      </c>
      <c r="I11" s="42" t="n">
        <f aca="false">IF(I6=Rollover_Year,-(Rent_Roll!I8+Rent_Roll!I12)*LC_Pct,0)</f>
        <v>0</v>
      </c>
      <c r="J11" s="42" t="n">
        <f aca="false">IF(J6=Rollover_Year,-(Rent_Roll!J8+Rent_Roll!J12)*LC_Pct,0)</f>
        <v>0</v>
      </c>
    </row>
    <row r="12" customFormat="false" ht="15" hidden="false" customHeight="false" outlineLevel="0" collapsed="false">
      <c r="A12" s="5"/>
      <c r="B12" s="41" t="s">
        <v>187</v>
      </c>
      <c r="C12" s="5"/>
      <c r="D12" s="42" t="n">
        <f aca="false">-CapEx_Reserve_PSF*Total_SF</f>
        <v>-37500</v>
      </c>
      <c r="E12" s="42" t="n">
        <f aca="false">-CapEx_Reserve_PSF*Total_SF</f>
        <v>-37500</v>
      </c>
      <c r="F12" s="42" t="n">
        <f aca="false">-CapEx_Reserve_PSF*Total_SF</f>
        <v>-37500</v>
      </c>
      <c r="G12" s="42" t="n">
        <f aca="false">-CapEx_Reserve_PSF*Total_SF</f>
        <v>-37500</v>
      </c>
      <c r="H12" s="42" t="n">
        <f aca="false">-CapEx_Reserve_PSF*Total_SF</f>
        <v>-37500</v>
      </c>
      <c r="I12" s="42" t="n">
        <f aca="false">-CapEx_Reserve_PSF*Total_SF</f>
        <v>-37500</v>
      </c>
      <c r="J12" s="42" t="n">
        <f aca="false">-CapEx_Reserve_PSF*Total_SF</f>
        <v>-37500</v>
      </c>
    </row>
    <row r="13" customFormat="false" ht="15" hidden="false" customHeight="false" outlineLevel="0" collapsed="false">
      <c r="A13" s="5"/>
      <c r="B13" s="5"/>
      <c r="C13" s="5"/>
      <c r="D13" s="5"/>
      <c r="E13" s="5"/>
      <c r="F13" s="5"/>
      <c r="G13" s="5"/>
      <c r="H13" s="5"/>
      <c r="I13" s="5"/>
      <c r="J13" s="5"/>
    </row>
    <row r="14" customFormat="false" ht="15" hidden="false" customHeight="false" outlineLevel="0" collapsed="false">
      <c r="A14" s="5"/>
      <c r="B14" s="47" t="s">
        <v>188</v>
      </c>
      <c r="C14" s="44" t="n">
        <f aca="false">C8</f>
        <v>-375000</v>
      </c>
      <c r="D14" s="44" t="n">
        <f aca="false">D10+D11+D12</f>
        <v>-150000</v>
      </c>
      <c r="E14" s="44" t="n">
        <f aca="false">E10+E11+E12</f>
        <v>-150000</v>
      </c>
      <c r="F14" s="44" t="n">
        <f aca="false">F10+F11+F12</f>
        <v>-150000</v>
      </c>
      <c r="G14" s="44" t="n">
        <f aca="false">G10+G11+G12</f>
        <v>-198803.9196375</v>
      </c>
      <c r="H14" s="44" t="n">
        <f aca="false">H10+H11+H12</f>
        <v>-150000</v>
      </c>
      <c r="I14" s="44" t="n">
        <f aca="false">I10+I11+I12</f>
        <v>-150000</v>
      </c>
      <c r="J14" s="44" t="n">
        <f aca="false">J10+J11+J12</f>
        <v>-150000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J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0" min="3" style="0" width="14"/>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24" t="s">
        <v>189</v>
      </c>
      <c r="C2" s="5"/>
      <c r="D2" s="5"/>
      <c r="E2" s="5"/>
      <c r="F2" s="5"/>
      <c r="G2" s="5"/>
      <c r="H2" s="5"/>
      <c r="I2" s="5"/>
      <c r="J2" s="5"/>
    </row>
    <row r="3" customFormat="false" ht="15" hidden="false" customHeight="false" outlineLevel="0" collapsed="false">
      <c r="A3" s="5"/>
      <c r="B3" s="25" t="s">
        <v>190</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6"/>
      <c r="C5" s="37" t="s">
        <v>145</v>
      </c>
      <c r="D5" s="37" t="s">
        <v>146</v>
      </c>
      <c r="E5" s="37" t="s">
        <v>147</v>
      </c>
      <c r="F5" s="37" t="s">
        <v>148</v>
      </c>
      <c r="G5" s="37" t="s">
        <v>149</v>
      </c>
      <c r="H5" s="37" t="s">
        <v>150</v>
      </c>
      <c r="I5" s="37" t="s">
        <v>151</v>
      </c>
      <c r="J5" s="37" t="s">
        <v>152</v>
      </c>
    </row>
    <row r="6" customFormat="false" ht="15" hidden="false" customHeight="false" outlineLevel="0" collapsed="false">
      <c r="A6" s="5"/>
      <c r="B6" s="10" t="s">
        <v>153</v>
      </c>
      <c r="C6" s="39" t="n">
        <v>0</v>
      </c>
      <c r="D6" s="39" t="n">
        <v>1</v>
      </c>
      <c r="E6" s="39" t="n">
        <v>2</v>
      </c>
      <c r="F6" s="39" t="n">
        <v>3</v>
      </c>
      <c r="G6" s="39" t="n">
        <v>4</v>
      </c>
      <c r="H6" s="39" t="n">
        <v>5</v>
      </c>
      <c r="I6" s="39" t="n">
        <v>6</v>
      </c>
      <c r="J6" s="39" t="n">
        <v>7</v>
      </c>
    </row>
    <row r="7" customFormat="false" ht="15" hidden="false" customHeight="false" outlineLevel="0" collapsed="false">
      <c r="A7" s="5"/>
      <c r="B7" s="40" t="s">
        <v>191</v>
      </c>
      <c r="C7" s="29"/>
      <c r="D7" s="29"/>
      <c r="E7" s="29"/>
      <c r="F7" s="29"/>
      <c r="G7" s="29"/>
      <c r="H7" s="29"/>
      <c r="I7" s="29"/>
      <c r="J7" s="29"/>
    </row>
    <row r="8" customFormat="false" ht="15" hidden="false" customHeight="false" outlineLevel="0" collapsed="false">
      <c r="A8" s="5"/>
      <c r="B8" s="41" t="s">
        <v>192</v>
      </c>
      <c r="C8" s="42" t="n">
        <f aca="false">Loan_Amount</f>
        <v>9620000</v>
      </c>
      <c r="D8" s="42" t="n">
        <f aca="false">C11</f>
        <v>9620000</v>
      </c>
      <c r="E8" s="42" t="n">
        <f aca="false">D11</f>
        <v>9620000</v>
      </c>
      <c r="F8" s="42" t="n">
        <f aca="false">E11</f>
        <v>9620000</v>
      </c>
      <c r="G8" s="42" t="n">
        <f aca="false">F11</f>
        <v>9465840.85294029</v>
      </c>
      <c r="H8" s="42" t="n">
        <f aca="false">G11</f>
        <v>9301661.36132169</v>
      </c>
      <c r="I8" s="42" t="n">
        <f aca="false">H11</f>
        <v>9126810.20274789</v>
      </c>
      <c r="J8" s="42" t="n">
        <f aca="false">I11</f>
        <v>8940593.71886678</v>
      </c>
    </row>
    <row r="9" customFormat="false" ht="15" hidden="false" customHeight="false" outlineLevel="0" collapsed="false">
      <c r="A9" s="5"/>
      <c r="B9" s="41" t="s">
        <v>193</v>
      </c>
      <c r="C9" s="42" t="n">
        <f aca="false">0</f>
        <v>0</v>
      </c>
      <c r="D9" s="42" t="n">
        <f aca="false">D8*Interest_Rate</f>
        <v>625300</v>
      </c>
      <c r="E9" s="42" t="n">
        <f aca="false">E8*Interest_Rate</f>
        <v>625300</v>
      </c>
      <c r="F9" s="42" t="n">
        <f aca="false">F8*Interest_Rate</f>
        <v>625300</v>
      </c>
      <c r="G9" s="42" t="n">
        <f aca="false">G8*Interest_Rate</f>
        <v>615279.655441119</v>
      </c>
      <c r="H9" s="42" t="n">
        <f aca="false">H8*Interest_Rate</f>
        <v>604607.98848591</v>
      </c>
      <c r="I9" s="42" t="n">
        <f aca="false">I8*Interest_Rate</f>
        <v>593242.663178613</v>
      </c>
      <c r="J9" s="42" t="n">
        <f aca="false">J8*Interest_Rate</f>
        <v>581138.591726341</v>
      </c>
    </row>
    <row r="10" customFormat="false" ht="15" hidden="false" customHeight="false" outlineLevel="0" collapsed="false">
      <c r="A10" s="5"/>
      <c r="B10" s="41" t="s">
        <v>194</v>
      </c>
      <c r="C10" s="42" t="n">
        <f aca="false">0</f>
        <v>0</v>
      </c>
      <c r="D10" s="42" t="n">
        <f aca="false">IF(D6&lt;=IO_Period,0,-PMT(Interest_Rate/12,Amort_Period*12,Loan_Amount)*12-D8*Interest_Rate)</f>
        <v>0</v>
      </c>
      <c r="E10" s="42" t="n">
        <f aca="false">IF(E6&lt;=IO_Period,0,-PMT(Interest_Rate/12,Amort_Period*12,Loan_Amount)*12-E8*Interest_Rate)</f>
        <v>0</v>
      </c>
      <c r="F10" s="42" t="n">
        <f aca="false">IF(F6&lt;=IO_Period,0,-PMT(Interest_Rate/12,Amort_Period*12,Loan_Amount)*12-F8*Interest_Rate)</f>
        <v>154159.147059715</v>
      </c>
      <c r="G10" s="42" t="n">
        <f aca="false">IF(G6&lt;=IO_Period,0,-PMT(Interest_Rate/12,Amort_Period*12,Loan_Amount)*12-G8*Interest_Rate)</f>
        <v>164179.491618596</v>
      </c>
      <c r="H10" s="42" t="n">
        <f aca="false">IF(H6&lt;=IO_Period,0,-PMT(Interest_Rate/12,Amort_Period*12,Loan_Amount)*12-H8*Interest_Rate)</f>
        <v>174851.158573805</v>
      </c>
      <c r="I10" s="42" t="n">
        <f aca="false">IF(I6&lt;=IO_Period,0,-PMT(Interest_Rate/12,Amort_Period*12,Loan_Amount)*12-I8*Interest_Rate)</f>
        <v>186216.483881103</v>
      </c>
      <c r="J10" s="42" t="n">
        <f aca="false">IF(J6&lt;=IO_Period,0,-PMT(Interest_Rate/12,Amort_Period*12,Loan_Amount)*12-J8*Interest_Rate)</f>
        <v>198320.555333374</v>
      </c>
    </row>
    <row r="11" customFormat="false" ht="15" hidden="false" customHeight="false" outlineLevel="0" collapsed="false">
      <c r="A11" s="5"/>
      <c r="B11" s="47" t="s">
        <v>195</v>
      </c>
      <c r="C11" s="44" t="n">
        <f aca="false">Loan_Amount</f>
        <v>9620000</v>
      </c>
      <c r="D11" s="44" t="n">
        <f aca="false">D8-D10</f>
        <v>9620000</v>
      </c>
      <c r="E11" s="44" t="n">
        <f aca="false">E8-E10</f>
        <v>9620000</v>
      </c>
      <c r="F11" s="44" t="n">
        <f aca="false">F8-F10</f>
        <v>9465840.85294029</v>
      </c>
      <c r="G11" s="44" t="n">
        <f aca="false">G8-G10</f>
        <v>9301661.36132169</v>
      </c>
      <c r="H11" s="44" t="n">
        <f aca="false">H8-H10</f>
        <v>9126810.20274789</v>
      </c>
      <c r="I11" s="44" t="n">
        <f aca="false">I8-I10</f>
        <v>8940593.71886678</v>
      </c>
      <c r="J11" s="44" t="n">
        <f aca="false">J8-J10</f>
        <v>8742273.16353341</v>
      </c>
    </row>
    <row r="12" customFormat="false" ht="15" hidden="false" customHeight="false" outlineLevel="0" collapsed="false">
      <c r="A12" s="5"/>
      <c r="B12" s="40" t="s">
        <v>196</v>
      </c>
      <c r="C12" s="29"/>
      <c r="D12" s="29"/>
      <c r="E12" s="29"/>
      <c r="F12" s="29"/>
      <c r="G12" s="29"/>
      <c r="H12" s="29"/>
      <c r="I12" s="29"/>
      <c r="J12" s="29"/>
    </row>
    <row r="13" customFormat="false" ht="15" hidden="false" customHeight="false" outlineLevel="0" collapsed="false">
      <c r="A13" s="5"/>
      <c r="B13" s="41" t="s">
        <v>197</v>
      </c>
      <c r="C13" s="42" t="n">
        <f aca="false">0</f>
        <v>0</v>
      </c>
      <c r="D13" s="42" t="n">
        <f aca="false">D9+D10</f>
        <v>625300</v>
      </c>
      <c r="E13" s="42" t="n">
        <f aca="false">E9+E10</f>
        <v>625300</v>
      </c>
      <c r="F13" s="42" t="n">
        <f aca="false">F9+F10</f>
        <v>779459.147059715</v>
      </c>
      <c r="G13" s="42" t="n">
        <f aca="false">G9+G10</f>
        <v>779459.147059715</v>
      </c>
      <c r="H13" s="42" t="n">
        <f aca="false">H9+H10</f>
        <v>779459.147059715</v>
      </c>
      <c r="I13" s="42" t="n">
        <f aca="false">I9+I10</f>
        <v>779459.147059715</v>
      </c>
      <c r="J13" s="42" t="n">
        <f aca="false">J9+J10</f>
        <v>779459.147059715</v>
      </c>
    </row>
    <row r="14" customFormat="false" ht="15" hidden="false" customHeight="false" outlineLevel="0" collapsed="false">
      <c r="A14" s="5"/>
      <c r="B14" s="5"/>
      <c r="C14" s="5"/>
      <c r="D14" s="5"/>
      <c r="E14" s="5"/>
      <c r="F14" s="5"/>
      <c r="G14" s="5"/>
      <c r="H14" s="5"/>
      <c r="I14" s="5"/>
      <c r="J14" s="5"/>
    </row>
    <row r="15" customFormat="false" ht="15" hidden="false" customHeight="false" outlineLevel="0" collapsed="false">
      <c r="A15" s="5"/>
      <c r="B15" s="41" t="s">
        <v>198</v>
      </c>
      <c r="C15" s="48"/>
      <c r="D15" s="49" t="n">
        <f aca="false">IFERROR(Operating_Expenses!D25/D13,0)</f>
        <v>2.52629457860227</v>
      </c>
      <c r="E15" s="49" t="n">
        <f aca="false">IFERROR(Operating_Expenses!E25/E13,0)</f>
        <v>2.64707065408604</v>
      </c>
      <c r="F15" s="49" t="n">
        <f aca="false">IFERROR(Operating_Expenses!F25/F13,0)</f>
        <v>2.18552301275322</v>
      </c>
      <c r="G15" s="49" t="n">
        <f aca="false">IFERROR(Operating_Expenses!G25/G13,0)</f>
        <v>2.53238204588492</v>
      </c>
      <c r="H15" s="49" t="n">
        <f aca="false">IFERROR(Operating_Expenses!H25/H13,0)</f>
        <v>2.31499000769722</v>
      </c>
      <c r="I15" s="49" t="n">
        <f aca="false">IFERROR(Operating_Expenses!I25/I13,0)</f>
        <v>2.38258316585653</v>
      </c>
      <c r="J15" s="49" t="n">
        <f aca="false">IFERROR(Operating_Expenses!J25/J13,0)</f>
        <v>2.45215770520884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J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4"/>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24" t="s">
        <v>199</v>
      </c>
      <c r="C2" s="5"/>
      <c r="D2" s="5"/>
      <c r="E2" s="5"/>
      <c r="F2" s="5"/>
      <c r="G2" s="5"/>
      <c r="H2" s="5"/>
      <c r="I2" s="5"/>
      <c r="J2" s="5"/>
    </row>
    <row r="3" customFormat="false" ht="15" hidden="false" customHeight="false" outlineLevel="0" collapsed="false">
      <c r="A3" s="5"/>
      <c r="B3" s="25" t="s">
        <v>200</v>
      </c>
      <c r="C3" s="5"/>
      <c r="D3" s="5"/>
      <c r="E3" s="5"/>
      <c r="F3" s="5"/>
      <c r="G3" s="5"/>
      <c r="H3" s="5"/>
      <c r="I3" s="5"/>
      <c r="J3" s="5"/>
    </row>
    <row r="4" customFormat="false" ht="15" hidden="false" customHeight="false" outlineLevel="0" collapsed="false">
      <c r="A4" s="5"/>
      <c r="B4" s="38" t="s">
        <v>201</v>
      </c>
      <c r="C4" s="50" t="n">
        <f aca="false">DATE(2025,1,1)</f>
        <v>45658</v>
      </c>
      <c r="D4" s="50" t="n">
        <f aca="false">DATE(2026,1,1)</f>
        <v>46023</v>
      </c>
      <c r="E4" s="50" t="n">
        <f aca="false">DATE(2027,1,1)</f>
        <v>46388</v>
      </c>
      <c r="F4" s="50" t="n">
        <f aca="false">DATE(2028,1,1)</f>
        <v>46753</v>
      </c>
      <c r="G4" s="50" t="n">
        <f aca="false">DATE(2029,1,1)</f>
        <v>47119</v>
      </c>
      <c r="H4" s="50" t="n">
        <f aca="false">DATE(2030,1,1)</f>
        <v>47484</v>
      </c>
      <c r="I4" s="50" t="n">
        <f aca="false">DATE(2031,1,1)</f>
        <v>47849</v>
      </c>
      <c r="J4" s="50" t="n">
        <f aca="false">DATE(2032,1,1)</f>
        <v>48214</v>
      </c>
    </row>
    <row r="5" customFormat="false" ht="15" hidden="false" customHeight="false" outlineLevel="0" collapsed="false">
      <c r="A5" s="5"/>
      <c r="B5" s="36"/>
      <c r="C5" s="37" t="s">
        <v>145</v>
      </c>
      <c r="D5" s="37" t="s">
        <v>146</v>
      </c>
      <c r="E5" s="37" t="s">
        <v>147</v>
      </c>
      <c r="F5" s="37" t="s">
        <v>148</v>
      </c>
      <c r="G5" s="37" t="s">
        <v>149</v>
      </c>
      <c r="H5" s="37" t="s">
        <v>150</v>
      </c>
      <c r="I5" s="37" t="s">
        <v>151</v>
      </c>
      <c r="J5" s="37" t="s">
        <v>152</v>
      </c>
    </row>
    <row r="6" customFormat="false" ht="15" hidden="false" customHeight="false" outlineLevel="0" collapsed="false">
      <c r="A6" s="5"/>
      <c r="B6" s="10" t="s">
        <v>153</v>
      </c>
      <c r="C6" s="39" t="n">
        <v>0</v>
      </c>
      <c r="D6" s="39" t="n">
        <v>1</v>
      </c>
      <c r="E6" s="39" t="n">
        <v>2</v>
      </c>
      <c r="F6" s="39" t="n">
        <v>3</v>
      </c>
      <c r="G6" s="39" t="n">
        <v>4</v>
      </c>
      <c r="H6" s="39" t="n">
        <v>5</v>
      </c>
      <c r="I6" s="39" t="n">
        <v>6</v>
      </c>
      <c r="J6" s="39" t="n">
        <v>7</v>
      </c>
    </row>
    <row r="7" customFormat="false" ht="15" hidden="false" customHeight="false" outlineLevel="0" collapsed="false">
      <c r="A7" s="5"/>
      <c r="B7" s="40" t="s">
        <v>202</v>
      </c>
      <c r="C7" s="29"/>
      <c r="D7" s="29"/>
      <c r="E7" s="29"/>
      <c r="F7" s="29"/>
      <c r="G7" s="29"/>
      <c r="H7" s="29"/>
      <c r="I7" s="29"/>
      <c r="J7" s="29"/>
    </row>
    <row r="8" customFormat="false" ht="15" hidden="false" customHeight="false" outlineLevel="0" collapsed="false">
      <c r="A8" s="5"/>
      <c r="B8" s="41" t="s">
        <v>203</v>
      </c>
      <c r="C8" s="42" t="n">
        <f aca="false">-Purchase_Price</f>
        <v>-14800000</v>
      </c>
      <c r="D8" s="42" t="n">
        <f aca="false">0</f>
        <v>0</v>
      </c>
      <c r="E8" s="42" t="n">
        <f aca="false">0</f>
        <v>0</v>
      </c>
      <c r="F8" s="42" t="n">
        <f aca="false">0</f>
        <v>0</v>
      </c>
      <c r="G8" s="42" t="n">
        <f aca="false">0</f>
        <v>0</v>
      </c>
      <c r="H8" s="42" t="n">
        <f aca="false">0</f>
        <v>0</v>
      </c>
      <c r="I8" s="42" t="n">
        <f aca="false">0</f>
        <v>0</v>
      </c>
      <c r="J8" s="42" t="n">
        <f aca="false">0</f>
        <v>0</v>
      </c>
    </row>
    <row r="9" customFormat="false" ht="15" hidden="false" customHeight="false" outlineLevel="0" collapsed="false">
      <c r="A9" s="5"/>
      <c r="B9" s="41" t="s">
        <v>204</v>
      </c>
      <c r="C9" s="42" t="n">
        <f aca="false">-Purchase_Price*Acq_Costs_Pct</f>
        <v>-296000</v>
      </c>
      <c r="D9" s="42" t="n">
        <f aca="false">0</f>
        <v>0</v>
      </c>
      <c r="E9" s="42" t="n">
        <f aca="false">0</f>
        <v>0</v>
      </c>
      <c r="F9" s="42" t="n">
        <f aca="false">0</f>
        <v>0</v>
      </c>
      <c r="G9" s="42" t="n">
        <f aca="false">0</f>
        <v>0</v>
      </c>
      <c r="H9" s="42" t="n">
        <f aca="false">0</f>
        <v>0</v>
      </c>
      <c r="I9" s="42" t="n">
        <f aca="false">0</f>
        <v>0</v>
      </c>
      <c r="J9" s="42" t="n">
        <f aca="false">0</f>
        <v>0</v>
      </c>
    </row>
    <row r="10" customFormat="false" ht="15" hidden="false" customHeight="false" outlineLevel="0" collapsed="false">
      <c r="A10" s="5"/>
      <c r="B10" s="41" t="s">
        <v>107</v>
      </c>
      <c r="C10" s="42" t="n">
        <f aca="false">Capital_Reserves!C8</f>
        <v>-375000</v>
      </c>
      <c r="D10" s="42" t="n">
        <f aca="false">0</f>
        <v>0</v>
      </c>
      <c r="E10" s="42" t="n">
        <f aca="false">0</f>
        <v>0</v>
      </c>
      <c r="F10" s="42" t="n">
        <f aca="false">0</f>
        <v>0</v>
      </c>
      <c r="G10" s="42" t="n">
        <f aca="false">0</f>
        <v>0</v>
      </c>
      <c r="H10" s="42" t="n">
        <f aca="false">0</f>
        <v>0</v>
      </c>
      <c r="I10" s="42" t="n">
        <f aca="false">0</f>
        <v>0</v>
      </c>
      <c r="J10" s="42" t="n">
        <f aca="false">0</f>
        <v>0</v>
      </c>
    </row>
    <row r="11" customFormat="false" ht="15" hidden="false" customHeight="false" outlineLevel="0" collapsed="false">
      <c r="A11" s="5"/>
      <c r="B11" s="5"/>
      <c r="C11" s="5"/>
      <c r="D11" s="5"/>
      <c r="E11" s="5"/>
      <c r="F11" s="5"/>
      <c r="G11" s="5"/>
      <c r="H11" s="5"/>
      <c r="I11" s="5"/>
      <c r="J11" s="5"/>
    </row>
    <row r="12" customFormat="false" ht="15" hidden="false" customHeight="false" outlineLevel="0" collapsed="false">
      <c r="A12" s="5"/>
      <c r="B12" s="41" t="s">
        <v>182</v>
      </c>
      <c r="C12" s="42" t="n">
        <f aca="false">0</f>
        <v>0</v>
      </c>
      <c r="D12" s="42" t="n">
        <f aca="false">Operating_Expenses!D25</f>
        <v>1579692</v>
      </c>
      <c r="E12" s="42" t="n">
        <f aca="false">Operating_Expenses!E25</f>
        <v>1655213.28</v>
      </c>
      <c r="F12" s="42" t="n">
        <f aca="false">Operating_Expenses!F25</f>
        <v>1703525.9034</v>
      </c>
      <c r="G12" s="42" t="n">
        <f aca="false">Operating_Expenses!G25</f>
        <v>1973888.3495148</v>
      </c>
      <c r="H12" s="42" t="n">
        <f aca="false">Operating_Expenses!H25</f>
        <v>1804440.13685144</v>
      </c>
      <c r="I12" s="42" t="n">
        <f aca="false">Operating_Expenses!I25</f>
        <v>1857126.24225737</v>
      </c>
      <c r="J12" s="42" t="n">
        <f aca="false">Operating_Expenses!J25</f>
        <v>1911356.75335799</v>
      </c>
    </row>
    <row r="13" customFormat="false" ht="15" hidden="false" customHeight="false" outlineLevel="0" collapsed="false">
      <c r="A13" s="5"/>
      <c r="B13" s="41" t="s">
        <v>183</v>
      </c>
      <c r="C13" s="42" t="n">
        <f aca="false">0</f>
        <v>0</v>
      </c>
      <c r="D13" s="42" t="n">
        <f aca="false">Capital_Reserves!D14</f>
        <v>-150000</v>
      </c>
      <c r="E13" s="42" t="n">
        <f aca="false">Capital_Reserves!E14</f>
        <v>-150000</v>
      </c>
      <c r="F13" s="42" t="n">
        <f aca="false">Capital_Reserves!F14</f>
        <v>-150000</v>
      </c>
      <c r="G13" s="42" t="n">
        <f aca="false">Capital_Reserves!G14</f>
        <v>-198803.9196375</v>
      </c>
      <c r="H13" s="42" t="n">
        <f aca="false">Capital_Reserves!H14</f>
        <v>-150000</v>
      </c>
      <c r="I13" s="42" t="n">
        <f aca="false">Capital_Reserves!I14</f>
        <v>-150000</v>
      </c>
      <c r="J13" s="42" t="n">
        <f aca="false">Capital_Reserves!J14</f>
        <v>-150000</v>
      </c>
    </row>
    <row r="14" customFormat="false" ht="15" hidden="false" customHeight="false" outlineLevel="0" collapsed="false">
      <c r="A14" s="5"/>
      <c r="B14" s="5"/>
      <c r="C14" s="5"/>
      <c r="D14" s="5"/>
      <c r="E14" s="5"/>
      <c r="F14" s="5"/>
      <c r="G14" s="5"/>
      <c r="H14" s="5"/>
      <c r="I14" s="5"/>
      <c r="J14" s="5"/>
    </row>
    <row r="15" customFormat="false" ht="15" hidden="false" customHeight="false" outlineLevel="0" collapsed="false">
      <c r="A15" s="5"/>
      <c r="B15" s="47" t="s">
        <v>205</v>
      </c>
      <c r="C15" s="44" t="n">
        <f aca="false">C8+C9+C10</f>
        <v>-15471000</v>
      </c>
      <c r="D15" s="44" t="n">
        <f aca="false">D12+D13</f>
        <v>1429692</v>
      </c>
      <c r="E15" s="44" t="n">
        <f aca="false">E12+E13</f>
        <v>1505213.28</v>
      </c>
      <c r="F15" s="44" t="n">
        <f aca="false">F12+F13</f>
        <v>1553525.9034</v>
      </c>
      <c r="G15" s="44" t="n">
        <f aca="false">G12+G13</f>
        <v>1775084.4298773</v>
      </c>
      <c r="H15" s="44" t="n">
        <f aca="false">H12+H13</f>
        <v>1654440.13685144</v>
      </c>
      <c r="I15" s="44" t="n">
        <f aca="false">I12+I13</f>
        <v>1707126.24225737</v>
      </c>
      <c r="J15" s="44" t="n">
        <f aca="false">J12+J13</f>
        <v>1761356.75335799</v>
      </c>
    </row>
    <row r="16" customFormat="false" ht="15" hidden="false" customHeight="false" outlineLevel="0" collapsed="false">
      <c r="A16" s="5"/>
      <c r="B16" s="5"/>
      <c r="C16" s="5"/>
      <c r="D16" s="5"/>
      <c r="E16" s="5"/>
      <c r="F16" s="5"/>
      <c r="G16" s="5"/>
      <c r="H16" s="5"/>
      <c r="I16" s="5"/>
      <c r="J16" s="5"/>
    </row>
    <row r="17" customFormat="false" ht="15" hidden="false" customHeight="false" outlineLevel="0" collapsed="false">
      <c r="A17" s="5"/>
      <c r="B17" s="41" t="s">
        <v>206</v>
      </c>
      <c r="C17" s="42" t="n">
        <f aca="false">0</f>
        <v>0</v>
      </c>
      <c r="D17" s="42" t="n">
        <f aca="false">0</f>
        <v>0</v>
      </c>
      <c r="E17" s="42" t="n">
        <f aca="false">0</f>
        <v>0</v>
      </c>
      <c r="F17" s="42" t="n">
        <f aca="false">0</f>
        <v>0</v>
      </c>
      <c r="G17" s="42" t="n">
        <f aca="false">0</f>
        <v>0</v>
      </c>
      <c r="H17" s="42" t="n">
        <f aca="false">0</f>
        <v>0</v>
      </c>
      <c r="I17" s="42" t="n">
        <f aca="false">0</f>
        <v>0</v>
      </c>
      <c r="J17" s="42" t="n">
        <f aca="false">Operating_Expenses!J25*(1+Rent_Escalator)/Exit_Cap_Rate</f>
        <v>30287653.1685958</v>
      </c>
    </row>
    <row r="18" customFormat="false" ht="15" hidden="false" customHeight="false" outlineLevel="0" collapsed="false">
      <c r="A18" s="5"/>
      <c r="B18" s="41" t="s">
        <v>207</v>
      </c>
      <c r="C18" s="42" t="n">
        <f aca="false">0</f>
        <v>0</v>
      </c>
      <c r="D18" s="42" t="n">
        <f aca="false">0</f>
        <v>0</v>
      </c>
      <c r="E18" s="42" t="n">
        <f aca="false">0</f>
        <v>0</v>
      </c>
      <c r="F18" s="42" t="n">
        <f aca="false">0</f>
        <v>0</v>
      </c>
      <c r="G18" s="42" t="n">
        <f aca="false">0</f>
        <v>0</v>
      </c>
      <c r="H18" s="42" t="n">
        <f aca="false">0</f>
        <v>0</v>
      </c>
      <c r="I18" s="42" t="n">
        <f aca="false">0</f>
        <v>0</v>
      </c>
      <c r="J18" s="42" t="n">
        <f aca="false">-J17*Exit_Costs_Pct</f>
        <v>-454314.797528938</v>
      </c>
    </row>
    <row r="19" customFormat="false" ht="15" hidden="false" customHeight="false" outlineLevel="0" collapsed="false">
      <c r="A19" s="5"/>
      <c r="B19" s="41" t="s">
        <v>208</v>
      </c>
      <c r="C19" s="42" t="n">
        <f aca="false">0</f>
        <v>0</v>
      </c>
      <c r="D19" s="42" t="n">
        <f aca="false">0</f>
        <v>0</v>
      </c>
      <c r="E19" s="42" t="n">
        <f aca="false">0</f>
        <v>0</v>
      </c>
      <c r="F19" s="42" t="n">
        <f aca="false">0</f>
        <v>0</v>
      </c>
      <c r="G19" s="42" t="n">
        <f aca="false">0</f>
        <v>0</v>
      </c>
      <c r="H19" s="42" t="n">
        <f aca="false">0</f>
        <v>0</v>
      </c>
      <c r="I19" s="42" t="n">
        <f aca="false">0</f>
        <v>0</v>
      </c>
      <c r="J19" s="42" t="n">
        <f aca="false">J17+J18</f>
        <v>29833338.3710669</v>
      </c>
    </row>
    <row r="20" customFormat="false" ht="15" hidden="false" customHeight="false" outlineLevel="0" collapsed="false">
      <c r="A20" s="5"/>
      <c r="B20" s="5"/>
      <c r="C20" s="5"/>
      <c r="D20" s="5"/>
      <c r="E20" s="5"/>
      <c r="F20" s="5"/>
      <c r="G20" s="5"/>
      <c r="H20" s="5"/>
      <c r="I20" s="5"/>
      <c r="J20" s="5"/>
    </row>
    <row r="21" customFormat="false" ht="15" hidden="false" customHeight="false" outlineLevel="0" collapsed="false">
      <c r="A21" s="5"/>
      <c r="B21" s="51" t="s">
        <v>209</v>
      </c>
      <c r="C21" s="46" t="n">
        <f aca="false">C15+C17+C18</f>
        <v>-15471000</v>
      </c>
      <c r="D21" s="46" t="n">
        <f aca="false">D15+D17+D18</f>
        <v>1429692</v>
      </c>
      <c r="E21" s="46" t="n">
        <f aca="false">E15+E17+E18</f>
        <v>1505213.28</v>
      </c>
      <c r="F21" s="46" t="n">
        <f aca="false">F15+F17+F18</f>
        <v>1553525.9034</v>
      </c>
      <c r="G21" s="46" t="n">
        <f aca="false">G15+G17+G18</f>
        <v>1775084.4298773</v>
      </c>
      <c r="H21" s="46" t="n">
        <f aca="false">H15+H17+H18</f>
        <v>1654440.13685144</v>
      </c>
      <c r="I21" s="46" t="n">
        <f aca="false">I15+I17+I18</f>
        <v>1707126.24225737</v>
      </c>
      <c r="J21" s="46" t="n">
        <f aca="false">J15+J17+J18</f>
        <v>31594695.1244249</v>
      </c>
    </row>
    <row r="22" customFormat="false" ht="15" hidden="false" customHeight="false" outlineLevel="0" collapsed="false">
      <c r="A22" s="5"/>
      <c r="B22" s="40" t="s">
        <v>210</v>
      </c>
      <c r="C22" s="29"/>
      <c r="D22" s="29"/>
      <c r="E22" s="29"/>
      <c r="F22" s="29"/>
      <c r="G22" s="29"/>
      <c r="H22" s="29"/>
      <c r="I22" s="29"/>
      <c r="J22" s="29"/>
    </row>
    <row r="23" customFormat="false" ht="15" hidden="false" customHeight="false" outlineLevel="0" collapsed="false">
      <c r="A23" s="5"/>
      <c r="B23" s="5"/>
      <c r="C23" s="5"/>
      <c r="D23" s="5"/>
      <c r="E23" s="5"/>
      <c r="F23" s="5"/>
      <c r="G23" s="5"/>
      <c r="H23" s="5"/>
      <c r="I23" s="5"/>
      <c r="J23" s="5"/>
    </row>
    <row r="24" customFormat="false" ht="15" hidden="false" customHeight="false" outlineLevel="0" collapsed="false">
      <c r="A24" s="5"/>
      <c r="B24" s="41" t="s">
        <v>193</v>
      </c>
      <c r="C24" s="42" t="n">
        <f aca="false">0</f>
        <v>0</v>
      </c>
      <c r="D24" s="42" t="n">
        <f aca="false">-Debt_Schedule!D9</f>
        <v>-625300</v>
      </c>
      <c r="E24" s="42" t="n">
        <f aca="false">-Debt_Schedule!E9</f>
        <v>-625300</v>
      </c>
      <c r="F24" s="42" t="n">
        <f aca="false">-Debt_Schedule!F9</f>
        <v>-625300</v>
      </c>
      <c r="G24" s="42" t="n">
        <f aca="false">-Debt_Schedule!G9</f>
        <v>-615279.655441119</v>
      </c>
      <c r="H24" s="42" t="n">
        <f aca="false">-Debt_Schedule!H9</f>
        <v>-604607.98848591</v>
      </c>
      <c r="I24" s="42" t="n">
        <f aca="false">-Debt_Schedule!I9</f>
        <v>-593242.663178613</v>
      </c>
      <c r="J24" s="42" t="n">
        <f aca="false">-Debt_Schedule!J9</f>
        <v>-581138.591726341</v>
      </c>
    </row>
    <row r="25" customFormat="false" ht="15" hidden="false" customHeight="false" outlineLevel="0" collapsed="false">
      <c r="A25" s="5"/>
      <c r="B25" s="41" t="s">
        <v>194</v>
      </c>
      <c r="C25" s="42" t="n">
        <f aca="false">0</f>
        <v>0</v>
      </c>
      <c r="D25" s="42" t="n">
        <f aca="false">-Debt_Schedule!D10</f>
        <v>-0</v>
      </c>
      <c r="E25" s="42" t="n">
        <f aca="false">-Debt_Schedule!E10</f>
        <v>-0</v>
      </c>
      <c r="F25" s="42" t="n">
        <f aca="false">-Debt_Schedule!F10</f>
        <v>-154159.147059715</v>
      </c>
      <c r="G25" s="42" t="n">
        <f aca="false">-Debt_Schedule!G10</f>
        <v>-164179.491618596</v>
      </c>
      <c r="H25" s="42" t="n">
        <f aca="false">-Debt_Schedule!H10</f>
        <v>-174851.158573805</v>
      </c>
      <c r="I25" s="42" t="n">
        <f aca="false">-Debt_Schedule!I10</f>
        <v>-186216.483881103</v>
      </c>
      <c r="J25" s="42" t="n">
        <f aca="false">-Debt_Schedule!J10</f>
        <v>-198320.555333374</v>
      </c>
    </row>
    <row r="26" customFormat="false" ht="15" hidden="false" customHeight="false" outlineLevel="0" collapsed="false">
      <c r="A26" s="5"/>
      <c r="B26" s="41" t="s">
        <v>211</v>
      </c>
      <c r="C26" s="42" t="n">
        <f aca="false">0</f>
        <v>0</v>
      </c>
      <c r="D26" s="42" t="n">
        <f aca="false">0</f>
        <v>0</v>
      </c>
      <c r="E26" s="42" t="n">
        <f aca="false">0</f>
        <v>0</v>
      </c>
      <c r="F26" s="42" t="n">
        <f aca="false">0</f>
        <v>0</v>
      </c>
      <c r="G26" s="42" t="n">
        <f aca="false">0</f>
        <v>0</v>
      </c>
      <c r="H26" s="42" t="n">
        <f aca="false">0</f>
        <v>0</v>
      </c>
      <c r="I26" s="42" t="n">
        <f aca="false">0</f>
        <v>0</v>
      </c>
      <c r="J26" s="42" t="n">
        <f aca="false">-Debt_Schedule!J11</f>
        <v>-8742273.16353341</v>
      </c>
    </row>
    <row r="27" customFormat="false" ht="15" hidden="false" customHeight="false" outlineLevel="0" collapsed="false">
      <c r="A27" s="5"/>
      <c r="B27" s="41" t="s">
        <v>212</v>
      </c>
      <c r="C27" s="42" t="n">
        <f aca="false">Loan_Amount</f>
        <v>9620000</v>
      </c>
      <c r="D27" s="42" t="n">
        <f aca="false">0</f>
        <v>0</v>
      </c>
      <c r="E27" s="42" t="n">
        <f aca="false">0</f>
        <v>0</v>
      </c>
      <c r="F27" s="42" t="n">
        <f aca="false">0</f>
        <v>0</v>
      </c>
      <c r="G27" s="42" t="n">
        <f aca="false">0</f>
        <v>0</v>
      </c>
      <c r="H27" s="42" t="n">
        <f aca="false">0</f>
        <v>0</v>
      </c>
      <c r="I27" s="42" t="n">
        <f aca="false">0</f>
        <v>0</v>
      </c>
      <c r="J27" s="42" t="n">
        <f aca="false">0</f>
        <v>0</v>
      </c>
    </row>
    <row r="28" customFormat="false" ht="15" hidden="false" customHeight="false" outlineLevel="0" collapsed="false">
      <c r="A28" s="5"/>
      <c r="B28" s="51" t="s">
        <v>213</v>
      </c>
      <c r="C28" s="46" t="n">
        <f aca="false">C21+C24+C25+C26+C27</f>
        <v>-5851000</v>
      </c>
      <c r="D28" s="46" t="n">
        <f aca="false">D21+D24+D25+D26+D27</f>
        <v>804392</v>
      </c>
      <c r="E28" s="46" t="n">
        <f aca="false">E21+E24+E25+E26+E27</f>
        <v>879913.28</v>
      </c>
      <c r="F28" s="46" t="n">
        <f aca="false">F21+F24+F25+F26+F27</f>
        <v>774066.756340285</v>
      </c>
      <c r="G28" s="46" t="n">
        <f aca="false">G21+G24+G25+G26+G27</f>
        <v>995625.282817585</v>
      </c>
      <c r="H28" s="46" t="n">
        <f aca="false">H21+H24+H25+H26+H27</f>
        <v>874980.98979172</v>
      </c>
      <c r="I28" s="46" t="n">
        <f aca="false">I21+I24+I25+I26+I27</f>
        <v>927667.095197653</v>
      </c>
      <c r="J28" s="46" t="n">
        <f aca="false">J21+J24+J25+J26+J27</f>
        <v>22072962.8138318</v>
      </c>
    </row>
    <row r="29" customFormat="false" ht="15" hidden="false" customHeight="false" outlineLevel="0" collapsed="false">
      <c r="A29" s="5"/>
      <c r="B29" s="40" t="s">
        <v>214</v>
      </c>
      <c r="C29" s="29"/>
      <c r="D29" s="29"/>
      <c r="E29" s="29"/>
      <c r="F29" s="29"/>
      <c r="G29" s="29"/>
      <c r="H29" s="29"/>
      <c r="I29" s="29"/>
      <c r="J29" s="29"/>
    </row>
    <row r="30" customFormat="false" ht="15" hidden="false" customHeight="false" outlineLevel="0" collapsed="false">
      <c r="A30" s="5"/>
      <c r="B30" s="5"/>
      <c r="C30" s="5"/>
      <c r="D30" s="5"/>
      <c r="E30" s="5"/>
      <c r="F30" s="5"/>
      <c r="G30" s="5"/>
      <c r="H30" s="5"/>
      <c r="I30" s="5"/>
      <c r="J30" s="5"/>
    </row>
    <row r="31" customFormat="false" ht="15" hidden="false" customHeight="false" outlineLevel="0" collapsed="false">
      <c r="A31" s="5"/>
      <c r="B31" s="6" t="s">
        <v>215</v>
      </c>
      <c r="C31" s="52" t="n">
        <f aca="false">IFERROR(XIRR(C21:J21,C4:J4),0)</f>
        <v>0.179335921193743</v>
      </c>
      <c r="D31" s="5"/>
      <c r="E31" s="5"/>
      <c r="F31" s="5"/>
      <c r="G31" s="5"/>
      <c r="H31" s="5"/>
      <c r="I31" s="5"/>
      <c r="J31" s="5"/>
    </row>
    <row r="32" customFormat="false" ht="15" hidden="false" customHeight="false" outlineLevel="0" collapsed="false">
      <c r="A32" s="5"/>
      <c r="B32" s="6" t="s">
        <v>216</v>
      </c>
      <c r="C32" s="52" t="n">
        <f aca="false">IFERROR(XIRR(C28:J28,C4:J4),0)</f>
        <v>0.297167959950487</v>
      </c>
      <c r="D32" s="5"/>
      <c r="E32" s="5"/>
      <c r="F32" s="5"/>
      <c r="G32" s="5"/>
      <c r="H32" s="5"/>
      <c r="I32" s="5"/>
      <c r="J32" s="5"/>
    </row>
    <row r="33" customFormat="false" ht="15" hidden="false" customHeight="false" outlineLevel="0" collapsed="false">
      <c r="A33" s="5"/>
      <c r="B33" s="6" t="s">
        <v>217</v>
      </c>
      <c r="C33" s="53" t="n">
        <f aca="false">IFERROR((MAX(C28,0)+MAX(D28,0)+MAX(E28,0)+MAX(F28,0)+MAX(G28,0)+MAX(H28,0)+MAX(I28,0)+MAX(J28,0))/ABS(MIN(C28,0)),0)</f>
        <v>4.67092945103043</v>
      </c>
      <c r="D33" s="5"/>
      <c r="E33" s="5"/>
      <c r="F33" s="5"/>
      <c r="G33" s="5"/>
      <c r="H33" s="5"/>
      <c r="I33" s="5"/>
      <c r="J33" s="5"/>
    </row>
    <row r="34" customFormat="false" ht="15" hidden="false" customHeight="false" outlineLevel="0" collapsed="false">
      <c r="A34" s="5"/>
      <c r="B34" s="9" t="s">
        <v>218</v>
      </c>
      <c r="C34" s="54" t="n">
        <f aca="false">IFERROR(D28/ABS(C28),0)</f>
        <v>0.137479405229875</v>
      </c>
      <c r="D34" s="5"/>
      <c r="E34" s="5"/>
      <c r="F34" s="5"/>
      <c r="G34" s="5"/>
      <c r="H34" s="5"/>
      <c r="I34" s="5"/>
      <c r="J34" s="5"/>
    </row>
    <row r="35" customFormat="false" ht="15" hidden="false" customHeight="false" outlineLevel="0" collapsed="false">
      <c r="A35" s="5"/>
      <c r="B35" s="9" t="s">
        <v>219</v>
      </c>
      <c r="C35" s="42" t="n">
        <f aca="false">ABS(C28)</f>
        <v>5851000</v>
      </c>
      <c r="D35" s="5"/>
      <c r="E35" s="5"/>
      <c r="F35" s="5"/>
      <c r="G35" s="5"/>
      <c r="H35" s="5"/>
      <c r="I35" s="5"/>
      <c r="J35"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F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40"/>
    <col collapsed="false" customWidth="true" hidden="false" outlineLevel="0" max="4" min="4" style="0" width="14"/>
    <col collapsed="false" customWidth="true" hidden="false" outlineLevel="0" max="5" min="5" style="0" width="12"/>
    <col collapsed="false" customWidth="true" hidden="false" outlineLevel="0" max="6" min="6" style="0" width="14"/>
  </cols>
  <sheetData>
    <row r="1" customFormat="false" ht="15" hidden="false" customHeight="false" outlineLevel="0" collapsed="false">
      <c r="A1" s="5"/>
      <c r="B1" s="5"/>
      <c r="C1" s="5"/>
      <c r="D1" s="5"/>
      <c r="E1" s="5"/>
      <c r="F1" s="5"/>
    </row>
    <row r="2" customFormat="false" ht="22.05" hidden="false" customHeight="false" outlineLevel="0" collapsed="false">
      <c r="A2" s="5"/>
      <c r="B2" s="24" t="s">
        <v>220</v>
      </c>
      <c r="C2" s="5"/>
      <c r="D2" s="5"/>
      <c r="E2" s="5"/>
      <c r="F2" s="5"/>
    </row>
    <row r="3" customFormat="false" ht="15" hidden="false" customHeight="false" outlineLevel="0" collapsed="false">
      <c r="A3" s="5"/>
      <c r="B3" s="25" t="s">
        <v>221</v>
      </c>
      <c r="C3" s="5"/>
      <c r="D3" s="5"/>
      <c r="E3" s="5"/>
      <c r="F3" s="5"/>
    </row>
    <row r="4" customFormat="false" ht="15" hidden="false" customHeight="false" outlineLevel="0" collapsed="false">
      <c r="A4" s="5"/>
      <c r="B4" s="5"/>
      <c r="C4" s="5"/>
      <c r="D4" s="5"/>
      <c r="E4" s="5"/>
      <c r="F4" s="5"/>
    </row>
    <row r="5" customFormat="false" ht="15" hidden="false" customHeight="false" outlineLevel="0" collapsed="false">
      <c r="A5" s="5"/>
      <c r="B5" s="26" t="s">
        <v>222</v>
      </c>
      <c r="C5" s="27" t="s">
        <v>223</v>
      </c>
      <c r="D5" s="27" t="s">
        <v>224</v>
      </c>
      <c r="E5" s="27" t="s">
        <v>225</v>
      </c>
      <c r="F5" s="27" t="s">
        <v>226</v>
      </c>
    </row>
    <row r="6" customFormat="false" ht="15" hidden="false" customHeight="false" outlineLevel="0" collapsed="false">
      <c r="A6" s="5"/>
      <c r="B6" s="5"/>
      <c r="C6" s="5"/>
      <c r="D6" s="5"/>
      <c r="E6" s="5"/>
      <c r="F6" s="5"/>
    </row>
    <row r="7" customFormat="false" ht="15" hidden="false" customHeight="false" outlineLevel="0" collapsed="false">
      <c r="A7" s="5"/>
      <c r="B7" s="40" t="s">
        <v>227</v>
      </c>
      <c r="C7" s="29"/>
      <c r="D7" s="29"/>
      <c r="E7" s="29"/>
      <c r="F7" s="29"/>
    </row>
    <row r="8" customFormat="false" ht="15" hidden="false" customHeight="false" outlineLevel="0" collapsed="false">
      <c r="A8" s="5"/>
      <c r="B8" s="30" t="s">
        <v>228</v>
      </c>
      <c r="C8" s="55" t="b">
        <f aca="false">AND(DS_Closing_Y3&lt;DS_Opening_Y3,DS_Closing_Y4&lt;DS_Opening_Y4,DS_Closing_Y7&lt;DS_Opening_Y7)</f>
        <v>1</v>
      </c>
      <c r="D8" s="56" t="b">
        <f aca="false">AND(DS_Closing_Y3&lt;DS_Opening_Y3,DS_Closing_Y4&lt;DS_Opening_Y4,DS_Closing_Y7&lt;DS_Opening_Y7)</f>
        <v>1</v>
      </c>
      <c r="E8" s="32" t="s">
        <v>229</v>
      </c>
      <c r="F8" s="57" t="str">
        <f aca="false">IF(D8=TRUE(),"PASS","FAIL")</f>
        <v>PASS</v>
      </c>
    </row>
    <row r="9" customFormat="false" ht="15" hidden="false" customHeight="false" outlineLevel="0" collapsed="false">
      <c r="A9" s="5"/>
      <c r="B9" s="30" t="s">
        <v>230</v>
      </c>
      <c r="C9" s="55" t="b">
        <f aca="false">AND(DS_Principal_Y1=0,DS_Principal_Y2=0)</f>
        <v>1</v>
      </c>
      <c r="D9" s="56" t="b">
        <f aca="false">AND(DS_Principal_Y1=0,DS_Principal_Y2=0)</f>
        <v>1</v>
      </c>
      <c r="E9" s="32" t="s">
        <v>229</v>
      </c>
      <c r="F9" s="57" t="str">
        <f aca="false">IF(D9=TRUE(),"PASS","FAIL")</f>
        <v>PASS</v>
      </c>
    </row>
    <row r="10" customFormat="false" ht="15" hidden="false" customHeight="false" outlineLevel="0" collapsed="false">
      <c r="A10" s="5"/>
      <c r="B10" s="30" t="s">
        <v>231</v>
      </c>
      <c r="C10" s="55" t="b">
        <f aca="false">MIN(Debt_Schedule!D15:J15)&gt;=Hurdle_DSCR</f>
        <v>1</v>
      </c>
      <c r="D10" s="56" t="b">
        <f aca="false">MIN(Debt_Schedule!D15:J15)&gt;=Hurdle_DSCR</f>
        <v>1</v>
      </c>
      <c r="E10" s="32" t="s">
        <v>229</v>
      </c>
      <c r="F10" s="57" t="str">
        <f aca="false">IF(D10=TRUE(),"PASS","FAIL")</f>
        <v>PASS</v>
      </c>
    </row>
    <row r="11" customFormat="false" ht="15" hidden="false" customHeight="false" outlineLevel="0" collapsed="false">
      <c r="A11" s="5"/>
      <c r="B11" s="30" t="s">
        <v>232</v>
      </c>
      <c r="C11" s="55" t="b">
        <f aca="false">MIN(Operating_Expenses!D25:J25)&gt;0</f>
        <v>1</v>
      </c>
      <c r="D11" s="56" t="b">
        <f aca="false">MIN(Operating_Expenses!D25:J25)&gt;0</f>
        <v>1</v>
      </c>
      <c r="E11" s="32" t="s">
        <v>229</v>
      </c>
      <c r="F11" s="57" t="str">
        <f aca="false">IF(D11=TRUE(),"PASS","FAIL")</f>
        <v>PASS</v>
      </c>
    </row>
    <row r="12" customFormat="false" ht="15" hidden="false" customHeight="false" outlineLevel="0" collapsed="false">
      <c r="A12" s="5"/>
      <c r="B12" s="30" t="s">
        <v>233</v>
      </c>
      <c r="C12" s="55" t="b">
        <f aca="false">ISNUMBER(CF_Unlev_IRR)</f>
        <v>1</v>
      </c>
      <c r="D12" s="56" t="b">
        <f aca="false">ISNUMBER(CF_Unlev_IRR)</f>
        <v>1</v>
      </c>
      <c r="E12" s="32" t="s">
        <v>229</v>
      </c>
      <c r="F12" s="57" t="str">
        <f aca="false">IF(D12=TRUE(),"PASS","FAIL")</f>
        <v>PASS</v>
      </c>
    </row>
    <row r="13" customFormat="false" ht="15" hidden="false" customHeight="false" outlineLevel="0" collapsed="false">
      <c r="A13" s="5"/>
      <c r="B13" s="30" t="s">
        <v>234</v>
      </c>
      <c r="C13" s="55" t="b">
        <f aca="false">ISNUMBER(CF_Lev_IRR)</f>
        <v>1</v>
      </c>
      <c r="D13" s="56" t="b">
        <f aca="false">ISNUMBER(CF_Lev_IRR)</f>
        <v>1</v>
      </c>
      <c r="E13" s="32" t="s">
        <v>229</v>
      </c>
      <c r="F13" s="57" t="str">
        <f aca="false">IF(D13=TRUE(),"PASS","FAIL")</f>
        <v>PASS</v>
      </c>
    </row>
    <row r="14" customFormat="false" ht="15" hidden="false" customHeight="false" outlineLevel="0" collapsed="false">
      <c r="A14" s="5"/>
      <c r="B14" s="30" t="s">
        <v>235</v>
      </c>
      <c r="C14" s="55" t="b">
        <f aca="false">CF_Lev_IRR&gt;CF_Unlev_IRR</f>
        <v>1</v>
      </c>
      <c r="D14" s="56" t="b">
        <f aca="false">CF_Lev_IRR&gt;CF_Unlev_IRR</f>
        <v>1</v>
      </c>
      <c r="E14" s="32" t="s">
        <v>229</v>
      </c>
      <c r="F14" s="57" t="str">
        <f aca="false">IF(D14=TRUE(),"PASS","FAIL")</f>
        <v>PASS</v>
      </c>
    </row>
    <row r="15" customFormat="false" ht="15" hidden="false" customHeight="false" outlineLevel="0" collapsed="false">
      <c r="A15" s="5"/>
      <c r="B15" s="30" t="s">
        <v>236</v>
      </c>
      <c r="C15" s="55" t="b">
        <f aca="false">CF_EM&gt;1</f>
        <v>1</v>
      </c>
      <c r="D15" s="56" t="b">
        <f aca="false">CF_EM&gt;1</f>
        <v>1</v>
      </c>
      <c r="E15" s="32" t="s">
        <v>229</v>
      </c>
      <c r="F15" s="57" t="str">
        <f aca="false">IF(D15=TRUE(),"PASS","FAIL")</f>
        <v>PASS</v>
      </c>
    </row>
    <row r="16" customFormat="false" ht="15" hidden="false" customHeight="false" outlineLevel="0" collapsed="false">
      <c r="A16" s="5"/>
      <c r="B16" s="30" t="s">
        <v>237</v>
      </c>
      <c r="C16" s="55" t="b">
        <f aca="false">CF_Net_Proceeds_J&gt;DS_Closing_Y7</f>
        <v>1</v>
      </c>
      <c r="D16" s="56" t="b">
        <f aca="false">CF_Net_Proceeds_J&gt;DS_Closing_Y7</f>
        <v>1</v>
      </c>
      <c r="E16" s="32" t="s">
        <v>229</v>
      </c>
      <c r="F16" s="57" t="str">
        <f aca="false">IF(D16=TRUE(),"PASS","FAIL")</f>
        <v>PASS</v>
      </c>
    </row>
    <row r="17" customFormat="false" ht="15" hidden="false" customHeight="false" outlineLevel="0" collapsed="false">
      <c r="A17" s="5"/>
      <c r="B17" s="40" t="s">
        <v>238</v>
      </c>
      <c r="C17" s="29"/>
      <c r="D17" s="29"/>
      <c r="E17" s="29"/>
      <c r="F17" s="29"/>
    </row>
    <row r="18" customFormat="false" ht="15" hidden="false" customHeight="false" outlineLevel="0" collapsed="false">
      <c r="A18" s="5"/>
      <c r="B18" s="30" t="s">
        <v>239</v>
      </c>
      <c r="C18" s="55" t="b">
        <f aca="false">CF_Unlev_IRR&gt;=Hurdle_Unlevered</f>
        <v>1</v>
      </c>
      <c r="D18" s="56" t="b">
        <f aca="false">CF_Unlev_IRR&gt;=Hurdle_Unlevered</f>
        <v>1</v>
      </c>
      <c r="E18" s="32" t="s">
        <v>240</v>
      </c>
      <c r="F18" s="57" t="str">
        <f aca="false">IF(D18=TRUE(),"PASS","WARN")</f>
        <v>PASS</v>
      </c>
    </row>
    <row r="19" customFormat="false" ht="15" hidden="false" customHeight="false" outlineLevel="0" collapsed="false">
      <c r="A19" s="5"/>
      <c r="B19" s="30" t="s">
        <v>241</v>
      </c>
      <c r="C19" s="55" t="b">
        <f aca="false">CF_Lev_IRR&gt;=Hurdle_Levered</f>
        <v>1</v>
      </c>
      <c r="D19" s="56" t="b">
        <f aca="false">CF_Lev_IRR&gt;=Hurdle_Levered</f>
        <v>1</v>
      </c>
      <c r="E19" s="32" t="s">
        <v>240</v>
      </c>
      <c r="F19" s="57" t="str">
        <f aca="false">IF(D19=TRUE(),"PASS","WARN")</f>
        <v>PASS</v>
      </c>
    </row>
    <row r="20" customFormat="false" ht="15" hidden="false" customHeight="false" outlineLevel="0" collapsed="false">
      <c r="A20" s="5"/>
      <c r="B20" s="30" t="s">
        <v>242</v>
      </c>
      <c r="C20" s="55" t="b">
        <f aca="false">CF_EM&gt;=Hurdle_EM</f>
        <v>1</v>
      </c>
      <c r="D20" s="56" t="b">
        <f aca="false">CF_EM&gt;=Hurdle_EM</f>
        <v>1</v>
      </c>
      <c r="E20" s="32" t="s">
        <v>240</v>
      </c>
      <c r="F20" s="57" t="str">
        <f aca="false">IF(D20=TRUE(),"PASS","WARN")</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2026-05-15T18:53:21Z</dcterms:created>
  <dc:creator>openpyxl</dc:creator>
  <dc:description/>
  <dc:language>en-GB</dc:language>
  <cp:lastModifiedBy/>
  <dcterms:modified xsi:type="dcterms:W3CDTF">2026-05-15T18:53:21Z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