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1.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worksheets/sheet7.xml" ContentType="application/vnd.openxmlformats-officedocument.spreadsheetml.worksheet+xml"/>
  <Override PartName="/xl/worksheets/sheet10.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6.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600" firstSheet="0" activeTab="0"/>
  </bookViews>
  <sheets>
    <sheet name="Cover" sheetId="1" state="visible" r:id="rId3"/>
    <sheet name="Assumptions" sheetId="2" state="visible" r:id="rId4"/>
    <sheet name="Asset_Allocation" sheetId="3" state="visible" r:id="rId5"/>
    <sheet name="Disclaimer" sheetId="4" state="visible" r:id="rId6"/>
    <sheet name="Fee_Schedule" sheetId="5" state="visible" r:id="rId7"/>
    <sheet name="Contributions_Payouts" sheetId="6" state="visible" r:id="rId8"/>
    <sheet name="Liability_Rollforward" sheetId="7" state="visible" r:id="rId9"/>
    <sheet name="AUM_Rollforward" sheetId="8" state="visible" r:id="rId10"/>
    <sheet name="Funded_Status" sheetId="9" state="visible" r:id="rId11"/>
    <sheet name="Cash_Flow" sheetId="10" state="visible" r:id="rId12"/>
    <sheet name="Checks" sheetId="11" state="visible" r:id="rId13"/>
  </sheets>
  <definedNames>
    <definedName function="false" hidden="false" name="Active_Members_Y0" vbProcedure="false">Assumptions!$C$43</definedName>
    <definedName function="false" hidden="false" name="Active_Member_Growth" vbProcedure="false">Assumptions!$F$17</definedName>
    <definedName function="false" hidden="false" name="Actuarial_Adj_Rate" vbProcedure="false">Assumptions!$F$15</definedName>
    <definedName function="false" hidden="false" name="Annual_Gifts_Y0" vbProcedure="false">Assumptions!$C$54</definedName>
    <definedName function="false" hidden="false" name="AUM_PE_Beginning" vbProcedure="false">AUM_Rollforward!$C$20</definedName>
    <definedName function="false" hidden="false" name="AUM_Recon" vbProcedure="false">AUM_Rollforward!$C$55</definedName>
    <definedName function="false" hidden="false" name="AUM_Total_Beginning" vbProcedure="false">AUM_Rollforward!$C$48</definedName>
    <definedName function="false" hidden="false" name="AUM_Total_Ending" vbProcedure="false">AUM_Rollforward!$C$53</definedName>
    <definedName function="false" hidden="false" name="AUM_Total_Fees" vbProcedure="false">AUM_Rollforward!$C$51</definedName>
    <definedName function="false" hidden="false" name="AUM_Total_Gross_Return" vbProcedure="false">AUM_Rollforward!$C$49</definedName>
    <definedName function="false" hidden="false" name="AUM_Total_Net_Flow" vbProcedure="false">AUM_Rollforward!$C$50</definedName>
    <definedName function="false" hidden="false" name="AUM_Total_Opex" vbProcedure="false">AUM_Rollforward!$C$52</definedName>
    <definedName function="false" hidden="false" name="AUM_Y0" vbProcedure="false">Assumptions!$C$37</definedName>
    <definedName function="false" hidden="false" name="AUM_YM1" vbProcedure="false">Assumptions!$C$57</definedName>
    <definedName function="false" hidden="false" name="AUM_YM2" vbProcedure="false">Assumptions!$C$58</definedName>
    <definedName function="false" hidden="false" name="Avg_Salary" vbProcedure="false">Assumptions!$C$44</definedName>
    <definedName function="false" hidden="false" name="Benefit_Accrual_Rate" vbProcedure="false">Assumptions!$C$50</definedName>
    <definedName function="false" hidden="false" name="Benefit_Per_Retiree" vbProcedure="false">Assumptions!$C$49</definedName>
    <definedName function="false" hidden="false" name="Blended_Income_Yield" vbProcedure="false">Assumptions!$C$40</definedName>
    <definedName function="false" hidden="false" name="Cash_Return" vbProcedure="false">Assumptions!$F$13</definedName>
    <definedName function="false" hidden="false" name="CHK_AUM_Recon" vbProcedure="false">Checks!$C$6</definedName>
    <definedName function="false" hidden="false" name="CHK_Max_TER" vbProcedure="false">Checks!$C$27</definedName>
    <definedName function="false" hidden="false" name="CHK_Min_Cash" vbProcedure="false">Checks!$C$18</definedName>
    <definedName function="false" hidden="false" name="CHK_Min_Funded_Ratio" vbProcedure="false">Checks!$C$15</definedName>
    <definedName function="false" hidden="false" name="CHK_Min_Liquidity" vbProcedure="false">Checks!$C$24</definedName>
    <definedName function="false" hidden="false" name="CHK_PBO_Growth" vbProcedure="false">Checks!$C$21</definedName>
    <definedName function="false" hidden="false" name="CP_Active_Members" vbProcedure="false">Contributions_Payouts!$C$6</definedName>
    <definedName function="false" hidden="false" name="CP_Annual_Gifts" vbProcedure="false">Contributions_Payouts!$C$13</definedName>
    <definedName function="false" hidden="false" name="CP_Avg_Salary" vbProcedure="false">Contributions_Payouts!$C$8</definedName>
    <definedName function="false" hidden="false" name="CP_Benefits_Paid" vbProcedure="false">Contributions_Payouts!$C$10</definedName>
    <definedName function="false" hidden="false" name="CP_Contributions" vbProcedure="false">Contributions_Payouts!$C$9</definedName>
    <definedName function="false" hidden="false" name="CP_Endowment_Spending" vbProcedure="false">Contributions_Payouts!$C$14</definedName>
    <definedName function="false" hidden="false" name="CP_Net_Endowment_Flow" vbProcedure="false">Contributions_Payouts!$C$15</definedName>
    <definedName function="false" hidden="false" name="CP_Net_Flow" vbProcedure="false">Contributions_Payouts!$C$17</definedName>
    <definedName function="false" hidden="false" name="CP_Net_Pension_Flow" vbProcedure="false">Contributions_Payouts!$C$11</definedName>
    <definedName function="false" hidden="false" name="Discount_Rate" vbProcedure="false">Assumptions!$F$14</definedName>
    <definedName function="false" hidden="false" name="Employee_Contrib_Rate" vbProcedure="false">Assumptions!$C$47</definedName>
    <definedName function="false" hidden="false" name="Employer_Contrib_Rate" vbProcedure="false">Assumptions!$C$46</definedName>
    <definedName function="false" hidden="false" name="Endowment_Spending_Rate" vbProcedure="false">Assumptions!$C$56</definedName>
    <definedName function="false" hidden="false" name="Eq_Fee_Rate" vbProcedure="false">Assumptions!$C$27</definedName>
    <definedName function="false" hidden="false" name="Eq_Return" vbProcedure="false">Assumptions!$F$8</definedName>
    <definedName function="false" hidden="false" name="Fee_Beg_Eq" vbProcedure="false">Fee_Schedule!$C$6</definedName>
    <definedName function="false" hidden="false" name="Fee_Beg_FI" vbProcedure="false">Fee_Schedule!$C$7</definedName>
    <definedName function="false" hidden="false" name="Fee_Beg_HF" vbProcedure="false">Fee_Schedule!$C$10</definedName>
    <definedName function="false" hidden="false" name="Fee_Beg_PE" vbProcedure="false">Fee_Schedule!$C$8</definedName>
    <definedName function="false" hidden="false" name="Fee_Beg_RA" vbProcedure="false">Fee_Schedule!$C$9</definedName>
    <definedName function="false" hidden="false" name="Fee_Beg_Total" vbProcedure="false">Fee_Schedule!$C$11</definedName>
    <definedName function="false" hidden="false" name="Fee_Eq" vbProcedure="false">Fee_Schedule!$C$13</definedName>
    <definedName function="false" hidden="false" name="Fee_FI" vbProcedure="false">Fee_Schedule!$C$14</definedName>
    <definedName function="false" hidden="false" name="Fee_HF_Base" vbProcedure="false">Fee_Schedule!$C$17</definedName>
    <definedName function="false" hidden="false" name="Fee_HF_Perf" vbProcedure="false">Fee_Schedule!$C$20</definedName>
    <definedName function="false" hidden="false" name="Fee_PE_Base" vbProcedure="false">Fee_Schedule!$C$15</definedName>
    <definedName function="false" hidden="false" name="Fee_PE_Perf" vbProcedure="false">Fee_Schedule!$C$19</definedName>
    <definedName function="false" hidden="false" name="Fee_RA" vbProcedure="false">Fee_Schedule!$C$16</definedName>
    <definedName function="false" hidden="false" name="FI_Fee_Rate" vbProcedure="false">Assumptions!$C$28</definedName>
    <definedName function="false" hidden="false" name="FI_Return" vbProcedure="false">Assumptions!$F$9</definedName>
    <definedName function="false" hidden="false" name="Gift_Growth" vbProcedure="false">Assumptions!$C$55</definedName>
    <definedName function="false" hidden="false" name="HF_Base_Fee_Rate" vbProcedure="false">Assumptions!$C$33</definedName>
    <definedName function="false" hidden="false" name="HF_Carried_Interest" vbProcedure="false">Assumptions!$C$35</definedName>
    <definedName function="false" hidden="false" name="HF_Hurdle" vbProcedure="false">Assumptions!$C$34</definedName>
    <definedName function="false" hidden="false" name="HF_Return" vbProcedure="false">Assumptions!$F$12</definedName>
    <definedName function="false" hidden="false" name="Internal_Opex_Rate" vbProcedure="false">Assumptions!$C$39</definedName>
    <definedName function="false" hidden="false" name="LR_Actuarial_Adj" vbProcedure="false">Liability_Rollforward!$C$10</definedName>
    <definedName function="false" hidden="false" name="LR_Benefits_Paid" vbProcedure="false">Liability_Rollforward!$C$9</definedName>
    <definedName function="false" hidden="false" name="LR_Interest_Cost" vbProcedure="false">Liability_Rollforward!$C$8</definedName>
    <definedName function="false" hidden="false" name="LR_PBO_Closing" vbProcedure="false">Liability_Rollforward!$C$11</definedName>
    <definedName function="false" hidden="false" name="LR_PBO_Opening" vbProcedure="false">Liability_Rollforward!$C$6</definedName>
    <definedName function="false" hidden="false" name="LR_Service_Cost" vbProcedure="false">Liability_Rollforward!$C$7</definedName>
    <definedName function="false" hidden="false" name="Mode_Toggle" vbProcedure="false">Assumptions!$F$6</definedName>
    <definedName function="false" hidden="false" name="PBO_Y0" vbProcedure="false">Assumptions!$C$52</definedName>
    <definedName function="false" hidden="false" name="PE_Base_Fee_Rate" vbProcedure="false">Assumptions!$C$29</definedName>
    <definedName function="false" hidden="false" name="PE_Carried_Interest" vbProcedure="false">Assumptions!$C$31</definedName>
    <definedName function="false" hidden="false" name="PE_Distribution_Rate" vbProcedure="false">Assumptions!$C$41</definedName>
    <definedName function="false" hidden="false" name="PE_Hurdle" vbProcedure="false">Assumptions!$C$30</definedName>
    <definedName function="false" hidden="false" name="PE_Return" vbProcedure="false">Assumptions!$F$10</definedName>
    <definedName function="false" hidden="false" name="RA_Fee_Rate" vbProcedure="false">Assumptions!$C$32</definedName>
    <definedName function="false" hidden="false" name="RA_Return" vbProcedure="false">Assumptions!$F$11</definedName>
    <definedName function="false" hidden="false" name="Retiree_Growth" vbProcedure="false">Assumptions!$F$18</definedName>
    <definedName function="false" hidden="false" name="Retiree_Members_Y0" vbProcedure="false">Assumptions!$C$48</definedName>
    <definedName function="false" hidden="false" name="Salary_Growth" vbProcedure="false">Assumptions!$C$45</definedName>
    <definedName function="false" hidden="false" name="Scale_To_M" vbProcedure="false">Assumptions!$C$38</definedName>
    <definedName function="false" hidden="false" name="Scenario_Toggle" vbProcedure="false">Assumptions!$F$5</definedName>
    <definedName function="false" hidden="false" name="TER" vbProcedure="false">Fee_Schedule!$C$23</definedName>
    <definedName function="false" hidden="false" name="Total_Fees" vbProcedure="false">Fee_Schedule!$C$22</definedName>
    <definedName function="false" hidden="false" name="Wt_Cash" vbProcedure="false">Assumptions!$C$25</definedName>
    <definedName function="false" hidden="false" name="Wt_Eq" vbProcedure="false">Assumptions!$C$20</definedName>
    <definedName function="false" hidden="false" name="Wt_FI" vbProcedure="false">Assumptions!$C$21</definedName>
    <definedName function="false" hidden="false" name="Wt_HF" vbProcedure="false">Assumptions!$C$24</definedName>
    <definedName function="false" hidden="false" name="Wt_PE" vbProcedure="false">Assumptions!$C$22</definedName>
    <definedName function="false" hidden="false" name="Wt_RA" vbProcedure="false">Assumptions!$C$23</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<sst xmlns="http://schemas.openxmlformats.org/spreadsheetml/2006/main" count="333" uniqueCount="251">
  <si>
    <t xml:space="preserve">Pension Fund / Endowment Model</t>
  </si>
  <si>
    <t xml:space="preserve">FINAMODEL.com</t>
  </si>
  <si>
    <t xml:space="preserve">10-Year Annual Projection | Base / Bull / Bear Scenarios</t>
  </si>
  <si>
    <t xml:space="preserve">Active Mode:</t>
  </si>
  <si>
    <t xml:space="preserve">Scenario:</t>
  </si>
  <si>
    <t xml:space="preserve">Contents</t>
  </si>
  <si>
    <t xml:space="preserve">Assumptions</t>
  </si>
  <si>
    <t xml:space="preserve">Asset Allocation</t>
  </si>
  <si>
    <t xml:space="preserve">Fee Schedule</t>
  </si>
  <si>
    <t xml:space="preserve">Contributions &amp; Payouts</t>
  </si>
  <si>
    <t xml:space="preserve">Liability Roll-forward</t>
  </si>
  <si>
    <t xml:space="preserve">AUM Roll-forward</t>
  </si>
  <si>
    <t xml:space="preserve">Funded Status</t>
  </si>
  <si>
    <t xml:space="preserve">Cash Flow</t>
  </si>
  <si>
    <t xml:space="preserve">Checks</t>
  </si>
  <si>
    <t xml:space="preserve">About this model</t>
  </si>
  <si>
    <t xml:space="preserve">Project pension fund or endowment financial health with a liability-driven investment framework that links asset allocation to funding ratios and spending rules. This template models six asset classes (public equities, fixed income, private equity, real assets, hedge funds, cash) with scenario-dependent returns under Base, Bull, and Bear cases, calculates fees by asset class including performance fees, and computes funded ratio and liquidity coverage each year. It addresses the core liability side: benefit obligations that grow via service cost and interest cost, with actuarial gains and losses adjusting the PBO in stress scenarios.
The workbook contains assumption controls for scenario toggle (Base/Bull/Bear), asset allocation with rebalancing, base and performance fee schedules, and member demographics (active and retired headcounts, salary escalation, benefit accrual). The AUM roll-forward captures asset returns net of fees and internal opex; the Liability_Rollforward models PBO dynamics separately. A funded status sheet monitors the gap between assets and liabilities, while a liquidity check ensures liquid assets exceed annual cash outflows (benefits, fees, opex). For endowments, a spending rule based on a trailing three-year average AUM provides a sustainable drawdown mechanism.
Target users are pension fund trustees, investment committees, endowment boards, and institutional investors managing Â£1B to Â£100B+ portfolios requiring liability-asset matching analysis.</t>
  </si>
  <si>
    <t xml:space="preserve">About Finamodel</t>
  </si>
  <si>
    <t xml:space="preserve">A free, open library of institutional-quality financial models covering every industry — banking, real estate, energy, SaaS, biotech, infrastructure, and dozens more. Every cell is editable, every formula is transparent, and every template is built to be forked, adapted, and rebuilt for your own use case. MIT-licensed — use them commercially, share them, modify them, no attribution required.</t>
  </si>
  <si>
    <t xml:space="preserve">Thanks for downloading my templates! Feel free to check out other free templates on my site.</t>
  </si>
  <si>
    <t xml:space="preserve">— Alex Tapio, Founder of Finamodel.com</t>
  </si>
  <si>
    <t xml:space="preserve">Model controls, asset class returns, fees, fund fundamentals</t>
  </si>
  <si>
    <t xml:space="preserve">Parameter</t>
  </si>
  <si>
    <t xml:space="preserve">Base</t>
  </si>
  <si>
    <t xml:space="preserve">Bull</t>
  </si>
  <si>
    <t xml:space="preserve">Bear</t>
  </si>
  <si>
    <t xml:space="preserve">Active</t>
  </si>
  <si>
    <t xml:space="preserve">Scenario (1=Base 2=Bull 3=Bear)</t>
  </si>
  <si>
    <t xml:space="preserve">Mode (1=Pension 2=Endowment)</t>
  </si>
  <si>
    <t xml:space="preserve">Asset Class Returns (Scenario-Sensitive)</t>
  </si>
  <si>
    <t xml:space="preserve">Equity Return</t>
  </si>
  <si>
    <t xml:space="preserve">Fixed Income Return</t>
  </si>
  <si>
    <t xml:space="preserve">Private Equity Return</t>
  </si>
  <si>
    <t xml:space="preserve">Real Assets Return</t>
  </si>
  <si>
    <t xml:space="preserve">Hedge Funds Return</t>
  </si>
  <si>
    <t xml:space="preserve">Cash Return</t>
  </si>
  <si>
    <t xml:space="preserve">Liability Discount Rate</t>
  </si>
  <si>
    <t xml:space="preserve">Actuarial Adj Rate</t>
  </si>
  <si>
    <t xml:space="preserve">Demographic Growth (Scenario-Sensitive)</t>
  </si>
  <si>
    <t xml:space="preserve">Active Member Growth</t>
  </si>
  <si>
    <t xml:space="preserve">Retiree Growth</t>
  </si>
  <si>
    <t xml:space="preserve">Asset Allocation Weights (Fixed)</t>
  </si>
  <si>
    <t xml:space="preserve">Equity Weight</t>
  </si>
  <si>
    <t xml:space="preserve">Fixed Income Weight</t>
  </si>
  <si>
    <t xml:space="preserve">Private Equity Weight</t>
  </si>
  <si>
    <t xml:space="preserve">Real Assets Weight</t>
  </si>
  <si>
    <t xml:space="preserve">Hedge Funds Weight</t>
  </si>
  <si>
    <t xml:space="preserve">Cash Weight</t>
  </si>
  <si>
    <t xml:space="preserve">Fee Rates (Fixed)</t>
  </si>
  <si>
    <t xml:space="preserve">Equity Base Fee</t>
  </si>
  <si>
    <t xml:space="preserve">Fixed Income Base Fee</t>
  </si>
  <si>
    <t xml:space="preserve">PE Base Fee</t>
  </si>
  <si>
    <t xml:space="preserve">PE Hurdle Rate</t>
  </si>
  <si>
    <t xml:space="preserve">PE Carried Interest</t>
  </si>
  <si>
    <t xml:space="preserve">Real Assets Base Fee</t>
  </si>
  <si>
    <t xml:space="preserve">HF Base Fee</t>
  </si>
  <si>
    <t xml:space="preserve">HF Hurdle Rate</t>
  </si>
  <si>
    <t xml:space="preserve">HF Carried Interest</t>
  </si>
  <si>
    <t xml:space="preserve">Fund Fundamentals (Fixed)</t>
  </si>
  <si>
    <t xml:space="preserve">Beginning AUM (£M)</t>
  </si>
  <si>
    <t xml:space="preserve">Scale to M</t>
  </si>
  <si>
    <t xml:space="preserve">Internal Opex Rate</t>
  </si>
  <si>
    <t xml:space="preserve">Blended Income Yield</t>
  </si>
  <si>
    <t xml:space="preserve">PE Distribution Rate</t>
  </si>
  <si>
    <t xml:space="preserve">Demographics — Pension Mode</t>
  </si>
  <si>
    <t xml:space="preserve">Active Members Y0</t>
  </si>
  <si>
    <t xml:space="preserve">Avg Salary (£)</t>
  </si>
  <si>
    <t xml:space="preserve">Salary Growth</t>
  </si>
  <si>
    <t xml:space="preserve">Employer Contrib Rate</t>
  </si>
  <si>
    <t xml:space="preserve">Employee Contrib Rate</t>
  </si>
  <si>
    <t xml:space="preserve">Retiree Members Y0</t>
  </si>
  <si>
    <t xml:space="preserve">Benefit Per Retiree (£)</t>
  </si>
  <si>
    <t xml:space="preserve">Benefit Accrual Rate</t>
  </si>
  <si>
    <t xml:space="preserve">PBO Opening</t>
  </si>
  <si>
    <t xml:space="preserve">Opening PBO Y0 (£M)</t>
  </si>
  <si>
    <t xml:space="preserve">Endowment Mode</t>
  </si>
  <si>
    <t xml:space="preserve">Annual Gifts Y0 (£M)</t>
  </si>
  <si>
    <t xml:space="preserve">Gift Growth</t>
  </si>
  <si>
    <t xml:space="preserve">Endowment Spending Rate</t>
  </si>
  <si>
    <t xml:space="preserve">AUM Year -1 (£M, for Y1 spend)</t>
  </si>
  <si>
    <t xml:space="preserve">AUM Year -2 (£M, for Y1/Y2 spend)</t>
  </si>
  <si>
    <t xml:space="preserve">Return rates and target allocation weights by asset class</t>
  </si>
  <si>
    <t xml:space="preserve">Year 1</t>
  </si>
  <si>
    <t xml:space="preserve">Year 2</t>
  </si>
  <si>
    <t xml:space="preserve">Year 3</t>
  </si>
  <si>
    <t xml:space="preserve">Year 4</t>
  </si>
  <si>
    <t xml:space="preserve">Year 5</t>
  </si>
  <si>
    <t xml:space="preserve">Year 6</t>
  </si>
  <si>
    <t xml:space="preserve">Year 7</t>
  </si>
  <si>
    <t xml:space="preserve">Year 8</t>
  </si>
  <si>
    <t xml:space="preserve">Year 9</t>
  </si>
  <si>
    <t xml:space="preserve">Year 10</t>
  </si>
  <si>
    <t xml:space="preserve">Return Rates (from Assumptions)</t>
  </si>
  <si>
    <t xml:space="preserve">PE Return</t>
  </si>
  <si>
    <t xml:space="preserve">HF Return</t>
  </si>
  <si>
    <t xml:space="preserve">Target Weights (from Assumptions)</t>
  </si>
  <si>
    <t xml:space="preserve">PE Weight</t>
  </si>
  <si>
    <t xml:space="preserve">Total Weight</t>
  </si>
  <si>
    <t xml:space="preserve">Disclaimer, Copyright &amp; License</t>
  </si>
  <si>
    <t xml:space="preserve">Disclaimer</t>
  </si>
  <si>
    <t xml:space="preserve">This financial model ("the Model") is provided by Finamodel for illustrative and educational purposes only. It is a template — not a finished analysis, valuation, recommendation, or solicitation to buy, sell, or hold any security, asset, or financial instrument.</t>
  </si>
  <si>
    <t xml:space="preserve">No investment advice</t>
  </si>
  <si>
    <t xml:space="preserve">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</si>
  <si>
    <t xml:space="preserve">No warranty</t>
  </si>
  <si>
    <t xml:space="preserve">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</si>
  <si>
    <t xml:space="preserve">Limitation of liability</t>
  </si>
  <si>
    <t xml:space="preserve">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</si>
  <si>
    <t xml:space="preserve">Forward-looking statements</t>
  </si>
  <si>
    <t xml:space="preserve">Any projections, forecasts, or scenarios are hypothetical, based on assumptions that may not materialize, and do not represent guaranteed outcomes.</t>
  </si>
  <si>
    <t xml:space="preserve">Third-party data</t>
  </si>
  <si>
    <t xml:space="preserve">Where the Model references market data, comparables, or macro indicators, such data is sourced from third parties believed to be reliable but is not independently verified.</t>
  </si>
  <si>
    <t xml:space="preserve">Copyright © 2026 Finamodel. All rights reserved.</t>
  </si>
  <si>
    <t xml:space="preserve">License — MIT</t>
  </si>
  <si>
    <t xml:space="preserve">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</si>
  <si>
    <t xml:space="preserve">Finamodel — github.com/alextapio/finamodel</t>
  </si>
  <si>
    <t xml:space="preserve">All fees computed on beginning AUM (prior year ending) — no circular reference</t>
  </si>
  <si>
    <t xml:space="preserve">Beginning AUM by Asset Class (£M)</t>
  </si>
  <si>
    <t xml:space="preserve">Eq Beginning AUM</t>
  </si>
  <si>
    <t xml:space="preserve">FI Beginning AUM</t>
  </si>
  <si>
    <t xml:space="preserve">PE Beginning AUM</t>
  </si>
  <si>
    <t xml:space="preserve">RA Beginning AUM</t>
  </si>
  <si>
    <t xml:space="preserve">HF Beginning AUM</t>
  </si>
  <si>
    <t xml:space="preserve">Total Beginning AUM</t>
  </si>
  <si>
    <t xml:space="preserve">Base Fees (£M)</t>
  </si>
  <si>
    <t xml:space="preserve">  Equity Base Fee</t>
  </si>
  <si>
    <t xml:space="preserve">  FI Base Fee</t>
  </si>
  <si>
    <t xml:space="preserve">  PE Base Fee</t>
  </si>
  <si>
    <t xml:space="preserve">  RA Base Fee</t>
  </si>
  <si>
    <t xml:space="preserve">  HF Base Fee</t>
  </si>
  <si>
    <t xml:space="preserve">Performance Fees (£M)</t>
  </si>
  <si>
    <t xml:space="preserve">  PE Perf Fee</t>
  </si>
  <si>
    <t xml:space="preserve">  HF Perf Fee</t>
  </si>
  <si>
    <t xml:space="preserve">Fee Totals (£M)</t>
  </si>
  <si>
    <t xml:space="preserve">Total Fees</t>
  </si>
  <si>
    <t xml:space="preserve">TER (Total Expense Ratio)</t>
  </si>
  <si>
    <t xml:space="preserve">Member contributions, benefit payments, and endowment flows</t>
  </si>
  <si>
    <t xml:space="preserve">Pension Mode</t>
  </si>
  <si>
    <t xml:space="preserve">Active Members</t>
  </si>
  <si>
    <t xml:space="preserve">Retiree Members</t>
  </si>
  <si>
    <t xml:space="preserve">Contributions (£M)</t>
  </si>
  <si>
    <t xml:space="preserve">Benefits Paid (£M)</t>
  </si>
  <si>
    <t xml:space="preserve">Net Pension Flow (£M)</t>
  </si>
  <si>
    <t xml:space="preserve">Annual Gifts (£M)</t>
  </si>
  <si>
    <t xml:space="preserve">Endowment Spending (£M)</t>
  </si>
  <si>
    <t xml:space="preserve">Net Endowment Flow (£M)</t>
  </si>
  <si>
    <t xml:space="preserve">Combined Net Flow</t>
  </si>
  <si>
    <t xml:space="preserve">Net Flow (£M)</t>
  </si>
  <si>
    <t xml:space="preserve">Pension Benefit Obligation (PBO) — shows 0 in Endowment mode</t>
  </si>
  <si>
    <t xml:space="preserve">PBO Roll-forward (£M)</t>
  </si>
  <si>
    <t xml:space="preserve">PBO Opening (£M)</t>
  </si>
  <si>
    <t xml:space="preserve">Service Cost (£M)</t>
  </si>
  <si>
    <t xml:space="preserve">Interest Cost (£M)</t>
  </si>
  <si>
    <t xml:space="preserve">Actuarial Adj (£M)</t>
  </si>
  <si>
    <t xml:space="preserve">PBO Closing (£M)</t>
  </si>
  <si>
    <t xml:space="preserve">Asset class level AUM with gross returns, flows, fees, and opex</t>
  </si>
  <si>
    <t xml:space="preserve">Equities</t>
  </si>
  <si>
    <t xml:space="preserve">Eq Beginning</t>
  </si>
  <si>
    <t xml:space="preserve">Eq Investment Return</t>
  </si>
  <si>
    <t xml:space="preserve">Eq Net Flow</t>
  </si>
  <si>
    <t xml:space="preserve">Eq Fee</t>
  </si>
  <si>
    <t xml:space="preserve">Eq Internal Opex</t>
  </si>
  <si>
    <t xml:space="preserve">Eq Ending</t>
  </si>
  <si>
    <t xml:space="preserve">Fixed Income</t>
  </si>
  <si>
    <t xml:space="preserve">Fi Beginning</t>
  </si>
  <si>
    <t xml:space="preserve">Fi Investment Return</t>
  </si>
  <si>
    <t xml:space="preserve">Fi Net Flow</t>
  </si>
  <si>
    <t xml:space="preserve">Fi Fee</t>
  </si>
  <si>
    <t xml:space="preserve">Fi Internal Opex</t>
  </si>
  <si>
    <t xml:space="preserve">Fi Ending</t>
  </si>
  <si>
    <t xml:space="preserve">Private Equity</t>
  </si>
  <si>
    <t xml:space="preserve">Pr Beginning</t>
  </si>
  <si>
    <t xml:space="preserve">Pr Investment Return</t>
  </si>
  <si>
    <t xml:space="preserve">Pr Net Flow</t>
  </si>
  <si>
    <t xml:space="preserve">Pr Fee</t>
  </si>
  <si>
    <t xml:space="preserve">Pr Internal Opex</t>
  </si>
  <si>
    <t xml:space="preserve">Pr Ending</t>
  </si>
  <si>
    <t xml:space="preserve">Real Assets</t>
  </si>
  <si>
    <t xml:space="preserve">Re Beginning</t>
  </si>
  <si>
    <t xml:space="preserve">Re Investment Return</t>
  </si>
  <si>
    <t xml:space="preserve">Re Net Flow</t>
  </si>
  <si>
    <t xml:space="preserve">Re Fee</t>
  </si>
  <si>
    <t xml:space="preserve">Re Internal Opex</t>
  </si>
  <si>
    <t xml:space="preserve">Re Ending</t>
  </si>
  <si>
    <t xml:space="preserve">Hedge Funds</t>
  </si>
  <si>
    <t xml:space="preserve">He Beginning</t>
  </si>
  <si>
    <t xml:space="preserve">He Investment Return</t>
  </si>
  <si>
    <t xml:space="preserve">He Net Flow</t>
  </si>
  <si>
    <t xml:space="preserve">He Fee</t>
  </si>
  <si>
    <t xml:space="preserve">He Internal Opex</t>
  </si>
  <si>
    <t xml:space="preserve">He Ending</t>
  </si>
  <si>
    <t xml:space="preserve">Cash</t>
  </si>
  <si>
    <t xml:space="preserve">Ca Beginning</t>
  </si>
  <si>
    <t xml:space="preserve">Ca Investment Return</t>
  </si>
  <si>
    <t xml:space="preserve">Ca Net Flow</t>
  </si>
  <si>
    <t xml:space="preserve">Ca Fee</t>
  </si>
  <si>
    <t xml:space="preserve">Ca Internal Opex</t>
  </si>
  <si>
    <t xml:space="preserve">Ca Ending</t>
  </si>
  <si>
    <t xml:space="preserve">Total AUM</t>
  </si>
  <si>
    <t xml:space="preserve">Total AUM Beginning</t>
  </si>
  <si>
    <t xml:space="preserve">Total Gross Return</t>
  </si>
  <si>
    <t xml:space="preserve">Net Member Flow</t>
  </si>
  <si>
    <t xml:space="preserve">Total Internal Opex</t>
  </si>
  <si>
    <t xml:space="preserve">Total AUM Ending</t>
  </si>
  <si>
    <t xml:space="preserve">AUM Recon Check (should = 0)</t>
  </si>
  <si>
    <t xml:space="preserve">AUM vs PBO, funded ratio, liquidity coverage, TER</t>
  </si>
  <si>
    <t xml:space="preserve">Funded Position (£M)</t>
  </si>
  <si>
    <t xml:space="preserve">Total AUM (£M)</t>
  </si>
  <si>
    <t xml:space="preserve">PBO (£M)</t>
  </si>
  <si>
    <t xml:space="preserve">Net Funded Position (£M)</t>
  </si>
  <si>
    <t xml:space="preserve">Funded Ratio</t>
  </si>
  <si>
    <t xml:space="preserve">Status</t>
  </si>
  <si>
    <t xml:space="preserve">Liquidity Analysis (£M)</t>
  </si>
  <si>
    <t xml:space="preserve">Liquid Assets (£M)</t>
  </si>
  <si>
    <t xml:space="preserve">Annual Cash Outflows (£M)</t>
  </si>
  <si>
    <t xml:space="preserve">Liquidity Coverage (x)</t>
  </si>
  <si>
    <t xml:space="preserve">Liquidity Check</t>
  </si>
  <si>
    <t xml:space="preserve">TER</t>
  </si>
  <si>
    <t xml:space="preserve">Cash Flow Statement</t>
  </si>
  <si>
    <t xml:space="preserve">Operational cash only — excludes unrealised MTM gains (v19 fix)</t>
  </si>
  <si>
    <t xml:space="preserve">Cash Inflows (£M)</t>
  </si>
  <si>
    <t xml:space="preserve">Contributions / Gifts</t>
  </si>
  <si>
    <t xml:space="preserve">Dividend &amp; Coupon Income</t>
  </si>
  <si>
    <t xml:space="preserve">PE Distributions</t>
  </si>
  <si>
    <t xml:space="preserve">Total Cash Inflows</t>
  </si>
  <si>
    <t xml:space="preserve">Cash Outflows (£M)</t>
  </si>
  <si>
    <t xml:space="preserve">Benefits / Spending</t>
  </si>
  <si>
    <t xml:space="preserve">External Fees Paid</t>
  </si>
  <si>
    <t xml:space="preserve">Internal Opex Paid</t>
  </si>
  <si>
    <t xml:space="preserve">Total Cash Outflows</t>
  </si>
  <si>
    <t xml:space="preserve">Net Cash Flow and Balance (£M)</t>
  </si>
  <si>
    <t xml:space="preserve">Net Cash Flow</t>
  </si>
  <si>
    <t xml:space="preserve">Cash Beginning</t>
  </si>
  <si>
    <t xml:space="preserve">Cash Ending</t>
  </si>
  <si>
    <t xml:space="preserve">Model Checks</t>
  </si>
  <si>
    <t xml:space="preserve">All checks must show PASS in base-case</t>
  </si>
  <si>
    <t xml:space="preserve">1. AUM Reconciliation — Max Abs Error (£M)</t>
  </si>
  <si>
    <t xml:space="preserve">1. AUM Recon PASS</t>
  </si>
  <si>
    <t xml:space="preserve">2. Weights Sum to 100% — PASS</t>
  </si>
  <si>
    <t xml:space="preserve">3. Scenario Toggle Valid — PASS</t>
  </si>
  <si>
    <t xml:space="preserve">4. Mode Toggle Valid — PASS</t>
  </si>
  <si>
    <t xml:space="preserve">5. Funded Ratio Min (Pension)</t>
  </si>
  <si>
    <t xml:space="preserve">5. Funded Ratio Warning — PASS</t>
  </si>
  <si>
    <t xml:space="preserve">6. Cash Balance Min (£M)</t>
  </si>
  <si>
    <t xml:space="preserve">6. Cash Non-Negative — PASS</t>
  </si>
  <si>
    <t xml:space="preserve">7. PBO Growth (Pension going-concern)</t>
  </si>
  <si>
    <t xml:space="preserve">7. PBO Growth Check — PASS</t>
  </si>
  <si>
    <t xml:space="preserve">8. Liquidity Coverage Min (x)</t>
  </si>
  <si>
    <t xml:space="preserve">8. Liquidity Adequate — PASS</t>
  </si>
  <si>
    <t xml:space="preserve">9. TER Range — Max TER</t>
  </si>
  <si>
    <t xml:space="preserve">9. TER in Range — PASS</t>
  </si>
  <si>
    <t xml:space="preserve">10. PE Perf Fee Sign Correct — PASS</t>
  </si>
</sst>
</file>

<file path=xl/styles.xml><?xml version="1.0" encoding="utf-8"?>
<styleSheet xmlns="http://schemas.openxmlformats.org/spreadsheetml/2006/main">
  <numFmts count="7">
    <numFmt numFmtId="164" formatCode="General"/>
    <numFmt numFmtId="165" formatCode="0"/>
    <numFmt numFmtId="166" formatCode="0.00%"/>
    <numFmt numFmtId="167" formatCode="#,##0.00"/>
    <numFmt numFmtId="168" formatCode="#,##0.0"/>
    <numFmt numFmtId="169" formatCode="@"/>
    <numFmt numFmtId="170" formatCode="0.0\x"/>
  </numFmts>
  <fonts count="27">
    <font>
      <sz val="11"/>
      <name val="Arial"/>
      <family val="0"/>
      <charset val="1"/>
    </font>
    <font>
      <sz val="10"/>
      <name val="Arial"/>
      <family val="0"/>
    </font>
    <font>
      <sz val="10"/>
      <name val="Arial"/>
      <family val="0"/>
    </font>
    <font>
      <sz val="10"/>
      <name val="Arial"/>
      <family val="0"/>
    </font>
    <font>
      <sz val="11"/>
      <color theme="0"/>
      <name val="Arial"/>
      <family val="0"/>
      <charset val="1"/>
    </font>
    <font>
      <b val="true"/>
      <sz val="18"/>
      <color theme="0"/>
      <name val="Arial"/>
      <family val="0"/>
      <charset val="1"/>
    </font>
    <font>
      <b val="true"/>
      <sz val="11"/>
      <color theme="0"/>
      <name val="Arial"/>
      <family val="0"/>
      <charset val="1"/>
    </font>
    <font>
      <i val="true"/>
      <sz val="11"/>
      <color theme="0"/>
      <name val="Arial"/>
      <family val="0"/>
      <charset val="1"/>
    </font>
    <font>
      <sz val="11"/>
      <color theme="1"/>
      <name val="Arial"/>
      <family val="0"/>
      <charset val="1"/>
    </font>
    <font>
      <b val="true"/>
      <sz val="10"/>
      <name val="Arial"/>
      <family val="0"/>
      <charset val="1"/>
    </font>
    <font>
      <sz val="10"/>
      <color rgb="FF000000"/>
      <name val="Arial"/>
      <family val="0"/>
      <charset val="1"/>
    </font>
    <font>
      <sz val="12"/>
      <color theme="10"/>
      <name val="Arial"/>
      <family val="0"/>
      <charset val="1"/>
    </font>
    <font>
      <sz val="12"/>
      <color theme="10"/>
      <name val="Calibri"/>
      <family val="2"/>
      <charset val="1"/>
    </font>
    <font>
      <b val="true"/>
      <sz val="11"/>
      <color rgb="FF1F4E79"/>
      <name val="Arial"/>
      <family val="0"/>
      <charset val="1"/>
    </font>
    <font>
      <sz val="11"/>
      <color rgb="FF262626"/>
      <name val="Arial"/>
      <family val="0"/>
      <charset val="1"/>
    </font>
    <font>
      <i val="true"/>
      <sz val="11"/>
      <color rgb="FF595959"/>
      <name val="Arial"/>
      <family val="0"/>
      <charset val="1"/>
    </font>
    <font>
      <b val="true"/>
      <i val="true"/>
      <sz val="11"/>
      <color rgb="FF1F4E79"/>
      <name val="Arial"/>
      <family val="0"/>
      <charset val="1"/>
    </font>
    <font>
      <b val="true"/>
      <sz val="10"/>
      <color rgb="FF000000"/>
      <name val="Arial"/>
      <family val="0"/>
      <charset val="1"/>
    </font>
    <font>
      <sz val="10"/>
      <name val="Arial"/>
      <family val="0"/>
      <charset val="1"/>
    </font>
    <font>
      <sz val="10"/>
      <color rgb="FF0000CC"/>
      <name val="Arial"/>
      <family val="0"/>
      <charset val="1"/>
    </font>
    <font>
      <b val="true"/>
      <sz val="18"/>
      <color rgb="FF1F4E79"/>
      <name val="Arial"/>
      <family val="0"/>
      <charset val="1"/>
    </font>
    <font>
      <b val="true"/>
      <sz val="11"/>
      <color rgb="FFFFFFFF"/>
      <name val="Arial"/>
      <family val="0"/>
      <charset val="1"/>
    </font>
    <font>
      <sz val="10"/>
      <color rgb="FF262626"/>
      <name val="Arial"/>
      <family val="0"/>
      <charset val="1"/>
    </font>
    <font>
      <b val="true"/>
      <sz val="10"/>
      <color rgb="FF1F4E79"/>
      <name val="Arial"/>
      <family val="0"/>
      <charset val="1"/>
    </font>
    <font>
      <sz val="9"/>
      <color rgb="FF404040"/>
      <name val="Arial"/>
      <family val="0"/>
      <charset val="1"/>
    </font>
    <font>
      <i val="true"/>
      <sz val="10"/>
      <color rgb="FF808080"/>
      <name val="Arial"/>
      <family val="0"/>
      <charset val="1"/>
    </font>
    <font>
      <sz val="10"/>
      <color rgb="FFC00000"/>
      <name val="Arial"/>
      <family val="0"/>
      <charset val="1"/>
    </font>
  </fonts>
  <fills count="9">
    <fill>
      <patternFill patternType="none"/>
    </fill>
    <fill>
      <patternFill patternType="gray125"/>
    </fill>
    <fill>
      <patternFill patternType="solid">
        <fgColor theme="3"/>
        <bgColor rgb="FF1F4E79"/>
      </patternFill>
    </fill>
    <fill>
      <patternFill patternType="solid">
        <fgColor rgb="FFD6E4F0"/>
        <bgColor rgb="FFC6D9F1"/>
      </patternFill>
    </fill>
    <fill>
      <patternFill patternType="solid">
        <fgColor theme="3" tint="0.8"/>
        <bgColor rgb="FFD6E4F0"/>
      </patternFill>
    </fill>
    <fill>
      <patternFill patternType="solid">
        <fgColor rgb="FFFFFFC0"/>
        <bgColor rgb="FFFFFF99"/>
      </patternFill>
    </fill>
    <fill>
      <patternFill patternType="solid">
        <fgColor rgb="FF1F4E79"/>
        <bgColor rgb="FF1F497D"/>
      </patternFill>
    </fill>
    <fill>
      <patternFill patternType="solid">
        <fgColor rgb="FFF2F2F2"/>
        <bgColor rgb="FFEBF3FB"/>
      </patternFill>
    </fill>
    <fill>
      <patternFill patternType="solid">
        <fgColor rgb="FFEBF3FB"/>
        <bgColor rgb="FFF2F2F2"/>
      </patternFill>
    </fill>
  </fills>
  <borders count="3">
    <border diagonalUp="false" diagonalDown="false">
      <left/>
      <right/>
      <top/>
      <bottom/>
      <diagonal/>
    </border>
    <border diagonalUp="false" diagonalDown="false">
      <left/>
      <right/>
      <top/>
      <bottom style="thin">
        <color rgb="FF1F4E79"/>
      </bottom>
      <diagonal/>
    </border>
    <border diagonalUp="false" diagonalDown="false">
      <left/>
      <right/>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2" fillId="0" borderId="0" applyFont="true" applyBorder="true" applyAlignment="true" applyProtection="true">
      <alignment horizontal="general" vertical="bottom" textRotation="0" wrapText="false" indent="0" shrinkToFit="false"/>
      <protection locked="true" hidden="false"/>
    </xf>
  </cellStyleXfs>
  <cellXfs count="5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true" applyProtection="false">
      <alignment horizontal="left" vertical="center" textRotation="0" wrapText="false" indent="0" shrinkToFit="false"/>
      <protection locked="true" hidden="false"/>
    </xf>
    <xf numFmtId="164" fontId="7" fillId="2" borderId="0" xfId="0" applyFont="true" applyBorder="false" applyAlignment="true" applyProtection="false">
      <alignment horizontal="left" vertical="center"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1" fillId="0" borderId="0" xfId="20" applyFont="true" applyBorder="false" applyAlignment="false" applyProtection="false">
      <alignment horizontal="general" vertical="bottom" textRotation="0" wrapText="false" indent="0" shrinkToFit="false"/>
      <protection locked="true" hidden="false"/>
    </xf>
    <xf numFmtId="164" fontId="13" fillId="3" borderId="0" xfId="0" applyFont="true" applyBorder="false" applyAlignment="true" applyProtection="false">
      <alignment horizontal="left" vertical="center" textRotation="0" wrapText="false" indent="0" shrinkToFit="false"/>
      <protection locked="true" hidden="false"/>
    </xf>
    <xf numFmtId="164" fontId="8" fillId="3"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true" applyAlignment="true" applyProtection="false">
      <alignment horizontal="left" vertical="top" textRotation="0" wrapText="true" indent="0" shrinkToFit="false"/>
      <protection locked="true" hidden="false"/>
    </xf>
    <xf numFmtId="164" fontId="15" fillId="0" borderId="0" xfId="0" applyFont="true" applyBorder="true" applyAlignment="true" applyProtection="false">
      <alignment horizontal="left" vertical="center" textRotation="0" wrapText="false" indent="0" shrinkToFit="false"/>
      <protection locked="true" hidden="false"/>
    </xf>
    <xf numFmtId="164" fontId="16" fillId="0" borderId="0" xfId="0" applyFont="true" applyBorder="false" applyAlignment="true" applyProtection="false">
      <alignment horizontal="left" vertical="center" textRotation="0" wrapText="false" indent="0" shrinkToFit="false"/>
      <protection locked="true" hidden="false"/>
    </xf>
    <xf numFmtId="164" fontId="5" fillId="2" borderId="0" xfId="0" applyFont="true" applyBorder="false" applyAlignment="true" applyProtection="false">
      <alignment horizontal="left" vertical="center" textRotation="0" wrapText="false" indent="0" shrinkToFit="false"/>
      <protection locked="true" hidden="false"/>
    </xf>
    <xf numFmtId="164" fontId="17" fillId="4" borderId="0" xfId="0" applyFont="true" applyBorder="false" applyAlignment="true" applyProtection="false">
      <alignment horizontal="center" vertical="center" textRotation="0" wrapText="false" indent="0" shrinkToFit="false"/>
      <protection locked="true" hidden="false"/>
    </xf>
    <xf numFmtId="164" fontId="18" fillId="0" borderId="0" xfId="0" applyFont="true" applyBorder="false" applyAlignment="true" applyProtection="false">
      <alignment horizontal="left" vertical="center" textRotation="0" wrapText="false" indent="0" shrinkToFit="false"/>
      <protection locked="true" hidden="false"/>
    </xf>
    <xf numFmtId="165" fontId="19" fillId="5" borderId="0" xfId="0" applyFont="true" applyBorder="false" applyAlignment="true" applyProtection="false">
      <alignment horizontal="right" vertical="center" textRotation="0" wrapText="false" indent="0" shrinkToFit="false"/>
      <protection locked="true" hidden="false"/>
    </xf>
    <xf numFmtId="165" fontId="10" fillId="0" borderId="0" xfId="0" applyFont="true" applyBorder="false" applyAlignment="true" applyProtection="false">
      <alignment horizontal="right" vertical="center"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6" fontId="19" fillId="5" borderId="0" xfId="0" applyFont="true" applyBorder="false" applyAlignment="true" applyProtection="false">
      <alignment horizontal="right" vertical="center" textRotation="0" wrapText="false" indent="0" shrinkToFit="false"/>
      <protection locked="true" hidden="false"/>
    </xf>
    <xf numFmtId="166" fontId="10" fillId="0" borderId="0" xfId="0" applyFont="true" applyBorder="false" applyAlignment="true" applyProtection="false">
      <alignment horizontal="right" vertical="center" textRotation="0" wrapText="false" indent="0" shrinkToFit="false"/>
      <protection locked="true" hidden="false"/>
    </xf>
    <xf numFmtId="166" fontId="10" fillId="5" borderId="0" xfId="0" applyFont="true" applyBorder="false" applyAlignment="true" applyProtection="false">
      <alignment horizontal="right" vertical="center" textRotation="0" wrapText="false" indent="0" shrinkToFit="false"/>
      <protection locked="true" hidden="false"/>
    </xf>
    <xf numFmtId="167" fontId="19" fillId="5" borderId="0" xfId="0" applyFont="true" applyBorder="false" applyAlignment="true" applyProtection="false">
      <alignment horizontal="right" vertical="center" textRotation="0" wrapText="false" indent="0" shrinkToFit="false"/>
      <protection locked="true" hidden="false"/>
    </xf>
    <xf numFmtId="167" fontId="10" fillId="0" borderId="0" xfId="0" applyFont="true" applyBorder="false" applyAlignment="true" applyProtection="false">
      <alignment horizontal="right" vertical="center" textRotation="0" wrapText="false" indent="0" shrinkToFit="false"/>
      <protection locked="true" hidden="false"/>
    </xf>
    <xf numFmtId="168" fontId="19" fillId="5" borderId="0" xfId="0" applyFont="true" applyBorder="false" applyAlignment="true" applyProtection="false">
      <alignment horizontal="right" vertical="center" textRotation="0" wrapText="false" indent="0" shrinkToFit="false"/>
      <protection locked="true" hidden="false"/>
    </xf>
    <xf numFmtId="168" fontId="10" fillId="0" borderId="0" xfId="0" applyFont="true" applyBorder="false" applyAlignment="true" applyProtection="false">
      <alignment horizontal="right" vertical="center" textRotation="0" wrapText="false" indent="0" shrinkToFit="false"/>
      <protection locked="true" hidden="false"/>
    </xf>
    <xf numFmtId="164" fontId="9" fillId="0" borderId="0" xfId="0" applyFont="true" applyBorder="false" applyAlignment="true" applyProtection="false">
      <alignment horizontal="left" vertical="center" textRotation="0" wrapText="false" indent="0" shrinkToFit="false"/>
      <protection locked="true" hidden="false"/>
    </xf>
    <xf numFmtId="166" fontId="9" fillId="0" borderId="0" xfId="0" applyFont="true" applyBorder="false" applyAlignment="true" applyProtection="false">
      <alignment horizontal="right" vertical="center" textRotation="0" wrapText="false" indent="0" shrinkToFit="false"/>
      <protection locked="true" hidden="false"/>
    </xf>
    <xf numFmtId="164" fontId="20" fillId="0" borderId="0" xfId="0" applyFont="true" applyBorder="false" applyAlignment="true" applyProtection="false">
      <alignment horizontal="left" vertical="center" textRotation="0" wrapText="false" indent="0" shrinkToFit="false"/>
      <protection locked="true" hidden="false"/>
    </xf>
    <xf numFmtId="164" fontId="8" fillId="0" borderId="1" xfId="0" applyFont="true" applyBorder="true" applyAlignment="false" applyProtection="false">
      <alignment horizontal="general" vertical="bottom" textRotation="0" wrapText="false" indent="0" shrinkToFit="false"/>
      <protection locked="true" hidden="false"/>
    </xf>
    <xf numFmtId="164" fontId="21" fillId="6" borderId="0" xfId="0" applyFont="true" applyBorder="false" applyAlignment="true" applyProtection="false">
      <alignment horizontal="left" vertical="center" textRotation="0" wrapText="false" indent="1" shrinkToFit="false"/>
      <protection locked="true" hidden="false"/>
    </xf>
    <xf numFmtId="164" fontId="22" fillId="0" borderId="0" xfId="0" applyFont="true" applyBorder="false" applyAlignment="true" applyProtection="false">
      <alignment horizontal="left" vertical="top" textRotation="0" wrapText="true" indent="1" shrinkToFit="false"/>
      <protection locked="true" hidden="false"/>
    </xf>
    <xf numFmtId="164" fontId="23" fillId="0" borderId="0" xfId="0" applyFont="true" applyBorder="false" applyAlignment="true" applyProtection="false">
      <alignment horizontal="left" vertical="center" textRotation="0" wrapText="false" indent="1" shrinkToFit="false"/>
      <protection locked="true" hidden="false"/>
    </xf>
    <xf numFmtId="164" fontId="13" fillId="0" borderId="0" xfId="0" applyFont="true" applyBorder="false" applyAlignment="true" applyProtection="false">
      <alignment horizontal="left" vertical="center" textRotation="0" wrapText="false" indent="1" shrinkToFit="false"/>
      <protection locked="true" hidden="false"/>
    </xf>
    <xf numFmtId="164" fontId="24" fillId="7" borderId="0" xfId="0" applyFont="true" applyBorder="false" applyAlignment="true" applyProtection="false">
      <alignment horizontal="left" vertical="top" textRotation="0" wrapText="true" indent="1" shrinkToFit="false"/>
      <protection locked="true" hidden="false"/>
    </xf>
    <xf numFmtId="164" fontId="25" fillId="0" borderId="0" xfId="0" applyFont="true" applyBorder="false" applyAlignment="true" applyProtection="false">
      <alignment horizontal="left" vertical="center" textRotation="0" wrapText="false" indent="1" shrinkToFit="false"/>
      <protection locked="true" hidden="false"/>
    </xf>
    <xf numFmtId="164" fontId="15" fillId="0" borderId="0" xfId="0" applyFont="true" applyBorder="false" applyAlignment="true" applyProtection="false">
      <alignment horizontal="left" vertical="center" textRotation="0" wrapText="false" indent="0" shrinkToFit="false"/>
      <protection locked="true" hidden="false"/>
    </xf>
    <xf numFmtId="164" fontId="17" fillId="3" borderId="0" xfId="0" applyFont="true" applyBorder="false" applyAlignment="true" applyProtection="false">
      <alignment horizontal="center" vertical="center" textRotation="0" wrapText="false" indent="0" shrinkToFit="false"/>
      <protection locked="true" hidden="false"/>
    </xf>
    <xf numFmtId="164" fontId="21" fillId="6" borderId="0" xfId="0" applyFont="true" applyBorder="false" applyAlignment="true" applyProtection="false">
      <alignment horizontal="left" vertical="center" textRotation="0" wrapText="false" indent="0" shrinkToFit="false"/>
      <protection locked="true" hidden="false"/>
    </xf>
    <xf numFmtId="164" fontId="8" fillId="6" borderId="0" xfId="0" applyFont="true" applyBorder="false" applyAlignment="false" applyProtection="false">
      <alignment horizontal="general" vertical="bottom" textRotation="0" wrapText="false" indent="0" shrinkToFit="false"/>
      <protection locked="true" hidden="false"/>
    </xf>
    <xf numFmtId="168" fontId="9" fillId="0" borderId="0" xfId="0" applyFont="true" applyBorder="false" applyAlignment="true" applyProtection="false">
      <alignment horizontal="right" vertical="center" textRotation="0" wrapText="false" indent="0" shrinkToFit="false"/>
      <protection locked="true" hidden="false"/>
    </xf>
    <xf numFmtId="164" fontId="9" fillId="0" borderId="2" xfId="0" applyFont="true" applyBorder="true" applyAlignment="true" applyProtection="false">
      <alignment horizontal="left" vertical="center" textRotation="0" wrapText="false" indent="0" shrinkToFit="false"/>
      <protection locked="true" hidden="false"/>
    </xf>
    <xf numFmtId="168" fontId="9" fillId="0" borderId="2" xfId="0" applyFont="true" applyBorder="true" applyAlignment="true" applyProtection="false">
      <alignment horizontal="right" vertical="center" textRotation="0" wrapText="false" indent="0" shrinkToFit="false"/>
      <protection locked="true" hidden="false"/>
    </xf>
    <xf numFmtId="164" fontId="13" fillId="8" borderId="0" xfId="0" applyFont="true" applyBorder="false" applyAlignment="true" applyProtection="false">
      <alignment horizontal="left" vertical="center" textRotation="0" wrapText="false" indent="0" shrinkToFit="false"/>
      <protection locked="true" hidden="false"/>
    </xf>
    <xf numFmtId="164" fontId="8" fillId="8" borderId="0" xfId="0" applyFont="true" applyBorder="false" applyAlignment="false" applyProtection="false">
      <alignment horizontal="general" vertical="bottom" textRotation="0" wrapText="false" indent="0" shrinkToFit="false"/>
      <protection locked="true" hidden="false"/>
    </xf>
    <xf numFmtId="164" fontId="13" fillId="6" borderId="0" xfId="0" applyFont="true" applyBorder="false" applyAlignment="true" applyProtection="false">
      <alignment horizontal="left" vertical="center" textRotation="0" wrapText="false" indent="0" shrinkToFit="false"/>
      <protection locked="true" hidden="false"/>
    </xf>
    <xf numFmtId="164" fontId="26" fillId="0" borderId="0" xfId="0" applyFont="true" applyBorder="false" applyAlignment="true" applyProtection="false">
      <alignment horizontal="left" vertical="center" textRotation="0" wrapText="false" indent="0" shrinkToFit="false"/>
      <protection locked="true" hidden="false"/>
    </xf>
    <xf numFmtId="167" fontId="26" fillId="0" borderId="0" xfId="0" applyFont="true" applyBorder="false" applyAlignment="true" applyProtection="false">
      <alignment horizontal="right" vertical="center" textRotation="0" wrapText="false" indent="0" shrinkToFit="false"/>
      <protection locked="true" hidden="false"/>
    </xf>
    <xf numFmtId="169" fontId="10" fillId="0" borderId="0" xfId="0" applyFont="true" applyBorder="false" applyAlignment="true" applyProtection="false">
      <alignment horizontal="right" vertical="center" textRotation="0" wrapText="false" indent="0" shrinkToFit="false"/>
      <protection locked="true" hidden="false"/>
    </xf>
    <xf numFmtId="170" fontId="10" fillId="0" borderId="0" xfId="0" applyFont="true" applyBorder="false" applyAlignment="true" applyProtection="false">
      <alignment horizontal="righ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colors>
    <indexedColors>
      <rgbColor rgb="FF000000"/>
      <rgbColor rgb="FFFFFFFF"/>
      <rgbColor rgb="FFC0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0"/>
      <rgbColor rgb="FFEBF3FB"/>
      <rgbColor rgb="FF660066"/>
      <rgbColor rgb="FFFF8080"/>
      <rgbColor rgb="FF1F4E79"/>
      <rgbColor rgb="FFC6D9F1"/>
      <rgbColor rgb="FF000080"/>
      <rgbColor rgb="FFFF00FF"/>
      <rgbColor rgb="FFFFFF00"/>
      <rgbColor rgb="FF00FFFF"/>
      <rgbColor rgb="FF800080"/>
      <rgbColor rgb="FF800000"/>
      <rgbColor rgb="FF008080"/>
      <rgbColor rgb="FF0000CC"/>
      <rgbColor rgb="FF00CCFF"/>
      <rgbColor rgb="FFD6E4F0"/>
      <rgbColor rgb="FFF2F2F2"/>
      <rgbColor rgb="FFFFFF99"/>
      <rgbColor rgb="FF99CCFF"/>
      <rgbColor rgb="FFFF99CC"/>
      <rgbColor rgb="FFCC99FF"/>
      <rgbColor rgb="FFFFCC99"/>
      <rgbColor rgb="FF2E75B6"/>
      <rgbColor rgb="FF33CCCC"/>
      <rgbColor rgb="FF99CC00"/>
      <rgbColor rgb="FFFFCC00"/>
      <rgbColor rgb="FFBF8F00"/>
      <rgbColor rgb="FFFF6600"/>
      <rgbColor rgb="FF595959"/>
      <rgbColor rgb="FF969696"/>
      <rgbColor rgb="FF203864"/>
      <rgbColor rgb="FF339966"/>
      <rgbColor rgb="FF375623"/>
      <rgbColor rgb="FF404040"/>
      <rgbColor rgb="FF843C0C"/>
      <rgbColor rgb="FF993366"/>
      <rgbColor rgb="FF1F497D"/>
      <rgbColor rgb="FF26262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finamodel.com/" TargetMode="External"/><Relationship Id="rId2" Type="http://schemas.openxmlformats.org/officeDocument/2006/relationships/hyperlink" Target="infrastructure-bond.xlsx" TargetMode="External"/><Relationship Id="rId3" Type="http://schemas.openxmlformats.org/officeDocument/2006/relationships/hyperlink" Target="infrastructure-bond.xlsx" TargetMode="External"/><Relationship Id="rId4" Type="http://schemas.openxmlformats.org/officeDocument/2006/relationships/hyperlink" Target="infrastructure-bond.xlsx" TargetMode="External"/><Relationship Id="rId5" Type="http://schemas.openxmlformats.org/officeDocument/2006/relationships/hyperlink" Target="infrastructure-bond.xlsx" TargetMode="External"/><Relationship Id="rId6" Type="http://schemas.openxmlformats.org/officeDocument/2006/relationships/hyperlink" Target="infrastructure-bond.xlsx" TargetMode="External"/><Relationship Id="rId7" Type="http://schemas.openxmlformats.org/officeDocument/2006/relationships/hyperlink" Target="infrastructure-bond.xlsx" TargetMode="External"/><Relationship Id="rId8" Type="http://schemas.openxmlformats.org/officeDocument/2006/relationships/hyperlink" Target="infrastructure-bond.xlsx" TargetMode="External"/><Relationship Id="rId9" Type="http://schemas.openxmlformats.org/officeDocument/2006/relationships/hyperlink" Target="infrastructure-bond.xlsx" TargetMode="External"/><Relationship Id="rId10" Type="http://schemas.openxmlformats.org/officeDocument/2006/relationships/hyperlink" Target="infrastructure-bond.xlsx"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AD26"/>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5"/>
    <col collapsed="false" customWidth="true" hidden="false" outlineLevel="0" max="3" min="3" style="0" width="30"/>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0</v>
      </c>
      <c r="C2" s="1"/>
      <c r="D2" s="3" t="s">
        <v>1</v>
      </c>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2</v>
      </c>
      <c r="C3" s="1"/>
      <c r="D3" s="1"/>
      <c r="E3" s="1"/>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A4" s="5"/>
      <c r="B4" s="5"/>
      <c r="C4" s="5"/>
      <c r="D4" s="5"/>
      <c r="E4" s="5"/>
      <c r="F4" s="5"/>
      <c r="G4" s="5"/>
      <c r="H4" s="5"/>
      <c r="I4" s="5"/>
      <c r="J4" s="5"/>
      <c r="K4" s="5"/>
      <c r="L4" s="5"/>
      <c r="M4" s="5"/>
      <c r="N4" s="5"/>
      <c r="O4" s="5"/>
      <c r="P4" s="5"/>
      <c r="Q4" s="5"/>
      <c r="R4" s="5"/>
      <c r="S4" s="5"/>
      <c r="T4" s="5"/>
      <c r="U4" s="5"/>
      <c r="V4" s="5"/>
      <c r="W4" s="5"/>
      <c r="X4" s="5"/>
      <c r="Y4" s="5"/>
      <c r="Z4" s="5"/>
      <c r="AA4" s="5"/>
      <c r="AB4" s="5"/>
      <c r="AC4" s="5"/>
      <c r="AD4" s="5"/>
    </row>
    <row r="5" customFormat="false" ht="15" hidden="false" customHeight="false" outlineLevel="0" collapsed="false">
      <c r="A5" s="5"/>
      <c r="B5" s="6" t="s">
        <v>3</v>
      </c>
      <c r="C5" s="7" t="str">
        <f aca="false">IF(Mode_Toggle=1,"Pension Fund","Endowment")</f>
        <v>Pension Fund</v>
      </c>
      <c r="D5" s="5"/>
      <c r="E5" s="5"/>
      <c r="F5" s="5"/>
      <c r="G5" s="5"/>
      <c r="H5" s="5"/>
      <c r="I5" s="5"/>
      <c r="J5" s="5"/>
      <c r="K5" s="5"/>
      <c r="L5" s="5"/>
      <c r="M5" s="5"/>
      <c r="N5" s="5"/>
      <c r="O5" s="5"/>
      <c r="P5" s="5"/>
      <c r="Q5" s="5"/>
      <c r="R5" s="5"/>
      <c r="S5" s="5"/>
      <c r="T5" s="5"/>
      <c r="U5" s="5"/>
      <c r="V5" s="5"/>
      <c r="W5" s="5"/>
      <c r="X5" s="5"/>
      <c r="Y5" s="5"/>
      <c r="Z5" s="5"/>
      <c r="AA5" s="5"/>
      <c r="AB5" s="5"/>
      <c r="AC5" s="5"/>
      <c r="AD5" s="5"/>
    </row>
    <row r="6" customFormat="false" ht="15" hidden="false" customHeight="false" outlineLevel="0" collapsed="false">
      <c r="A6" s="5"/>
      <c r="B6" s="6" t="s">
        <v>4</v>
      </c>
      <c r="C6" s="7" t="str">
        <f aca="false">CHOOSE(Scenario_Toggle,"Base","Bull","Bear")</f>
        <v>Base</v>
      </c>
      <c r="D6" s="5"/>
      <c r="E6" s="5"/>
      <c r="F6" s="5"/>
      <c r="G6" s="5"/>
      <c r="H6" s="5"/>
      <c r="I6" s="5"/>
      <c r="J6" s="5"/>
      <c r="K6" s="5"/>
      <c r="L6" s="5"/>
      <c r="M6" s="5"/>
      <c r="N6" s="5"/>
      <c r="O6" s="5"/>
      <c r="P6" s="5"/>
      <c r="Q6" s="5"/>
      <c r="R6" s="5"/>
      <c r="S6" s="5"/>
      <c r="T6" s="5"/>
      <c r="U6" s="5"/>
      <c r="V6" s="5"/>
      <c r="W6" s="5"/>
      <c r="X6" s="5"/>
      <c r="Y6" s="5"/>
      <c r="Z6" s="5"/>
      <c r="AA6" s="5"/>
      <c r="AB6" s="5"/>
      <c r="AC6" s="5"/>
      <c r="AD6" s="5"/>
    </row>
    <row r="7" customFormat="false" ht="15" hidden="false" customHeight="false" outlineLevel="0" collapsed="false">
      <c r="A7" s="5"/>
      <c r="B7" s="5"/>
      <c r="C7" s="5"/>
      <c r="D7" s="5"/>
      <c r="E7" s="5"/>
      <c r="F7" s="5"/>
      <c r="G7" s="5"/>
      <c r="H7" s="5"/>
      <c r="I7" s="5"/>
      <c r="J7" s="5"/>
      <c r="K7" s="5"/>
      <c r="L7" s="5"/>
      <c r="M7" s="5"/>
      <c r="N7" s="5"/>
      <c r="O7" s="5"/>
      <c r="P7" s="5"/>
      <c r="Q7" s="5"/>
      <c r="R7" s="5"/>
      <c r="S7" s="5"/>
      <c r="T7" s="5"/>
      <c r="U7" s="5"/>
      <c r="V7" s="5"/>
      <c r="W7" s="5"/>
      <c r="X7" s="5"/>
      <c r="Y7" s="5"/>
      <c r="Z7" s="5"/>
      <c r="AA7" s="5"/>
      <c r="AB7" s="5"/>
      <c r="AC7" s="5"/>
      <c r="AD7" s="5"/>
    </row>
    <row r="8" customFormat="false" ht="15" hidden="false" customHeight="false" outlineLevel="0" collapsed="false">
      <c r="A8" s="5"/>
      <c r="B8" s="6" t="s">
        <v>5</v>
      </c>
      <c r="C8" s="5"/>
      <c r="D8" s="5"/>
      <c r="E8" s="5"/>
      <c r="F8" s="5"/>
      <c r="G8" s="5"/>
      <c r="H8" s="5"/>
      <c r="I8" s="5"/>
      <c r="J8" s="5"/>
      <c r="K8" s="5"/>
      <c r="L8" s="5"/>
      <c r="M8" s="5"/>
      <c r="N8" s="5"/>
      <c r="O8" s="5"/>
      <c r="P8" s="5"/>
      <c r="Q8" s="5"/>
      <c r="R8" s="5"/>
      <c r="S8" s="5"/>
      <c r="T8" s="5"/>
      <c r="U8" s="5"/>
      <c r="V8" s="5"/>
      <c r="W8" s="5"/>
      <c r="X8" s="5"/>
      <c r="Y8" s="5"/>
      <c r="Z8" s="5"/>
      <c r="AA8" s="5"/>
      <c r="AB8" s="5"/>
      <c r="AC8" s="5"/>
      <c r="AD8" s="5"/>
    </row>
    <row r="9" customFormat="false" ht="15" hidden="false" customHeight="false" outlineLevel="0" collapsed="false">
      <c r="A9" s="5"/>
      <c r="B9" s="8" t="s">
        <v>6</v>
      </c>
      <c r="C9" s="5"/>
      <c r="D9" s="5"/>
      <c r="E9" s="5"/>
      <c r="F9" s="5"/>
      <c r="G9" s="5"/>
      <c r="H9" s="5"/>
      <c r="I9" s="5"/>
      <c r="J9" s="5"/>
      <c r="K9" s="5"/>
      <c r="L9" s="5"/>
      <c r="M9" s="5"/>
      <c r="N9" s="5"/>
      <c r="O9" s="5"/>
      <c r="P9" s="5"/>
      <c r="Q9" s="5"/>
      <c r="R9" s="5"/>
      <c r="S9" s="5"/>
      <c r="T9" s="5"/>
      <c r="U9" s="5"/>
      <c r="V9" s="5"/>
      <c r="W9" s="5"/>
      <c r="X9" s="5"/>
      <c r="Y9" s="5"/>
      <c r="Z9" s="5"/>
      <c r="AA9" s="5"/>
      <c r="AB9" s="5"/>
      <c r="AC9" s="5"/>
      <c r="AD9" s="5"/>
    </row>
    <row r="10" customFormat="false" ht="15" hidden="false" customHeight="false" outlineLevel="0" collapsed="false">
      <c r="A10" s="5"/>
      <c r="B10" s="8" t="s">
        <v>7</v>
      </c>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row>
    <row r="11" customFormat="false" ht="15" hidden="false" customHeight="false" outlineLevel="0" collapsed="false">
      <c r="A11" s="5"/>
      <c r="B11" s="8" t="s">
        <v>8</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row>
    <row r="12" customFormat="false" ht="15" hidden="false" customHeight="false" outlineLevel="0" collapsed="false">
      <c r="A12" s="5"/>
      <c r="B12" s="8" t="s">
        <v>9</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row>
    <row r="13" customFormat="false" ht="15" hidden="false" customHeight="false" outlineLevel="0" collapsed="false">
      <c r="A13" s="5"/>
      <c r="B13" s="8" t="s">
        <v>10</v>
      </c>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row>
    <row r="14" customFormat="false" ht="15" hidden="false" customHeight="false" outlineLevel="0" collapsed="false">
      <c r="A14" s="5"/>
      <c r="B14" s="8" t="s">
        <v>11</v>
      </c>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row>
    <row r="15" customFormat="false" ht="15" hidden="false" customHeight="false" outlineLevel="0" collapsed="false">
      <c r="A15" s="5"/>
      <c r="B15" s="8" t="s">
        <v>12</v>
      </c>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row>
    <row r="16" customFormat="false" ht="15" hidden="false" customHeight="false" outlineLevel="0" collapsed="false">
      <c r="A16" s="5"/>
      <c r="B16" s="8" t="s">
        <v>13</v>
      </c>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row>
    <row r="17" customFormat="false" ht="15" hidden="false" customHeight="false" outlineLevel="0" collapsed="false">
      <c r="A17" s="5"/>
      <c r="B17" s="8" t="s">
        <v>14</v>
      </c>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row>
    <row r="18" customFormat="false" ht="15" hidden="false" customHeight="false" outlineLevel="0" collapsed="false">
      <c r="A18" s="5"/>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row>
    <row r="19" customFormat="false" ht="15" hidden="false" customHeight="false" outlineLevel="0" collapsed="false">
      <c r="A19" s="5"/>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row>
    <row r="20" customFormat="false" ht="19.5" hidden="false" customHeight="true" outlineLevel="0" collapsed="false">
      <c r="A20" s="5"/>
      <c r="B20" s="9" t="s">
        <v>15</v>
      </c>
      <c r="C20" s="10"/>
      <c r="D20" s="10"/>
      <c r="E20" s="10"/>
      <c r="F20" s="10"/>
      <c r="G20" s="10"/>
      <c r="H20" s="5"/>
      <c r="I20" s="5"/>
      <c r="J20" s="5"/>
      <c r="K20" s="5"/>
      <c r="L20" s="5"/>
      <c r="M20" s="5"/>
      <c r="N20" s="5"/>
      <c r="O20" s="5"/>
      <c r="P20" s="5"/>
      <c r="Q20" s="5"/>
      <c r="R20" s="5"/>
      <c r="S20" s="5"/>
      <c r="T20" s="5"/>
      <c r="U20" s="5"/>
      <c r="V20" s="5"/>
      <c r="W20" s="5"/>
      <c r="X20" s="5"/>
      <c r="Y20" s="5"/>
      <c r="Z20" s="5"/>
      <c r="AA20" s="5"/>
      <c r="AB20" s="5"/>
      <c r="AC20" s="5"/>
      <c r="AD20" s="5"/>
    </row>
    <row r="21" customFormat="false" ht="220.5" hidden="false" customHeight="true" outlineLevel="0" collapsed="false">
      <c r="A21" s="5"/>
      <c r="B21" s="11" t="s">
        <v>16</v>
      </c>
      <c r="C21" s="11"/>
      <c r="D21" s="11"/>
      <c r="E21" s="11"/>
      <c r="F21" s="11"/>
      <c r="G21" s="11"/>
      <c r="H21" s="5"/>
      <c r="I21" s="5"/>
      <c r="J21" s="5"/>
      <c r="K21" s="5"/>
      <c r="L21" s="5"/>
      <c r="M21" s="5"/>
      <c r="N21" s="5"/>
      <c r="O21" s="5"/>
      <c r="P21" s="5"/>
      <c r="Q21" s="5"/>
      <c r="R21" s="5"/>
      <c r="S21" s="5"/>
      <c r="T21" s="5"/>
      <c r="U21" s="5"/>
      <c r="V21" s="5"/>
      <c r="W21" s="5"/>
      <c r="X21" s="5"/>
      <c r="Y21" s="5"/>
      <c r="Z21" s="5"/>
      <c r="AA21" s="5"/>
      <c r="AB21" s="5"/>
      <c r="AC21" s="5"/>
      <c r="AD21" s="5"/>
    </row>
    <row r="22" customFormat="false" ht="15" hidden="false" customHeight="false" outlineLevel="0" collapsed="false">
      <c r="A22" s="5"/>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row>
    <row r="23" customFormat="false" ht="19.5" hidden="false" customHeight="true" outlineLevel="0" collapsed="false">
      <c r="A23" s="5"/>
      <c r="B23" s="9" t="s">
        <v>17</v>
      </c>
      <c r="C23" s="10"/>
      <c r="D23" s="10"/>
      <c r="E23" s="10"/>
      <c r="F23" s="10"/>
      <c r="G23" s="10"/>
      <c r="H23" s="5"/>
      <c r="I23" s="5"/>
      <c r="J23" s="5"/>
      <c r="K23" s="5"/>
      <c r="L23" s="5"/>
      <c r="M23" s="5"/>
      <c r="N23" s="5"/>
      <c r="O23" s="5"/>
      <c r="P23" s="5"/>
      <c r="Q23" s="5"/>
      <c r="R23" s="5"/>
      <c r="S23" s="5"/>
      <c r="T23" s="5"/>
      <c r="U23" s="5"/>
      <c r="V23" s="5"/>
      <c r="W23" s="5"/>
      <c r="X23" s="5"/>
      <c r="Y23" s="5"/>
      <c r="Z23" s="5"/>
      <c r="AA23" s="5"/>
      <c r="AB23" s="5"/>
      <c r="AC23" s="5"/>
      <c r="AD23" s="5"/>
    </row>
    <row r="24" customFormat="false" ht="57" hidden="false" customHeight="true" outlineLevel="0" collapsed="false">
      <c r="A24" s="5"/>
      <c r="B24" s="11" t="s">
        <v>18</v>
      </c>
      <c r="C24" s="11"/>
      <c r="D24" s="11"/>
      <c r="E24" s="11"/>
      <c r="F24" s="11"/>
      <c r="G24" s="11"/>
      <c r="H24" s="5"/>
      <c r="I24" s="5"/>
      <c r="J24" s="5"/>
      <c r="K24" s="5"/>
      <c r="L24" s="5"/>
      <c r="M24" s="5"/>
      <c r="N24" s="5"/>
      <c r="O24" s="5"/>
      <c r="P24" s="5"/>
      <c r="Q24" s="5"/>
      <c r="R24" s="5"/>
      <c r="S24" s="5"/>
      <c r="T24" s="5"/>
      <c r="U24" s="5"/>
      <c r="V24" s="5"/>
      <c r="W24" s="5"/>
      <c r="X24" s="5"/>
      <c r="Y24" s="5"/>
      <c r="Z24" s="5"/>
      <c r="AA24" s="5"/>
      <c r="AB24" s="5"/>
      <c r="AC24" s="5"/>
      <c r="AD24" s="5"/>
    </row>
    <row r="25" customFormat="false" ht="15" hidden="false" customHeight="false" outlineLevel="0" collapsed="false">
      <c r="A25" s="5"/>
      <c r="B25" s="12" t="s">
        <v>19</v>
      </c>
      <c r="C25" s="12"/>
      <c r="D25" s="12"/>
      <c r="E25" s="12"/>
      <c r="F25" s="12"/>
      <c r="G25" s="12"/>
      <c r="H25" s="5"/>
      <c r="I25" s="5"/>
      <c r="J25" s="5"/>
      <c r="K25" s="5"/>
      <c r="L25" s="5"/>
      <c r="M25" s="5"/>
      <c r="N25" s="5"/>
      <c r="O25" s="5"/>
      <c r="P25" s="5"/>
      <c r="Q25" s="5"/>
      <c r="R25" s="5"/>
      <c r="S25" s="5"/>
      <c r="T25" s="5"/>
      <c r="U25" s="5"/>
      <c r="V25" s="5"/>
      <c r="W25" s="5"/>
      <c r="X25" s="5"/>
      <c r="Y25" s="5"/>
      <c r="Z25" s="5"/>
      <c r="AA25" s="5"/>
      <c r="AB25" s="5"/>
      <c r="AC25" s="5"/>
      <c r="AD25" s="5"/>
    </row>
    <row r="26" customFormat="false" ht="15" hidden="false" customHeight="false" outlineLevel="0" collapsed="false">
      <c r="A26" s="5"/>
      <c r="B26" s="13" t="s">
        <v>20</v>
      </c>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row>
  </sheetData>
  <mergeCells count="3">
    <mergeCell ref="B21:G21"/>
    <mergeCell ref="B24:G24"/>
    <mergeCell ref="B25:G25"/>
  </mergeCells>
  <hyperlinks>
    <hyperlink ref="D2" r:id="rId1" display="FINAMODEL.com"/>
    <hyperlink ref="B9" r:id="rId2" location="Assumptions!A1" display="Assumptions"/>
    <hyperlink ref="B10" r:id="rId3" location="Asset_Allocation!A1" display="Asset Allocation"/>
    <hyperlink ref="B11" r:id="rId4" location="Fee_Schedule!A1" display="Fee Schedule"/>
    <hyperlink ref="B12" r:id="rId5" location="Contributions_Payouts!A1" display="Contributions &amp; Payouts"/>
    <hyperlink ref="B13" r:id="rId6" location="Liability_Rollforward!A1" display="Liability Roll-forward"/>
    <hyperlink ref="B14" r:id="rId7" location="AUM_Rollforward!A1" display="AUM Roll-forward"/>
    <hyperlink ref="B15" r:id="rId8" location="Funded_Status!A1" display="Funded Status"/>
    <hyperlink ref="B16" r:id="rId9" location="Cash_Flow!A1" display="Cash Flow"/>
    <hyperlink ref="B17" r:id="rId10" location="Checks!A1" display="Checks"/>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843C0C"/>
    <pageSetUpPr fitToPage="false"/>
  </sheetPr>
  <dimension ref="A1:L1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6"/>
    <col collapsed="false" customWidth="true" hidden="false" outlineLevel="0" max="12" min="3" style="0" width="12"/>
  </cols>
  <sheetData>
    <row r="1" customFormat="false" ht="15" hidden="false" customHeight="false" outlineLevel="0" collapsed="false">
      <c r="A1" s="5"/>
      <c r="B1" s="5"/>
      <c r="C1" s="5"/>
      <c r="D1" s="5"/>
      <c r="E1" s="5"/>
      <c r="F1" s="5"/>
      <c r="G1" s="5"/>
      <c r="H1" s="5"/>
      <c r="I1" s="5"/>
      <c r="J1" s="5"/>
      <c r="K1" s="5"/>
      <c r="L1" s="5"/>
    </row>
    <row r="2" customFormat="false" ht="22.05" hidden="false" customHeight="false" outlineLevel="0" collapsed="false">
      <c r="A2" s="5"/>
      <c r="B2" s="29" t="s">
        <v>217</v>
      </c>
      <c r="C2" s="5"/>
      <c r="D2" s="5"/>
      <c r="E2" s="5"/>
      <c r="F2" s="5"/>
      <c r="G2" s="5"/>
      <c r="H2" s="5"/>
      <c r="I2" s="5"/>
      <c r="J2" s="5"/>
      <c r="K2" s="5"/>
      <c r="L2" s="5"/>
    </row>
    <row r="3" customFormat="false" ht="15" hidden="false" customHeight="false" outlineLevel="0" collapsed="false">
      <c r="A3" s="5"/>
      <c r="B3" s="37" t="s">
        <v>218</v>
      </c>
      <c r="C3" s="5"/>
      <c r="D3" s="5"/>
      <c r="E3" s="5"/>
      <c r="F3" s="5"/>
      <c r="G3" s="5"/>
      <c r="H3" s="5"/>
      <c r="I3" s="5"/>
      <c r="J3" s="5"/>
      <c r="K3" s="5"/>
      <c r="L3" s="5"/>
    </row>
    <row r="4" customFormat="false" ht="15" hidden="false" customHeight="false" outlineLevel="0" collapsed="false">
      <c r="A4" s="5"/>
      <c r="B4" s="5"/>
      <c r="C4" s="38" t="s">
        <v>82</v>
      </c>
      <c r="D4" s="38" t="s">
        <v>83</v>
      </c>
      <c r="E4" s="38" t="s">
        <v>84</v>
      </c>
      <c r="F4" s="38" t="s">
        <v>85</v>
      </c>
      <c r="G4" s="38" t="s">
        <v>86</v>
      </c>
      <c r="H4" s="38" t="s">
        <v>87</v>
      </c>
      <c r="I4" s="38" t="s">
        <v>88</v>
      </c>
      <c r="J4" s="38" t="s">
        <v>89</v>
      </c>
      <c r="K4" s="38" t="s">
        <v>90</v>
      </c>
      <c r="L4" s="38" t="s">
        <v>91</v>
      </c>
    </row>
    <row r="5" customFormat="false" ht="15" hidden="false" customHeight="false" outlineLevel="0" collapsed="false">
      <c r="A5" s="5"/>
      <c r="B5" s="39" t="s">
        <v>219</v>
      </c>
      <c r="C5" s="40"/>
      <c r="D5" s="40"/>
      <c r="E5" s="40"/>
      <c r="F5" s="40"/>
      <c r="G5" s="40"/>
      <c r="H5" s="40"/>
      <c r="I5" s="40"/>
      <c r="J5" s="40"/>
      <c r="K5" s="40"/>
      <c r="L5" s="40"/>
    </row>
    <row r="6" customFormat="false" ht="15" hidden="false" customHeight="false" outlineLevel="0" collapsed="false">
      <c r="A6" s="5"/>
      <c r="B6" s="16" t="s">
        <v>220</v>
      </c>
      <c r="C6" s="26" t="n">
        <f aca="false">IF(Mode_Toggle=1,CP_Contributions,CP_Annual_Gifts)</f>
        <v>185.4225</v>
      </c>
      <c r="D6" s="26" t="n">
        <f aca="false">IF(Mode_Toggle=1,Contributions_Payouts!D9,Contributions_Payouts!D13)</f>
        <v>191.0083528125</v>
      </c>
      <c r="E6" s="26" t="n">
        <f aca="false">IF(Mode_Toggle=1,Contributions_Payouts!E9,Contributions_Payouts!E13)</f>
        <v>196.762479440976</v>
      </c>
      <c r="F6" s="26" t="n">
        <f aca="false">IF(Mode_Toggle=1,Contributions_Payouts!F9,Contributions_Payouts!F13)</f>
        <v>202.689949134136</v>
      </c>
      <c r="G6" s="26" t="n">
        <f aca="false">IF(Mode_Toggle=1,Contributions_Payouts!G9,Contributions_Payouts!G13)</f>
        <v>208.795983851802</v>
      </c>
      <c r="H6" s="26" t="n">
        <f aca="false">IF(Mode_Toggle=1,Contributions_Payouts!H9,Contributions_Payouts!H13)</f>
        <v>215.085962865337</v>
      </c>
      <c r="I6" s="26" t="n">
        <f aca="false">IF(Mode_Toggle=1,Contributions_Payouts!I9,Contributions_Payouts!I13)</f>
        <v>221.565427496655</v>
      </c>
      <c r="J6" s="26" t="n">
        <f aca="false">IF(Mode_Toggle=1,Contributions_Payouts!J9,Contributions_Payouts!J13)</f>
        <v>228.240085999992</v>
      </c>
      <c r="K6" s="26" t="n">
        <f aca="false">IF(Mode_Toggle=1,Contributions_Payouts!K9,Contributions_Payouts!K13)</f>
        <v>235.115818590742</v>
      </c>
      <c r="L6" s="26" t="n">
        <f aca="false">IF(Mode_Toggle=1,Contributions_Payouts!L9,Contributions_Payouts!L13)</f>
        <v>242.198682625788</v>
      </c>
    </row>
    <row r="7" customFormat="false" ht="15" hidden="false" customHeight="false" outlineLevel="0" collapsed="false">
      <c r="A7" s="5"/>
      <c r="B7" s="16" t="s">
        <v>221</v>
      </c>
      <c r="C7" s="26" t="n">
        <f aca="false">AUM_Total_Beginning*Blended_Income_Yield</f>
        <v>500</v>
      </c>
      <c r="D7" s="26" t="n">
        <f aca="false">AUM_Rollforward!D48*Blended_Income_Yield</f>
        <v>532.6695625</v>
      </c>
      <c r="E7" s="26" t="n">
        <f aca="false">AUM_Rollforward!E48*Blended_Income_Yield</f>
        <v>567.694543925313</v>
      </c>
      <c r="F7" s="26" t="n">
        <f aca="false">AUM_Rollforward!F48*Blended_Income_Yield</f>
        <v>605.255326952361</v>
      </c>
      <c r="G7" s="26" t="n">
        <f aca="false">AUM_Rollforward!G48*Blended_Income_Yield</f>
        <v>645.54689534932</v>
      </c>
      <c r="H7" s="26" t="n">
        <f aca="false">AUM_Rollforward!H48*Blended_Income_Yield</f>
        <v>688.780075882277</v>
      </c>
      <c r="I7" s="26" t="n">
        <f aca="false">AUM_Rollforward!I48*Blended_Income_Yield</f>
        <v>735.18289021826</v>
      </c>
      <c r="J7" s="26" t="n">
        <f aca="false">AUM_Rollforward!J48*Blended_Income_Yield</f>
        <v>785.002026873958</v>
      </c>
      <c r="K7" s="26" t="n">
        <f aca="false">AUM_Rollforward!K48*Blended_Income_Yield</f>
        <v>838.504444198027</v>
      </c>
      <c r="L7" s="26" t="n">
        <f aca="false">AUM_Rollforward!L48*Blended_Income_Yield</f>
        <v>895.979116403112</v>
      </c>
    </row>
    <row r="8" customFormat="false" ht="15" hidden="false" customHeight="false" outlineLevel="0" collapsed="false">
      <c r="A8" s="5"/>
      <c r="B8" s="16" t="s">
        <v>222</v>
      </c>
      <c r="C8" s="26" t="n">
        <f aca="false">AUM_PE_Beginning*PE_Distribution_Rate</f>
        <v>54</v>
      </c>
      <c r="D8" s="26" t="n">
        <f aca="false">AUM_Rollforward!D20*PE_Distribution_Rate</f>
        <v>59.42500875</v>
      </c>
      <c r="E8" s="26" t="n">
        <f aca="false">AUM_Rollforward!E20*PE_Distribution_Rate</f>
        <v>65.3935431844687</v>
      </c>
      <c r="F8" s="26" t="n">
        <f aca="false">AUM_Rollforward!F20*PE_Distribution_Rate</f>
        <v>71.9595061304296</v>
      </c>
      <c r="G8" s="26" t="n">
        <f aca="false">AUM_Rollforward!G20*PE_Distribution_Rate</f>
        <v>79.182122198456</v>
      </c>
      <c r="H8" s="26" t="n">
        <f aca="false">AUM_Rollforward!H20*PE_Distribution_Rate</f>
        <v>87.1264623706936</v>
      </c>
      <c r="I8" s="26" t="n">
        <f aca="false">AUM_Rollforward!I20*PE_Distribution_Rate</f>
        <v>95.8640202729224</v>
      </c>
      <c r="J8" s="26" t="n">
        <f aca="false">AUM_Rollforward!J20*PE_Distribution_Rate</f>
        <v>105.47334522191</v>
      </c>
      <c r="K8" s="26" t="n">
        <f aca="false">AUM_Rollforward!K20*PE_Distribution_Rate</f>
        <v>116.0407376408</v>
      </c>
      <c r="L8" s="26" t="n">
        <f aca="false">AUM_Rollforward!L20*PE_Distribution_Rate</f>
        <v>127.66101298618</v>
      </c>
    </row>
    <row r="9" customFormat="false" ht="15" hidden="false" customHeight="false" outlineLevel="0" collapsed="false">
      <c r="A9" s="5"/>
      <c r="B9" s="42" t="s">
        <v>223</v>
      </c>
      <c r="C9" s="43" t="n">
        <f aca="false">C6+C7+C8</f>
        <v>739.4225</v>
      </c>
      <c r="D9" s="43" t="n">
        <f aca="false">D6+D7+D8</f>
        <v>783.1029240625</v>
      </c>
      <c r="E9" s="43" t="n">
        <f aca="false">E6+E7+E8</f>
        <v>829.850566550758</v>
      </c>
      <c r="F9" s="43" t="n">
        <f aca="false">F6+F7+F8</f>
        <v>879.904782216927</v>
      </c>
      <c r="G9" s="43" t="n">
        <f aca="false">G6+G7+G8</f>
        <v>933.525001399577</v>
      </c>
      <c r="H9" s="43" t="n">
        <f aca="false">H6+H7+H8</f>
        <v>990.992501118307</v>
      </c>
      <c r="I9" s="43" t="n">
        <f aca="false">I6+I7+I8</f>
        <v>1052.61233798784</v>
      </c>
      <c r="J9" s="43" t="n">
        <f aca="false">J6+J7+J8</f>
        <v>1118.71545809586</v>
      </c>
      <c r="K9" s="43" t="n">
        <f aca="false">K6+K7+K8</f>
        <v>1189.66100042957</v>
      </c>
      <c r="L9" s="43" t="n">
        <f aca="false">L6+L7+L8</f>
        <v>1265.83881201508</v>
      </c>
    </row>
    <row r="10" customFormat="false" ht="15" hidden="false" customHeight="false" outlineLevel="0" collapsed="false">
      <c r="A10" s="5"/>
      <c r="B10" s="39" t="s">
        <v>224</v>
      </c>
      <c r="C10" s="40"/>
      <c r="D10" s="40"/>
      <c r="E10" s="40"/>
      <c r="F10" s="40"/>
      <c r="G10" s="40"/>
      <c r="H10" s="40"/>
      <c r="I10" s="40"/>
      <c r="J10" s="40"/>
      <c r="K10" s="40"/>
      <c r="L10" s="40"/>
    </row>
    <row r="11" customFormat="false" ht="15" hidden="false" customHeight="false" outlineLevel="0" collapsed="false">
      <c r="A11" s="5"/>
      <c r="B11" s="16" t="s">
        <v>225</v>
      </c>
      <c r="C11" s="26" t="n">
        <f aca="false">IF(Mode_Toggle=1,CP_Benefits_Paid,CP_Endowment_Spending)</f>
        <v>-146.16</v>
      </c>
      <c r="D11" s="26" t="n">
        <f aca="false">IF(Mode_Toggle=1,Contributions_Payouts!D10,Contributions_Payouts!D14)</f>
        <v>-148.3524</v>
      </c>
      <c r="E11" s="26" t="n">
        <f aca="false">IF(Mode_Toggle=1,Contributions_Payouts!E10,Contributions_Payouts!E14)</f>
        <v>-150.577686</v>
      </c>
      <c r="F11" s="26" t="n">
        <f aca="false">IF(Mode_Toggle=1,Contributions_Payouts!F10,Contributions_Payouts!F14)</f>
        <v>-152.83635129</v>
      </c>
      <c r="G11" s="26" t="n">
        <f aca="false">IF(Mode_Toggle=1,Contributions_Payouts!G10,Contributions_Payouts!G14)</f>
        <v>-155.12889655935</v>
      </c>
      <c r="H11" s="26" t="n">
        <f aca="false">IF(Mode_Toggle=1,Contributions_Payouts!H10,Contributions_Payouts!H14)</f>
        <v>-157.45583000774</v>
      </c>
      <c r="I11" s="26" t="n">
        <f aca="false">IF(Mode_Toggle=1,Contributions_Payouts!I10,Contributions_Payouts!I14)</f>
        <v>-159.817667457856</v>
      </c>
      <c r="J11" s="26" t="n">
        <f aca="false">IF(Mode_Toggle=1,Contributions_Payouts!J10,Contributions_Payouts!J14)</f>
        <v>-162.214932469724</v>
      </c>
      <c r="K11" s="26" t="n">
        <f aca="false">IF(Mode_Toggle=1,Contributions_Payouts!K10,Contributions_Payouts!K14)</f>
        <v>-164.64815645677</v>
      </c>
      <c r="L11" s="26" t="n">
        <f aca="false">IF(Mode_Toggle=1,Contributions_Payouts!L10,Contributions_Payouts!L14)</f>
        <v>-167.117878803621</v>
      </c>
    </row>
    <row r="12" customFormat="false" ht="15" hidden="false" customHeight="false" outlineLevel="0" collapsed="false">
      <c r="A12" s="5"/>
      <c r="B12" s="16" t="s">
        <v>226</v>
      </c>
      <c r="C12" s="26" t="n">
        <f aca="false">Total_Fees</f>
        <v>-121.68</v>
      </c>
      <c r="D12" s="26" t="n">
        <f aca="false">Fee_Schedule!D22</f>
        <v>-131.88698905</v>
      </c>
      <c r="E12" s="26" t="n">
        <f aca="false">Fee_Schedule!E22</f>
        <v>-143.017266377834</v>
      </c>
      <c r="F12" s="26" t="n">
        <f aca="false">Fee_Schedule!F22</f>
        <v>-155.157053030767</v>
      </c>
      <c r="G12" s="26" t="n">
        <f aca="false">Fee_Schedule!G22</f>
        <v>-168.40078705586</v>
      </c>
      <c r="H12" s="26" t="n">
        <f aca="false">Fee_Schedule!H22</f>
        <v>-182.851916932243</v>
      </c>
      <c r="I12" s="26" t="n">
        <f aca="false">Fee_Schedule!I22</f>
        <v>-198.623772235031</v>
      </c>
      <c r="J12" s="26" t="n">
        <f aca="false">Fee_Schedule!J22</f>
        <v>-215.840519084413</v>
      </c>
      <c r="K12" s="26" t="n">
        <f aca="false">Fee_Schedule!K22</f>
        <v>-234.638208674332</v>
      </c>
      <c r="L12" s="26" t="n">
        <f aca="false">Fee_Schedule!L22</f>
        <v>-255.165927988736</v>
      </c>
    </row>
    <row r="13" customFormat="false" ht="15" hidden="false" customHeight="false" outlineLevel="0" collapsed="false">
      <c r="A13" s="5"/>
      <c r="B13" s="16" t="s">
        <v>227</v>
      </c>
      <c r="C13" s="26" t="n">
        <f aca="false">AUM_Total_Opex</f>
        <v>-30</v>
      </c>
      <c r="D13" s="26" t="n">
        <f aca="false">AUM_Rollforward!D52</f>
        <v>-31.96017375</v>
      </c>
      <c r="E13" s="26" t="n">
        <f aca="false">AUM_Rollforward!E52</f>
        <v>-34.0616726355188</v>
      </c>
      <c r="F13" s="26" t="n">
        <f aca="false">AUM_Rollforward!F52</f>
        <v>-36.3153196171417</v>
      </c>
      <c r="G13" s="26" t="n">
        <f aca="false">AUM_Rollforward!G52</f>
        <v>-38.7328137209592</v>
      </c>
      <c r="H13" s="26" t="n">
        <f aca="false">AUM_Rollforward!H52</f>
        <v>-41.3268045529366</v>
      </c>
      <c r="I13" s="26" t="n">
        <f aca="false">AUM_Rollforward!I52</f>
        <v>-44.1109734130956</v>
      </c>
      <c r="J13" s="26" t="n">
        <f aca="false">AUM_Rollforward!J52</f>
        <v>-47.1001216124375</v>
      </c>
      <c r="K13" s="26" t="n">
        <f aca="false">AUM_Rollforward!K52</f>
        <v>-50.3102666518816</v>
      </c>
      <c r="L13" s="26" t="n">
        <f aca="false">AUM_Rollforward!L52</f>
        <v>-53.7587469841867</v>
      </c>
    </row>
    <row r="14" customFormat="false" ht="15" hidden="false" customHeight="false" outlineLevel="0" collapsed="false">
      <c r="A14" s="5"/>
      <c r="B14" s="42" t="s">
        <v>228</v>
      </c>
      <c r="C14" s="43" t="n">
        <f aca="false">C11+C12+C13</f>
        <v>-297.84</v>
      </c>
      <c r="D14" s="43" t="n">
        <f aca="false">D11+D12+D13</f>
        <v>-312.1995628</v>
      </c>
      <c r="E14" s="43" t="n">
        <f aca="false">E11+E12+E13</f>
        <v>-327.656625013352</v>
      </c>
      <c r="F14" s="43" t="n">
        <f aca="false">F11+F12+F13</f>
        <v>-344.308723937909</v>
      </c>
      <c r="G14" s="43" t="n">
        <f aca="false">G11+G12+G13</f>
        <v>-362.262497336169</v>
      </c>
      <c r="H14" s="43" t="n">
        <f aca="false">H11+H12+H13</f>
        <v>-381.63455149292</v>
      </c>
      <c r="I14" s="43" t="n">
        <f aca="false">I11+I12+I13</f>
        <v>-402.552413105982</v>
      </c>
      <c r="J14" s="43" t="n">
        <f aca="false">J11+J12+J13</f>
        <v>-425.155573166575</v>
      </c>
      <c r="K14" s="43" t="n">
        <f aca="false">K11+K12+K13</f>
        <v>-449.596631782983</v>
      </c>
      <c r="L14" s="43" t="n">
        <f aca="false">L11+L12+L13</f>
        <v>-476.042553776544</v>
      </c>
    </row>
    <row r="15" customFormat="false" ht="15" hidden="false" customHeight="false" outlineLevel="0" collapsed="false">
      <c r="A15" s="5"/>
      <c r="B15" s="39" t="s">
        <v>229</v>
      </c>
      <c r="C15" s="40"/>
      <c r="D15" s="40"/>
      <c r="E15" s="40"/>
      <c r="F15" s="40"/>
      <c r="G15" s="40"/>
      <c r="H15" s="40"/>
      <c r="I15" s="40"/>
      <c r="J15" s="40"/>
      <c r="K15" s="40"/>
      <c r="L15" s="40"/>
    </row>
    <row r="16" customFormat="false" ht="15" hidden="false" customHeight="false" outlineLevel="0" collapsed="false">
      <c r="A16" s="5"/>
      <c r="B16" s="42" t="s">
        <v>230</v>
      </c>
      <c r="C16" s="43" t="n">
        <f aca="false">C9+C14</f>
        <v>441.5825</v>
      </c>
      <c r="D16" s="43" t="n">
        <f aca="false">D9+D14</f>
        <v>470.9033612625</v>
      </c>
      <c r="E16" s="43" t="n">
        <f aca="false">E9+E14</f>
        <v>502.193941537405</v>
      </c>
      <c r="F16" s="43" t="n">
        <f aca="false">F9+F14</f>
        <v>535.596058279018</v>
      </c>
      <c r="G16" s="43" t="n">
        <f aca="false">G9+G14</f>
        <v>571.262504063408</v>
      </c>
      <c r="H16" s="43" t="n">
        <f aca="false">H9+H14</f>
        <v>609.357949625387</v>
      </c>
      <c r="I16" s="43" t="n">
        <f aca="false">I9+I14</f>
        <v>650.059924881855</v>
      </c>
      <c r="J16" s="43" t="n">
        <f aca="false">J9+J14</f>
        <v>693.559884929286</v>
      </c>
      <c r="K16" s="43" t="n">
        <f aca="false">K9+K14</f>
        <v>740.064368646585</v>
      </c>
      <c r="L16" s="43" t="n">
        <f aca="false">L9+L14</f>
        <v>789.796258238537</v>
      </c>
    </row>
    <row r="17" customFormat="false" ht="15" hidden="false" customHeight="false" outlineLevel="0" collapsed="false">
      <c r="A17" s="5"/>
      <c r="B17" s="16" t="s">
        <v>231</v>
      </c>
      <c r="C17" s="26" t="n">
        <f aca="false">AUM_Y0*Wt_Cash</f>
        <v>600.000000000001</v>
      </c>
      <c r="D17" s="26" t="n">
        <f aca="false">C18</f>
        <v>1041.5825</v>
      </c>
      <c r="E17" s="26" t="n">
        <f aca="false">D18</f>
        <v>1512.4858612625</v>
      </c>
      <c r="F17" s="26" t="n">
        <f aca="false">E18</f>
        <v>2014.67980279991</v>
      </c>
      <c r="G17" s="26" t="n">
        <f aca="false">F18</f>
        <v>2550.27586107892</v>
      </c>
      <c r="H17" s="26" t="n">
        <f aca="false">G18</f>
        <v>3121.53836514233</v>
      </c>
      <c r="I17" s="26" t="n">
        <f aca="false">H18</f>
        <v>3730.89631476772</v>
      </c>
      <c r="J17" s="26" t="n">
        <f aca="false">I18</f>
        <v>4380.95623964957</v>
      </c>
      <c r="K17" s="26" t="n">
        <f aca="false">J18</f>
        <v>5074.51612457886</v>
      </c>
      <c r="L17" s="26" t="n">
        <f aca="false">K18</f>
        <v>5814.58049322545</v>
      </c>
    </row>
    <row r="18" customFormat="false" ht="15" hidden="false" customHeight="false" outlineLevel="0" collapsed="false">
      <c r="A18" s="5"/>
      <c r="B18" s="42" t="s">
        <v>232</v>
      </c>
      <c r="C18" s="43" t="n">
        <f aca="false">C17+C16</f>
        <v>1041.5825</v>
      </c>
      <c r="D18" s="43" t="n">
        <f aca="false">D17+D16</f>
        <v>1512.4858612625</v>
      </c>
      <c r="E18" s="43" t="n">
        <f aca="false">E17+E16</f>
        <v>2014.67980279991</v>
      </c>
      <c r="F18" s="43" t="n">
        <f aca="false">F17+F16</f>
        <v>2550.27586107892</v>
      </c>
      <c r="G18" s="43" t="n">
        <f aca="false">G17+G16</f>
        <v>3121.53836514233</v>
      </c>
      <c r="H18" s="43" t="n">
        <f aca="false">H17+H16</f>
        <v>3730.89631476772</v>
      </c>
      <c r="I18" s="43" t="n">
        <f aca="false">I17+I16</f>
        <v>4380.95623964957</v>
      </c>
      <c r="J18" s="43" t="n">
        <f aca="false">J17+J16</f>
        <v>5074.51612457886</v>
      </c>
      <c r="K18" s="43" t="n">
        <f aca="false">K17+K16</f>
        <v>5814.58049322545</v>
      </c>
      <c r="L18" s="43" t="n">
        <f aca="false">L17+L16</f>
        <v>6604.37675146398</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C00000"/>
    <pageSetUpPr fitToPage="false"/>
  </sheetPr>
  <dimension ref="A1:E3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50"/>
    <col collapsed="false" customWidth="true" hidden="false" outlineLevel="0" max="3" min="3" style="0" width="18"/>
    <col collapsed="false" customWidth="true" hidden="false" outlineLevel="0" max="4" min="4" style="0" width="10"/>
  </cols>
  <sheetData>
    <row r="1" customFormat="false" ht="15" hidden="false" customHeight="false" outlineLevel="0" collapsed="false">
      <c r="A1" s="5"/>
      <c r="B1" s="5"/>
      <c r="C1" s="5"/>
      <c r="D1" s="5"/>
      <c r="E1" s="5"/>
    </row>
    <row r="2" customFormat="false" ht="22.05" hidden="false" customHeight="false" outlineLevel="0" collapsed="false">
      <c r="A2" s="5"/>
      <c r="B2" s="29" t="s">
        <v>233</v>
      </c>
      <c r="C2" s="5"/>
      <c r="D2" s="5"/>
      <c r="E2" s="5"/>
    </row>
    <row r="3" customFormat="false" ht="15" hidden="false" customHeight="false" outlineLevel="0" collapsed="false">
      <c r="A3" s="5"/>
      <c r="B3" s="37" t="s">
        <v>234</v>
      </c>
      <c r="C3" s="5"/>
      <c r="D3" s="5"/>
      <c r="E3" s="5"/>
    </row>
    <row r="4" customFormat="false" ht="15" hidden="false" customHeight="false" outlineLevel="0" collapsed="false">
      <c r="A4" s="5"/>
      <c r="B4" s="5"/>
      <c r="C4" s="5"/>
      <c r="D4" s="5"/>
      <c r="E4" s="5"/>
    </row>
    <row r="5" customFormat="false" ht="15" hidden="false" customHeight="false" outlineLevel="0" collapsed="false">
      <c r="A5" s="5"/>
      <c r="B5" s="39" t="s">
        <v>14</v>
      </c>
      <c r="C5" s="40"/>
      <c r="D5" s="40"/>
      <c r="E5" s="40"/>
    </row>
    <row r="6" customFormat="false" ht="15" hidden="false" customHeight="false" outlineLevel="0" collapsed="false">
      <c r="A6" s="5"/>
      <c r="B6" s="16" t="s">
        <v>235</v>
      </c>
      <c r="C6" s="24" t="n">
        <f aca="false">MAX(ABS(AUM_Rollforward!C55:AUM55))</f>
        <v>0</v>
      </c>
      <c r="D6" s="26" t="n">
        <f aca="false">AUM_Total_Gross_Return</f>
        <v>1392.6</v>
      </c>
      <c r="E6" s="5"/>
    </row>
    <row r="7" customFormat="false" ht="15" hidden="false" customHeight="false" outlineLevel="0" collapsed="false">
      <c r="A7" s="5"/>
      <c r="B7" s="16" t="s">
        <v>236</v>
      </c>
      <c r="C7" s="51" t="str">
        <f aca="false">IF(CHK_AUM_Recon&lt;=0.01,"PASS","FAIL")</f>
        <v>PASS</v>
      </c>
      <c r="D7" s="26" t="n">
        <f aca="false">AUM_Total_Net_Flow</f>
        <v>39.2625</v>
      </c>
      <c r="E7" s="5"/>
    </row>
    <row r="8" customFormat="false" ht="15" hidden="false" customHeight="false" outlineLevel="0" collapsed="false">
      <c r="A8" s="5"/>
      <c r="B8" s="5"/>
      <c r="C8" s="5"/>
      <c r="D8" s="5"/>
      <c r="E8" s="5"/>
    </row>
    <row r="9" customFormat="false" ht="15" hidden="false" customHeight="false" outlineLevel="0" collapsed="false">
      <c r="A9" s="5"/>
      <c r="B9" s="16" t="s">
        <v>237</v>
      </c>
      <c r="C9" s="51" t="str">
        <f aca="false">IF(ABS(Wt_Eq+Wt_FI+Wt_PE+Wt_RA+Wt_HF+Wt_Cash-1)&lt;0.0001,"PASS","FAIL")</f>
        <v>PASS</v>
      </c>
      <c r="D9" s="5"/>
      <c r="E9" s="5"/>
    </row>
    <row r="10" customFormat="false" ht="15" hidden="false" customHeight="false" outlineLevel="0" collapsed="false">
      <c r="A10" s="5"/>
      <c r="B10" s="5"/>
      <c r="C10" s="5"/>
      <c r="D10" s="5"/>
      <c r="E10" s="5"/>
    </row>
    <row r="11" customFormat="false" ht="15" hidden="false" customHeight="false" outlineLevel="0" collapsed="false">
      <c r="A11" s="5"/>
      <c r="B11" s="16" t="s">
        <v>238</v>
      </c>
      <c r="C11" s="51" t="str">
        <f aca="false">IF(AND(Scenario_Toggle&gt;=1,Scenario_Toggle&lt;=3,INT(Scenario_Toggle)=Scenario_Toggle),"PASS","FAIL")</f>
        <v>PASS</v>
      </c>
      <c r="D11" s="5"/>
      <c r="E11" s="5"/>
    </row>
    <row r="12" customFormat="false" ht="15" hidden="false" customHeight="false" outlineLevel="0" collapsed="false">
      <c r="A12" s="5"/>
      <c r="B12" s="5"/>
      <c r="C12" s="5"/>
      <c r="D12" s="5"/>
      <c r="E12" s="5"/>
    </row>
    <row r="13" customFormat="false" ht="15" hidden="false" customHeight="false" outlineLevel="0" collapsed="false">
      <c r="A13" s="5"/>
      <c r="B13" s="16" t="s">
        <v>239</v>
      </c>
      <c r="C13" s="51" t="str">
        <f aca="false">IF(OR(Mode_Toggle=1,Mode_Toggle=2),"PASS","FAIL")</f>
        <v>PASS</v>
      </c>
      <c r="D13" s="5"/>
      <c r="E13" s="5"/>
    </row>
    <row r="14" customFormat="false" ht="15" hidden="false" customHeight="false" outlineLevel="0" collapsed="false">
      <c r="A14" s="5"/>
      <c r="B14" s="5"/>
      <c r="C14" s="5"/>
      <c r="D14" s="5"/>
      <c r="E14" s="5"/>
    </row>
    <row r="15" customFormat="false" ht="15" hidden="false" customHeight="false" outlineLevel="0" collapsed="false">
      <c r="A15" s="5"/>
      <c r="B15" s="16" t="s">
        <v>240</v>
      </c>
      <c r="C15" s="21" t="n">
        <f aca="false">IF(Mode_Toggle=1,MIN(Funded_Status!C9:L9),1)</f>
        <v>3.57185083827886</v>
      </c>
      <c r="D15" s="5"/>
      <c r="E15" s="5"/>
    </row>
    <row r="16" customFormat="false" ht="15" hidden="false" customHeight="false" outlineLevel="0" collapsed="false">
      <c r="A16" s="5"/>
      <c r="B16" s="16" t="s">
        <v>241</v>
      </c>
      <c r="C16" s="51" t="str">
        <f aca="false">IF(Mode_Toggle=2,"N/A",IF(CHK_Min_Funded_Ratio&gt;=0.8,"PASS","WARN — BELOW 80%"))</f>
        <v>PASS</v>
      </c>
      <c r="D16" s="5"/>
      <c r="E16" s="5"/>
    </row>
    <row r="17" customFormat="false" ht="15" hidden="false" customHeight="false" outlineLevel="0" collapsed="false">
      <c r="A17" s="5"/>
      <c r="B17" s="5"/>
      <c r="C17" s="5"/>
      <c r="D17" s="5"/>
      <c r="E17" s="5"/>
    </row>
    <row r="18" customFormat="false" ht="15" hidden="false" customHeight="false" outlineLevel="0" collapsed="false">
      <c r="A18" s="5"/>
      <c r="B18" s="16" t="s">
        <v>242</v>
      </c>
      <c r="C18" s="26" t="n">
        <f aca="false">MIN(Cash_Flow!C18:L18)</f>
        <v>1041.5825</v>
      </c>
      <c r="D18" s="5"/>
      <c r="E18" s="5"/>
    </row>
    <row r="19" customFormat="false" ht="15" hidden="false" customHeight="false" outlineLevel="0" collapsed="false">
      <c r="A19" s="5"/>
      <c r="B19" s="16" t="s">
        <v>243</v>
      </c>
      <c r="C19" s="51" t="str">
        <f aca="false">IF(CHK_Min_Cash&gt;=0,"PASS","FAIL")</f>
        <v>PASS</v>
      </c>
      <c r="D19" s="5"/>
      <c r="E19" s="5"/>
    </row>
    <row r="20" customFormat="false" ht="15" hidden="false" customHeight="false" outlineLevel="0" collapsed="false">
      <c r="A20" s="5"/>
      <c r="B20" s="5"/>
      <c r="C20" s="5"/>
      <c r="D20" s="5"/>
      <c r="E20" s="5"/>
    </row>
    <row r="21" customFormat="false" ht="15" hidden="false" customHeight="false" outlineLevel="0" collapsed="false">
      <c r="A21" s="5"/>
      <c r="B21" s="16" t="s">
        <v>244</v>
      </c>
      <c r="C21" s="21" t="n">
        <f aca="false">IF(Mode_Toggle=1,Liability_Rollforward!L11/PBO_Y0,1)</f>
        <v>1.32586258046813</v>
      </c>
      <c r="D21" s="5"/>
      <c r="E21" s="5"/>
    </row>
    <row r="22" customFormat="false" ht="15" hidden="false" customHeight="false" outlineLevel="0" collapsed="false">
      <c r="A22" s="5"/>
      <c r="B22" s="16" t="s">
        <v>245</v>
      </c>
      <c r="C22" s="51" t="str">
        <f aca="false">IF(Mode_Toggle=2,"N/A",IF(CHK_PBO_Growth&gt;=1,"PASS","CHECK"))</f>
        <v>PASS</v>
      </c>
      <c r="D22" s="5"/>
      <c r="E22" s="5"/>
    </row>
    <row r="23" customFormat="false" ht="15" hidden="false" customHeight="false" outlineLevel="0" collapsed="false">
      <c r="A23" s="5"/>
      <c r="B23" s="5"/>
      <c r="C23" s="5"/>
      <c r="D23" s="5"/>
      <c r="E23" s="5"/>
    </row>
    <row r="24" customFormat="false" ht="15" hidden="false" customHeight="false" outlineLevel="0" collapsed="false">
      <c r="A24" s="5"/>
      <c r="B24" s="16" t="s">
        <v>246</v>
      </c>
      <c r="C24" s="50" t="n">
        <f aca="false">MIN(Funded_Status!C14:L14)</f>
        <v>45.0124730560032</v>
      </c>
      <c r="D24" s="5"/>
      <c r="E24" s="5"/>
    </row>
    <row r="25" customFormat="false" ht="15" hidden="false" customHeight="false" outlineLevel="0" collapsed="false">
      <c r="A25" s="5"/>
      <c r="B25" s="16" t="s">
        <v>247</v>
      </c>
      <c r="C25" s="51" t="str">
        <f aca="false">IF(CHK_Min_Liquidity&gt;=1,"PASS","FAIL")</f>
        <v>PASS</v>
      </c>
      <c r="D25" s="5"/>
      <c r="E25" s="5"/>
    </row>
    <row r="26" customFormat="false" ht="15" hidden="false" customHeight="false" outlineLevel="0" collapsed="false">
      <c r="A26" s="5"/>
      <c r="B26" s="5"/>
      <c r="C26" s="5"/>
      <c r="D26" s="5"/>
      <c r="E26" s="5"/>
    </row>
    <row r="27" customFormat="false" ht="15" hidden="false" customHeight="false" outlineLevel="0" collapsed="false">
      <c r="A27" s="5"/>
      <c r="B27" s="16" t="s">
        <v>248</v>
      </c>
      <c r="C27" s="21" t="n">
        <f aca="false">MAX(Funded_Status!C17:L17)</f>
        <v>0.00711975098853569</v>
      </c>
      <c r="D27" s="5"/>
      <c r="E27" s="5"/>
    </row>
    <row r="28" customFormat="false" ht="15" hidden="false" customHeight="false" outlineLevel="0" collapsed="false">
      <c r="A28" s="5"/>
      <c r="B28" s="16" t="s">
        <v>249</v>
      </c>
      <c r="C28" s="51" t="str">
        <f aca="false">IF(AND(CHK_Max_TER&gt;=0.003,CHK_Max_TER&lt;=0.015),"PASS","CHECK")</f>
        <v>PASS</v>
      </c>
      <c r="D28" s="5"/>
      <c r="E28" s="5"/>
    </row>
    <row r="29" customFormat="false" ht="15" hidden="false" customHeight="false" outlineLevel="0" collapsed="false">
      <c r="A29" s="5"/>
      <c r="B29" s="5"/>
      <c r="C29" s="5"/>
      <c r="D29" s="5"/>
      <c r="E29" s="5"/>
    </row>
    <row r="30" customFormat="false" ht="15" hidden="false" customHeight="false" outlineLevel="0" collapsed="false">
      <c r="A30" s="5"/>
      <c r="B30" s="16" t="s">
        <v>250</v>
      </c>
      <c r="C30" s="51" t="str">
        <f aca="false">IF(MAX(Fee_Schedule!C19:FEE19)&lt;=0,"PASS","FAIL")</f>
        <v>PASS</v>
      </c>
      <c r="D30" s="5"/>
      <c r="E30" s="5"/>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03864"/>
    <pageSetUpPr fitToPage="false"/>
  </sheetPr>
  <dimension ref="A1:AD5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8"/>
    <col collapsed="false" customWidth="true" hidden="false" outlineLevel="0" max="3" min="3" style="0" width="14"/>
    <col collapsed="false" customWidth="true" hidden="false" outlineLevel="0" max="5" min="4" style="0" width="12"/>
    <col collapsed="false" customWidth="true" hidden="false" outlineLevel="0" max="6" min="6" style="0" width="14"/>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14" t="s">
        <v>6</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21</v>
      </c>
      <c r="C3" s="1"/>
      <c r="D3" s="1"/>
      <c r="E3" s="1"/>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A4" s="5"/>
      <c r="B4" s="15" t="s">
        <v>22</v>
      </c>
      <c r="C4" s="15" t="s">
        <v>23</v>
      </c>
      <c r="D4" s="15" t="s">
        <v>24</v>
      </c>
      <c r="E4" s="15" t="s">
        <v>25</v>
      </c>
      <c r="F4" s="15" t="s">
        <v>26</v>
      </c>
      <c r="G4" s="5"/>
      <c r="H4" s="5"/>
      <c r="I4" s="5"/>
      <c r="J4" s="5"/>
      <c r="K4" s="5"/>
      <c r="L4" s="5"/>
      <c r="M4" s="5"/>
      <c r="N4" s="5"/>
      <c r="O4" s="5"/>
      <c r="P4" s="5"/>
      <c r="Q4" s="5"/>
      <c r="R4" s="5"/>
      <c r="S4" s="5"/>
      <c r="T4" s="5"/>
      <c r="U4" s="5"/>
      <c r="V4" s="5"/>
      <c r="W4" s="5"/>
      <c r="X4" s="5"/>
      <c r="Y4" s="5"/>
      <c r="Z4" s="5"/>
      <c r="AA4" s="5"/>
      <c r="AB4" s="5"/>
      <c r="AC4" s="5"/>
      <c r="AD4" s="5"/>
    </row>
    <row r="5" customFormat="false" ht="15" hidden="false" customHeight="false" outlineLevel="0" collapsed="false">
      <c r="A5" s="5"/>
      <c r="B5" s="16" t="s">
        <v>27</v>
      </c>
      <c r="C5" s="17" t="n">
        <v>1</v>
      </c>
      <c r="D5" s="5"/>
      <c r="E5" s="5"/>
      <c r="F5" s="18" t="n">
        <f aca="false">C5</f>
        <v>1</v>
      </c>
      <c r="G5" s="5"/>
      <c r="H5" s="5"/>
      <c r="I5" s="5"/>
      <c r="J5" s="5"/>
      <c r="K5" s="5"/>
      <c r="L5" s="5"/>
      <c r="M5" s="5"/>
      <c r="N5" s="5"/>
      <c r="O5" s="5"/>
      <c r="P5" s="5"/>
      <c r="Q5" s="5"/>
      <c r="R5" s="5"/>
      <c r="S5" s="5"/>
      <c r="T5" s="5"/>
      <c r="U5" s="5"/>
      <c r="V5" s="5"/>
      <c r="W5" s="5"/>
      <c r="X5" s="5"/>
      <c r="Y5" s="5"/>
      <c r="Z5" s="5"/>
      <c r="AA5" s="5"/>
      <c r="AB5" s="5"/>
      <c r="AC5" s="5"/>
      <c r="AD5" s="5"/>
    </row>
    <row r="6" customFormat="false" ht="15" hidden="false" customHeight="false" outlineLevel="0" collapsed="false">
      <c r="A6" s="5"/>
      <c r="B6" s="16" t="s">
        <v>28</v>
      </c>
      <c r="C6" s="17" t="n">
        <v>1</v>
      </c>
      <c r="D6" s="5"/>
      <c r="E6" s="5"/>
      <c r="F6" s="18" t="n">
        <f aca="false">C6</f>
        <v>1</v>
      </c>
      <c r="G6" s="5"/>
      <c r="H6" s="5"/>
      <c r="I6" s="5"/>
      <c r="J6" s="5"/>
      <c r="K6" s="5"/>
      <c r="L6" s="5"/>
      <c r="M6" s="5"/>
      <c r="N6" s="5"/>
      <c r="O6" s="5"/>
      <c r="P6" s="5"/>
      <c r="Q6" s="5"/>
      <c r="R6" s="5"/>
      <c r="S6" s="5"/>
      <c r="T6" s="5"/>
      <c r="U6" s="5"/>
      <c r="V6" s="5"/>
      <c r="W6" s="5"/>
      <c r="X6" s="5"/>
      <c r="Y6" s="5"/>
      <c r="Z6" s="5"/>
      <c r="AA6" s="5"/>
      <c r="AB6" s="5"/>
      <c r="AC6" s="5"/>
      <c r="AD6" s="5"/>
    </row>
    <row r="7" customFormat="false" ht="15" hidden="false" customHeight="false" outlineLevel="0" collapsed="false">
      <c r="A7" s="5"/>
      <c r="B7" s="3" t="s">
        <v>29</v>
      </c>
      <c r="C7" s="19"/>
      <c r="D7" s="19"/>
      <c r="E7" s="19"/>
      <c r="F7" s="19"/>
      <c r="G7" s="19"/>
      <c r="H7" s="5"/>
      <c r="I7" s="5"/>
      <c r="J7" s="5"/>
      <c r="K7" s="5"/>
      <c r="L7" s="5"/>
      <c r="M7" s="5"/>
      <c r="N7" s="5"/>
      <c r="O7" s="5"/>
      <c r="P7" s="5"/>
      <c r="Q7" s="5"/>
      <c r="R7" s="5"/>
      <c r="S7" s="5"/>
      <c r="T7" s="5"/>
      <c r="U7" s="5"/>
      <c r="V7" s="5"/>
      <c r="W7" s="5"/>
      <c r="X7" s="5"/>
      <c r="Y7" s="5"/>
      <c r="Z7" s="5"/>
      <c r="AA7" s="5"/>
      <c r="AB7" s="5"/>
      <c r="AC7" s="5"/>
      <c r="AD7" s="5"/>
    </row>
    <row r="8" customFormat="false" ht="15" hidden="false" customHeight="false" outlineLevel="0" collapsed="false">
      <c r="A8" s="5"/>
      <c r="B8" s="16" t="s">
        <v>30</v>
      </c>
      <c r="C8" s="20" t="n">
        <v>0.07</v>
      </c>
      <c r="D8" s="20" t="n">
        <v>0.11</v>
      </c>
      <c r="E8" s="20" t="n">
        <v>-0.05</v>
      </c>
      <c r="F8" s="21" t="n">
        <f aca="false">CHOOSE(Scenario_Toggle,C8,D8,E8)</f>
        <v>0.07</v>
      </c>
      <c r="G8" s="5"/>
      <c r="H8" s="5"/>
      <c r="I8" s="5"/>
      <c r="J8" s="5"/>
      <c r="K8" s="5"/>
      <c r="L8" s="5"/>
      <c r="M8" s="5"/>
      <c r="N8" s="5"/>
      <c r="O8" s="5"/>
      <c r="P8" s="5"/>
      <c r="Q8" s="5"/>
      <c r="R8" s="5"/>
      <c r="S8" s="5"/>
      <c r="T8" s="5"/>
      <c r="U8" s="5"/>
      <c r="V8" s="5"/>
      <c r="W8" s="5"/>
      <c r="X8" s="5"/>
      <c r="Y8" s="5"/>
      <c r="Z8" s="5"/>
      <c r="AA8" s="5"/>
      <c r="AB8" s="5"/>
      <c r="AC8" s="5"/>
      <c r="AD8" s="5"/>
    </row>
    <row r="9" customFormat="false" ht="15" hidden="false" customHeight="false" outlineLevel="0" collapsed="false">
      <c r="A9" s="5"/>
      <c r="B9" s="16" t="s">
        <v>31</v>
      </c>
      <c r="C9" s="20" t="n">
        <v>0.042</v>
      </c>
      <c r="D9" s="20" t="n">
        <v>0.05</v>
      </c>
      <c r="E9" s="20" t="n">
        <v>0.028</v>
      </c>
      <c r="F9" s="21" t="n">
        <f aca="false">CHOOSE(Scenario_Toggle,C9,D9,E9)</f>
        <v>0.042</v>
      </c>
      <c r="G9" s="5"/>
      <c r="H9" s="5"/>
      <c r="I9" s="5"/>
      <c r="J9" s="5"/>
      <c r="K9" s="5"/>
      <c r="L9" s="5"/>
      <c r="M9" s="5"/>
      <c r="N9" s="5"/>
      <c r="O9" s="5"/>
      <c r="P9" s="5"/>
      <c r="Q9" s="5"/>
      <c r="R9" s="5"/>
      <c r="S9" s="5"/>
      <c r="T9" s="5"/>
      <c r="U9" s="5"/>
      <c r="V9" s="5"/>
      <c r="W9" s="5"/>
      <c r="X9" s="5"/>
      <c r="Y9" s="5"/>
      <c r="Z9" s="5"/>
      <c r="AA9" s="5"/>
      <c r="AB9" s="5"/>
      <c r="AC9" s="5"/>
      <c r="AD9" s="5"/>
    </row>
    <row r="10" customFormat="false" ht="15" hidden="false" customHeight="false" outlineLevel="0" collapsed="false">
      <c r="A10" s="5"/>
      <c r="B10" s="16" t="s">
        <v>32</v>
      </c>
      <c r="C10" s="20" t="n">
        <v>0.115</v>
      </c>
      <c r="D10" s="20" t="n">
        <v>0.15</v>
      </c>
      <c r="E10" s="20" t="n">
        <v>0.04</v>
      </c>
      <c r="F10" s="21" t="n">
        <f aca="false">CHOOSE(Scenario_Toggle,C10,D10,E10)</f>
        <v>0.115</v>
      </c>
      <c r="G10" s="5"/>
      <c r="H10" s="5"/>
      <c r="I10" s="5"/>
      <c r="J10" s="5"/>
      <c r="K10" s="5"/>
      <c r="L10" s="5"/>
      <c r="M10" s="5"/>
      <c r="N10" s="5"/>
      <c r="O10" s="5"/>
      <c r="P10" s="5"/>
      <c r="Q10" s="5"/>
      <c r="R10" s="5"/>
      <c r="S10" s="5"/>
      <c r="T10" s="5"/>
      <c r="U10" s="5"/>
      <c r="V10" s="5"/>
      <c r="W10" s="5"/>
      <c r="X10" s="5"/>
      <c r="Y10" s="5"/>
      <c r="Z10" s="5"/>
      <c r="AA10" s="5"/>
      <c r="AB10" s="5"/>
      <c r="AC10" s="5"/>
      <c r="AD10" s="5"/>
    </row>
    <row r="11" customFormat="false" ht="15" hidden="false" customHeight="false" outlineLevel="0" collapsed="false">
      <c r="A11" s="5"/>
      <c r="B11" s="16" t="s">
        <v>33</v>
      </c>
      <c r="C11" s="20" t="n">
        <v>0.065</v>
      </c>
      <c r="D11" s="20" t="n">
        <v>0.08</v>
      </c>
      <c r="E11" s="20" t="n">
        <v>0.035</v>
      </c>
      <c r="F11" s="21" t="n">
        <f aca="false">CHOOSE(Scenario_Toggle,C11,D11,E11)</f>
        <v>0.065</v>
      </c>
      <c r="G11" s="5"/>
      <c r="H11" s="5"/>
      <c r="I11" s="5"/>
      <c r="J11" s="5"/>
      <c r="K11" s="5"/>
      <c r="L11" s="5"/>
      <c r="M11" s="5"/>
      <c r="N11" s="5"/>
      <c r="O11" s="5"/>
      <c r="P11" s="5"/>
      <c r="Q11" s="5"/>
      <c r="R11" s="5"/>
      <c r="S11" s="5"/>
      <c r="T11" s="5"/>
      <c r="U11" s="5"/>
      <c r="V11" s="5"/>
      <c r="W11" s="5"/>
      <c r="X11" s="5"/>
      <c r="Y11" s="5"/>
      <c r="Z11" s="5"/>
      <c r="AA11" s="5"/>
      <c r="AB11" s="5"/>
      <c r="AC11" s="5"/>
      <c r="AD11" s="5"/>
    </row>
    <row r="12" customFormat="false" ht="15" hidden="false" customHeight="false" outlineLevel="0" collapsed="false">
      <c r="A12" s="5"/>
      <c r="B12" s="16" t="s">
        <v>34</v>
      </c>
      <c r="C12" s="20" t="n">
        <v>0.055</v>
      </c>
      <c r="D12" s="20" t="n">
        <v>0.07</v>
      </c>
      <c r="E12" s="20" t="n">
        <v>0.015</v>
      </c>
      <c r="F12" s="21" t="n">
        <f aca="false">CHOOSE(Scenario_Toggle,C12,D12,E12)</f>
        <v>0.055</v>
      </c>
      <c r="G12" s="5"/>
      <c r="H12" s="5"/>
      <c r="I12" s="5"/>
      <c r="J12" s="5"/>
      <c r="K12" s="5"/>
      <c r="L12" s="5"/>
      <c r="M12" s="5"/>
      <c r="N12" s="5"/>
      <c r="O12" s="5"/>
      <c r="P12" s="5"/>
      <c r="Q12" s="5"/>
      <c r="R12" s="5"/>
      <c r="S12" s="5"/>
      <c r="T12" s="5"/>
      <c r="U12" s="5"/>
      <c r="V12" s="5"/>
      <c r="W12" s="5"/>
      <c r="X12" s="5"/>
      <c r="Y12" s="5"/>
      <c r="Z12" s="5"/>
      <c r="AA12" s="5"/>
      <c r="AB12" s="5"/>
      <c r="AC12" s="5"/>
      <c r="AD12" s="5"/>
    </row>
    <row r="13" customFormat="false" ht="15" hidden="false" customHeight="false" outlineLevel="0" collapsed="false">
      <c r="A13" s="5"/>
      <c r="B13" s="16" t="s">
        <v>35</v>
      </c>
      <c r="C13" s="20" t="n">
        <v>0.048</v>
      </c>
      <c r="D13" s="20" t="n">
        <v>0.055</v>
      </c>
      <c r="E13" s="20" t="n">
        <v>0.035</v>
      </c>
      <c r="F13" s="21" t="n">
        <f aca="false">CHOOSE(Scenario_Toggle,C13,D13,E13)</f>
        <v>0.048</v>
      </c>
      <c r="G13" s="5"/>
      <c r="H13" s="5"/>
      <c r="I13" s="5"/>
      <c r="J13" s="5"/>
      <c r="K13" s="5"/>
      <c r="L13" s="5"/>
      <c r="M13" s="5"/>
      <c r="N13" s="5"/>
      <c r="O13" s="5"/>
      <c r="P13" s="5"/>
      <c r="Q13" s="5"/>
      <c r="R13" s="5"/>
      <c r="S13" s="5"/>
      <c r="T13" s="5"/>
      <c r="U13" s="5"/>
      <c r="V13" s="5"/>
      <c r="W13" s="5"/>
      <c r="X13" s="5"/>
      <c r="Y13" s="5"/>
      <c r="Z13" s="5"/>
      <c r="AA13" s="5"/>
      <c r="AB13" s="5"/>
      <c r="AC13" s="5"/>
      <c r="AD13" s="5"/>
    </row>
    <row r="14" customFormat="false" ht="15" hidden="false" customHeight="false" outlineLevel="0" collapsed="false">
      <c r="A14" s="5"/>
      <c r="B14" s="16" t="s">
        <v>36</v>
      </c>
      <c r="C14" s="20" t="n">
        <v>0.05</v>
      </c>
      <c r="D14" s="20" t="n">
        <v>0.055</v>
      </c>
      <c r="E14" s="20" t="n">
        <v>0.045</v>
      </c>
      <c r="F14" s="21" t="n">
        <f aca="false">CHOOSE(Scenario_Toggle,C14,D14,E14)</f>
        <v>0.05</v>
      </c>
      <c r="G14" s="5"/>
      <c r="H14" s="5"/>
      <c r="I14" s="5"/>
      <c r="J14" s="5"/>
      <c r="K14" s="5"/>
      <c r="L14" s="5"/>
      <c r="M14" s="5"/>
      <c r="N14" s="5"/>
      <c r="O14" s="5"/>
      <c r="P14" s="5"/>
      <c r="Q14" s="5"/>
      <c r="R14" s="5"/>
      <c r="S14" s="5"/>
      <c r="T14" s="5"/>
      <c r="U14" s="5"/>
      <c r="V14" s="5"/>
      <c r="W14" s="5"/>
      <c r="X14" s="5"/>
      <c r="Y14" s="5"/>
      <c r="Z14" s="5"/>
      <c r="AA14" s="5"/>
      <c r="AB14" s="5"/>
      <c r="AC14" s="5"/>
      <c r="AD14" s="5"/>
    </row>
    <row r="15" customFormat="false" ht="15" hidden="false" customHeight="false" outlineLevel="0" collapsed="false">
      <c r="A15" s="5"/>
      <c r="B15" s="16" t="s">
        <v>37</v>
      </c>
      <c r="C15" s="20" t="n">
        <v>0</v>
      </c>
      <c r="D15" s="20" t="n">
        <v>-0.01</v>
      </c>
      <c r="E15" s="20" t="n">
        <v>0.025</v>
      </c>
      <c r="F15" s="21" t="n">
        <f aca="false">CHOOSE(Scenario_Toggle,C15,D15,E15)</f>
        <v>0</v>
      </c>
      <c r="G15" s="5"/>
      <c r="H15" s="5"/>
      <c r="I15" s="5"/>
      <c r="J15" s="5"/>
      <c r="K15" s="5"/>
      <c r="L15" s="5"/>
      <c r="M15" s="5"/>
      <c r="N15" s="5"/>
      <c r="O15" s="5"/>
      <c r="P15" s="5"/>
      <c r="Q15" s="5"/>
      <c r="R15" s="5"/>
      <c r="S15" s="5"/>
      <c r="T15" s="5"/>
      <c r="U15" s="5"/>
      <c r="V15" s="5"/>
      <c r="W15" s="5"/>
      <c r="X15" s="5"/>
      <c r="Y15" s="5"/>
      <c r="Z15" s="5"/>
      <c r="AA15" s="5"/>
      <c r="AB15" s="5"/>
      <c r="AC15" s="5"/>
      <c r="AD15" s="5"/>
    </row>
    <row r="16" customFormat="false" ht="15" hidden="false" customHeight="false" outlineLevel="0" collapsed="false">
      <c r="A16" s="5"/>
      <c r="B16" s="3" t="s">
        <v>38</v>
      </c>
      <c r="C16" s="19"/>
      <c r="D16" s="19"/>
      <c r="E16" s="19"/>
      <c r="F16" s="19"/>
      <c r="G16" s="19"/>
      <c r="H16" s="5"/>
      <c r="I16" s="5"/>
      <c r="J16" s="5"/>
      <c r="K16" s="5"/>
      <c r="L16" s="5"/>
      <c r="M16" s="5"/>
      <c r="N16" s="5"/>
      <c r="O16" s="5"/>
      <c r="P16" s="5"/>
      <c r="Q16" s="5"/>
      <c r="R16" s="5"/>
      <c r="S16" s="5"/>
      <c r="T16" s="5"/>
      <c r="U16" s="5"/>
      <c r="V16" s="5"/>
      <c r="W16" s="5"/>
      <c r="X16" s="5"/>
      <c r="Y16" s="5"/>
      <c r="Z16" s="5"/>
      <c r="AA16" s="5"/>
      <c r="AB16" s="5"/>
      <c r="AC16" s="5"/>
      <c r="AD16" s="5"/>
    </row>
    <row r="17" customFormat="false" ht="15" hidden="false" customHeight="false" outlineLevel="0" collapsed="false">
      <c r="A17" s="5"/>
      <c r="B17" s="16" t="s">
        <v>39</v>
      </c>
      <c r="C17" s="20" t="n">
        <v>0.005</v>
      </c>
      <c r="D17" s="20" t="n">
        <v>0.01</v>
      </c>
      <c r="E17" s="20" t="n">
        <v>0</v>
      </c>
      <c r="F17" s="21" t="n">
        <f aca="false">CHOOSE(Scenario_Toggle,C17,D17,E17)</f>
        <v>0.005</v>
      </c>
      <c r="G17" s="5"/>
      <c r="H17" s="5"/>
      <c r="I17" s="5"/>
      <c r="J17" s="5"/>
      <c r="K17" s="5"/>
      <c r="L17" s="5"/>
      <c r="M17" s="5"/>
      <c r="N17" s="5"/>
      <c r="O17" s="5"/>
      <c r="P17" s="5"/>
      <c r="Q17" s="5"/>
      <c r="R17" s="5"/>
      <c r="S17" s="5"/>
      <c r="T17" s="5"/>
      <c r="U17" s="5"/>
      <c r="V17" s="5"/>
      <c r="W17" s="5"/>
      <c r="X17" s="5"/>
      <c r="Y17" s="5"/>
      <c r="Z17" s="5"/>
      <c r="AA17" s="5"/>
      <c r="AB17" s="5"/>
      <c r="AC17" s="5"/>
      <c r="AD17" s="5"/>
    </row>
    <row r="18" customFormat="false" ht="15" hidden="false" customHeight="false" outlineLevel="0" collapsed="false">
      <c r="A18" s="5"/>
      <c r="B18" s="16" t="s">
        <v>40</v>
      </c>
      <c r="C18" s="20" t="n">
        <v>0.015</v>
      </c>
      <c r="D18" s="20" t="n">
        <v>0.01</v>
      </c>
      <c r="E18" s="20" t="n">
        <v>0.02</v>
      </c>
      <c r="F18" s="21" t="n">
        <f aca="false">CHOOSE(Scenario_Toggle,C18,D18,E18)</f>
        <v>0.015</v>
      </c>
      <c r="G18" s="5"/>
      <c r="H18" s="5"/>
      <c r="I18" s="5"/>
      <c r="J18" s="5"/>
      <c r="K18" s="5"/>
      <c r="L18" s="5"/>
      <c r="M18" s="5"/>
      <c r="N18" s="5"/>
      <c r="O18" s="5"/>
      <c r="P18" s="5"/>
      <c r="Q18" s="5"/>
      <c r="R18" s="5"/>
      <c r="S18" s="5"/>
      <c r="T18" s="5"/>
      <c r="U18" s="5"/>
      <c r="V18" s="5"/>
      <c r="W18" s="5"/>
      <c r="X18" s="5"/>
      <c r="Y18" s="5"/>
      <c r="Z18" s="5"/>
      <c r="AA18" s="5"/>
      <c r="AB18" s="5"/>
      <c r="AC18" s="5"/>
      <c r="AD18" s="5"/>
    </row>
    <row r="19" customFormat="false" ht="15" hidden="false" customHeight="false" outlineLevel="0" collapsed="false">
      <c r="A19" s="5"/>
      <c r="B19" s="3" t="s">
        <v>41</v>
      </c>
      <c r="C19" s="19"/>
      <c r="D19" s="19"/>
      <c r="E19" s="19"/>
      <c r="F19" s="19"/>
      <c r="G19" s="19"/>
      <c r="H19" s="5"/>
      <c r="I19" s="5"/>
      <c r="J19" s="5"/>
      <c r="K19" s="5"/>
      <c r="L19" s="5"/>
      <c r="M19" s="5"/>
      <c r="N19" s="5"/>
      <c r="O19" s="5"/>
      <c r="P19" s="5"/>
      <c r="Q19" s="5"/>
      <c r="R19" s="5"/>
      <c r="S19" s="5"/>
      <c r="T19" s="5"/>
      <c r="U19" s="5"/>
      <c r="V19" s="5"/>
      <c r="W19" s="5"/>
      <c r="X19" s="5"/>
      <c r="Y19" s="5"/>
      <c r="Z19" s="5"/>
      <c r="AA19" s="5"/>
      <c r="AB19" s="5"/>
      <c r="AC19" s="5"/>
      <c r="AD19" s="5"/>
    </row>
    <row r="20" customFormat="false" ht="15" hidden="false" customHeight="false" outlineLevel="0" collapsed="false">
      <c r="A20" s="5"/>
      <c r="B20" s="16" t="s">
        <v>42</v>
      </c>
      <c r="C20" s="20" t="n">
        <v>0.38</v>
      </c>
      <c r="D20" s="5"/>
      <c r="E20" s="5"/>
      <c r="F20" s="21" t="n">
        <f aca="false">C20</f>
        <v>0.38</v>
      </c>
      <c r="G20" s="5"/>
      <c r="H20" s="5"/>
      <c r="I20" s="5"/>
      <c r="J20" s="5"/>
      <c r="K20" s="5"/>
      <c r="L20" s="5"/>
      <c r="M20" s="5"/>
      <c r="N20" s="5"/>
      <c r="O20" s="5"/>
      <c r="P20" s="5"/>
      <c r="Q20" s="5"/>
      <c r="R20" s="5"/>
      <c r="S20" s="5"/>
      <c r="T20" s="5"/>
      <c r="U20" s="5"/>
      <c r="V20" s="5"/>
      <c r="W20" s="5"/>
      <c r="X20" s="5"/>
      <c r="Y20" s="5"/>
      <c r="Z20" s="5"/>
      <c r="AA20" s="5"/>
      <c r="AB20" s="5"/>
      <c r="AC20" s="5"/>
      <c r="AD20" s="5"/>
    </row>
    <row r="21" customFormat="false" ht="15" hidden="false" customHeight="false" outlineLevel="0" collapsed="false">
      <c r="A21" s="5"/>
      <c r="B21" s="16" t="s">
        <v>43</v>
      </c>
      <c r="C21" s="20" t="n">
        <v>0.22</v>
      </c>
      <c r="D21" s="5"/>
      <c r="E21" s="5"/>
      <c r="F21" s="21" t="n">
        <f aca="false">C21</f>
        <v>0.22</v>
      </c>
      <c r="G21" s="5"/>
      <c r="H21" s="5"/>
      <c r="I21" s="5"/>
      <c r="J21" s="5"/>
      <c r="K21" s="5"/>
      <c r="L21" s="5"/>
      <c r="M21" s="5"/>
      <c r="N21" s="5"/>
      <c r="O21" s="5"/>
      <c r="P21" s="5"/>
      <c r="Q21" s="5"/>
      <c r="R21" s="5"/>
      <c r="S21" s="5"/>
      <c r="T21" s="5"/>
      <c r="U21" s="5"/>
      <c r="V21" s="5"/>
      <c r="W21" s="5"/>
      <c r="X21" s="5"/>
      <c r="Y21" s="5"/>
      <c r="Z21" s="5"/>
      <c r="AA21" s="5"/>
      <c r="AB21" s="5"/>
      <c r="AC21" s="5"/>
      <c r="AD21" s="5"/>
    </row>
    <row r="22" customFormat="false" ht="15" hidden="false" customHeight="false" outlineLevel="0" collapsed="false">
      <c r="A22" s="5"/>
      <c r="B22" s="16" t="s">
        <v>44</v>
      </c>
      <c r="C22" s="20" t="n">
        <v>0.18</v>
      </c>
      <c r="D22" s="5"/>
      <c r="E22" s="5"/>
      <c r="F22" s="21" t="n">
        <f aca="false">C22</f>
        <v>0.18</v>
      </c>
      <c r="G22" s="5"/>
      <c r="H22" s="5"/>
      <c r="I22" s="5"/>
      <c r="J22" s="5"/>
      <c r="K22" s="5"/>
      <c r="L22" s="5"/>
      <c r="M22" s="5"/>
      <c r="N22" s="5"/>
      <c r="O22" s="5"/>
      <c r="P22" s="5"/>
      <c r="Q22" s="5"/>
      <c r="R22" s="5"/>
      <c r="S22" s="5"/>
      <c r="T22" s="5"/>
      <c r="U22" s="5"/>
      <c r="V22" s="5"/>
      <c r="W22" s="5"/>
      <c r="X22" s="5"/>
      <c r="Y22" s="5"/>
      <c r="Z22" s="5"/>
      <c r="AA22" s="5"/>
      <c r="AB22" s="5"/>
      <c r="AC22" s="5"/>
      <c r="AD22" s="5"/>
    </row>
    <row r="23" customFormat="false" ht="15" hidden="false" customHeight="false" outlineLevel="0" collapsed="false">
      <c r="A23" s="5"/>
      <c r="B23" s="16" t="s">
        <v>45</v>
      </c>
      <c r="C23" s="20" t="n">
        <v>0.12</v>
      </c>
      <c r="D23" s="5"/>
      <c r="E23" s="5"/>
      <c r="F23" s="21" t="n">
        <f aca="false">C23</f>
        <v>0.12</v>
      </c>
      <c r="G23" s="5"/>
      <c r="H23" s="5"/>
      <c r="I23" s="5"/>
      <c r="J23" s="5"/>
      <c r="K23" s="5"/>
      <c r="L23" s="5"/>
      <c r="M23" s="5"/>
      <c r="N23" s="5"/>
      <c r="O23" s="5"/>
      <c r="P23" s="5"/>
      <c r="Q23" s="5"/>
      <c r="R23" s="5"/>
      <c r="S23" s="5"/>
      <c r="T23" s="5"/>
      <c r="U23" s="5"/>
      <c r="V23" s="5"/>
      <c r="W23" s="5"/>
      <c r="X23" s="5"/>
      <c r="Y23" s="5"/>
      <c r="Z23" s="5"/>
      <c r="AA23" s="5"/>
      <c r="AB23" s="5"/>
      <c r="AC23" s="5"/>
      <c r="AD23" s="5"/>
    </row>
    <row r="24" customFormat="false" ht="15" hidden="false" customHeight="false" outlineLevel="0" collapsed="false">
      <c r="A24" s="5"/>
      <c r="B24" s="16" t="s">
        <v>46</v>
      </c>
      <c r="C24" s="20" t="n">
        <v>0.07</v>
      </c>
      <c r="D24" s="5"/>
      <c r="E24" s="5"/>
      <c r="F24" s="21" t="n">
        <f aca="false">C24</f>
        <v>0.07</v>
      </c>
      <c r="G24" s="5"/>
      <c r="H24" s="5"/>
      <c r="I24" s="5"/>
      <c r="J24" s="5"/>
      <c r="K24" s="5"/>
      <c r="L24" s="5"/>
      <c r="M24" s="5"/>
      <c r="N24" s="5"/>
      <c r="O24" s="5"/>
      <c r="P24" s="5"/>
      <c r="Q24" s="5"/>
      <c r="R24" s="5"/>
      <c r="S24" s="5"/>
      <c r="T24" s="5"/>
      <c r="U24" s="5"/>
      <c r="V24" s="5"/>
      <c r="W24" s="5"/>
      <c r="X24" s="5"/>
      <c r="Y24" s="5"/>
      <c r="Z24" s="5"/>
      <c r="AA24" s="5"/>
      <c r="AB24" s="5"/>
      <c r="AC24" s="5"/>
      <c r="AD24" s="5"/>
    </row>
    <row r="25" customFormat="false" ht="15" hidden="false" customHeight="false" outlineLevel="0" collapsed="false">
      <c r="A25" s="5"/>
      <c r="B25" s="16" t="s">
        <v>47</v>
      </c>
      <c r="C25" s="22" t="n">
        <f aca="false">1-Wt_Eq-Wt_FI-Wt_PE-Wt_RA-Wt_HF</f>
        <v>0.03</v>
      </c>
      <c r="D25" s="5"/>
      <c r="E25" s="5"/>
      <c r="F25" s="21" t="n">
        <f aca="false">C25</f>
        <v>0.03</v>
      </c>
      <c r="G25" s="5"/>
      <c r="H25" s="5"/>
      <c r="I25" s="5"/>
      <c r="J25" s="5"/>
      <c r="K25" s="5"/>
      <c r="L25" s="5"/>
      <c r="M25" s="5"/>
      <c r="N25" s="5"/>
      <c r="O25" s="5"/>
      <c r="P25" s="5"/>
      <c r="Q25" s="5"/>
      <c r="R25" s="5"/>
      <c r="S25" s="5"/>
      <c r="T25" s="5"/>
      <c r="U25" s="5"/>
      <c r="V25" s="5"/>
      <c r="W25" s="5"/>
      <c r="X25" s="5"/>
      <c r="Y25" s="5"/>
      <c r="Z25" s="5"/>
      <c r="AA25" s="5"/>
      <c r="AB25" s="5"/>
      <c r="AC25" s="5"/>
      <c r="AD25" s="5"/>
    </row>
    <row r="26" customFormat="false" ht="15" hidden="false" customHeight="false" outlineLevel="0" collapsed="false">
      <c r="A26" s="5"/>
      <c r="B26" s="3" t="s">
        <v>48</v>
      </c>
      <c r="C26" s="19"/>
      <c r="D26" s="19"/>
      <c r="E26" s="19"/>
      <c r="F26" s="19"/>
      <c r="G26" s="19"/>
      <c r="H26" s="5"/>
      <c r="I26" s="5"/>
      <c r="J26" s="5"/>
      <c r="K26" s="5"/>
      <c r="L26" s="5"/>
      <c r="M26" s="5"/>
      <c r="N26" s="5"/>
      <c r="O26" s="5"/>
      <c r="P26" s="5"/>
      <c r="Q26" s="5"/>
      <c r="R26" s="5"/>
      <c r="S26" s="5"/>
      <c r="T26" s="5"/>
      <c r="U26" s="5"/>
      <c r="V26" s="5"/>
      <c r="W26" s="5"/>
      <c r="X26" s="5"/>
      <c r="Y26" s="5"/>
      <c r="Z26" s="5"/>
      <c r="AA26" s="5"/>
      <c r="AB26" s="5"/>
      <c r="AC26" s="5"/>
      <c r="AD26" s="5"/>
    </row>
    <row r="27" customFormat="false" ht="15" hidden="false" customHeight="false" outlineLevel="0" collapsed="false">
      <c r="A27" s="5"/>
      <c r="B27" s="16" t="s">
        <v>49</v>
      </c>
      <c r="C27" s="20" t="n">
        <v>0.0008</v>
      </c>
      <c r="D27" s="5"/>
      <c r="E27" s="5"/>
      <c r="F27" s="21" t="n">
        <f aca="false">C27</f>
        <v>0.0008</v>
      </c>
      <c r="G27" s="5"/>
      <c r="H27" s="5"/>
      <c r="I27" s="5"/>
      <c r="J27" s="5"/>
      <c r="K27" s="5"/>
      <c r="L27" s="5"/>
      <c r="M27" s="5"/>
      <c r="N27" s="5"/>
      <c r="O27" s="5"/>
      <c r="P27" s="5"/>
      <c r="Q27" s="5"/>
      <c r="R27" s="5"/>
      <c r="S27" s="5"/>
      <c r="T27" s="5"/>
      <c r="U27" s="5"/>
      <c r="V27" s="5"/>
      <c r="W27" s="5"/>
      <c r="X27" s="5"/>
      <c r="Y27" s="5"/>
      <c r="Z27" s="5"/>
      <c r="AA27" s="5"/>
      <c r="AB27" s="5"/>
      <c r="AC27" s="5"/>
      <c r="AD27" s="5"/>
    </row>
    <row r="28" customFormat="false" ht="15" hidden="false" customHeight="false" outlineLevel="0" collapsed="false">
      <c r="A28" s="5"/>
      <c r="B28" s="16" t="s">
        <v>50</v>
      </c>
      <c r="C28" s="20" t="n">
        <v>0.0015</v>
      </c>
      <c r="D28" s="5"/>
      <c r="E28" s="5"/>
      <c r="F28" s="21" t="n">
        <f aca="false">C28</f>
        <v>0.0015</v>
      </c>
      <c r="G28" s="5"/>
      <c r="H28" s="5"/>
      <c r="I28" s="5"/>
      <c r="J28" s="5"/>
      <c r="K28" s="5"/>
      <c r="L28" s="5"/>
      <c r="M28" s="5"/>
      <c r="N28" s="5"/>
      <c r="O28" s="5"/>
      <c r="P28" s="5"/>
      <c r="Q28" s="5"/>
      <c r="R28" s="5"/>
      <c r="S28" s="5"/>
      <c r="T28" s="5"/>
      <c r="U28" s="5"/>
      <c r="V28" s="5"/>
      <c r="W28" s="5"/>
      <c r="X28" s="5"/>
      <c r="Y28" s="5"/>
      <c r="Z28" s="5"/>
      <c r="AA28" s="5"/>
      <c r="AB28" s="5"/>
      <c r="AC28" s="5"/>
      <c r="AD28" s="5"/>
    </row>
    <row r="29" customFormat="false" ht="15" hidden="false" customHeight="false" outlineLevel="0" collapsed="false">
      <c r="A29" s="5"/>
      <c r="B29" s="16" t="s">
        <v>51</v>
      </c>
      <c r="C29" s="20" t="n">
        <v>0.015</v>
      </c>
      <c r="D29" s="5"/>
      <c r="E29" s="5"/>
      <c r="F29" s="21" t="n">
        <f aca="false">C29</f>
        <v>0.015</v>
      </c>
      <c r="G29" s="5"/>
      <c r="H29" s="5"/>
      <c r="I29" s="5"/>
      <c r="J29" s="5"/>
      <c r="K29" s="5"/>
      <c r="L29" s="5"/>
      <c r="M29" s="5"/>
      <c r="N29" s="5"/>
      <c r="O29" s="5"/>
      <c r="P29" s="5"/>
      <c r="Q29" s="5"/>
      <c r="R29" s="5"/>
      <c r="S29" s="5"/>
      <c r="T29" s="5"/>
      <c r="U29" s="5"/>
      <c r="V29" s="5"/>
      <c r="W29" s="5"/>
      <c r="X29" s="5"/>
      <c r="Y29" s="5"/>
      <c r="Z29" s="5"/>
      <c r="AA29" s="5"/>
      <c r="AB29" s="5"/>
      <c r="AC29" s="5"/>
      <c r="AD29" s="5"/>
    </row>
    <row r="30" customFormat="false" ht="15" hidden="false" customHeight="false" outlineLevel="0" collapsed="false">
      <c r="A30" s="5"/>
      <c r="B30" s="16" t="s">
        <v>52</v>
      </c>
      <c r="C30" s="20" t="n">
        <v>0.08</v>
      </c>
      <c r="D30" s="5"/>
      <c r="E30" s="5"/>
      <c r="F30" s="21" t="n">
        <f aca="false">C30</f>
        <v>0.08</v>
      </c>
      <c r="G30" s="5"/>
      <c r="H30" s="5"/>
      <c r="I30" s="5"/>
      <c r="J30" s="5"/>
      <c r="K30" s="5"/>
      <c r="L30" s="5"/>
      <c r="M30" s="5"/>
      <c r="N30" s="5"/>
      <c r="O30" s="5"/>
      <c r="P30" s="5"/>
      <c r="Q30" s="5"/>
      <c r="R30" s="5"/>
      <c r="S30" s="5"/>
      <c r="T30" s="5"/>
      <c r="U30" s="5"/>
      <c r="V30" s="5"/>
      <c r="W30" s="5"/>
      <c r="X30" s="5"/>
      <c r="Y30" s="5"/>
      <c r="Z30" s="5"/>
      <c r="AA30" s="5"/>
      <c r="AB30" s="5"/>
      <c r="AC30" s="5"/>
      <c r="AD30" s="5"/>
    </row>
    <row r="31" customFormat="false" ht="15" hidden="false" customHeight="false" outlineLevel="0" collapsed="false">
      <c r="A31" s="5"/>
      <c r="B31" s="16" t="s">
        <v>53</v>
      </c>
      <c r="C31" s="20" t="n">
        <v>0.2</v>
      </c>
      <c r="D31" s="5"/>
      <c r="E31" s="5"/>
      <c r="F31" s="21" t="n">
        <f aca="false">C31</f>
        <v>0.2</v>
      </c>
      <c r="G31" s="5"/>
      <c r="H31" s="5"/>
      <c r="I31" s="5"/>
      <c r="J31" s="5"/>
      <c r="K31" s="5"/>
      <c r="L31" s="5"/>
      <c r="M31" s="5"/>
      <c r="N31" s="5"/>
      <c r="O31" s="5"/>
      <c r="P31" s="5"/>
      <c r="Q31" s="5"/>
      <c r="R31" s="5"/>
      <c r="S31" s="5"/>
      <c r="T31" s="5"/>
      <c r="U31" s="5"/>
      <c r="V31" s="5"/>
      <c r="W31" s="5"/>
      <c r="X31" s="5"/>
      <c r="Y31" s="5"/>
      <c r="Z31" s="5"/>
      <c r="AA31" s="5"/>
      <c r="AB31" s="5"/>
      <c r="AC31" s="5"/>
      <c r="AD31" s="5"/>
    </row>
    <row r="32" customFormat="false" ht="15" hidden="false" customHeight="false" outlineLevel="0" collapsed="false">
      <c r="A32" s="5"/>
      <c r="B32" s="16" t="s">
        <v>54</v>
      </c>
      <c r="C32" s="20" t="n">
        <v>0.006</v>
      </c>
      <c r="D32" s="5"/>
      <c r="E32" s="5"/>
      <c r="F32" s="21" t="n">
        <f aca="false">C32</f>
        <v>0.006</v>
      </c>
      <c r="G32" s="5"/>
      <c r="H32" s="5"/>
      <c r="I32" s="5"/>
      <c r="J32" s="5"/>
      <c r="K32" s="5"/>
      <c r="L32" s="5"/>
      <c r="M32" s="5"/>
      <c r="N32" s="5"/>
      <c r="O32" s="5"/>
      <c r="P32" s="5"/>
      <c r="Q32" s="5"/>
      <c r="R32" s="5"/>
      <c r="S32" s="5"/>
      <c r="T32" s="5"/>
      <c r="U32" s="5"/>
      <c r="V32" s="5"/>
      <c r="W32" s="5"/>
      <c r="X32" s="5"/>
      <c r="Y32" s="5"/>
      <c r="Z32" s="5"/>
      <c r="AA32" s="5"/>
      <c r="AB32" s="5"/>
      <c r="AC32" s="5"/>
      <c r="AD32" s="5"/>
    </row>
    <row r="33" customFormat="false" ht="15" hidden="false" customHeight="false" outlineLevel="0" collapsed="false">
      <c r="A33" s="5"/>
      <c r="B33" s="16" t="s">
        <v>55</v>
      </c>
      <c r="C33" s="20" t="n">
        <v>0.01</v>
      </c>
      <c r="D33" s="5"/>
      <c r="E33" s="5"/>
      <c r="F33" s="21" t="n">
        <f aca="false">C33</f>
        <v>0.01</v>
      </c>
      <c r="G33" s="5"/>
      <c r="H33" s="5"/>
      <c r="I33" s="5"/>
      <c r="J33" s="5"/>
      <c r="K33" s="5"/>
      <c r="L33" s="5"/>
      <c r="M33" s="5"/>
      <c r="N33" s="5"/>
      <c r="O33" s="5"/>
      <c r="P33" s="5"/>
      <c r="Q33" s="5"/>
      <c r="R33" s="5"/>
      <c r="S33" s="5"/>
      <c r="T33" s="5"/>
      <c r="U33" s="5"/>
      <c r="V33" s="5"/>
      <c r="W33" s="5"/>
      <c r="X33" s="5"/>
      <c r="Y33" s="5"/>
      <c r="Z33" s="5"/>
      <c r="AA33" s="5"/>
      <c r="AB33" s="5"/>
      <c r="AC33" s="5"/>
      <c r="AD33" s="5"/>
    </row>
    <row r="34" customFormat="false" ht="15" hidden="false" customHeight="false" outlineLevel="0" collapsed="false">
      <c r="A34" s="5"/>
      <c r="B34" s="16" t="s">
        <v>56</v>
      </c>
      <c r="C34" s="20" t="n">
        <v>0.05</v>
      </c>
      <c r="D34" s="5"/>
      <c r="E34" s="5"/>
      <c r="F34" s="21" t="n">
        <f aca="false">C34</f>
        <v>0.05</v>
      </c>
      <c r="G34" s="5"/>
      <c r="H34" s="5"/>
      <c r="I34" s="5"/>
      <c r="J34" s="5"/>
      <c r="K34" s="5"/>
      <c r="L34" s="5"/>
      <c r="M34" s="5"/>
      <c r="N34" s="5"/>
      <c r="O34" s="5"/>
      <c r="P34" s="5"/>
      <c r="Q34" s="5"/>
      <c r="R34" s="5"/>
      <c r="S34" s="5"/>
      <c r="T34" s="5"/>
      <c r="U34" s="5"/>
      <c r="V34" s="5"/>
      <c r="W34" s="5"/>
      <c r="X34" s="5"/>
      <c r="Y34" s="5"/>
      <c r="Z34" s="5"/>
      <c r="AA34" s="5"/>
      <c r="AB34" s="5"/>
      <c r="AC34" s="5"/>
      <c r="AD34" s="5"/>
    </row>
    <row r="35" customFormat="false" ht="15" hidden="false" customHeight="false" outlineLevel="0" collapsed="false">
      <c r="A35" s="5"/>
      <c r="B35" s="16" t="s">
        <v>57</v>
      </c>
      <c r="C35" s="20" t="n">
        <v>0.2</v>
      </c>
      <c r="D35" s="5"/>
      <c r="E35" s="5"/>
      <c r="F35" s="21" t="n">
        <f aca="false">C35</f>
        <v>0.2</v>
      </c>
      <c r="G35" s="5"/>
      <c r="H35" s="5"/>
      <c r="I35" s="5"/>
      <c r="J35" s="5"/>
      <c r="K35" s="5"/>
      <c r="L35" s="5"/>
      <c r="M35" s="5"/>
      <c r="N35" s="5"/>
      <c r="O35" s="5"/>
      <c r="P35" s="5"/>
      <c r="Q35" s="5"/>
      <c r="R35" s="5"/>
      <c r="S35" s="5"/>
      <c r="T35" s="5"/>
      <c r="U35" s="5"/>
      <c r="V35" s="5"/>
      <c r="W35" s="5"/>
      <c r="X35" s="5"/>
      <c r="Y35" s="5"/>
      <c r="Z35" s="5"/>
      <c r="AA35" s="5"/>
      <c r="AB35" s="5"/>
      <c r="AC35" s="5"/>
      <c r="AD35" s="5"/>
    </row>
    <row r="36" customFormat="false" ht="15" hidden="false" customHeight="false" outlineLevel="0" collapsed="false">
      <c r="A36" s="5"/>
      <c r="B36" s="3" t="s">
        <v>58</v>
      </c>
      <c r="C36" s="19"/>
      <c r="D36" s="19"/>
      <c r="E36" s="19"/>
      <c r="F36" s="19"/>
      <c r="G36" s="19"/>
      <c r="H36" s="5"/>
      <c r="I36" s="5"/>
      <c r="J36" s="5"/>
      <c r="K36" s="5"/>
      <c r="L36" s="5"/>
      <c r="M36" s="5"/>
      <c r="N36" s="5"/>
      <c r="O36" s="5"/>
      <c r="P36" s="5"/>
      <c r="Q36" s="5"/>
      <c r="R36" s="5"/>
      <c r="S36" s="5"/>
      <c r="T36" s="5"/>
      <c r="U36" s="5"/>
      <c r="V36" s="5"/>
      <c r="W36" s="5"/>
      <c r="X36" s="5"/>
      <c r="Y36" s="5"/>
      <c r="Z36" s="5"/>
      <c r="AA36" s="5"/>
      <c r="AB36" s="5"/>
      <c r="AC36" s="5"/>
      <c r="AD36" s="5"/>
    </row>
    <row r="37" customFormat="false" ht="15" hidden="false" customHeight="false" outlineLevel="0" collapsed="false">
      <c r="A37" s="5"/>
      <c r="B37" s="16" t="s">
        <v>59</v>
      </c>
      <c r="C37" s="23" t="n">
        <v>20000</v>
      </c>
      <c r="D37" s="5"/>
      <c r="E37" s="5"/>
      <c r="F37" s="24" t="n">
        <f aca="false">C37</f>
        <v>20000</v>
      </c>
      <c r="G37" s="5"/>
      <c r="H37" s="5"/>
      <c r="I37" s="5"/>
      <c r="J37" s="5"/>
      <c r="K37" s="5"/>
      <c r="L37" s="5"/>
      <c r="M37" s="5"/>
      <c r="N37" s="5"/>
      <c r="O37" s="5"/>
      <c r="P37" s="5"/>
      <c r="Q37" s="5"/>
      <c r="R37" s="5"/>
      <c r="S37" s="5"/>
      <c r="T37" s="5"/>
      <c r="U37" s="5"/>
      <c r="V37" s="5"/>
      <c r="W37" s="5"/>
      <c r="X37" s="5"/>
      <c r="Y37" s="5"/>
      <c r="Z37" s="5"/>
      <c r="AA37" s="5"/>
      <c r="AB37" s="5"/>
      <c r="AC37" s="5"/>
      <c r="AD37" s="5"/>
    </row>
    <row r="38" customFormat="false" ht="15" hidden="false" customHeight="false" outlineLevel="0" collapsed="false">
      <c r="A38" s="5"/>
      <c r="B38" s="16" t="s">
        <v>60</v>
      </c>
      <c r="C38" s="23" t="n">
        <v>1000000</v>
      </c>
      <c r="D38" s="5"/>
      <c r="E38" s="5"/>
      <c r="F38" s="24" t="n">
        <f aca="false">C38</f>
        <v>1000000</v>
      </c>
      <c r="G38" s="5"/>
      <c r="H38" s="5"/>
      <c r="I38" s="5"/>
      <c r="J38" s="5"/>
      <c r="K38" s="5"/>
      <c r="L38" s="5"/>
      <c r="M38" s="5"/>
      <c r="N38" s="5"/>
      <c r="O38" s="5"/>
      <c r="P38" s="5"/>
      <c r="Q38" s="5"/>
      <c r="R38" s="5"/>
      <c r="S38" s="5"/>
      <c r="T38" s="5"/>
      <c r="U38" s="5"/>
      <c r="V38" s="5"/>
      <c r="W38" s="5"/>
      <c r="X38" s="5"/>
      <c r="Y38" s="5"/>
      <c r="Z38" s="5"/>
      <c r="AA38" s="5"/>
      <c r="AB38" s="5"/>
      <c r="AC38" s="5"/>
      <c r="AD38" s="5"/>
    </row>
    <row r="39" customFormat="false" ht="15" hidden="false" customHeight="false" outlineLevel="0" collapsed="false">
      <c r="A39" s="5"/>
      <c r="B39" s="16" t="s">
        <v>61</v>
      </c>
      <c r="C39" s="20" t="n">
        <v>0.0015</v>
      </c>
      <c r="D39" s="5"/>
      <c r="E39" s="5"/>
      <c r="F39" s="21" t="n">
        <f aca="false">C39</f>
        <v>0.0015</v>
      </c>
      <c r="G39" s="5"/>
      <c r="H39" s="5"/>
      <c r="I39" s="5"/>
      <c r="J39" s="5"/>
      <c r="K39" s="5"/>
      <c r="L39" s="5"/>
      <c r="M39" s="5"/>
      <c r="N39" s="5"/>
      <c r="O39" s="5"/>
      <c r="P39" s="5"/>
      <c r="Q39" s="5"/>
      <c r="R39" s="5"/>
      <c r="S39" s="5"/>
      <c r="T39" s="5"/>
      <c r="U39" s="5"/>
      <c r="V39" s="5"/>
      <c r="W39" s="5"/>
      <c r="X39" s="5"/>
      <c r="Y39" s="5"/>
      <c r="Z39" s="5"/>
      <c r="AA39" s="5"/>
      <c r="AB39" s="5"/>
      <c r="AC39" s="5"/>
      <c r="AD39" s="5"/>
    </row>
    <row r="40" customFormat="false" ht="15" hidden="false" customHeight="false" outlineLevel="0" collapsed="false">
      <c r="A40" s="5"/>
      <c r="B40" s="16" t="s">
        <v>62</v>
      </c>
      <c r="C40" s="20" t="n">
        <v>0.025</v>
      </c>
      <c r="D40" s="5"/>
      <c r="E40" s="5"/>
      <c r="F40" s="21" t="n">
        <f aca="false">C40</f>
        <v>0.025</v>
      </c>
      <c r="G40" s="5"/>
      <c r="H40" s="5"/>
      <c r="I40" s="5"/>
      <c r="J40" s="5"/>
      <c r="K40" s="5"/>
      <c r="L40" s="5"/>
      <c r="M40" s="5"/>
      <c r="N40" s="5"/>
      <c r="O40" s="5"/>
      <c r="P40" s="5"/>
      <c r="Q40" s="5"/>
      <c r="R40" s="5"/>
      <c r="S40" s="5"/>
      <c r="T40" s="5"/>
      <c r="U40" s="5"/>
      <c r="V40" s="5"/>
      <c r="W40" s="5"/>
      <c r="X40" s="5"/>
      <c r="Y40" s="5"/>
      <c r="Z40" s="5"/>
      <c r="AA40" s="5"/>
      <c r="AB40" s="5"/>
      <c r="AC40" s="5"/>
      <c r="AD40" s="5"/>
    </row>
    <row r="41" customFormat="false" ht="15" hidden="false" customHeight="false" outlineLevel="0" collapsed="false">
      <c r="A41" s="5"/>
      <c r="B41" s="16" t="s">
        <v>63</v>
      </c>
      <c r="C41" s="20" t="n">
        <v>0.015</v>
      </c>
      <c r="D41" s="5"/>
      <c r="E41" s="5"/>
      <c r="F41" s="21" t="n">
        <f aca="false">C41</f>
        <v>0.015</v>
      </c>
      <c r="G41" s="5"/>
      <c r="H41" s="5"/>
      <c r="I41" s="5"/>
      <c r="J41" s="5"/>
      <c r="K41" s="5"/>
      <c r="L41" s="5"/>
      <c r="M41" s="5"/>
      <c r="N41" s="5"/>
      <c r="O41" s="5"/>
      <c r="P41" s="5"/>
      <c r="Q41" s="5"/>
      <c r="R41" s="5"/>
      <c r="S41" s="5"/>
      <c r="T41" s="5"/>
      <c r="U41" s="5"/>
      <c r="V41" s="5"/>
      <c r="W41" s="5"/>
      <c r="X41" s="5"/>
      <c r="Y41" s="5"/>
      <c r="Z41" s="5"/>
      <c r="AA41" s="5"/>
      <c r="AB41" s="5"/>
      <c r="AC41" s="5"/>
      <c r="AD41" s="5"/>
    </row>
    <row r="42" customFormat="false" ht="15" hidden="false" customHeight="false" outlineLevel="0" collapsed="false">
      <c r="A42" s="5"/>
      <c r="B42" s="3" t="s">
        <v>64</v>
      </c>
      <c r="C42" s="19"/>
      <c r="D42" s="19"/>
      <c r="E42" s="19"/>
      <c r="F42" s="19"/>
      <c r="G42" s="19"/>
      <c r="H42" s="5"/>
      <c r="I42" s="5"/>
      <c r="J42" s="5"/>
      <c r="K42" s="5"/>
      <c r="L42" s="5"/>
      <c r="M42" s="5"/>
      <c r="N42" s="5"/>
      <c r="O42" s="5"/>
      <c r="P42" s="5"/>
      <c r="Q42" s="5"/>
      <c r="R42" s="5"/>
      <c r="S42" s="5"/>
      <c r="T42" s="5"/>
      <c r="U42" s="5"/>
      <c r="V42" s="5"/>
      <c r="W42" s="5"/>
      <c r="X42" s="5"/>
      <c r="Y42" s="5"/>
      <c r="Z42" s="5"/>
      <c r="AA42" s="5"/>
      <c r="AB42" s="5"/>
      <c r="AC42" s="5"/>
      <c r="AD42" s="5"/>
    </row>
    <row r="43" customFormat="false" ht="15" hidden="false" customHeight="false" outlineLevel="0" collapsed="false">
      <c r="A43" s="5"/>
      <c r="B43" s="16" t="s">
        <v>65</v>
      </c>
      <c r="C43" s="23" t="n">
        <v>20000</v>
      </c>
      <c r="D43" s="5"/>
      <c r="E43" s="5"/>
      <c r="F43" s="24" t="n">
        <f aca="false">C43</f>
        <v>20000</v>
      </c>
      <c r="G43" s="5"/>
      <c r="H43" s="5"/>
      <c r="I43" s="5"/>
      <c r="J43" s="5"/>
      <c r="K43" s="5"/>
      <c r="L43" s="5"/>
      <c r="M43" s="5"/>
      <c r="N43" s="5"/>
      <c r="O43" s="5"/>
      <c r="P43" s="5"/>
      <c r="Q43" s="5"/>
      <c r="R43" s="5"/>
      <c r="S43" s="5"/>
      <c r="T43" s="5"/>
      <c r="U43" s="5"/>
      <c r="V43" s="5"/>
      <c r="W43" s="5"/>
      <c r="X43" s="5"/>
      <c r="Y43" s="5"/>
      <c r="Z43" s="5"/>
      <c r="AA43" s="5"/>
      <c r="AB43" s="5"/>
      <c r="AC43" s="5"/>
      <c r="AD43" s="5"/>
    </row>
    <row r="44" customFormat="false" ht="15" hidden="false" customHeight="false" outlineLevel="0" collapsed="false">
      <c r="A44" s="5"/>
      <c r="B44" s="16" t="s">
        <v>66</v>
      </c>
      <c r="C44" s="23" t="n">
        <v>45000</v>
      </c>
      <c r="D44" s="5"/>
      <c r="E44" s="5"/>
      <c r="F44" s="24" t="n">
        <f aca="false">C44</f>
        <v>45000</v>
      </c>
      <c r="G44" s="5"/>
      <c r="H44" s="5"/>
      <c r="I44" s="5"/>
      <c r="J44" s="5"/>
      <c r="K44" s="5"/>
      <c r="L44" s="5"/>
      <c r="M44" s="5"/>
      <c r="N44" s="5"/>
      <c r="O44" s="5"/>
      <c r="P44" s="5"/>
      <c r="Q44" s="5"/>
      <c r="R44" s="5"/>
      <c r="S44" s="5"/>
      <c r="T44" s="5"/>
      <c r="U44" s="5"/>
      <c r="V44" s="5"/>
      <c r="W44" s="5"/>
      <c r="X44" s="5"/>
      <c r="Y44" s="5"/>
      <c r="Z44" s="5"/>
      <c r="AA44" s="5"/>
      <c r="AB44" s="5"/>
      <c r="AC44" s="5"/>
      <c r="AD44" s="5"/>
    </row>
    <row r="45" customFormat="false" ht="15" hidden="false" customHeight="false" outlineLevel="0" collapsed="false">
      <c r="A45" s="5"/>
      <c r="B45" s="16" t="s">
        <v>67</v>
      </c>
      <c r="C45" s="20" t="n">
        <v>0.025</v>
      </c>
      <c r="D45" s="5"/>
      <c r="E45" s="5"/>
      <c r="F45" s="21" t="n">
        <f aca="false">C45</f>
        <v>0.025</v>
      </c>
      <c r="G45" s="5"/>
      <c r="H45" s="5"/>
      <c r="I45" s="5"/>
      <c r="J45" s="5"/>
      <c r="K45" s="5"/>
      <c r="L45" s="5"/>
      <c r="M45" s="5"/>
      <c r="N45" s="5"/>
      <c r="O45" s="5"/>
      <c r="P45" s="5"/>
      <c r="Q45" s="5"/>
      <c r="R45" s="5"/>
      <c r="S45" s="5"/>
      <c r="T45" s="5"/>
      <c r="U45" s="5"/>
      <c r="V45" s="5"/>
      <c r="W45" s="5"/>
      <c r="X45" s="5"/>
      <c r="Y45" s="5"/>
      <c r="Z45" s="5"/>
      <c r="AA45" s="5"/>
      <c r="AB45" s="5"/>
      <c r="AC45" s="5"/>
      <c r="AD45" s="5"/>
    </row>
    <row r="46" customFormat="false" ht="15" hidden="false" customHeight="false" outlineLevel="0" collapsed="false">
      <c r="A46" s="5"/>
      <c r="B46" s="16" t="s">
        <v>68</v>
      </c>
      <c r="C46" s="20" t="n">
        <v>0.14</v>
      </c>
      <c r="D46" s="5"/>
      <c r="E46" s="5"/>
      <c r="F46" s="21" t="n">
        <f aca="false">C46</f>
        <v>0.14</v>
      </c>
      <c r="G46" s="5"/>
      <c r="H46" s="5"/>
      <c r="I46" s="5"/>
      <c r="J46" s="5"/>
      <c r="K46" s="5"/>
      <c r="L46" s="5"/>
      <c r="M46" s="5"/>
      <c r="N46" s="5"/>
      <c r="O46" s="5"/>
      <c r="P46" s="5"/>
      <c r="Q46" s="5"/>
      <c r="R46" s="5"/>
      <c r="S46" s="5"/>
      <c r="T46" s="5"/>
      <c r="U46" s="5"/>
      <c r="V46" s="5"/>
      <c r="W46" s="5"/>
      <c r="X46" s="5"/>
      <c r="Y46" s="5"/>
      <c r="Z46" s="5"/>
      <c r="AA46" s="5"/>
      <c r="AB46" s="5"/>
      <c r="AC46" s="5"/>
      <c r="AD46" s="5"/>
    </row>
    <row r="47" customFormat="false" ht="15" hidden="false" customHeight="false" outlineLevel="0" collapsed="false">
      <c r="A47" s="5"/>
      <c r="B47" s="16" t="s">
        <v>69</v>
      </c>
      <c r="C47" s="20" t="n">
        <v>0.06</v>
      </c>
      <c r="D47" s="5"/>
      <c r="E47" s="5"/>
      <c r="F47" s="21" t="n">
        <f aca="false">C47</f>
        <v>0.06</v>
      </c>
      <c r="G47" s="5"/>
      <c r="H47" s="5"/>
      <c r="I47" s="5"/>
      <c r="J47" s="5"/>
      <c r="K47" s="5"/>
      <c r="L47" s="5"/>
      <c r="M47" s="5"/>
      <c r="N47" s="5"/>
      <c r="O47" s="5"/>
      <c r="P47" s="5"/>
      <c r="Q47" s="5"/>
      <c r="R47" s="5"/>
      <c r="S47" s="5"/>
      <c r="T47" s="5"/>
      <c r="U47" s="5"/>
      <c r="V47" s="5"/>
      <c r="W47" s="5"/>
      <c r="X47" s="5"/>
      <c r="Y47" s="5"/>
      <c r="Z47" s="5"/>
      <c r="AA47" s="5"/>
      <c r="AB47" s="5"/>
      <c r="AC47" s="5"/>
      <c r="AD47" s="5"/>
    </row>
    <row r="48" customFormat="false" ht="15" hidden="false" customHeight="false" outlineLevel="0" collapsed="false">
      <c r="A48" s="5"/>
      <c r="B48" s="16" t="s">
        <v>70</v>
      </c>
      <c r="C48" s="23" t="n">
        <v>8000</v>
      </c>
      <c r="D48" s="5"/>
      <c r="E48" s="5"/>
      <c r="F48" s="24" t="n">
        <f aca="false">C48</f>
        <v>8000</v>
      </c>
      <c r="G48" s="5"/>
      <c r="H48" s="5"/>
      <c r="I48" s="5"/>
      <c r="J48" s="5"/>
      <c r="K48" s="5"/>
      <c r="L48" s="5"/>
      <c r="M48" s="5"/>
      <c r="N48" s="5"/>
      <c r="O48" s="5"/>
      <c r="P48" s="5"/>
      <c r="Q48" s="5"/>
      <c r="R48" s="5"/>
      <c r="S48" s="5"/>
      <c r="T48" s="5"/>
      <c r="U48" s="5"/>
      <c r="V48" s="5"/>
      <c r="W48" s="5"/>
      <c r="X48" s="5"/>
      <c r="Y48" s="5"/>
      <c r="Z48" s="5"/>
      <c r="AA48" s="5"/>
      <c r="AB48" s="5"/>
      <c r="AC48" s="5"/>
      <c r="AD48" s="5"/>
    </row>
    <row r="49" customFormat="false" ht="15" hidden="false" customHeight="false" outlineLevel="0" collapsed="false">
      <c r="A49" s="5"/>
      <c r="B49" s="16" t="s">
        <v>71</v>
      </c>
      <c r="C49" s="23" t="n">
        <v>18000</v>
      </c>
      <c r="D49" s="5"/>
      <c r="E49" s="5"/>
      <c r="F49" s="24" t="n">
        <f aca="false">C49</f>
        <v>18000</v>
      </c>
      <c r="G49" s="5"/>
      <c r="H49" s="5"/>
      <c r="I49" s="5"/>
      <c r="J49" s="5"/>
      <c r="K49" s="5"/>
      <c r="L49" s="5"/>
      <c r="M49" s="5"/>
      <c r="N49" s="5"/>
      <c r="O49" s="5"/>
      <c r="P49" s="5"/>
      <c r="Q49" s="5"/>
      <c r="R49" s="5"/>
      <c r="S49" s="5"/>
      <c r="T49" s="5"/>
      <c r="U49" s="5"/>
      <c r="V49" s="5"/>
      <c r="W49" s="5"/>
      <c r="X49" s="5"/>
      <c r="Y49" s="5"/>
      <c r="Z49" s="5"/>
      <c r="AA49" s="5"/>
      <c r="AB49" s="5"/>
      <c r="AC49" s="5"/>
      <c r="AD49" s="5"/>
    </row>
    <row r="50" customFormat="false" ht="15" hidden="false" customHeight="false" outlineLevel="0" collapsed="false">
      <c r="A50" s="5"/>
      <c r="B50" s="16" t="s">
        <v>72</v>
      </c>
      <c r="C50" s="20" t="n">
        <v>0.015</v>
      </c>
      <c r="D50" s="5"/>
      <c r="E50" s="5"/>
      <c r="F50" s="21" t="n">
        <f aca="false">C50</f>
        <v>0.015</v>
      </c>
      <c r="G50" s="5"/>
      <c r="H50" s="5"/>
      <c r="I50" s="5"/>
      <c r="J50" s="5"/>
      <c r="K50" s="5"/>
      <c r="L50" s="5"/>
      <c r="M50" s="5"/>
      <c r="N50" s="5"/>
      <c r="O50" s="5"/>
      <c r="P50" s="5"/>
      <c r="Q50" s="5"/>
      <c r="R50" s="5"/>
      <c r="S50" s="5"/>
      <c r="T50" s="5"/>
      <c r="U50" s="5"/>
      <c r="V50" s="5"/>
      <c r="W50" s="5"/>
      <c r="X50" s="5"/>
      <c r="Y50" s="5"/>
      <c r="Z50" s="5"/>
      <c r="AA50" s="5"/>
      <c r="AB50" s="5"/>
      <c r="AC50" s="5"/>
      <c r="AD50" s="5"/>
    </row>
    <row r="51" customFormat="false" ht="15" hidden="false" customHeight="false" outlineLevel="0" collapsed="false">
      <c r="A51" s="5"/>
      <c r="B51" s="3" t="s">
        <v>73</v>
      </c>
      <c r="C51" s="19"/>
      <c r="D51" s="19"/>
      <c r="E51" s="19"/>
      <c r="F51" s="19"/>
      <c r="G51" s="19"/>
      <c r="H51" s="5"/>
      <c r="I51" s="5"/>
      <c r="J51" s="5"/>
      <c r="K51" s="5"/>
      <c r="L51" s="5"/>
      <c r="M51" s="5"/>
      <c r="N51" s="5"/>
      <c r="O51" s="5"/>
      <c r="P51" s="5"/>
      <c r="Q51" s="5"/>
      <c r="R51" s="5"/>
      <c r="S51" s="5"/>
      <c r="T51" s="5"/>
      <c r="U51" s="5"/>
      <c r="V51" s="5"/>
      <c r="W51" s="5"/>
      <c r="X51" s="5"/>
      <c r="Y51" s="5"/>
      <c r="Z51" s="5"/>
      <c r="AA51" s="5"/>
      <c r="AB51" s="5"/>
      <c r="AC51" s="5"/>
      <c r="AD51" s="5"/>
    </row>
    <row r="52" customFormat="false" ht="15" hidden="false" customHeight="false" outlineLevel="0" collapsed="false">
      <c r="A52" s="5"/>
      <c r="B52" s="16" t="s">
        <v>74</v>
      </c>
      <c r="C52" s="23" t="n">
        <v>5800</v>
      </c>
      <c r="D52" s="5"/>
      <c r="E52" s="5"/>
      <c r="F52" s="24" t="n">
        <f aca="false">C52</f>
        <v>5800</v>
      </c>
      <c r="G52" s="5"/>
      <c r="H52" s="5"/>
      <c r="I52" s="5"/>
      <c r="J52" s="5"/>
      <c r="K52" s="5"/>
      <c r="L52" s="5"/>
      <c r="M52" s="5"/>
      <c r="N52" s="5"/>
      <c r="O52" s="5"/>
      <c r="P52" s="5"/>
      <c r="Q52" s="5"/>
      <c r="R52" s="5"/>
      <c r="S52" s="5"/>
      <c r="T52" s="5"/>
      <c r="U52" s="5"/>
      <c r="V52" s="5"/>
      <c r="W52" s="5"/>
      <c r="X52" s="5"/>
      <c r="Y52" s="5"/>
      <c r="Z52" s="5"/>
      <c r="AA52" s="5"/>
      <c r="AB52" s="5"/>
      <c r="AC52" s="5"/>
      <c r="AD52" s="5"/>
    </row>
    <row r="53" customFormat="false" ht="15" hidden="false" customHeight="false" outlineLevel="0" collapsed="false">
      <c r="A53" s="5"/>
      <c r="B53" s="3" t="s">
        <v>75</v>
      </c>
      <c r="C53" s="19"/>
      <c r="D53" s="19"/>
      <c r="E53" s="19"/>
      <c r="F53" s="19"/>
      <c r="G53" s="19"/>
      <c r="H53" s="5"/>
      <c r="I53" s="5"/>
      <c r="J53" s="5"/>
      <c r="K53" s="5"/>
      <c r="L53" s="5"/>
      <c r="M53" s="5"/>
      <c r="N53" s="5"/>
      <c r="O53" s="5"/>
      <c r="P53" s="5"/>
      <c r="Q53" s="5"/>
      <c r="R53" s="5"/>
      <c r="S53" s="5"/>
      <c r="T53" s="5"/>
      <c r="U53" s="5"/>
      <c r="V53" s="5"/>
      <c r="W53" s="5"/>
      <c r="X53" s="5"/>
      <c r="Y53" s="5"/>
      <c r="Z53" s="5"/>
      <c r="AA53" s="5"/>
      <c r="AB53" s="5"/>
      <c r="AC53" s="5"/>
      <c r="AD53" s="5"/>
    </row>
    <row r="54" customFormat="false" ht="15" hidden="false" customHeight="false" outlineLevel="0" collapsed="false">
      <c r="A54" s="5"/>
      <c r="B54" s="16" t="s">
        <v>76</v>
      </c>
      <c r="C54" s="25" t="n">
        <v>25</v>
      </c>
      <c r="D54" s="5"/>
      <c r="E54" s="5"/>
      <c r="F54" s="26" t="n">
        <f aca="false">C54</f>
        <v>25</v>
      </c>
      <c r="G54" s="5"/>
      <c r="H54" s="5"/>
      <c r="I54" s="5"/>
      <c r="J54" s="5"/>
      <c r="K54" s="5"/>
      <c r="L54" s="5"/>
      <c r="M54" s="5"/>
      <c r="N54" s="5"/>
      <c r="O54" s="5"/>
      <c r="P54" s="5"/>
      <c r="Q54" s="5"/>
      <c r="R54" s="5"/>
      <c r="S54" s="5"/>
      <c r="T54" s="5"/>
      <c r="U54" s="5"/>
      <c r="V54" s="5"/>
      <c r="W54" s="5"/>
      <c r="X54" s="5"/>
      <c r="Y54" s="5"/>
      <c r="Z54" s="5"/>
      <c r="AA54" s="5"/>
      <c r="AB54" s="5"/>
      <c r="AC54" s="5"/>
      <c r="AD54" s="5"/>
    </row>
    <row r="55" customFormat="false" ht="15" hidden="false" customHeight="false" outlineLevel="0" collapsed="false">
      <c r="A55" s="5"/>
      <c r="B55" s="16" t="s">
        <v>77</v>
      </c>
      <c r="C55" s="20" t="n">
        <v>0.03</v>
      </c>
      <c r="D55" s="5"/>
      <c r="E55" s="5"/>
      <c r="F55" s="21" t="n">
        <f aca="false">C55</f>
        <v>0.03</v>
      </c>
      <c r="G55" s="5"/>
      <c r="H55" s="5"/>
      <c r="I55" s="5"/>
      <c r="J55" s="5"/>
      <c r="K55" s="5"/>
      <c r="L55" s="5"/>
      <c r="M55" s="5"/>
      <c r="N55" s="5"/>
      <c r="O55" s="5"/>
      <c r="P55" s="5"/>
      <c r="Q55" s="5"/>
      <c r="R55" s="5"/>
      <c r="S55" s="5"/>
      <c r="T55" s="5"/>
      <c r="U55" s="5"/>
      <c r="V55" s="5"/>
      <c r="W55" s="5"/>
      <c r="X55" s="5"/>
      <c r="Y55" s="5"/>
      <c r="Z55" s="5"/>
      <c r="AA55" s="5"/>
      <c r="AB55" s="5"/>
      <c r="AC55" s="5"/>
      <c r="AD55" s="5"/>
    </row>
    <row r="56" customFormat="false" ht="15" hidden="false" customHeight="false" outlineLevel="0" collapsed="false">
      <c r="A56" s="5"/>
      <c r="B56" s="16" t="s">
        <v>78</v>
      </c>
      <c r="C56" s="20" t="n">
        <v>0.045</v>
      </c>
      <c r="D56" s="5"/>
      <c r="E56" s="5"/>
      <c r="F56" s="21" t="n">
        <f aca="false">C56</f>
        <v>0.045</v>
      </c>
      <c r="G56" s="5"/>
      <c r="H56" s="5"/>
      <c r="I56" s="5"/>
      <c r="J56" s="5"/>
      <c r="K56" s="5"/>
      <c r="L56" s="5"/>
      <c r="M56" s="5"/>
      <c r="N56" s="5"/>
      <c r="O56" s="5"/>
      <c r="P56" s="5"/>
      <c r="Q56" s="5"/>
      <c r="R56" s="5"/>
      <c r="S56" s="5"/>
      <c r="T56" s="5"/>
      <c r="U56" s="5"/>
      <c r="V56" s="5"/>
      <c r="W56" s="5"/>
      <c r="X56" s="5"/>
      <c r="Y56" s="5"/>
      <c r="Z56" s="5"/>
      <c r="AA56" s="5"/>
      <c r="AB56" s="5"/>
      <c r="AC56" s="5"/>
      <c r="AD56" s="5"/>
    </row>
    <row r="57" customFormat="false" ht="15" hidden="false" customHeight="false" outlineLevel="0" collapsed="false">
      <c r="A57" s="5"/>
      <c r="B57" s="16" t="s">
        <v>79</v>
      </c>
      <c r="C57" s="23" t="n">
        <v>19200</v>
      </c>
      <c r="D57" s="5"/>
      <c r="E57" s="5"/>
      <c r="F57" s="24" t="n">
        <f aca="false">C57</f>
        <v>19200</v>
      </c>
      <c r="G57" s="5"/>
      <c r="H57" s="5"/>
      <c r="I57" s="5"/>
      <c r="J57" s="5"/>
      <c r="K57" s="5"/>
      <c r="L57" s="5"/>
      <c r="M57" s="5"/>
      <c r="N57" s="5"/>
      <c r="O57" s="5"/>
      <c r="P57" s="5"/>
      <c r="Q57" s="5"/>
      <c r="R57" s="5"/>
      <c r="S57" s="5"/>
      <c r="T57" s="5"/>
      <c r="U57" s="5"/>
      <c r="V57" s="5"/>
      <c r="W57" s="5"/>
      <c r="X57" s="5"/>
      <c r="Y57" s="5"/>
      <c r="Z57" s="5"/>
      <c r="AA57" s="5"/>
      <c r="AB57" s="5"/>
      <c r="AC57" s="5"/>
      <c r="AD57" s="5"/>
    </row>
    <row r="58" customFormat="false" ht="15" hidden="false" customHeight="false" outlineLevel="0" collapsed="false">
      <c r="A58" s="5"/>
      <c r="B58" s="16" t="s">
        <v>80</v>
      </c>
      <c r="C58" s="23" t="n">
        <v>18500</v>
      </c>
      <c r="D58" s="5"/>
      <c r="E58" s="5"/>
      <c r="F58" s="24" t="n">
        <f aca="false">C58</f>
        <v>18500</v>
      </c>
      <c r="G58" s="5"/>
      <c r="H58" s="5"/>
      <c r="I58" s="5"/>
      <c r="J58" s="5"/>
      <c r="K58" s="5"/>
      <c r="L58" s="5"/>
      <c r="M58" s="5"/>
      <c r="N58" s="5"/>
      <c r="O58" s="5"/>
      <c r="P58" s="5"/>
      <c r="Q58" s="5"/>
      <c r="R58" s="5"/>
      <c r="S58" s="5"/>
      <c r="T58" s="5"/>
      <c r="U58" s="5"/>
      <c r="V58" s="5"/>
      <c r="W58" s="5"/>
      <c r="X58" s="5"/>
      <c r="Y58" s="5"/>
      <c r="Z58" s="5"/>
      <c r="AA58" s="5"/>
      <c r="AB58" s="5"/>
      <c r="AC58" s="5"/>
      <c r="AD58" s="5"/>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E75B6"/>
    <pageSetUpPr fitToPage="false"/>
  </sheetPr>
  <dimension ref="A1:AD1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12" min="3" style="0" width="12"/>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14" t="s">
        <v>7</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81</v>
      </c>
      <c r="C3" s="1"/>
      <c r="D3" s="1"/>
      <c r="E3" s="1"/>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A4" s="5"/>
      <c r="B4" s="5"/>
      <c r="C4" s="15" t="s">
        <v>82</v>
      </c>
      <c r="D4" s="15" t="s">
        <v>83</v>
      </c>
      <c r="E4" s="15" t="s">
        <v>84</v>
      </c>
      <c r="F4" s="15" t="s">
        <v>85</v>
      </c>
      <c r="G4" s="15" t="s">
        <v>86</v>
      </c>
      <c r="H4" s="15" t="s">
        <v>87</v>
      </c>
      <c r="I4" s="15" t="s">
        <v>88</v>
      </c>
      <c r="J4" s="15" t="s">
        <v>89</v>
      </c>
      <c r="K4" s="15" t="s">
        <v>90</v>
      </c>
      <c r="L4" s="15" t="s">
        <v>91</v>
      </c>
      <c r="M4" s="5"/>
      <c r="N4" s="5"/>
      <c r="O4" s="5"/>
      <c r="P4" s="5"/>
      <c r="Q4" s="5"/>
      <c r="R4" s="5"/>
      <c r="S4" s="5"/>
      <c r="T4" s="5"/>
      <c r="U4" s="5"/>
      <c r="V4" s="5"/>
      <c r="W4" s="5"/>
      <c r="X4" s="5"/>
      <c r="Y4" s="5"/>
      <c r="Z4" s="5"/>
      <c r="AA4" s="5"/>
      <c r="AB4" s="5"/>
      <c r="AC4" s="5"/>
      <c r="AD4" s="5"/>
    </row>
    <row r="5" customFormat="false" ht="15" hidden="false" customHeight="false" outlineLevel="0" collapsed="false">
      <c r="A5" s="5"/>
      <c r="B5" s="3" t="s">
        <v>92</v>
      </c>
      <c r="C5" s="19"/>
      <c r="D5" s="19"/>
      <c r="E5" s="19"/>
      <c r="F5" s="19"/>
      <c r="G5" s="19"/>
      <c r="H5" s="19"/>
      <c r="I5" s="19"/>
      <c r="J5" s="19"/>
      <c r="K5" s="19"/>
      <c r="L5" s="19"/>
      <c r="M5" s="5"/>
      <c r="N5" s="5"/>
      <c r="O5" s="5"/>
      <c r="P5" s="5"/>
      <c r="Q5" s="5"/>
      <c r="R5" s="5"/>
      <c r="S5" s="5"/>
      <c r="T5" s="5"/>
      <c r="U5" s="5"/>
      <c r="V5" s="5"/>
      <c r="W5" s="5"/>
      <c r="X5" s="5"/>
      <c r="Y5" s="5"/>
      <c r="Z5" s="5"/>
      <c r="AA5" s="5"/>
      <c r="AB5" s="5"/>
      <c r="AC5" s="5"/>
      <c r="AD5" s="5"/>
    </row>
    <row r="6" customFormat="false" ht="15" hidden="false" customHeight="false" outlineLevel="0" collapsed="false">
      <c r="A6" s="5"/>
      <c r="B6" s="16" t="s">
        <v>30</v>
      </c>
      <c r="C6" s="21" t="n">
        <f aca="false">Eq_Return</f>
        <v>0.07</v>
      </c>
      <c r="D6" s="21" t="n">
        <f aca="false">Eq_Return</f>
        <v>0.07</v>
      </c>
      <c r="E6" s="21" t="n">
        <f aca="false">Eq_Return</f>
        <v>0.07</v>
      </c>
      <c r="F6" s="21" t="n">
        <f aca="false">Eq_Return</f>
        <v>0.07</v>
      </c>
      <c r="G6" s="21" t="n">
        <f aca="false">Eq_Return</f>
        <v>0.07</v>
      </c>
      <c r="H6" s="21" t="n">
        <f aca="false">Eq_Return</f>
        <v>0.07</v>
      </c>
      <c r="I6" s="21" t="n">
        <f aca="false">Eq_Return</f>
        <v>0.07</v>
      </c>
      <c r="J6" s="21" t="n">
        <f aca="false">Eq_Return</f>
        <v>0.07</v>
      </c>
      <c r="K6" s="21" t="n">
        <f aca="false">Eq_Return</f>
        <v>0.07</v>
      </c>
      <c r="L6" s="21" t="n">
        <f aca="false">Eq_Return</f>
        <v>0.07</v>
      </c>
      <c r="M6" s="5"/>
      <c r="N6" s="5"/>
      <c r="O6" s="5"/>
      <c r="P6" s="5"/>
      <c r="Q6" s="5"/>
      <c r="R6" s="5"/>
      <c r="S6" s="5"/>
      <c r="T6" s="5"/>
      <c r="U6" s="5"/>
      <c r="V6" s="5"/>
      <c r="W6" s="5"/>
      <c r="X6" s="5"/>
      <c r="Y6" s="5"/>
      <c r="Z6" s="5"/>
      <c r="AA6" s="5"/>
      <c r="AB6" s="5"/>
      <c r="AC6" s="5"/>
      <c r="AD6" s="5"/>
    </row>
    <row r="7" customFormat="false" ht="15" hidden="false" customHeight="false" outlineLevel="0" collapsed="false">
      <c r="A7" s="5"/>
      <c r="B7" s="16" t="s">
        <v>31</v>
      </c>
      <c r="C7" s="21" t="n">
        <f aca="false">FI_Return</f>
        <v>0.042</v>
      </c>
      <c r="D7" s="21" t="n">
        <f aca="false">FI_Return</f>
        <v>0.042</v>
      </c>
      <c r="E7" s="21" t="n">
        <f aca="false">FI_Return</f>
        <v>0.042</v>
      </c>
      <c r="F7" s="21" t="n">
        <f aca="false">FI_Return</f>
        <v>0.042</v>
      </c>
      <c r="G7" s="21" t="n">
        <f aca="false">FI_Return</f>
        <v>0.042</v>
      </c>
      <c r="H7" s="21" t="n">
        <f aca="false">FI_Return</f>
        <v>0.042</v>
      </c>
      <c r="I7" s="21" t="n">
        <f aca="false">FI_Return</f>
        <v>0.042</v>
      </c>
      <c r="J7" s="21" t="n">
        <f aca="false">FI_Return</f>
        <v>0.042</v>
      </c>
      <c r="K7" s="21" t="n">
        <f aca="false">FI_Return</f>
        <v>0.042</v>
      </c>
      <c r="L7" s="21" t="n">
        <f aca="false">FI_Return</f>
        <v>0.042</v>
      </c>
      <c r="M7" s="5"/>
      <c r="N7" s="5"/>
      <c r="O7" s="5"/>
      <c r="P7" s="5"/>
      <c r="Q7" s="5"/>
      <c r="R7" s="5"/>
      <c r="S7" s="5"/>
      <c r="T7" s="5"/>
      <c r="U7" s="5"/>
      <c r="V7" s="5"/>
      <c r="W7" s="5"/>
      <c r="X7" s="5"/>
      <c r="Y7" s="5"/>
      <c r="Z7" s="5"/>
      <c r="AA7" s="5"/>
      <c r="AB7" s="5"/>
      <c r="AC7" s="5"/>
      <c r="AD7" s="5"/>
    </row>
    <row r="8" customFormat="false" ht="15" hidden="false" customHeight="false" outlineLevel="0" collapsed="false">
      <c r="A8" s="5"/>
      <c r="B8" s="16" t="s">
        <v>93</v>
      </c>
      <c r="C8" s="21" t="n">
        <f aca="false">PE_Return</f>
        <v>0.115</v>
      </c>
      <c r="D8" s="21" t="n">
        <f aca="false">PE_Return</f>
        <v>0.115</v>
      </c>
      <c r="E8" s="21" t="n">
        <f aca="false">PE_Return</f>
        <v>0.115</v>
      </c>
      <c r="F8" s="21" t="n">
        <f aca="false">PE_Return</f>
        <v>0.115</v>
      </c>
      <c r="G8" s="21" t="n">
        <f aca="false">PE_Return</f>
        <v>0.115</v>
      </c>
      <c r="H8" s="21" t="n">
        <f aca="false">PE_Return</f>
        <v>0.115</v>
      </c>
      <c r="I8" s="21" t="n">
        <f aca="false">PE_Return</f>
        <v>0.115</v>
      </c>
      <c r="J8" s="21" t="n">
        <f aca="false">PE_Return</f>
        <v>0.115</v>
      </c>
      <c r="K8" s="21" t="n">
        <f aca="false">PE_Return</f>
        <v>0.115</v>
      </c>
      <c r="L8" s="21" t="n">
        <f aca="false">PE_Return</f>
        <v>0.115</v>
      </c>
      <c r="M8" s="5"/>
      <c r="N8" s="5"/>
      <c r="O8" s="5"/>
      <c r="P8" s="5"/>
      <c r="Q8" s="5"/>
      <c r="R8" s="5"/>
      <c r="S8" s="5"/>
      <c r="T8" s="5"/>
      <c r="U8" s="5"/>
      <c r="V8" s="5"/>
      <c r="W8" s="5"/>
      <c r="X8" s="5"/>
      <c r="Y8" s="5"/>
      <c r="Z8" s="5"/>
      <c r="AA8" s="5"/>
      <c r="AB8" s="5"/>
      <c r="AC8" s="5"/>
      <c r="AD8" s="5"/>
    </row>
    <row r="9" customFormat="false" ht="15" hidden="false" customHeight="false" outlineLevel="0" collapsed="false">
      <c r="A9" s="5"/>
      <c r="B9" s="16" t="s">
        <v>33</v>
      </c>
      <c r="C9" s="21" t="n">
        <f aca="false">RA_Return</f>
        <v>0.065</v>
      </c>
      <c r="D9" s="21" t="n">
        <f aca="false">RA_Return</f>
        <v>0.065</v>
      </c>
      <c r="E9" s="21" t="n">
        <f aca="false">RA_Return</f>
        <v>0.065</v>
      </c>
      <c r="F9" s="21" t="n">
        <f aca="false">RA_Return</f>
        <v>0.065</v>
      </c>
      <c r="G9" s="21" t="n">
        <f aca="false">RA_Return</f>
        <v>0.065</v>
      </c>
      <c r="H9" s="21" t="n">
        <f aca="false">RA_Return</f>
        <v>0.065</v>
      </c>
      <c r="I9" s="21" t="n">
        <f aca="false">RA_Return</f>
        <v>0.065</v>
      </c>
      <c r="J9" s="21" t="n">
        <f aca="false">RA_Return</f>
        <v>0.065</v>
      </c>
      <c r="K9" s="21" t="n">
        <f aca="false">RA_Return</f>
        <v>0.065</v>
      </c>
      <c r="L9" s="21" t="n">
        <f aca="false">RA_Return</f>
        <v>0.065</v>
      </c>
      <c r="M9" s="5"/>
      <c r="N9" s="5"/>
      <c r="O9" s="5"/>
      <c r="P9" s="5"/>
      <c r="Q9" s="5"/>
      <c r="R9" s="5"/>
      <c r="S9" s="5"/>
      <c r="T9" s="5"/>
      <c r="U9" s="5"/>
      <c r="V9" s="5"/>
      <c r="W9" s="5"/>
      <c r="X9" s="5"/>
      <c r="Y9" s="5"/>
      <c r="Z9" s="5"/>
      <c r="AA9" s="5"/>
      <c r="AB9" s="5"/>
      <c r="AC9" s="5"/>
      <c r="AD9" s="5"/>
    </row>
    <row r="10" customFormat="false" ht="15" hidden="false" customHeight="false" outlineLevel="0" collapsed="false">
      <c r="A10" s="5"/>
      <c r="B10" s="16" t="s">
        <v>94</v>
      </c>
      <c r="C10" s="21" t="n">
        <f aca="false">HF_Return</f>
        <v>0.055</v>
      </c>
      <c r="D10" s="21" t="n">
        <f aca="false">HF_Return</f>
        <v>0.055</v>
      </c>
      <c r="E10" s="21" t="n">
        <f aca="false">HF_Return</f>
        <v>0.055</v>
      </c>
      <c r="F10" s="21" t="n">
        <f aca="false">HF_Return</f>
        <v>0.055</v>
      </c>
      <c r="G10" s="21" t="n">
        <f aca="false">HF_Return</f>
        <v>0.055</v>
      </c>
      <c r="H10" s="21" t="n">
        <f aca="false">HF_Return</f>
        <v>0.055</v>
      </c>
      <c r="I10" s="21" t="n">
        <f aca="false">HF_Return</f>
        <v>0.055</v>
      </c>
      <c r="J10" s="21" t="n">
        <f aca="false">HF_Return</f>
        <v>0.055</v>
      </c>
      <c r="K10" s="21" t="n">
        <f aca="false">HF_Return</f>
        <v>0.055</v>
      </c>
      <c r="L10" s="21" t="n">
        <f aca="false">HF_Return</f>
        <v>0.055</v>
      </c>
      <c r="M10" s="5"/>
      <c r="N10" s="5"/>
      <c r="O10" s="5"/>
      <c r="P10" s="5"/>
      <c r="Q10" s="5"/>
      <c r="R10" s="5"/>
      <c r="S10" s="5"/>
      <c r="T10" s="5"/>
      <c r="U10" s="5"/>
      <c r="V10" s="5"/>
      <c r="W10" s="5"/>
      <c r="X10" s="5"/>
      <c r="Y10" s="5"/>
      <c r="Z10" s="5"/>
      <c r="AA10" s="5"/>
      <c r="AB10" s="5"/>
      <c r="AC10" s="5"/>
      <c r="AD10" s="5"/>
    </row>
    <row r="11" customFormat="false" ht="15" hidden="false" customHeight="false" outlineLevel="0" collapsed="false">
      <c r="A11" s="5"/>
      <c r="B11" s="16" t="s">
        <v>35</v>
      </c>
      <c r="C11" s="21" t="n">
        <f aca="false">Cash_Return</f>
        <v>0.048</v>
      </c>
      <c r="D11" s="21" t="n">
        <f aca="false">Cash_Return</f>
        <v>0.048</v>
      </c>
      <c r="E11" s="21" t="n">
        <f aca="false">Cash_Return</f>
        <v>0.048</v>
      </c>
      <c r="F11" s="21" t="n">
        <f aca="false">Cash_Return</f>
        <v>0.048</v>
      </c>
      <c r="G11" s="21" t="n">
        <f aca="false">Cash_Return</f>
        <v>0.048</v>
      </c>
      <c r="H11" s="21" t="n">
        <f aca="false">Cash_Return</f>
        <v>0.048</v>
      </c>
      <c r="I11" s="21" t="n">
        <f aca="false">Cash_Return</f>
        <v>0.048</v>
      </c>
      <c r="J11" s="21" t="n">
        <f aca="false">Cash_Return</f>
        <v>0.048</v>
      </c>
      <c r="K11" s="21" t="n">
        <f aca="false">Cash_Return</f>
        <v>0.048</v>
      </c>
      <c r="L11" s="21" t="n">
        <f aca="false">Cash_Return</f>
        <v>0.048</v>
      </c>
      <c r="M11" s="5"/>
      <c r="N11" s="5"/>
      <c r="O11" s="5"/>
      <c r="P11" s="5"/>
      <c r="Q11" s="5"/>
      <c r="R11" s="5"/>
      <c r="S11" s="5"/>
      <c r="T11" s="5"/>
      <c r="U11" s="5"/>
      <c r="V11" s="5"/>
      <c r="W11" s="5"/>
      <c r="X11" s="5"/>
      <c r="Y11" s="5"/>
      <c r="Z11" s="5"/>
      <c r="AA11" s="5"/>
      <c r="AB11" s="5"/>
      <c r="AC11" s="5"/>
      <c r="AD11" s="5"/>
    </row>
    <row r="12" customFormat="false" ht="15" hidden="false" customHeight="false" outlineLevel="0" collapsed="false">
      <c r="A12" s="5"/>
      <c r="B12" s="3" t="s">
        <v>95</v>
      </c>
      <c r="C12" s="19"/>
      <c r="D12" s="19"/>
      <c r="E12" s="19"/>
      <c r="F12" s="19"/>
      <c r="G12" s="19"/>
      <c r="H12" s="19"/>
      <c r="I12" s="19"/>
      <c r="J12" s="19"/>
      <c r="K12" s="19"/>
      <c r="L12" s="19"/>
      <c r="M12" s="5"/>
      <c r="N12" s="5"/>
      <c r="O12" s="5"/>
      <c r="P12" s="5"/>
      <c r="Q12" s="5"/>
      <c r="R12" s="5"/>
      <c r="S12" s="5"/>
      <c r="T12" s="5"/>
      <c r="U12" s="5"/>
      <c r="V12" s="5"/>
      <c r="W12" s="5"/>
      <c r="X12" s="5"/>
      <c r="Y12" s="5"/>
      <c r="Z12" s="5"/>
      <c r="AA12" s="5"/>
      <c r="AB12" s="5"/>
      <c r="AC12" s="5"/>
      <c r="AD12" s="5"/>
    </row>
    <row r="13" customFormat="false" ht="15" hidden="false" customHeight="false" outlineLevel="0" collapsed="false">
      <c r="A13" s="5"/>
      <c r="B13" s="16" t="s">
        <v>42</v>
      </c>
      <c r="C13" s="21" t="n">
        <f aca="false">Wt_Eq</f>
        <v>0.38</v>
      </c>
      <c r="D13" s="21" t="n">
        <f aca="false">Wt_Eq</f>
        <v>0.38</v>
      </c>
      <c r="E13" s="21" t="n">
        <f aca="false">Wt_Eq</f>
        <v>0.38</v>
      </c>
      <c r="F13" s="21" t="n">
        <f aca="false">Wt_Eq</f>
        <v>0.38</v>
      </c>
      <c r="G13" s="21" t="n">
        <f aca="false">Wt_Eq</f>
        <v>0.38</v>
      </c>
      <c r="H13" s="21" t="n">
        <f aca="false">Wt_Eq</f>
        <v>0.38</v>
      </c>
      <c r="I13" s="21" t="n">
        <f aca="false">Wt_Eq</f>
        <v>0.38</v>
      </c>
      <c r="J13" s="21" t="n">
        <f aca="false">Wt_Eq</f>
        <v>0.38</v>
      </c>
      <c r="K13" s="21" t="n">
        <f aca="false">Wt_Eq</f>
        <v>0.38</v>
      </c>
      <c r="L13" s="21" t="n">
        <f aca="false">Wt_Eq</f>
        <v>0.38</v>
      </c>
      <c r="M13" s="5"/>
      <c r="N13" s="5"/>
      <c r="O13" s="5"/>
      <c r="P13" s="5"/>
      <c r="Q13" s="5"/>
      <c r="R13" s="5"/>
      <c r="S13" s="5"/>
      <c r="T13" s="5"/>
      <c r="U13" s="5"/>
      <c r="V13" s="5"/>
      <c r="W13" s="5"/>
      <c r="X13" s="5"/>
      <c r="Y13" s="5"/>
      <c r="Z13" s="5"/>
      <c r="AA13" s="5"/>
      <c r="AB13" s="5"/>
      <c r="AC13" s="5"/>
      <c r="AD13" s="5"/>
    </row>
    <row r="14" customFormat="false" ht="15" hidden="false" customHeight="false" outlineLevel="0" collapsed="false">
      <c r="A14" s="5"/>
      <c r="B14" s="16" t="s">
        <v>43</v>
      </c>
      <c r="C14" s="21" t="n">
        <f aca="false">Wt_FI</f>
        <v>0.22</v>
      </c>
      <c r="D14" s="21" t="n">
        <f aca="false">Wt_FI</f>
        <v>0.22</v>
      </c>
      <c r="E14" s="21" t="n">
        <f aca="false">Wt_FI</f>
        <v>0.22</v>
      </c>
      <c r="F14" s="21" t="n">
        <f aca="false">Wt_FI</f>
        <v>0.22</v>
      </c>
      <c r="G14" s="21" t="n">
        <f aca="false">Wt_FI</f>
        <v>0.22</v>
      </c>
      <c r="H14" s="21" t="n">
        <f aca="false">Wt_FI</f>
        <v>0.22</v>
      </c>
      <c r="I14" s="21" t="n">
        <f aca="false">Wt_FI</f>
        <v>0.22</v>
      </c>
      <c r="J14" s="21" t="n">
        <f aca="false">Wt_FI</f>
        <v>0.22</v>
      </c>
      <c r="K14" s="21" t="n">
        <f aca="false">Wt_FI</f>
        <v>0.22</v>
      </c>
      <c r="L14" s="21" t="n">
        <f aca="false">Wt_FI</f>
        <v>0.22</v>
      </c>
      <c r="M14" s="5"/>
      <c r="N14" s="5"/>
      <c r="O14" s="5"/>
      <c r="P14" s="5"/>
      <c r="Q14" s="5"/>
      <c r="R14" s="5"/>
      <c r="S14" s="5"/>
      <c r="T14" s="5"/>
      <c r="U14" s="5"/>
      <c r="V14" s="5"/>
      <c r="W14" s="5"/>
      <c r="X14" s="5"/>
      <c r="Y14" s="5"/>
      <c r="Z14" s="5"/>
      <c r="AA14" s="5"/>
      <c r="AB14" s="5"/>
      <c r="AC14" s="5"/>
      <c r="AD14" s="5"/>
    </row>
    <row r="15" customFormat="false" ht="15" hidden="false" customHeight="false" outlineLevel="0" collapsed="false">
      <c r="A15" s="5"/>
      <c r="B15" s="16" t="s">
        <v>96</v>
      </c>
      <c r="C15" s="21" t="n">
        <f aca="false">Wt_PE</f>
        <v>0.18</v>
      </c>
      <c r="D15" s="21" t="n">
        <f aca="false">Wt_PE</f>
        <v>0.18</v>
      </c>
      <c r="E15" s="21" t="n">
        <f aca="false">Wt_PE</f>
        <v>0.18</v>
      </c>
      <c r="F15" s="21" t="n">
        <f aca="false">Wt_PE</f>
        <v>0.18</v>
      </c>
      <c r="G15" s="21" t="n">
        <f aca="false">Wt_PE</f>
        <v>0.18</v>
      </c>
      <c r="H15" s="21" t="n">
        <f aca="false">Wt_PE</f>
        <v>0.18</v>
      </c>
      <c r="I15" s="21" t="n">
        <f aca="false">Wt_PE</f>
        <v>0.18</v>
      </c>
      <c r="J15" s="21" t="n">
        <f aca="false">Wt_PE</f>
        <v>0.18</v>
      </c>
      <c r="K15" s="21" t="n">
        <f aca="false">Wt_PE</f>
        <v>0.18</v>
      </c>
      <c r="L15" s="21" t="n">
        <f aca="false">Wt_PE</f>
        <v>0.18</v>
      </c>
      <c r="M15" s="5"/>
      <c r="N15" s="5"/>
      <c r="O15" s="5"/>
      <c r="P15" s="5"/>
      <c r="Q15" s="5"/>
      <c r="R15" s="5"/>
      <c r="S15" s="5"/>
      <c r="T15" s="5"/>
      <c r="U15" s="5"/>
      <c r="V15" s="5"/>
      <c r="W15" s="5"/>
      <c r="X15" s="5"/>
      <c r="Y15" s="5"/>
      <c r="Z15" s="5"/>
      <c r="AA15" s="5"/>
      <c r="AB15" s="5"/>
      <c r="AC15" s="5"/>
      <c r="AD15" s="5"/>
    </row>
    <row r="16" customFormat="false" ht="15" hidden="false" customHeight="false" outlineLevel="0" collapsed="false">
      <c r="A16" s="5"/>
      <c r="B16" s="16" t="s">
        <v>45</v>
      </c>
      <c r="C16" s="21" t="n">
        <f aca="false">Wt_RA</f>
        <v>0.12</v>
      </c>
      <c r="D16" s="21" t="n">
        <f aca="false">Wt_RA</f>
        <v>0.12</v>
      </c>
      <c r="E16" s="21" t="n">
        <f aca="false">Wt_RA</f>
        <v>0.12</v>
      </c>
      <c r="F16" s="21" t="n">
        <f aca="false">Wt_RA</f>
        <v>0.12</v>
      </c>
      <c r="G16" s="21" t="n">
        <f aca="false">Wt_RA</f>
        <v>0.12</v>
      </c>
      <c r="H16" s="21" t="n">
        <f aca="false">Wt_RA</f>
        <v>0.12</v>
      </c>
      <c r="I16" s="21" t="n">
        <f aca="false">Wt_RA</f>
        <v>0.12</v>
      </c>
      <c r="J16" s="21" t="n">
        <f aca="false">Wt_RA</f>
        <v>0.12</v>
      </c>
      <c r="K16" s="21" t="n">
        <f aca="false">Wt_RA</f>
        <v>0.12</v>
      </c>
      <c r="L16" s="21" t="n">
        <f aca="false">Wt_RA</f>
        <v>0.12</v>
      </c>
      <c r="M16" s="5"/>
      <c r="N16" s="5"/>
      <c r="O16" s="5"/>
      <c r="P16" s="5"/>
      <c r="Q16" s="5"/>
      <c r="R16" s="5"/>
      <c r="S16" s="5"/>
      <c r="T16" s="5"/>
      <c r="U16" s="5"/>
      <c r="V16" s="5"/>
      <c r="W16" s="5"/>
      <c r="X16" s="5"/>
      <c r="Y16" s="5"/>
      <c r="Z16" s="5"/>
      <c r="AA16" s="5"/>
      <c r="AB16" s="5"/>
      <c r="AC16" s="5"/>
      <c r="AD16" s="5"/>
    </row>
    <row r="17" customFormat="false" ht="15" hidden="false" customHeight="false" outlineLevel="0" collapsed="false">
      <c r="A17" s="5"/>
      <c r="B17" s="16" t="s">
        <v>46</v>
      </c>
      <c r="C17" s="21" t="n">
        <f aca="false">Wt_HF</f>
        <v>0.07</v>
      </c>
      <c r="D17" s="21" t="n">
        <f aca="false">Wt_HF</f>
        <v>0.07</v>
      </c>
      <c r="E17" s="21" t="n">
        <f aca="false">Wt_HF</f>
        <v>0.07</v>
      </c>
      <c r="F17" s="21" t="n">
        <f aca="false">Wt_HF</f>
        <v>0.07</v>
      </c>
      <c r="G17" s="21" t="n">
        <f aca="false">Wt_HF</f>
        <v>0.07</v>
      </c>
      <c r="H17" s="21" t="n">
        <f aca="false">Wt_HF</f>
        <v>0.07</v>
      </c>
      <c r="I17" s="21" t="n">
        <f aca="false">Wt_HF</f>
        <v>0.07</v>
      </c>
      <c r="J17" s="21" t="n">
        <f aca="false">Wt_HF</f>
        <v>0.07</v>
      </c>
      <c r="K17" s="21" t="n">
        <f aca="false">Wt_HF</f>
        <v>0.07</v>
      </c>
      <c r="L17" s="21" t="n">
        <f aca="false">Wt_HF</f>
        <v>0.07</v>
      </c>
      <c r="M17" s="5"/>
      <c r="N17" s="5"/>
      <c r="O17" s="5"/>
      <c r="P17" s="5"/>
      <c r="Q17" s="5"/>
      <c r="R17" s="5"/>
      <c r="S17" s="5"/>
      <c r="T17" s="5"/>
      <c r="U17" s="5"/>
      <c r="V17" s="5"/>
      <c r="W17" s="5"/>
      <c r="X17" s="5"/>
      <c r="Y17" s="5"/>
      <c r="Z17" s="5"/>
      <c r="AA17" s="5"/>
      <c r="AB17" s="5"/>
      <c r="AC17" s="5"/>
      <c r="AD17" s="5"/>
    </row>
    <row r="18" customFormat="false" ht="15" hidden="false" customHeight="false" outlineLevel="0" collapsed="false">
      <c r="A18" s="5"/>
      <c r="B18" s="16" t="s">
        <v>47</v>
      </c>
      <c r="C18" s="21" t="n">
        <f aca="false">Wt_Cash</f>
        <v>0.03</v>
      </c>
      <c r="D18" s="21" t="n">
        <f aca="false">Wt_Cash</f>
        <v>0.03</v>
      </c>
      <c r="E18" s="21" t="n">
        <f aca="false">Wt_Cash</f>
        <v>0.03</v>
      </c>
      <c r="F18" s="21" t="n">
        <f aca="false">Wt_Cash</f>
        <v>0.03</v>
      </c>
      <c r="G18" s="21" t="n">
        <f aca="false">Wt_Cash</f>
        <v>0.03</v>
      </c>
      <c r="H18" s="21" t="n">
        <f aca="false">Wt_Cash</f>
        <v>0.03</v>
      </c>
      <c r="I18" s="21" t="n">
        <f aca="false">Wt_Cash</f>
        <v>0.03</v>
      </c>
      <c r="J18" s="21" t="n">
        <f aca="false">Wt_Cash</f>
        <v>0.03</v>
      </c>
      <c r="K18" s="21" t="n">
        <f aca="false">Wt_Cash</f>
        <v>0.03</v>
      </c>
      <c r="L18" s="21" t="n">
        <f aca="false">Wt_Cash</f>
        <v>0.03</v>
      </c>
      <c r="M18" s="5"/>
      <c r="N18" s="5"/>
      <c r="O18" s="5"/>
      <c r="P18" s="5"/>
      <c r="Q18" s="5"/>
      <c r="R18" s="5"/>
      <c r="S18" s="5"/>
      <c r="T18" s="5"/>
      <c r="U18" s="5"/>
      <c r="V18" s="5"/>
      <c r="W18" s="5"/>
      <c r="X18" s="5"/>
      <c r="Y18" s="5"/>
      <c r="Z18" s="5"/>
      <c r="AA18" s="5"/>
      <c r="AB18" s="5"/>
      <c r="AC18" s="5"/>
      <c r="AD18" s="5"/>
    </row>
    <row r="19" customFormat="false" ht="15" hidden="false" customHeight="false" outlineLevel="0" collapsed="false">
      <c r="A19" s="5"/>
      <c r="B19" s="27" t="s">
        <v>97</v>
      </c>
      <c r="C19" s="28" t="n">
        <f aca="false">Wt_Eq+Wt_FI+Wt_PE+Wt_RA+Wt_HF+Wt_Cash</f>
        <v>1</v>
      </c>
      <c r="D19" s="28" t="n">
        <f aca="false">Wt_Eq+Wt_FI+Wt_PE+Wt_RA+Wt_HF+Wt_Cash</f>
        <v>1</v>
      </c>
      <c r="E19" s="28" t="n">
        <f aca="false">Wt_Eq+Wt_FI+Wt_PE+Wt_RA+Wt_HF+Wt_Cash</f>
        <v>1</v>
      </c>
      <c r="F19" s="28" t="n">
        <f aca="false">Wt_Eq+Wt_FI+Wt_PE+Wt_RA+Wt_HF+Wt_Cash</f>
        <v>1</v>
      </c>
      <c r="G19" s="28" t="n">
        <f aca="false">Wt_Eq+Wt_FI+Wt_PE+Wt_RA+Wt_HF+Wt_Cash</f>
        <v>1</v>
      </c>
      <c r="H19" s="28" t="n">
        <f aca="false">Wt_Eq+Wt_FI+Wt_PE+Wt_RA+Wt_HF+Wt_Cash</f>
        <v>1</v>
      </c>
      <c r="I19" s="28" t="n">
        <f aca="false">Wt_Eq+Wt_FI+Wt_PE+Wt_RA+Wt_HF+Wt_Cash</f>
        <v>1</v>
      </c>
      <c r="J19" s="28" t="n">
        <f aca="false">Wt_Eq+Wt_FI+Wt_PE+Wt_RA+Wt_HF+Wt_Cash</f>
        <v>1</v>
      </c>
      <c r="K19" s="28" t="n">
        <f aca="false">Wt_Eq+Wt_FI+Wt_PE+Wt_RA+Wt_HF+Wt_Cash</f>
        <v>1</v>
      </c>
      <c r="L19" s="28" t="n">
        <f aca="false">Wt_Eq+Wt_FI+Wt_PE+Wt_RA+Wt_HF+Wt_Cash</f>
        <v>1</v>
      </c>
      <c r="M19" s="5"/>
      <c r="N19" s="5"/>
      <c r="O19" s="5"/>
      <c r="P19" s="5"/>
      <c r="Q19" s="5"/>
      <c r="R19" s="5"/>
      <c r="S19" s="5"/>
      <c r="T19" s="5"/>
      <c r="U19" s="5"/>
      <c r="V19" s="5"/>
      <c r="W19" s="5"/>
      <c r="X19" s="5"/>
      <c r="Y19" s="5"/>
      <c r="Z19" s="5"/>
      <c r="AA19" s="5"/>
      <c r="AB19" s="5"/>
      <c r="AC19" s="5"/>
      <c r="AD19" s="5"/>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90"/>
    <col collapsed="false" customWidth="true" hidden="false" outlineLevel="0" max="3" min="3" style="0" width="2"/>
  </cols>
  <sheetData>
    <row r="1" customFormat="false" ht="15" hidden="false" customHeight="false" outlineLevel="0" collapsed="false">
      <c r="A1" s="5"/>
      <c r="B1" s="5"/>
    </row>
    <row r="2" customFormat="false" ht="31.5" hidden="false" customHeight="true" outlineLevel="0" collapsed="false">
      <c r="A2" s="5"/>
      <c r="B2" s="29" t="s">
        <v>98</v>
      </c>
    </row>
    <row r="3" customFormat="false" ht="3.75" hidden="false" customHeight="true" outlineLevel="0" collapsed="false">
      <c r="A3" s="5"/>
      <c r="B3" s="30"/>
    </row>
    <row r="4" customFormat="false" ht="15" hidden="false" customHeight="false" outlineLevel="0" collapsed="false">
      <c r="A4" s="5"/>
      <c r="B4" s="5"/>
    </row>
    <row r="5" customFormat="false" ht="19.5" hidden="false" customHeight="true" outlineLevel="0" collapsed="false">
      <c r="A5" s="5"/>
      <c r="B5" s="31" t="s">
        <v>99</v>
      </c>
    </row>
    <row r="6" customFormat="false" ht="48" hidden="false" customHeight="true" outlineLevel="0" collapsed="false">
      <c r="A6" s="5"/>
      <c r="B6" s="32" t="s">
        <v>100</v>
      </c>
    </row>
    <row r="7" customFormat="false" ht="15" hidden="false" customHeight="false" outlineLevel="0" collapsed="false">
      <c r="A7" s="5"/>
      <c r="B7" s="5"/>
    </row>
    <row r="8" customFormat="false" ht="19.5" hidden="false" customHeight="true" outlineLevel="0" collapsed="false">
      <c r="A8" s="5"/>
      <c r="B8" s="31" t="s">
        <v>101</v>
      </c>
    </row>
    <row r="9" customFormat="false" ht="61.5" hidden="false" customHeight="true" outlineLevel="0" collapsed="false">
      <c r="A9" s="5"/>
      <c r="B9" s="32" t="s">
        <v>102</v>
      </c>
    </row>
    <row r="10" customFormat="false" ht="15" hidden="false" customHeight="false" outlineLevel="0" collapsed="false">
      <c r="A10" s="5"/>
      <c r="B10" s="5"/>
    </row>
    <row r="11" customFormat="false" ht="19.5" hidden="false" customHeight="true" outlineLevel="0" collapsed="false">
      <c r="A11" s="5"/>
      <c r="B11" s="31" t="s">
        <v>103</v>
      </c>
    </row>
    <row r="12" customFormat="false" ht="75.75" hidden="false" customHeight="true" outlineLevel="0" collapsed="false">
      <c r="A12" s="5"/>
      <c r="B12" s="32" t="s">
        <v>104</v>
      </c>
    </row>
    <row r="13" customFormat="false" ht="15" hidden="false" customHeight="false" outlineLevel="0" collapsed="false">
      <c r="A13" s="5"/>
      <c r="B13" s="5"/>
    </row>
    <row r="14" customFormat="false" ht="19.5" hidden="false" customHeight="true" outlineLevel="0" collapsed="false">
      <c r="A14" s="5"/>
      <c r="B14" s="31" t="s">
        <v>105</v>
      </c>
    </row>
    <row r="15" customFormat="false" ht="61.5" hidden="false" customHeight="true" outlineLevel="0" collapsed="false">
      <c r="A15" s="5"/>
      <c r="B15" s="32" t="s">
        <v>106</v>
      </c>
    </row>
    <row r="16" customFormat="false" ht="15" hidden="false" customHeight="false" outlineLevel="0" collapsed="false">
      <c r="A16" s="5"/>
      <c r="B16" s="5"/>
    </row>
    <row r="17" customFormat="false" ht="19.5" hidden="false" customHeight="true" outlineLevel="0" collapsed="false">
      <c r="A17" s="5"/>
      <c r="B17" s="31" t="s">
        <v>107</v>
      </c>
    </row>
    <row r="18" customFormat="false" ht="33.75" hidden="false" customHeight="true" outlineLevel="0" collapsed="false">
      <c r="A18" s="5"/>
      <c r="B18" s="32" t="s">
        <v>108</v>
      </c>
    </row>
    <row r="19" customFormat="false" ht="15" hidden="false" customHeight="false" outlineLevel="0" collapsed="false">
      <c r="A19" s="5"/>
      <c r="B19" s="5"/>
    </row>
    <row r="20" customFormat="false" ht="19.5" hidden="false" customHeight="true" outlineLevel="0" collapsed="false">
      <c r="A20" s="5"/>
      <c r="B20" s="31" t="s">
        <v>109</v>
      </c>
    </row>
    <row r="21" customFormat="false" ht="33.75" hidden="false" customHeight="true" outlineLevel="0" collapsed="false">
      <c r="A21" s="5"/>
      <c r="B21" s="32" t="s">
        <v>110</v>
      </c>
    </row>
    <row r="22" customFormat="false" ht="15" hidden="false" customHeight="false" outlineLevel="0" collapsed="false">
      <c r="A22" s="5"/>
      <c r="B22" s="5"/>
    </row>
    <row r="23" customFormat="false" ht="21.75" hidden="false" customHeight="true" outlineLevel="0" collapsed="false">
      <c r="A23" s="5"/>
      <c r="B23" s="33" t="s">
        <v>111</v>
      </c>
    </row>
    <row r="24" customFormat="false" ht="15" hidden="false" customHeight="false" outlineLevel="0" collapsed="false">
      <c r="A24" s="5"/>
      <c r="B24" s="5"/>
    </row>
    <row r="25" customFormat="false" ht="18" hidden="false" customHeight="true" outlineLevel="0" collapsed="false">
      <c r="A25" s="5"/>
      <c r="B25" s="34" t="s">
        <v>112</v>
      </c>
    </row>
    <row r="26" customFormat="false" ht="201.75" hidden="false" customHeight="true" outlineLevel="0" collapsed="false">
      <c r="A26" s="5"/>
      <c r="B26" s="35" t="s">
        <v>113</v>
      </c>
    </row>
    <row r="27" customFormat="false" ht="15" hidden="false" customHeight="false" outlineLevel="0" collapsed="false">
      <c r="A27" s="5"/>
      <c r="B27" s="5"/>
    </row>
    <row r="28" customFormat="false" ht="18" hidden="false" customHeight="true" outlineLevel="0" collapsed="false">
      <c r="A28" s="5"/>
      <c r="B28" s="36" t="s">
        <v>114</v>
      </c>
    </row>
  </sheetData>
  <printOptions headings="false" gridLines="false" gridLinesSet="true" horizontalCentered="true" verticalCentered="false"/>
  <pageMargins left="0.4" right="0.4"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E75B6"/>
    <pageSetUpPr fitToPage="false"/>
  </sheetPr>
  <dimension ref="A1:L2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12" min="3" style="0" width="12"/>
  </cols>
  <sheetData>
    <row r="1" customFormat="false" ht="15" hidden="false" customHeight="false" outlineLevel="0" collapsed="false">
      <c r="A1" s="5"/>
      <c r="B1" s="5"/>
      <c r="C1" s="5"/>
      <c r="D1" s="5"/>
      <c r="E1" s="5"/>
      <c r="F1" s="5"/>
      <c r="G1" s="5"/>
      <c r="H1" s="5"/>
      <c r="I1" s="5"/>
      <c r="J1" s="5"/>
      <c r="K1" s="5"/>
      <c r="L1" s="5"/>
    </row>
    <row r="2" customFormat="false" ht="22.05" hidden="false" customHeight="false" outlineLevel="0" collapsed="false">
      <c r="A2" s="5"/>
      <c r="B2" s="29" t="s">
        <v>8</v>
      </c>
      <c r="C2" s="5"/>
      <c r="D2" s="5"/>
      <c r="E2" s="5"/>
      <c r="F2" s="5"/>
      <c r="G2" s="5"/>
      <c r="H2" s="5"/>
      <c r="I2" s="5"/>
      <c r="J2" s="5"/>
      <c r="K2" s="5"/>
      <c r="L2" s="5"/>
    </row>
    <row r="3" customFormat="false" ht="15" hidden="false" customHeight="false" outlineLevel="0" collapsed="false">
      <c r="A3" s="5"/>
      <c r="B3" s="37" t="s">
        <v>115</v>
      </c>
      <c r="C3" s="5"/>
      <c r="D3" s="5"/>
      <c r="E3" s="5"/>
      <c r="F3" s="5"/>
      <c r="G3" s="5"/>
      <c r="H3" s="5"/>
      <c r="I3" s="5"/>
      <c r="J3" s="5"/>
      <c r="K3" s="5"/>
      <c r="L3" s="5"/>
    </row>
    <row r="4" customFormat="false" ht="15" hidden="false" customHeight="false" outlineLevel="0" collapsed="false">
      <c r="A4" s="5"/>
      <c r="B4" s="5"/>
      <c r="C4" s="38" t="s">
        <v>82</v>
      </c>
      <c r="D4" s="38" t="s">
        <v>83</v>
      </c>
      <c r="E4" s="38" t="s">
        <v>84</v>
      </c>
      <c r="F4" s="38" t="s">
        <v>85</v>
      </c>
      <c r="G4" s="38" t="s">
        <v>86</v>
      </c>
      <c r="H4" s="38" t="s">
        <v>87</v>
      </c>
      <c r="I4" s="38" t="s">
        <v>88</v>
      </c>
      <c r="J4" s="38" t="s">
        <v>89</v>
      </c>
      <c r="K4" s="38" t="s">
        <v>90</v>
      </c>
      <c r="L4" s="38" t="s">
        <v>91</v>
      </c>
    </row>
    <row r="5" customFormat="false" ht="15" hidden="false" customHeight="false" outlineLevel="0" collapsed="false">
      <c r="A5" s="5"/>
      <c r="B5" s="39" t="s">
        <v>116</v>
      </c>
      <c r="C5" s="40"/>
      <c r="D5" s="40"/>
      <c r="E5" s="40"/>
      <c r="F5" s="40"/>
      <c r="G5" s="40"/>
      <c r="H5" s="40"/>
      <c r="I5" s="40"/>
      <c r="J5" s="40"/>
      <c r="K5" s="40"/>
      <c r="L5" s="40"/>
    </row>
    <row r="6" customFormat="false" ht="15" hidden="false" customHeight="false" outlineLevel="0" collapsed="false">
      <c r="A6" s="5"/>
      <c r="B6" s="16" t="s">
        <v>117</v>
      </c>
      <c r="C6" s="26" t="n">
        <f aca="false">AUM_Y0*Wt_Eq</f>
        <v>7600</v>
      </c>
      <c r="D6" s="26" t="n">
        <f aca="false">AUM_Rollforward!C11</f>
        <v>8129.43975</v>
      </c>
      <c r="E6" s="26" t="n">
        <f aca="false">AUM_Rollforward!D11</f>
        <v>8696.01208314375</v>
      </c>
      <c r="F6" s="26" t="n">
        <f aca="false">AUM_Rollforward!E11</f>
        <v>9302.28232268015</v>
      </c>
      <c r="G6" s="26" t="n">
        <f aca="false">AUM_Rollforward!F11</f>
        <v>9950.99120310637</v>
      </c>
      <c r="H6" s="26" t="n">
        <f aca="false">AUM_Rollforward!G11</f>
        <v>10645.0668007278</v>
      </c>
      <c r="I6" s="26" t="n">
        <f aca="false">AUM_Rollforward!H11</f>
        <v>11387.637273623</v>
      </c>
      <c r="J6" s="26" t="n">
        <f aca="false">AUM_Rollforward!I11</f>
        <v>12182.044465862</v>
      </c>
      <c r="K6" s="26" t="n">
        <f aca="false">AUM_Rollforward!J11</f>
        <v>13031.8584345423</v>
      </c>
      <c r="L6" s="26" t="n">
        <f aca="false">AUM_Rollforward!K11</f>
        <v>13940.8929621718</v>
      </c>
    </row>
    <row r="7" customFormat="false" ht="15" hidden="false" customHeight="false" outlineLevel="0" collapsed="false">
      <c r="A7" s="5"/>
      <c r="B7" s="16" t="s">
        <v>118</v>
      </c>
      <c r="C7" s="26" t="n">
        <f aca="false">AUM_Y0*Wt_FI</f>
        <v>4400</v>
      </c>
      <c r="D7" s="26" t="n">
        <f aca="false">AUM_Rollforward!C18</f>
        <v>4580.23775</v>
      </c>
      <c r="E7" s="26" t="n">
        <f aca="false">AUM_Rollforward!D18</f>
        <v>4768.25133186875</v>
      </c>
      <c r="F7" s="26" t="n">
        <f aca="false">AUM_Rollforward!E18</f>
        <v>4964.37378836865</v>
      </c>
      <c r="G7" s="26" t="n">
        <f aca="false">AUM_Rollforward!F18</f>
        <v>5168.95215764073</v>
      </c>
      <c r="H7" s="26" t="n">
        <f aca="false">AUM_Rollforward!G18</f>
        <v>5382.34805099306</v>
      </c>
      <c r="I7" s="26" t="n">
        <f aca="false">AUM_Rollforward!H18</f>
        <v>5604.93825421046</v>
      </c>
      <c r="J7" s="26" t="n">
        <f aca="false">AUM_Rollforward!I18</f>
        <v>5837.1153533332</v>
      </c>
      <c r="K7" s="26" t="n">
        <f aca="false">AUM_Rollforward!J18</f>
        <v>6079.28838588986</v>
      </c>
      <c r="L7" s="26" t="n">
        <f aca="false">AUM_Rollforward!K18</f>
        <v>6331.88351860904</v>
      </c>
    </row>
    <row r="8" customFormat="false" ht="15" hidden="false" customHeight="false" outlineLevel="0" collapsed="false">
      <c r="A8" s="5"/>
      <c r="B8" s="16" t="s">
        <v>119</v>
      </c>
      <c r="C8" s="26" t="n">
        <f aca="false">AUM_Y0*Wt_PE</f>
        <v>3600</v>
      </c>
      <c r="D8" s="26" t="n">
        <f aca="false">AUM_Rollforward!C25</f>
        <v>3961.66725</v>
      </c>
      <c r="E8" s="26" t="n">
        <f aca="false">AUM_Rollforward!D25</f>
        <v>4359.56954563125</v>
      </c>
      <c r="F8" s="26" t="n">
        <f aca="false">AUM_Rollforward!E25</f>
        <v>4797.3004086953</v>
      </c>
      <c r="G8" s="26" t="n">
        <f aca="false">AUM_Rollforward!F25</f>
        <v>5278.80814656373</v>
      </c>
      <c r="H8" s="26" t="n">
        <f aca="false">AUM_Rollforward!G25</f>
        <v>5808.4308247129</v>
      </c>
      <c r="I8" s="26" t="n">
        <f aca="false">AUM_Rollforward!H25</f>
        <v>6390.93468486149</v>
      </c>
      <c r="J8" s="26" t="n">
        <f aca="false">AUM_Rollforward!I25</f>
        <v>7031.55634812733</v>
      </c>
      <c r="K8" s="26" t="n">
        <f aca="false">AUM_Rollforward!J25</f>
        <v>7736.04917605333</v>
      </c>
      <c r="L8" s="26" t="n">
        <f aca="false">AUM_Rollforward!K25</f>
        <v>8510.73419907869</v>
      </c>
    </row>
    <row r="9" customFormat="false" ht="15" hidden="false" customHeight="false" outlineLevel="0" collapsed="false">
      <c r="A9" s="5"/>
      <c r="B9" s="16" t="s">
        <v>120</v>
      </c>
      <c r="C9" s="26" t="n">
        <f aca="false">AUM_Y0*Wt_RA</f>
        <v>2400</v>
      </c>
      <c r="D9" s="26" t="n">
        <f aca="false">AUM_Rollforward!C32</f>
        <v>2542.7115</v>
      </c>
      <c r="E9" s="26" t="n">
        <f aca="false">AUM_Rollforward!D32</f>
        <v>2694.0361255875</v>
      </c>
      <c r="F9" s="26" t="n">
        <f aca="false">AUM_Rollforward!E32</f>
        <v>2854.4853780217</v>
      </c>
      <c r="G9" s="26" t="n">
        <f aca="false">AUM_Rollforward!F32</f>
        <v>3024.60071899924</v>
      </c>
      <c r="H9" s="26" t="n">
        <f aca="false">AUM_Rollforward!G32</f>
        <v>3204.95531081679</v>
      </c>
      <c r="I9" s="26" t="n">
        <f aca="false">AUM_Rollforward!H32</f>
        <v>3396.15585713167</v>
      </c>
      <c r="J9" s="26" t="n">
        <f aca="false">AUM_Rollforward!I32</f>
        <v>3598.8445501214</v>
      </c>
      <c r="K9" s="26" t="n">
        <f aca="false">AUM_Rollforward!J32</f>
        <v>3813.70113017701</v>
      </c>
      <c r="L9" s="26" t="n">
        <f aca="false">AUM_Rollforward!K32</f>
        <v>4041.44506461826</v>
      </c>
    </row>
    <row r="10" customFormat="false" ht="15" hidden="false" customHeight="false" outlineLevel="0" collapsed="false">
      <c r="A10" s="5"/>
      <c r="B10" s="16" t="s">
        <v>121</v>
      </c>
      <c r="C10" s="26" t="n">
        <f aca="false">AUM_Y0*Wt_HF</f>
        <v>1400</v>
      </c>
      <c r="D10" s="26" t="n">
        <f aca="false">AUM_Rollforward!C39</f>
        <v>1463.648375</v>
      </c>
      <c r="E10" s="26" t="n">
        <f aca="false">AUM_Rollforward!D39</f>
        <v>1530.30299600938</v>
      </c>
      <c r="F10" s="26" t="n">
        <f aca="false">AUM_Rollforward!E39</f>
        <v>1600.10411187665</v>
      </c>
      <c r="G10" s="26" t="n">
        <f aca="false">AUM_Rollforward!F39</f>
        <v>1673.19839259238</v>
      </c>
      <c r="H10" s="26" t="n">
        <f aca="false">AUM_Rollforward!G39</f>
        <v>1749.73921878062</v>
      </c>
      <c r="I10" s="26" t="n">
        <f aca="false">AUM_Rollforward!H39</f>
        <v>1829.8869840976</v>
      </c>
      <c r="J10" s="26" t="n">
        <f aca="false">AUM_Rollforward!I39</f>
        <v>1913.80941110857</v>
      </c>
      <c r="K10" s="26" t="n">
        <f aca="false">AUM_Rollforward!J39</f>
        <v>2001.68188123891</v>
      </c>
      <c r="L10" s="26" t="n">
        <f aca="false">AUM_Rollforward!K39</f>
        <v>2093.68777942218</v>
      </c>
    </row>
    <row r="11" customFormat="false" ht="15" hidden="false" customHeight="false" outlineLevel="0" collapsed="false">
      <c r="A11" s="5"/>
      <c r="B11" s="27" t="s">
        <v>122</v>
      </c>
      <c r="C11" s="41" t="n">
        <f aca="false">AUM_Y0</f>
        <v>20000</v>
      </c>
      <c r="D11" s="41" t="n">
        <f aca="false">Fee_Beg_Eq+Fee_Beg_FI+Fee_Beg_PE+Fee_Beg_RA+Fee_Beg_HF</f>
        <v>19400</v>
      </c>
      <c r="E11" s="41" t="n">
        <f aca="false">Fee_Beg_Eq+Fee_Beg_FI+Fee_Beg_PE+Fee_Beg_RA+Fee_Beg_HF</f>
        <v>19400</v>
      </c>
      <c r="F11" s="41" t="n">
        <f aca="false">Fee_Beg_Eq+Fee_Beg_FI+Fee_Beg_PE+Fee_Beg_RA+Fee_Beg_HF</f>
        <v>19400</v>
      </c>
      <c r="G11" s="41" t="n">
        <f aca="false">Fee_Beg_Eq+Fee_Beg_FI+Fee_Beg_PE+Fee_Beg_RA+Fee_Beg_HF</f>
        <v>19400</v>
      </c>
      <c r="H11" s="41" t="n">
        <f aca="false">Fee_Beg_Eq+Fee_Beg_FI+Fee_Beg_PE+Fee_Beg_RA+Fee_Beg_HF</f>
        <v>19400</v>
      </c>
      <c r="I11" s="41" t="n">
        <f aca="false">Fee_Beg_Eq+Fee_Beg_FI+Fee_Beg_PE+Fee_Beg_RA+Fee_Beg_HF</f>
        <v>19400</v>
      </c>
      <c r="J11" s="41" t="n">
        <f aca="false">Fee_Beg_Eq+Fee_Beg_FI+Fee_Beg_PE+Fee_Beg_RA+Fee_Beg_HF</f>
        <v>19400</v>
      </c>
      <c r="K11" s="41" t="n">
        <f aca="false">Fee_Beg_Eq+Fee_Beg_FI+Fee_Beg_PE+Fee_Beg_RA+Fee_Beg_HF</f>
        <v>19400</v>
      </c>
      <c r="L11" s="41" t="n">
        <f aca="false">Fee_Beg_Eq+Fee_Beg_FI+Fee_Beg_PE+Fee_Beg_RA+Fee_Beg_HF</f>
        <v>19400</v>
      </c>
    </row>
    <row r="12" customFormat="false" ht="15" hidden="false" customHeight="false" outlineLevel="0" collapsed="false">
      <c r="A12" s="5"/>
      <c r="B12" s="39" t="s">
        <v>123</v>
      </c>
      <c r="C12" s="40"/>
      <c r="D12" s="40"/>
      <c r="E12" s="40"/>
      <c r="F12" s="40"/>
      <c r="G12" s="40"/>
      <c r="H12" s="40"/>
      <c r="I12" s="40"/>
      <c r="J12" s="40"/>
      <c r="K12" s="40"/>
      <c r="L12" s="40"/>
    </row>
    <row r="13" customFormat="false" ht="15" hidden="false" customHeight="false" outlineLevel="0" collapsed="false">
      <c r="A13" s="5"/>
      <c r="B13" s="16" t="s">
        <v>124</v>
      </c>
      <c r="C13" s="26" t="n">
        <f aca="false">-Fee_Beg_Eq*Eq_Fee_Rate</f>
        <v>-6.08</v>
      </c>
      <c r="D13" s="26" t="n">
        <f aca="false">-D6*Eq_Fee_Rate</f>
        <v>-6.5035518</v>
      </c>
      <c r="E13" s="26" t="n">
        <f aca="false">-E6*Eq_Fee_Rate</f>
        <v>-6.956809666515</v>
      </c>
      <c r="F13" s="26" t="n">
        <f aca="false">-F6*Eq_Fee_Rate</f>
        <v>-7.44182585814412</v>
      </c>
      <c r="G13" s="26" t="n">
        <f aca="false">-G6*Eq_Fee_Rate</f>
        <v>-7.9607929624851</v>
      </c>
      <c r="H13" s="26" t="n">
        <f aca="false">-H6*Eq_Fee_Rate</f>
        <v>-8.51605344058224</v>
      </c>
      <c r="I13" s="26" t="n">
        <f aca="false">-I6*Eq_Fee_Rate</f>
        <v>-9.11010981889837</v>
      </c>
      <c r="J13" s="26" t="n">
        <f aca="false">-J6*Eq_Fee_Rate</f>
        <v>-9.74563557268959</v>
      </c>
      <c r="K13" s="26" t="n">
        <f aca="false">-K6*Eq_Fee_Rate</f>
        <v>-10.4254867476339</v>
      </c>
      <c r="L13" s="26" t="n">
        <f aca="false">-L6*Eq_Fee_Rate</f>
        <v>-11.1527143697374</v>
      </c>
    </row>
    <row r="14" customFormat="false" ht="15" hidden="false" customHeight="false" outlineLevel="0" collapsed="false">
      <c r="A14" s="5"/>
      <c r="B14" s="16" t="s">
        <v>125</v>
      </c>
      <c r="C14" s="26" t="n">
        <f aca="false">-Fee_Beg_FI*FI_Fee_Rate</f>
        <v>-6.6</v>
      </c>
      <c r="D14" s="26" t="n">
        <f aca="false">-D7*FI_Fee_Rate</f>
        <v>-6.870356625</v>
      </c>
      <c r="E14" s="26" t="n">
        <f aca="false">-E7*FI_Fee_Rate</f>
        <v>-7.15237699780313</v>
      </c>
      <c r="F14" s="26" t="n">
        <f aca="false">-F7*FI_Fee_Rate</f>
        <v>-7.44656068255297</v>
      </c>
      <c r="G14" s="26" t="n">
        <f aca="false">-G7*FI_Fee_Rate</f>
        <v>-7.7534282364611</v>
      </c>
      <c r="H14" s="26" t="n">
        <f aca="false">-H7*FI_Fee_Rate</f>
        <v>-8.07352207648959</v>
      </c>
      <c r="I14" s="26" t="n">
        <f aca="false">-I7*FI_Fee_Rate</f>
        <v>-8.40740738131569</v>
      </c>
      <c r="J14" s="26" t="n">
        <f aca="false">-J7*FI_Fee_Rate</f>
        <v>-8.75567302999981</v>
      </c>
      <c r="K14" s="26" t="n">
        <f aca="false">-K7*FI_Fee_Rate</f>
        <v>-9.11893257883479</v>
      </c>
      <c r="L14" s="26" t="n">
        <f aca="false">-L7*FI_Fee_Rate</f>
        <v>-9.49782527791355</v>
      </c>
    </row>
    <row r="15" customFormat="false" ht="15" hidden="false" customHeight="false" outlineLevel="0" collapsed="false">
      <c r="A15" s="5"/>
      <c r="B15" s="16" t="s">
        <v>126</v>
      </c>
      <c r="C15" s="26" t="n">
        <f aca="false">-Fee_Beg_PE*PE_Base_Fee_Rate</f>
        <v>-54</v>
      </c>
      <c r="D15" s="26" t="n">
        <f aca="false">-D8*PE_Base_Fee_Rate</f>
        <v>-59.42500875</v>
      </c>
      <c r="E15" s="26" t="n">
        <f aca="false">-E8*PE_Base_Fee_Rate</f>
        <v>-65.3935431844687</v>
      </c>
      <c r="F15" s="26" t="n">
        <f aca="false">-F8*PE_Base_Fee_Rate</f>
        <v>-71.9595061304296</v>
      </c>
      <c r="G15" s="26" t="n">
        <f aca="false">-G8*PE_Base_Fee_Rate</f>
        <v>-79.182122198456</v>
      </c>
      <c r="H15" s="26" t="n">
        <f aca="false">-H8*PE_Base_Fee_Rate</f>
        <v>-87.1264623706936</v>
      </c>
      <c r="I15" s="26" t="n">
        <f aca="false">-I8*PE_Base_Fee_Rate</f>
        <v>-95.8640202729224</v>
      </c>
      <c r="J15" s="26" t="n">
        <f aca="false">-J8*PE_Base_Fee_Rate</f>
        <v>-105.47334522191</v>
      </c>
      <c r="K15" s="26" t="n">
        <f aca="false">-K8*PE_Base_Fee_Rate</f>
        <v>-116.0407376408</v>
      </c>
      <c r="L15" s="26" t="n">
        <f aca="false">-L8*PE_Base_Fee_Rate</f>
        <v>-127.66101298618</v>
      </c>
    </row>
    <row r="16" customFormat="false" ht="15" hidden="false" customHeight="false" outlineLevel="0" collapsed="false">
      <c r="A16" s="5"/>
      <c r="B16" s="16" t="s">
        <v>127</v>
      </c>
      <c r="C16" s="26" t="n">
        <f aca="false">-Fee_Beg_RA*RA_Fee_Rate</f>
        <v>-14.4</v>
      </c>
      <c r="D16" s="26" t="n">
        <f aca="false">-D9*RA_Fee_Rate</f>
        <v>-15.256269</v>
      </c>
      <c r="E16" s="26" t="n">
        <f aca="false">-E9*RA_Fee_Rate</f>
        <v>-16.164216753525</v>
      </c>
      <c r="F16" s="26" t="n">
        <f aca="false">-F9*RA_Fee_Rate</f>
        <v>-17.1269122681302</v>
      </c>
      <c r="G16" s="26" t="n">
        <f aca="false">-G9*RA_Fee_Rate</f>
        <v>-18.1476043139955</v>
      </c>
      <c r="H16" s="26" t="n">
        <f aca="false">-H9*RA_Fee_Rate</f>
        <v>-19.2297318649008</v>
      </c>
      <c r="I16" s="26" t="n">
        <f aca="false">-I9*RA_Fee_Rate</f>
        <v>-20.37693514279</v>
      </c>
      <c r="J16" s="26" t="n">
        <f aca="false">-J9*RA_Fee_Rate</f>
        <v>-21.5930673007284</v>
      </c>
      <c r="K16" s="26" t="n">
        <f aca="false">-K9*RA_Fee_Rate</f>
        <v>-22.8822067810621</v>
      </c>
      <c r="L16" s="26" t="n">
        <f aca="false">-L9*RA_Fee_Rate</f>
        <v>-24.2486703877096</v>
      </c>
    </row>
    <row r="17" customFormat="false" ht="15" hidden="false" customHeight="false" outlineLevel="0" collapsed="false">
      <c r="A17" s="5"/>
      <c r="B17" s="16" t="s">
        <v>128</v>
      </c>
      <c r="C17" s="26" t="n">
        <f aca="false">-Fee_Beg_HF*HF_Base_Fee_Rate</f>
        <v>-14</v>
      </c>
      <c r="D17" s="26" t="n">
        <f aca="false">-D10*HF_Base_Fee_Rate</f>
        <v>-14.63648375</v>
      </c>
      <c r="E17" s="26" t="n">
        <f aca="false">-E10*HF_Base_Fee_Rate</f>
        <v>-15.3030299600938</v>
      </c>
      <c r="F17" s="26" t="n">
        <f aca="false">-F10*HF_Base_Fee_Rate</f>
        <v>-16.0010411187665</v>
      </c>
      <c r="G17" s="26" t="n">
        <f aca="false">-G10*HF_Base_Fee_Rate</f>
        <v>-16.7319839259238</v>
      </c>
      <c r="H17" s="26" t="n">
        <f aca="false">-H10*HF_Base_Fee_Rate</f>
        <v>-17.4973921878062</v>
      </c>
      <c r="I17" s="26" t="n">
        <f aca="false">-I10*HF_Base_Fee_Rate</f>
        <v>-18.298869840976</v>
      </c>
      <c r="J17" s="26" t="n">
        <f aca="false">-J10*HF_Base_Fee_Rate</f>
        <v>-19.1380941110857</v>
      </c>
      <c r="K17" s="26" t="n">
        <f aca="false">-K10*HF_Base_Fee_Rate</f>
        <v>-20.0168188123891</v>
      </c>
      <c r="L17" s="26" t="n">
        <f aca="false">-L10*HF_Base_Fee_Rate</f>
        <v>-20.9368777942218</v>
      </c>
    </row>
    <row r="18" customFormat="false" ht="15" hidden="false" customHeight="false" outlineLevel="0" collapsed="false">
      <c r="A18" s="5"/>
      <c r="B18" s="39" t="s">
        <v>129</v>
      </c>
      <c r="C18" s="40"/>
      <c r="D18" s="40"/>
      <c r="E18" s="40"/>
      <c r="F18" s="40"/>
      <c r="G18" s="40"/>
      <c r="H18" s="40"/>
      <c r="I18" s="40"/>
      <c r="J18" s="40"/>
      <c r="K18" s="40"/>
      <c r="L18" s="40"/>
    </row>
    <row r="19" customFormat="false" ht="15" hidden="false" customHeight="false" outlineLevel="0" collapsed="false">
      <c r="A19" s="5"/>
      <c r="B19" s="16" t="s">
        <v>130</v>
      </c>
      <c r="C19" s="26" t="n">
        <f aca="false">-MAX(0,PE_Return-PE_Hurdle)*Fee_Beg_PE*PE_Carried_Interest</f>
        <v>-25.2</v>
      </c>
      <c r="D19" s="26" t="n">
        <f aca="false">-MAX(0,PE_Return-PE_Hurdle)*D8*PE_Carried_Interest</f>
        <v>-27.73167075</v>
      </c>
      <c r="E19" s="26" t="n">
        <f aca="false">-MAX(0,PE_Return-PE_Hurdle)*E8*PE_Carried_Interest</f>
        <v>-30.5169868194187</v>
      </c>
      <c r="F19" s="26" t="n">
        <f aca="false">-MAX(0,PE_Return-PE_Hurdle)*F8*PE_Carried_Interest</f>
        <v>-33.5811028608671</v>
      </c>
      <c r="G19" s="26" t="n">
        <f aca="false">-MAX(0,PE_Return-PE_Hurdle)*G8*PE_Carried_Interest</f>
        <v>-36.9516570259462</v>
      </c>
      <c r="H19" s="26" t="n">
        <f aca="false">-MAX(0,PE_Return-PE_Hurdle)*H8*PE_Carried_Interest</f>
        <v>-40.6590157729903</v>
      </c>
      <c r="I19" s="26" t="n">
        <f aca="false">-MAX(0,PE_Return-PE_Hurdle)*I8*PE_Carried_Interest</f>
        <v>-44.7365427940305</v>
      </c>
      <c r="J19" s="26" t="n">
        <f aca="false">-MAX(0,PE_Return-PE_Hurdle)*J8*PE_Carried_Interest</f>
        <v>-49.2208944368913</v>
      </c>
      <c r="K19" s="26" t="n">
        <f aca="false">-MAX(0,PE_Return-PE_Hurdle)*K8*PE_Carried_Interest</f>
        <v>-54.1523442323733</v>
      </c>
      <c r="L19" s="26" t="n">
        <f aca="false">-MAX(0,PE_Return-PE_Hurdle)*L8*PE_Carried_Interest</f>
        <v>-59.5751393935509</v>
      </c>
    </row>
    <row r="20" customFormat="false" ht="15" hidden="false" customHeight="false" outlineLevel="0" collapsed="false">
      <c r="A20" s="5"/>
      <c r="B20" s="16" t="s">
        <v>131</v>
      </c>
      <c r="C20" s="26" t="n">
        <f aca="false">-MAX(0,HF_Return-HF_Hurdle)*Fee_Beg_HF*HF_Carried_Interest</f>
        <v>-1.4</v>
      </c>
      <c r="D20" s="26" t="n">
        <f aca="false">-MAX(0,HF_Return-HF_Hurdle)*D10*HF_Carried_Interest</f>
        <v>-1.463648375</v>
      </c>
      <c r="E20" s="26" t="n">
        <f aca="false">-MAX(0,HF_Return-HF_Hurdle)*E10*HF_Carried_Interest</f>
        <v>-1.53030299600937</v>
      </c>
      <c r="F20" s="26" t="n">
        <f aca="false">-MAX(0,HF_Return-HF_Hurdle)*F10*HF_Carried_Interest</f>
        <v>-1.60010411187665</v>
      </c>
      <c r="G20" s="26" t="n">
        <f aca="false">-MAX(0,HF_Return-HF_Hurdle)*G10*HF_Carried_Interest</f>
        <v>-1.67319839259237</v>
      </c>
      <c r="H20" s="26" t="n">
        <f aca="false">-MAX(0,HF_Return-HF_Hurdle)*H10*HF_Carried_Interest</f>
        <v>-1.74973921878061</v>
      </c>
      <c r="I20" s="26" t="n">
        <f aca="false">-MAX(0,HF_Return-HF_Hurdle)*I10*HF_Carried_Interest</f>
        <v>-1.8298869840976</v>
      </c>
      <c r="J20" s="26" t="n">
        <f aca="false">-MAX(0,HF_Return-HF_Hurdle)*J10*HF_Carried_Interest</f>
        <v>-1.91380941110856</v>
      </c>
      <c r="K20" s="26" t="n">
        <f aca="false">-MAX(0,HF_Return-HF_Hurdle)*K10*HF_Carried_Interest</f>
        <v>-2.00168188123891</v>
      </c>
      <c r="L20" s="26" t="n">
        <f aca="false">-MAX(0,HF_Return-HF_Hurdle)*L10*HF_Carried_Interest</f>
        <v>-2.09368777942218</v>
      </c>
    </row>
    <row r="21" customFormat="false" ht="15" hidden="false" customHeight="false" outlineLevel="0" collapsed="false">
      <c r="A21" s="5"/>
      <c r="B21" s="39" t="s">
        <v>132</v>
      </c>
      <c r="C21" s="40"/>
      <c r="D21" s="40"/>
      <c r="E21" s="40"/>
      <c r="F21" s="40"/>
      <c r="G21" s="40"/>
      <c r="H21" s="40"/>
      <c r="I21" s="40"/>
      <c r="J21" s="40"/>
      <c r="K21" s="40"/>
      <c r="L21" s="40"/>
    </row>
    <row r="22" customFormat="false" ht="15" hidden="false" customHeight="false" outlineLevel="0" collapsed="false">
      <c r="A22" s="5"/>
      <c r="B22" s="42" t="s">
        <v>133</v>
      </c>
      <c r="C22" s="43" t="n">
        <f aca="false">Fee_Eq+Fee_FI+Fee_PE_Base+Fee_RA+Fee_HF_Base+Fee_PE_Perf+Fee_HF_Perf</f>
        <v>-121.68</v>
      </c>
      <c r="D22" s="43" t="n">
        <f aca="false">D13+D14+D15+D16+D17+D19+D20</f>
        <v>-131.88698905</v>
      </c>
      <c r="E22" s="43" t="n">
        <f aca="false">E13+E14+E15+E16+E17+E19+E20</f>
        <v>-143.017266377834</v>
      </c>
      <c r="F22" s="43" t="n">
        <f aca="false">F13+F14+F15+F16+F17+F19+F20</f>
        <v>-155.157053030767</v>
      </c>
      <c r="G22" s="43" t="n">
        <f aca="false">G13+G14+G15+G16+G17+G19+G20</f>
        <v>-168.40078705586</v>
      </c>
      <c r="H22" s="43" t="n">
        <f aca="false">H13+H14+H15+H16+H17+H19+H20</f>
        <v>-182.851916932243</v>
      </c>
      <c r="I22" s="43" t="n">
        <f aca="false">I13+I14+I15+I16+I17+I19+I20</f>
        <v>-198.623772235031</v>
      </c>
      <c r="J22" s="43" t="n">
        <f aca="false">J13+J14+J15+J16+J17+J19+J20</f>
        <v>-215.840519084413</v>
      </c>
      <c r="K22" s="43" t="n">
        <f aca="false">K13+K14+K15+K16+K17+K19+K20</f>
        <v>-234.638208674332</v>
      </c>
      <c r="L22" s="43" t="n">
        <f aca="false">L13+L14+L15+L16+L17+L19+L20</f>
        <v>-255.165927988736</v>
      </c>
    </row>
    <row r="23" customFormat="false" ht="15" hidden="false" customHeight="false" outlineLevel="0" collapsed="false">
      <c r="A23" s="5"/>
      <c r="B23" s="16" t="s">
        <v>134</v>
      </c>
      <c r="C23" s="21" t="n">
        <f aca="false">ABS(Total_Fees/Fee_Beg_Total)</f>
        <v>0.006084</v>
      </c>
      <c r="D23" s="21" t="n">
        <f aca="false">ABS(D22/D11)</f>
        <v>0.00679829840463917</v>
      </c>
      <c r="E23" s="21" t="n">
        <f aca="false">ABS(E22/E11)</f>
        <v>0.00737202404009452</v>
      </c>
      <c r="F23" s="21" t="n">
        <f aca="false">ABS(F22/F11)</f>
        <v>0.00799778623869934</v>
      </c>
      <c r="G23" s="21" t="n">
        <f aca="false">ABS(G22/G11)</f>
        <v>0.00868045294102371</v>
      </c>
      <c r="H23" s="21" t="n">
        <f aca="false">ABS(H22/H11)</f>
        <v>0.00942535654289914</v>
      </c>
      <c r="I23" s="21" t="n">
        <f aca="false">ABS(I22/I11)</f>
        <v>0.0102383387750016</v>
      </c>
      <c r="J23" s="21" t="n">
        <f aca="false">ABS(J22/J11)</f>
        <v>0.0111257999528048</v>
      </c>
      <c r="K23" s="21" t="n">
        <f aca="false">ABS(K22/K11)</f>
        <v>0.0120947530244501</v>
      </c>
      <c r="L23" s="21" t="n">
        <f aca="false">ABS(L22/L11)</f>
        <v>0.0131528828860173</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E75B6"/>
    <pageSetUpPr fitToPage="false"/>
  </sheetPr>
  <dimension ref="A1:L1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6"/>
    <col collapsed="false" customWidth="true" hidden="false" outlineLevel="0" max="12" min="3" style="0" width="12"/>
  </cols>
  <sheetData>
    <row r="1" customFormat="false" ht="15" hidden="false" customHeight="false" outlineLevel="0" collapsed="false">
      <c r="A1" s="5"/>
      <c r="B1" s="5"/>
      <c r="C1" s="5"/>
      <c r="D1" s="5"/>
      <c r="E1" s="5"/>
      <c r="F1" s="5"/>
      <c r="G1" s="5"/>
      <c r="H1" s="5"/>
      <c r="I1" s="5"/>
      <c r="J1" s="5"/>
      <c r="K1" s="5"/>
      <c r="L1" s="5"/>
    </row>
    <row r="2" customFormat="false" ht="22.05" hidden="false" customHeight="false" outlineLevel="0" collapsed="false">
      <c r="A2" s="5"/>
      <c r="B2" s="29" t="s">
        <v>9</v>
      </c>
      <c r="C2" s="5"/>
      <c r="D2" s="5"/>
      <c r="E2" s="5"/>
      <c r="F2" s="5"/>
      <c r="G2" s="5"/>
      <c r="H2" s="5"/>
      <c r="I2" s="5"/>
      <c r="J2" s="5"/>
      <c r="K2" s="5"/>
      <c r="L2" s="5"/>
    </row>
    <row r="3" customFormat="false" ht="15" hidden="false" customHeight="false" outlineLevel="0" collapsed="false">
      <c r="A3" s="5"/>
      <c r="B3" s="37" t="s">
        <v>135</v>
      </c>
      <c r="C3" s="5"/>
      <c r="D3" s="5"/>
      <c r="E3" s="5"/>
      <c r="F3" s="5"/>
      <c r="G3" s="5"/>
      <c r="H3" s="5"/>
      <c r="I3" s="5"/>
      <c r="J3" s="5"/>
      <c r="K3" s="5"/>
      <c r="L3" s="5"/>
    </row>
    <row r="4" customFormat="false" ht="15" hidden="false" customHeight="false" outlineLevel="0" collapsed="false">
      <c r="A4" s="5"/>
      <c r="B4" s="5"/>
      <c r="C4" s="38" t="s">
        <v>82</v>
      </c>
      <c r="D4" s="38" t="s">
        <v>83</v>
      </c>
      <c r="E4" s="38" t="s">
        <v>84</v>
      </c>
      <c r="F4" s="38" t="s">
        <v>85</v>
      </c>
      <c r="G4" s="38" t="s">
        <v>86</v>
      </c>
      <c r="H4" s="38" t="s">
        <v>87</v>
      </c>
      <c r="I4" s="38" t="s">
        <v>88</v>
      </c>
      <c r="J4" s="38" t="s">
        <v>89</v>
      </c>
      <c r="K4" s="38" t="s">
        <v>90</v>
      </c>
      <c r="L4" s="38" t="s">
        <v>91</v>
      </c>
    </row>
    <row r="5" customFormat="false" ht="15" hidden="false" customHeight="false" outlineLevel="0" collapsed="false">
      <c r="A5" s="5"/>
      <c r="B5" s="39" t="s">
        <v>136</v>
      </c>
      <c r="C5" s="40"/>
      <c r="D5" s="40"/>
      <c r="E5" s="40"/>
      <c r="F5" s="40"/>
      <c r="G5" s="40"/>
      <c r="H5" s="40"/>
      <c r="I5" s="40"/>
      <c r="J5" s="40"/>
      <c r="K5" s="40"/>
      <c r="L5" s="40"/>
    </row>
    <row r="6" customFormat="false" ht="15" hidden="false" customHeight="false" outlineLevel="0" collapsed="false">
      <c r="A6" s="5"/>
      <c r="B6" s="16" t="s">
        <v>137</v>
      </c>
      <c r="C6" s="24" t="n">
        <f aca="false">Active_Members_Y0*(1+Active_Member_Growth)</f>
        <v>20100</v>
      </c>
      <c r="D6" s="24" t="n">
        <f aca="false">C6*(1+Active_Member_Growth)</f>
        <v>20200.5</v>
      </c>
      <c r="E6" s="24" t="n">
        <f aca="false">D6*(1+Active_Member_Growth)</f>
        <v>20301.5025</v>
      </c>
      <c r="F6" s="24" t="n">
        <f aca="false">E6*(1+Active_Member_Growth)</f>
        <v>20403.0100125</v>
      </c>
      <c r="G6" s="24" t="n">
        <f aca="false">F6*(1+Active_Member_Growth)</f>
        <v>20505.0250625625</v>
      </c>
      <c r="H6" s="24" t="n">
        <f aca="false">G6*(1+Active_Member_Growth)</f>
        <v>20607.5501878753</v>
      </c>
      <c r="I6" s="24" t="n">
        <f aca="false">H6*(1+Active_Member_Growth)</f>
        <v>20710.5879388147</v>
      </c>
      <c r="J6" s="24" t="n">
        <f aca="false">I6*(1+Active_Member_Growth)</f>
        <v>20814.1408785087</v>
      </c>
      <c r="K6" s="24" t="n">
        <f aca="false">J6*(1+Active_Member_Growth)</f>
        <v>20918.2115829013</v>
      </c>
      <c r="L6" s="24" t="n">
        <f aca="false">K6*(1+Active_Member_Growth)</f>
        <v>21022.8026408158</v>
      </c>
    </row>
    <row r="7" customFormat="false" ht="15" hidden="false" customHeight="false" outlineLevel="0" collapsed="false">
      <c r="A7" s="5"/>
      <c r="B7" s="16" t="s">
        <v>138</v>
      </c>
      <c r="C7" s="24" t="n">
        <f aca="false">Retiree_Members_Y0*(1+Retiree_Growth)</f>
        <v>8120</v>
      </c>
      <c r="D7" s="24" t="n">
        <f aca="false">C7*(1+Retiree_Growth)</f>
        <v>8241.8</v>
      </c>
      <c r="E7" s="24" t="n">
        <f aca="false">D7*(1+Retiree_Growth)</f>
        <v>8365.427</v>
      </c>
      <c r="F7" s="24" t="n">
        <f aca="false">E7*(1+Retiree_Growth)</f>
        <v>8490.908405</v>
      </c>
      <c r="G7" s="24" t="n">
        <f aca="false">F7*(1+Retiree_Growth)</f>
        <v>8618.27203107499</v>
      </c>
      <c r="H7" s="24" t="n">
        <f aca="false">G7*(1+Retiree_Growth)</f>
        <v>8747.54611154112</v>
      </c>
      <c r="I7" s="24" t="n">
        <f aca="false">H7*(1+Retiree_Growth)</f>
        <v>8878.75930321423</v>
      </c>
      <c r="J7" s="24" t="n">
        <f aca="false">I7*(1+Retiree_Growth)</f>
        <v>9011.94069276245</v>
      </c>
      <c r="K7" s="24" t="n">
        <f aca="false">J7*(1+Retiree_Growth)</f>
        <v>9147.11980315388</v>
      </c>
      <c r="L7" s="24" t="n">
        <f aca="false">K7*(1+Retiree_Growth)</f>
        <v>9284.32660020119</v>
      </c>
    </row>
    <row r="8" customFormat="false" ht="15" hidden="false" customHeight="false" outlineLevel="0" collapsed="false">
      <c r="A8" s="5"/>
      <c r="B8" s="16" t="s">
        <v>66</v>
      </c>
      <c r="C8" s="24" t="n">
        <f aca="false">Avg_Salary*(1+Salary_Growth)</f>
        <v>46125</v>
      </c>
      <c r="D8" s="24" t="n">
        <f aca="false">C8*(1+Salary_Growth)</f>
        <v>47278.125</v>
      </c>
      <c r="E8" s="24" t="n">
        <f aca="false">D8*(1+Salary_Growth)</f>
        <v>48460.078125</v>
      </c>
      <c r="F8" s="24" t="n">
        <f aca="false">E8*(1+Salary_Growth)</f>
        <v>49671.580078125</v>
      </c>
      <c r="G8" s="24" t="n">
        <f aca="false">F8*(1+Salary_Growth)</f>
        <v>50913.3695800781</v>
      </c>
      <c r="H8" s="24" t="n">
        <f aca="false">G8*(1+Salary_Growth)</f>
        <v>52186.20381958</v>
      </c>
      <c r="I8" s="24" t="n">
        <f aca="false">H8*(1+Salary_Growth)</f>
        <v>53490.8589150695</v>
      </c>
      <c r="J8" s="24" t="n">
        <f aca="false">I8*(1+Salary_Growth)</f>
        <v>54828.1303879463</v>
      </c>
      <c r="K8" s="24" t="n">
        <f aca="false">J8*(1+Salary_Growth)</f>
        <v>56198.8336476449</v>
      </c>
      <c r="L8" s="24" t="n">
        <f aca="false">K8*(1+Salary_Growth)</f>
        <v>57603.804488836</v>
      </c>
    </row>
    <row r="9" customFormat="false" ht="15" hidden="false" customHeight="false" outlineLevel="0" collapsed="false">
      <c r="A9" s="5"/>
      <c r="B9" s="16" t="s">
        <v>139</v>
      </c>
      <c r="C9" s="26" t="n">
        <f aca="false">C6*C8*(Employer_Contrib_Rate+Employee_Contrib_Rate)/Scale_To_M</f>
        <v>185.4225</v>
      </c>
      <c r="D9" s="26" t="n">
        <f aca="false">D6*D8*(Employer_Contrib_Rate+Employee_Contrib_Rate)/Scale_To_M</f>
        <v>191.0083528125</v>
      </c>
      <c r="E9" s="26" t="n">
        <f aca="false">E6*E8*(Employer_Contrib_Rate+Employee_Contrib_Rate)/Scale_To_M</f>
        <v>196.762479440976</v>
      </c>
      <c r="F9" s="26" t="n">
        <f aca="false">F6*F8*(Employer_Contrib_Rate+Employee_Contrib_Rate)/Scale_To_M</f>
        <v>202.689949134136</v>
      </c>
      <c r="G9" s="26" t="n">
        <f aca="false">G6*G8*(Employer_Contrib_Rate+Employee_Contrib_Rate)/Scale_To_M</f>
        <v>208.795983851802</v>
      </c>
      <c r="H9" s="26" t="n">
        <f aca="false">H6*H8*(Employer_Contrib_Rate+Employee_Contrib_Rate)/Scale_To_M</f>
        <v>215.085962865337</v>
      </c>
      <c r="I9" s="26" t="n">
        <f aca="false">I6*I8*(Employer_Contrib_Rate+Employee_Contrib_Rate)/Scale_To_M</f>
        <v>221.565427496655</v>
      </c>
      <c r="J9" s="26" t="n">
        <f aca="false">J6*J8*(Employer_Contrib_Rate+Employee_Contrib_Rate)/Scale_To_M</f>
        <v>228.240085999992</v>
      </c>
      <c r="K9" s="26" t="n">
        <f aca="false">K6*K8*(Employer_Contrib_Rate+Employee_Contrib_Rate)/Scale_To_M</f>
        <v>235.115818590742</v>
      </c>
      <c r="L9" s="26" t="n">
        <f aca="false">L6*L8*(Employer_Contrib_Rate+Employee_Contrib_Rate)/Scale_To_M</f>
        <v>242.198682625788</v>
      </c>
    </row>
    <row r="10" customFormat="false" ht="15" hidden="false" customHeight="false" outlineLevel="0" collapsed="false">
      <c r="A10" s="5"/>
      <c r="B10" s="16" t="s">
        <v>140</v>
      </c>
      <c r="C10" s="26" t="n">
        <f aca="false">-(C7*Benefit_Per_Retiree/Scale_To_M)</f>
        <v>-146.16</v>
      </c>
      <c r="D10" s="26" t="n">
        <f aca="false">-(D7*Benefit_Per_Retiree/Scale_To_M)</f>
        <v>-148.3524</v>
      </c>
      <c r="E10" s="26" t="n">
        <f aca="false">-(E7*Benefit_Per_Retiree/Scale_To_M)</f>
        <v>-150.577686</v>
      </c>
      <c r="F10" s="26" t="n">
        <f aca="false">-(F7*Benefit_Per_Retiree/Scale_To_M)</f>
        <v>-152.83635129</v>
      </c>
      <c r="G10" s="26" t="n">
        <f aca="false">-(G7*Benefit_Per_Retiree/Scale_To_M)</f>
        <v>-155.12889655935</v>
      </c>
      <c r="H10" s="26" t="n">
        <f aca="false">-(H7*Benefit_Per_Retiree/Scale_To_M)</f>
        <v>-157.45583000774</v>
      </c>
      <c r="I10" s="26" t="n">
        <f aca="false">-(I7*Benefit_Per_Retiree/Scale_To_M)</f>
        <v>-159.817667457856</v>
      </c>
      <c r="J10" s="26" t="n">
        <f aca="false">-(J7*Benefit_Per_Retiree/Scale_To_M)</f>
        <v>-162.214932469724</v>
      </c>
      <c r="K10" s="26" t="n">
        <f aca="false">-(K7*Benefit_Per_Retiree/Scale_To_M)</f>
        <v>-164.64815645677</v>
      </c>
      <c r="L10" s="26" t="n">
        <f aca="false">-(L7*Benefit_Per_Retiree/Scale_To_M)</f>
        <v>-167.117878803621</v>
      </c>
    </row>
    <row r="11" customFormat="false" ht="15" hidden="false" customHeight="false" outlineLevel="0" collapsed="false">
      <c r="A11" s="5"/>
      <c r="B11" s="42" t="s">
        <v>141</v>
      </c>
      <c r="C11" s="43" t="n">
        <f aca="false">C9+C10</f>
        <v>39.2625</v>
      </c>
      <c r="D11" s="43" t="n">
        <f aca="false">D9+D10</f>
        <v>42.6559528125</v>
      </c>
      <c r="E11" s="43" t="n">
        <f aca="false">E9+E10</f>
        <v>46.1847934409765</v>
      </c>
      <c r="F11" s="43" t="n">
        <f aca="false">F9+F10</f>
        <v>49.8535978441359</v>
      </c>
      <c r="G11" s="43" t="n">
        <f aca="false">G9+G10</f>
        <v>53.6670872924517</v>
      </c>
      <c r="H11" s="43" t="n">
        <f aca="false">H9+H10</f>
        <v>57.6301328575969</v>
      </c>
      <c r="I11" s="43" t="n">
        <f aca="false">I9+I10</f>
        <v>61.7477600387991</v>
      </c>
      <c r="J11" s="43" t="n">
        <f aca="false">J9+J10</f>
        <v>66.025153530268</v>
      </c>
      <c r="K11" s="43" t="n">
        <f aca="false">K9+K10</f>
        <v>70.4676621339719</v>
      </c>
      <c r="L11" s="43" t="n">
        <f aca="false">L9+L10</f>
        <v>75.0808038221664</v>
      </c>
    </row>
    <row r="12" customFormat="false" ht="15" hidden="false" customHeight="false" outlineLevel="0" collapsed="false">
      <c r="A12" s="5"/>
      <c r="B12" s="39" t="s">
        <v>75</v>
      </c>
      <c r="C12" s="40"/>
      <c r="D12" s="40"/>
      <c r="E12" s="40"/>
      <c r="F12" s="40"/>
      <c r="G12" s="40"/>
      <c r="H12" s="40"/>
      <c r="I12" s="40"/>
      <c r="J12" s="40"/>
      <c r="K12" s="40"/>
      <c r="L12" s="40"/>
    </row>
    <row r="13" customFormat="false" ht="15" hidden="false" customHeight="false" outlineLevel="0" collapsed="false">
      <c r="A13" s="5"/>
      <c r="B13" s="16" t="s">
        <v>142</v>
      </c>
      <c r="C13" s="26" t="n">
        <f aca="false">Annual_Gifts_Y0*(1+Gift_Growth)</f>
        <v>25.75</v>
      </c>
      <c r="D13" s="26" t="n">
        <f aca="false">C13*(1+Gift_Growth)</f>
        <v>26.5225</v>
      </c>
      <c r="E13" s="26" t="n">
        <f aca="false">D13*(1+Gift_Growth)</f>
        <v>27.318175</v>
      </c>
      <c r="F13" s="26" t="n">
        <f aca="false">E13*(1+Gift_Growth)</f>
        <v>28.13772025</v>
      </c>
      <c r="G13" s="26" t="n">
        <f aca="false">F13*(1+Gift_Growth)</f>
        <v>28.9818518575</v>
      </c>
      <c r="H13" s="26" t="n">
        <f aca="false">G13*(1+Gift_Growth)</f>
        <v>29.851307413225</v>
      </c>
      <c r="I13" s="26" t="n">
        <f aca="false">H13*(1+Gift_Growth)</f>
        <v>30.7468466356218</v>
      </c>
      <c r="J13" s="26" t="n">
        <f aca="false">I13*(1+Gift_Growth)</f>
        <v>31.6692520346904</v>
      </c>
      <c r="K13" s="26" t="n">
        <f aca="false">J13*(1+Gift_Growth)</f>
        <v>32.6193295957311</v>
      </c>
      <c r="L13" s="26" t="n">
        <f aca="false">K13*(1+Gift_Growth)</f>
        <v>33.5979094836031</v>
      </c>
    </row>
    <row r="14" customFormat="false" ht="15" hidden="false" customHeight="false" outlineLevel="0" collapsed="false">
      <c r="A14" s="5"/>
      <c r="B14" s="16" t="s">
        <v>143</v>
      </c>
      <c r="C14" s="26" t="n">
        <f aca="false">-Endowment_Spending_Rate*AUM_YM1</f>
        <v>-864</v>
      </c>
      <c r="D14" s="26" t="n">
        <f aca="false">-Endowment_Spending_Rate*(AUM_YM1+AUM_Rollforward!C53)/2</f>
        <v>-910.80410625</v>
      </c>
      <c r="E14" s="26" t="n">
        <f aca="false">-Endowment_Spending_Rate*(AUM_YM1+AUM_Rollforward!C53+AUM_Rollforward!D53)/3</f>
        <v>-947.381534068312</v>
      </c>
      <c r="F14" s="26" t="n">
        <f aca="false">-Endowment_Spending_Rate*(AUM_Rollforward!C53+AUM_Rollforward!D53+AUM_Rollforward!E53)/3</f>
        <v>-1022.0540208925</v>
      </c>
      <c r="G14" s="26" t="n">
        <f aca="false">-Endowment_Spending_Rate*(AUM_Rollforward!D53+AUM_Rollforward!E53+AUM_Rollforward!F53)/3</f>
        <v>-1089.6517024975</v>
      </c>
      <c r="H14" s="26" t="n">
        <f aca="false">-Endowment_Spending_Rate*(AUM_Rollforward!E53+AUM_Rollforward!F53+AUM_Rollforward!G53)/3</f>
        <v>-1162.16157862727</v>
      </c>
      <c r="I14" s="26" t="n">
        <f aca="false">-Endowment_Spending_Rate*(AUM_Rollforward!F53+AUM_Rollforward!G53+AUM_Rollforward!H53)/3</f>
        <v>-1239.96269460917</v>
      </c>
      <c r="J14" s="26" t="n">
        <f aca="false">-Endowment_Spending_Rate*(AUM_Rollforward!G53+AUM_Rollforward!H53+AUM_Rollforward!I53)/3</f>
        <v>-1323.46499518187</v>
      </c>
      <c r="K14" s="26" t="n">
        <f aca="false">-Endowment_Spending_Rate*(AUM_Rollforward!H53+AUM_Rollforward!I53+AUM_Rollforward!J53)/3</f>
        <v>-1413.11196844488</v>
      </c>
      <c r="L14" s="26" t="n">
        <f aca="false">-Endowment_Spending_Rate*(AUM_Rollforward!I53+AUM_Rollforward!J53+AUM_Rollforward!K53)/3</f>
        <v>-1509.38352508896</v>
      </c>
    </row>
    <row r="15" customFormat="false" ht="15" hidden="false" customHeight="false" outlineLevel="0" collapsed="false">
      <c r="A15" s="5"/>
      <c r="B15" s="42" t="s">
        <v>144</v>
      </c>
      <c r="C15" s="43" t="n">
        <f aca="false">C13+C14</f>
        <v>-838.25</v>
      </c>
      <c r="D15" s="43" t="n">
        <f aca="false">D13+D14</f>
        <v>-884.28160625</v>
      </c>
      <c r="E15" s="43" t="n">
        <f aca="false">E13+E14</f>
        <v>-920.063359068312</v>
      </c>
      <c r="F15" s="43" t="n">
        <f aca="false">F13+F14</f>
        <v>-993.916300642498</v>
      </c>
      <c r="G15" s="43" t="n">
        <f aca="false">G13+G14</f>
        <v>-1060.66985064</v>
      </c>
      <c r="H15" s="43" t="n">
        <f aca="false">H13+H14</f>
        <v>-1132.31027121405</v>
      </c>
      <c r="I15" s="43" t="n">
        <f aca="false">I13+I14</f>
        <v>-1209.21584797355</v>
      </c>
      <c r="J15" s="43" t="n">
        <f aca="false">J13+J14</f>
        <v>-1291.79574314718</v>
      </c>
      <c r="K15" s="43" t="n">
        <f aca="false">K13+K14</f>
        <v>-1380.49263884915</v>
      </c>
      <c r="L15" s="43" t="n">
        <f aca="false">L13+L14</f>
        <v>-1475.78561560536</v>
      </c>
    </row>
    <row r="16" customFormat="false" ht="15" hidden="false" customHeight="false" outlineLevel="0" collapsed="false">
      <c r="A16" s="5"/>
      <c r="B16" s="39" t="s">
        <v>145</v>
      </c>
      <c r="C16" s="40"/>
      <c r="D16" s="40"/>
      <c r="E16" s="40"/>
      <c r="F16" s="40"/>
      <c r="G16" s="40"/>
      <c r="H16" s="40"/>
      <c r="I16" s="40"/>
      <c r="J16" s="40"/>
      <c r="K16" s="40"/>
      <c r="L16" s="40"/>
    </row>
    <row r="17" customFormat="false" ht="15" hidden="false" customHeight="false" outlineLevel="0" collapsed="false">
      <c r="A17" s="5"/>
      <c r="B17" s="27" t="s">
        <v>146</v>
      </c>
      <c r="C17" s="43" t="n">
        <f aca="false">IF(Mode_Toggle=1,CP_Net_Pension_Flow,CP_Net_Endowment_Flow)</f>
        <v>39.2625</v>
      </c>
      <c r="D17" s="43" t="n">
        <f aca="false">IF(Mode_Toggle=1,D11,D15)</f>
        <v>42.6559528125</v>
      </c>
      <c r="E17" s="43" t="n">
        <f aca="false">IF(Mode_Toggle=1,E11,E15)</f>
        <v>46.1847934409765</v>
      </c>
      <c r="F17" s="43" t="n">
        <f aca="false">IF(Mode_Toggle=1,F11,F15)</f>
        <v>49.8535978441359</v>
      </c>
      <c r="G17" s="43" t="n">
        <f aca="false">IF(Mode_Toggle=1,G11,G15)</f>
        <v>53.6670872924517</v>
      </c>
      <c r="H17" s="43" t="n">
        <f aca="false">IF(Mode_Toggle=1,H11,H15)</f>
        <v>57.6301328575969</v>
      </c>
      <c r="I17" s="43" t="n">
        <f aca="false">IF(Mode_Toggle=1,I11,I15)</f>
        <v>61.7477600387991</v>
      </c>
      <c r="J17" s="43" t="n">
        <f aca="false">IF(Mode_Toggle=1,J11,J15)</f>
        <v>66.025153530268</v>
      </c>
      <c r="K17" s="43" t="n">
        <f aca="false">IF(Mode_Toggle=1,K11,K15)</f>
        <v>70.4676621339719</v>
      </c>
      <c r="L17" s="43" t="n">
        <f aca="false">IF(Mode_Toggle=1,L11,L15)</f>
        <v>75.0808038221664</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BF8F00"/>
    <pageSetUpPr fitToPage="false"/>
  </sheetPr>
  <dimension ref="A1:L1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6"/>
    <col collapsed="false" customWidth="true" hidden="false" outlineLevel="0" max="12" min="3" style="0" width="12"/>
  </cols>
  <sheetData>
    <row r="1" customFormat="false" ht="15" hidden="false" customHeight="false" outlineLevel="0" collapsed="false">
      <c r="A1" s="5"/>
      <c r="B1" s="5"/>
      <c r="C1" s="5"/>
      <c r="D1" s="5"/>
      <c r="E1" s="5"/>
      <c r="F1" s="5"/>
      <c r="G1" s="5"/>
      <c r="H1" s="5"/>
      <c r="I1" s="5"/>
      <c r="J1" s="5"/>
      <c r="K1" s="5"/>
      <c r="L1" s="5"/>
    </row>
    <row r="2" customFormat="false" ht="22.05" hidden="false" customHeight="false" outlineLevel="0" collapsed="false">
      <c r="A2" s="5"/>
      <c r="B2" s="29" t="s">
        <v>10</v>
      </c>
      <c r="C2" s="5"/>
      <c r="D2" s="5"/>
      <c r="E2" s="5"/>
      <c r="F2" s="5"/>
      <c r="G2" s="5"/>
      <c r="H2" s="5"/>
      <c r="I2" s="5"/>
      <c r="J2" s="5"/>
      <c r="K2" s="5"/>
      <c r="L2" s="5"/>
    </row>
    <row r="3" customFormat="false" ht="15" hidden="false" customHeight="false" outlineLevel="0" collapsed="false">
      <c r="A3" s="5"/>
      <c r="B3" s="37" t="s">
        <v>147</v>
      </c>
      <c r="C3" s="5"/>
      <c r="D3" s="5"/>
      <c r="E3" s="5"/>
      <c r="F3" s="5"/>
      <c r="G3" s="5"/>
      <c r="H3" s="5"/>
      <c r="I3" s="5"/>
      <c r="J3" s="5"/>
      <c r="K3" s="5"/>
      <c r="L3" s="5"/>
    </row>
    <row r="4" customFormat="false" ht="15" hidden="false" customHeight="false" outlineLevel="0" collapsed="false">
      <c r="A4" s="5"/>
      <c r="B4" s="5"/>
      <c r="C4" s="38" t="s">
        <v>82</v>
      </c>
      <c r="D4" s="38" t="s">
        <v>83</v>
      </c>
      <c r="E4" s="38" t="s">
        <v>84</v>
      </c>
      <c r="F4" s="38" t="s">
        <v>85</v>
      </c>
      <c r="G4" s="38" t="s">
        <v>86</v>
      </c>
      <c r="H4" s="38" t="s">
        <v>87</v>
      </c>
      <c r="I4" s="38" t="s">
        <v>88</v>
      </c>
      <c r="J4" s="38" t="s">
        <v>89</v>
      </c>
      <c r="K4" s="38" t="s">
        <v>90</v>
      </c>
      <c r="L4" s="38" t="s">
        <v>91</v>
      </c>
    </row>
    <row r="5" customFormat="false" ht="15" hidden="false" customHeight="false" outlineLevel="0" collapsed="false">
      <c r="A5" s="5"/>
      <c r="B5" s="39" t="s">
        <v>148</v>
      </c>
      <c r="C5" s="40"/>
      <c r="D5" s="40"/>
      <c r="E5" s="40"/>
      <c r="F5" s="40"/>
      <c r="G5" s="40"/>
      <c r="H5" s="40"/>
      <c r="I5" s="40"/>
      <c r="J5" s="40"/>
      <c r="K5" s="40"/>
      <c r="L5" s="40"/>
    </row>
    <row r="6" customFormat="false" ht="15" hidden="false" customHeight="false" outlineLevel="0" collapsed="false">
      <c r="A6" s="5"/>
      <c r="B6" s="16" t="s">
        <v>149</v>
      </c>
      <c r="C6" s="26" t="n">
        <f aca="false">IF(Mode_Toggle=1,PBO_Y0,0)</f>
        <v>5800</v>
      </c>
      <c r="D6" s="26" t="n">
        <f aca="false">IF(Mode_Toggle=1,C11,0)</f>
        <v>5957.7466875</v>
      </c>
      <c r="E6" s="26" t="n">
        <f aca="false">IF(Mode_Toggle=1,D11,0)</f>
        <v>6121.60724833594</v>
      </c>
      <c r="F6" s="26" t="n">
        <f aca="false">IF(Mode_Toggle=1,E11,0)</f>
        <v>6291.86711071081</v>
      </c>
      <c r="G6" s="26" t="n">
        <f aca="false">IF(Mode_Toggle=1,F11,0)</f>
        <v>6468.82586114141</v>
      </c>
      <c r="H6" s="26" t="n">
        <f aca="false">IF(Mode_Toggle=1,G11,0)</f>
        <v>6652.79795642801</v>
      </c>
      <c r="I6" s="26" t="n">
        <f aca="false">IF(Mode_Toggle=1,H11,0)</f>
        <v>6844.11347145658</v>
      </c>
      <c r="J6" s="26" t="n">
        <f aca="false">IF(Mode_Toggle=1,I11,0)</f>
        <v>7043.1188846338</v>
      </c>
      <c r="K6" s="26" t="n">
        <f aca="false">IF(Mode_Toggle=1,J11,0)</f>
        <v>7250.17790284576</v>
      </c>
      <c r="L6" s="26" t="n">
        <f aca="false">IF(Mode_Toggle=1,K11,0)</f>
        <v>7465.67232792559</v>
      </c>
    </row>
    <row r="7" customFormat="false" ht="15" hidden="false" customHeight="false" outlineLevel="0" collapsed="false">
      <c r="A7" s="5"/>
      <c r="B7" s="16" t="s">
        <v>150</v>
      </c>
      <c r="C7" s="26" t="n">
        <f aca="false">IF(Mode_Toggle=1,CP_Active_Members*CP_Avg_Salary*Benefit_Accrual_Rate/Scale_To_M,0)</f>
        <v>13.9066875</v>
      </c>
      <c r="D7" s="26" t="n">
        <f aca="false">IF(Mode_Toggle=1,Contributions_Payouts!D6*Contributions_Payouts!D8*Benefit_Accrual_Rate/Scale_To_M,0)</f>
        <v>14.3256264609375</v>
      </c>
      <c r="E7" s="26" t="n">
        <f aca="false">IF(Mode_Toggle=1,Contributions_Payouts!E6*Contributions_Payouts!E8*Benefit_Accrual_Rate/Scale_To_M,0)</f>
        <v>14.7571859580732</v>
      </c>
      <c r="F7" s="26" t="n">
        <f aca="false">IF(Mode_Toggle=1,Contributions_Payouts!F6*Contributions_Payouts!F8*Benefit_Accrual_Rate/Scale_To_M,0)</f>
        <v>15.2017461850602</v>
      </c>
      <c r="G7" s="26" t="n">
        <f aca="false">IF(Mode_Toggle=1,Contributions_Payouts!G6*Contributions_Payouts!G8*Benefit_Accrual_Rate/Scale_To_M,0)</f>
        <v>15.6596987888851</v>
      </c>
      <c r="H7" s="26" t="n">
        <f aca="false">IF(Mode_Toggle=1,Contributions_Payouts!H6*Contributions_Payouts!H8*Benefit_Accrual_Rate/Scale_To_M,0)</f>
        <v>16.1314472149003</v>
      </c>
      <c r="I7" s="26" t="n">
        <f aca="false">IF(Mode_Toggle=1,Contributions_Payouts!I6*Contributions_Payouts!I8*Benefit_Accrual_Rate/Scale_To_M,0)</f>
        <v>16.6174070622491</v>
      </c>
      <c r="J7" s="26" t="n">
        <f aca="false">IF(Mode_Toggle=1,Contributions_Payouts!J6*Contributions_Payouts!J8*Benefit_Accrual_Rate/Scale_To_M,0)</f>
        <v>17.1180064499994</v>
      </c>
      <c r="K7" s="26" t="n">
        <f aca="false">IF(Mode_Toggle=1,Contributions_Payouts!K6*Contributions_Payouts!K8*Benefit_Accrual_Rate/Scale_To_M,0)</f>
        <v>17.6336863943056</v>
      </c>
      <c r="L7" s="26" t="n">
        <f aca="false">IF(Mode_Toggle=1,Contributions_Payouts!L6*Contributions_Payouts!L8*Benefit_Accrual_Rate/Scale_To_M,0)</f>
        <v>18.1649011969341</v>
      </c>
    </row>
    <row r="8" customFormat="false" ht="15" hidden="false" customHeight="false" outlineLevel="0" collapsed="false">
      <c r="A8" s="5"/>
      <c r="B8" s="16" t="s">
        <v>151</v>
      </c>
      <c r="C8" s="26" t="n">
        <f aca="false">IF(Mode_Toggle=1,C6*Discount_Rate,0)</f>
        <v>290</v>
      </c>
      <c r="D8" s="26" t="n">
        <f aca="false">IF(Mode_Toggle=1,D6*Discount_Rate,0)</f>
        <v>297.887334375</v>
      </c>
      <c r="E8" s="26" t="n">
        <f aca="false">IF(Mode_Toggle=1,E6*Discount_Rate,0)</f>
        <v>306.080362416797</v>
      </c>
      <c r="F8" s="26" t="n">
        <f aca="false">IF(Mode_Toggle=1,F6*Discount_Rate,0)</f>
        <v>314.59335553554</v>
      </c>
      <c r="G8" s="26" t="n">
        <f aca="false">IF(Mode_Toggle=1,G6*Discount_Rate,0)</f>
        <v>323.44129305707</v>
      </c>
      <c r="H8" s="26" t="n">
        <f aca="false">IF(Mode_Toggle=1,H6*Discount_Rate,0)</f>
        <v>332.639897821401</v>
      </c>
      <c r="I8" s="26" t="n">
        <f aca="false">IF(Mode_Toggle=1,I6*Discount_Rate,0)</f>
        <v>342.205673572829</v>
      </c>
      <c r="J8" s="26" t="n">
        <f aca="false">IF(Mode_Toggle=1,J6*Discount_Rate,0)</f>
        <v>352.15594423169</v>
      </c>
      <c r="K8" s="26" t="n">
        <f aca="false">IF(Mode_Toggle=1,K6*Discount_Rate,0)</f>
        <v>362.508895142288</v>
      </c>
      <c r="L8" s="26" t="n">
        <f aca="false">IF(Mode_Toggle=1,L6*Discount_Rate,0)</f>
        <v>373.283616396279</v>
      </c>
    </row>
    <row r="9" customFormat="false" ht="15" hidden="false" customHeight="false" outlineLevel="0" collapsed="false">
      <c r="A9" s="5"/>
      <c r="B9" s="16" t="s">
        <v>140</v>
      </c>
      <c r="C9" s="26" t="n">
        <f aca="false">IF(Mode_Toggle=1,Contributions_Payouts!C10,0)</f>
        <v>-146.16</v>
      </c>
      <c r="D9" s="26" t="n">
        <f aca="false">IF(Mode_Toggle=1,Contributions_Payouts!D10,0)</f>
        <v>-148.3524</v>
      </c>
      <c r="E9" s="26" t="n">
        <f aca="false">IF(Mode_Toggle=1,Contributions_Payouts!E10,0)</f>
        <v>-150.577686</v>
      </c>
      <c r="F9" s="26" t="n">
        <f aca="false">IF(Mode_Toggle=1,Contributions_Payouts!F10,0)</f>
        <v>-152.83635129</v>
      </c>
      <c r="G9" s="26" t="n">
        <f aca="false">IF(Mode_Toggle=1,Contributions_Payouts!G10,0)</f>
        <v>-155.12889655935</v>
      </c>
      <c r="H9" s="26" t="n">
        <f aca="false">IF(Mode_Toggle=1,Contributions_Payouts!H10,0)</f>
        <v>-157.45583000774</v>
      </c>
      <c r="I9" s="26" t="n">
        <f aca="false">IF(Mode_Toggle=1,Contributions_Payouts!I10,0)</f>
        <v>-159.817667457856</v>
      </c>
      <c r="J9" s="26" t="n">
        <f aca="false">IF(Mode_Toggle=1,Contributions_Payouts!J10,0)</f>
        <v>-162.214932469724</v>
      </c>
      <c r="K9" s="26" t="n">
        <f aca="false">IF(Mode_Toggle=1,Contributions_Payouts!K10,0)</f>
        <v>-164.64815645677</v>
      </c>
      <c r="L9" s="26" t="n">
        <f aca="false">IF(Mode_Toggle=1,Contributions_Payouts!L10,0)</f>
        <v>-167.117878803621</v>
      </c>
    </row>
    <row r="10" customFormat="false" ht="15" hidden="false" customHeight="false" outlineLevel="0" collapsed="false">
      <c r="A10" s="5"/>
      <c r="B10" s="16" t="s">
        <v>152</v>
      </c>
      <c r="C10" s="26" t="n">
        <f aca="false">IF(Mode_Toggle=1,Actuarial_Adj_Rate*C6,0)</f>
        <v>0</v>
      </c>
      <c r="D10" s="26" t="n">
        <f aca="false">IF(Mode_Toggle=1,Actuarial_Adj_Rate*D6,0)</f>
        <v>0</v>
      </c>
      <c r="E10" s="26" t="n">
        <f aca="false">IF(Mode_Toggle=1,Actuarial_Adj_Rate*E6,0)</f>
        <v>0</v>
      </c>
      <c r="F10" s="26" t="n">
        <f aca="false">IF(Mode_Toggle=1,Actuarial_Adj_Rate*F6,0)</f>
        <v>0</v>
      </c>
      <c r="G10" s="26" t="n">
        <f aca="false">IF(Mode_Toggle=1,Actuarial_Adj_Rate*G6,0)</f>
        <v>0</v>
      </c>
      <c r="H10" s="26" t="n">
        <f aca="false">IF(Mode_Toggle=1,Actuarial_Adj_Rate*H6,0)</f>
        <v>0</v>
      </c>
      <c r="I10" s="26" t="n">
        <f aca="false">IF(Mode_Toggle=1,Actuarial_Adj_Rate*I6,0)</f>
        <v>0</v>
      </c>
      <c r="J10" s="26" t="n">
        <f aca="false">IF(Mode_Toggle=1,Actuarial_Adj_Rate*J6,0)</f>
        <v>0</v>
      </c>
      <c r="K10" s="26" t="n">
        <f aca="false">IF(Mode_Toggle=1,Actuarial_Adj_Rate*K6,0)</f>
        <v>0</v>
      </c>
      <c r="L10" s="26" t="n">
        <f aca="false">IF(Mode_Toggle=1,Actuarial_Adj_Rate*L6,0)</f>
        <v>0</v>
      </c>
    </row>
    <row r="11" customFormat="false" ht="15" hidden="false" customHeight="false" outlineLevel="0" collapsed="false">
      <c r="A11" s="5"/>
      <c r="B11" s="27" t="s">
        <v>153</v>
      </c>
      <c r="C11" s="43" t="n">
        <f aca="false">LR_PBO_Opening+LR_Service_Cost+LR_Interest_Cost+LR_Benefits_Paid+LR_Actuarial_Adj</f>
        <v>5957.7466875</v>
      </c>
      <c r="D11" s="43" t="n">
        <f aca="false">D6+D7+D8+D9+D10</f>
        <v>6121.60724833594</v>
      </c>
      <c r="E11" s="43" t="n">
        <f aca="false">E6+E7+E8+E9+E10</f>
        <v>6291.86711071081</v>
      </c>
      <c r="F11" s="43" t="n">
        <f aca="false">F6+F7+F8+F9+F10</f>
        <v>6468.82586114141</v>
      </c>
      <c r="G11" s="43" t="n">
        <f aca="false">G6+G7+G8+G9+G10</f>
        <v>6652.79795642801</v>
      </c>
      <c r="H11" s="43" t="n">
        <f aca="false">H6+H7+H8+H9+H10</f>
        <v>6844.11347145658</v>
      </c>
      <c r="I11" s="43" t="n">
        <f aca="false">I6+I7+I8+I9+I10</f>
        <v>7043.1188846338</v>
      </c>
      <c r="J11" s="43" t="n">
        <f aca="false">J6+J7+J8+J9+J10</f>
        <v>7250.17790284576</v>
      </c>
      <c r="K11" s="43" t="n">
        <f aca="false">K6+K7+K8+K9+K10</f>
        <v>7465.67232792559</v>
      </c>
      <c r="L11" s="43" t="n">
        <f aca="false">L6+L7+L8+L9+L10</f>
        <v>7690.00296671518</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375623"/>
    <pageSetUpPr fitToPage="false"/>
  </sheetPr>
  <dimension ref="A1:L5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12" min="3" style="0" width="12"/>
  </cols>
  <sheetData>
    <row r="1" customFormat="false" ht="15" hidden="false" customHeight="false" outlineLevel="0" collapsed="false">
      <c r="A1" s="5"/>
      <c r="B1" s="5"/>
      <c r="C1" s="5"/>
      <c r="D1" s="5"/>
      <c r="E1" s="5"/>
      <c r="F1" s="5"/>
      <c r="G1" s="5"/>
      <c r="H1" s="5"/>
      <c r="I1" s="5"/>
      <c r="J1" s="5"/>
      <c r="K1" s="5"/>
      <c r="L1" s="5"/>
    </row>
    <row r="2" customFormat="false" ht="22.05" hidden="false" customHeight="false" outlineLevel="0" collapsed="false">
      <c r="A2" s="5"/>
      <c r="B2" s="29" t="s">
        <v>11</v>
      </c>
      <c r="C2" s="5"/>
      <c r="D2" s="5"/>
      <c r="E2" s="5"/>
      <c r="F2" s="5"/>
      <c r="G2" s="5"/>
      <c r="H2" s="5"/>
      <c r="I2" s="5"/>
      <c r="J2" s="5"/>
      <c r="K2" s="5"/>
      <c r="L2" s="5"/>
    </row>
    <row r="3" customFormat="false" ht="15" hidden="false" customHeight="false" outlineLevel="0" collapsed="false">
      <c r="A3" s="5"/>
      <c r="B3" s="37" t="s">
        <v>154</v>
      </c>
      <c r="C3" s="5"/>
      <c r="D3" s="5"/>
      <c r="E3" s="5"/>
      <c r="F3" s="5"/>
      <c r="G3" s="5"/>
      <c r="H3" s="5"/>
      <c r="I3" s="5"/>
      <c r="J3" s="5"/>
      <c r="K3" s="5"/>
      <c r="L3" s="5"/>
    </row>
    <row r="4" customFormat="false" ht="15" hidden="false" customHeight="false" outlineLevel="0" collapsed="false">
      <c r="A4" s="5"/>
      <c r="B4" s="5"/>
      <c r="C4" s="38" t="s">
        <v>82</v>
      </c>
      <c r="D4" s="38" t="s">
        <v>83</v>
      </c>
      <c r="E4" s="38" t="s">
        <v>84</v>
      </c>
      <c r="F4" s="38" t="s">
        <v>85</v>
      </c>
      <c r="G4" s="38" t="s">
        <v>86</v>
      </c>
      <c r="H4" s="38" t="s">
        <v>87</v>
      </c>
      <c r="I4" s="38" t="s">
        <v>88</v>
      </c>
      <c r="J4" s="38" t="s">
        <v>89</v>
      </c>
      <c r="K4" s="38" t="s">
        <v>90</v>
      </c>
      <c r="L4" s="38" t="s">
        <v>91</v>
      </c>
    </row>
    <row r="5" customFormat="false" ht="15" hidden="false" customHeight="false" outlineLevel="0" collapsed="false">
      <c r="A5" s="5"/>
      <c r="B5" s="44" t="s">
        <v>155</v>
      </c>
      <c r="C5" s="45"/>
      <c r="D5" s="45"/>
      <c r="E5" s="45"/>
      <c r="F5" s="45"/>
      <c r="G5" s="45"/>
      <c r="H5" s="45"/>
      <c r="I5" s="45"/>
      <c r="J5" s="45"/>
      <c r="K5" s="45"/>
      <c r="L5" s="45"/>
    </row>
    <row r="6" customFormat="false" ht="15" hidden="false" customHeight="false" outlineLevel="0" collapsed="false">
      <c r="A6" s="5"/>
      <c r="B6" s="16" t="s">
        <v>156</v>
      </c>
      <c r="C6" s="26" t="n">
        <f aca="false">AUM_Y0*Wt_Eq</f>
        <v>7600</v>
      </c>
      <c r="D6" s="26" t="n">
        <f aca="false">C11</f>
        <v>8129.43975</v>
      </c>
      <c r="E6" s="26" t="n">
        <f aca="false">D11</f>
        <v>8696.01208314375</v>
      </c>
      <c r="F6" s="26" t="n">
        <f aca="false">E11</f>
        <v>9302.28232268015</v>
      </c>
      <c r="G6" s="26" t="n">
        <f aca="false">F11</f>
        <v>9950.99120310637</v>
      </c>
      <c r="H6" s="26" t="n">
        <f aca="false">G11</f>
        <v>10645.0668007278</v>
      </c>
      <c r="I6" s="26" t="n">
        <f aca="false">H11</f>
        <v>11387.637273623</v>
      </c>
      <c r="J6" s="26" t="n">
        <f aca="false">I11</f>
        <v>12182.044465862</v>
      </c>
      <c r="K6" s="26" t="n">
        <f aca="false">J11</f>
        <v>13031.8584345423</v>
      </c>
      <c r="L6" s="26" t="n">
        <f aca="false">K11</f>
        <v>13940.8929621718</v>
      </c>
    </row>
    <row r="7" customFormat="false" ht="15" hidden="false" customHeight="false" outlineLevel="0" collapsed="false">
      <c r="A7" s="5"/>
      <c r="B7" s="16" t="s">
        <v>157</v>
      </c>
      <c r="C7" s="26" t="n">
        <f aca="false">C6*Eq_Return</f>
        <v>532</v>
      </c>
      <c r="D7" s="26" t="n">
        <f aca="false">D6*Eq_Return</f>
        <v>569.0607825</v>
      </c>
      <c r="E7" s="26" t="n">
        <f aca="false">E6*Eq_Return</f>
        <v>608.720845820063</v>
      </c>
      <c r="F7" s="26" t="n">
        <f aca="false">F6*Eq_Return</f>
        <v>651.159762587611</v>
      </c>
      <c r="G7" s="26" t="n">
        <f aca="false">G6*Eq_Return</f>
        <v>696.569384217446</v>
      </c>
      <c r="H7" s="26" t="n">
        <f aca="false">H6*Eq_Return</f>
        <v>745.154676050946</v>
      </c>
      <c r="I7" s="26" t="n">
        <f aca="false">I6*Eq_Return</f>
        <v>797.134609153608</v>
      </c>
      <c r="J7" s="26" t="n">
        <f aca="false">J6*Eq_Return</f>
        <v>852.743112610339</v>
      </c>
      <c r="K7" s="26" t="n">
        <f aca="false">K6*Eq_Return</f>
        <v>912.230090417964</v>
      </c>
      <c r="L7" s="26" t="n">
        <f aca="false">L6*Eq_Return</f>
        <v>975.862507352024</v>
      </c>
    </row>
    <row r="8" customFormat="false" ht="15" hidden="false" customHeight="false" outlineLevel="0" collapsed="false">
      <c r="A8" s="5"/>
      <c r="B8" s="16" t="s">
        <v>158</v>
      </c>
      <c r="C8" s="26" t="n">
        <f aca="false">CP_Net_Flow*Wt_Eq</f>
        <v>14.91975</v>
      </c>
      <c r="D8" s="26" t="n">
        <f aca="false">Contributions_Payouts!D17*Wt_Eq</f>
        <v>16.20926206875</v>
      </c>
      <c r="E8" s="26" t="n">
        <f aca="false">Contributions_Payouts!E17*Wt_Eq</f>
        <v>17.5502215075711</v>
      </c>
      <c r="F8" s="26" t="n">
        <f aca="false">Contributions_Payouts!F17*Wt_Eq</f>
        <v>18.9443671807716</v>
      </c>
      <c r="G8" s="26" t="n">
        <f aca="false">Contributions_Payouts!G17*Wt_Eq</f>
        <v>20.3934931711316</v>
      </c>
      <c r="H8" s="26" t="n">
        <f aca="false">Contributions_Payouts!H17*Wt_Eq</f>
        <v>21.8994504858868</v>
      </c>
      <c r="I8" s="26" t="n">
        <f aca="false">Contributions_Payouts!I17*Wt_Eq</f>
        <v>23.4641488147437</v>
      </c>
      <c r="J8" s="26" t="n">
        <f aca="false">Contributions_Payouts!J17*Wt_Eq</f>
        <v>25.0895583415018</v>
      </c>
      <c r="K8" s="26" t="n">
        <f aca="false">Contributions_Payouts!K17*Wt_Eq</f>
        <v>26.7777116109093</v>
      </c>
      <c r="L8" s="26" t="n">
        <f aca="false">Contributions_Payouts!L17*Wt_Eq</f>
        <v>28.5307054524233</v>
      </c>
    </row>
    <row r="9" customFormat="false" ht="15" hidden="false" customHeight="false" outlineLevel="0" collapsed="false">
      <c r="A9" s="5"/>
      <c r="B9" s="16" t="s">
        <v>159</v>
      </c>
      <c r="C9" s="26" t="n">
        <f aca="false">Fee_Eq</f>
        <v>-6.08</v>
      </c>
      <c r="D9" s="26" t="n">
        <f aca="false">Fee_Schedule!D13</f>
        <v>-6.5035518</v>
      </c>
      <c r="E9" s="26" t="n">
        <f aca="false">Fee_Schedule!E13</f>
        <v>-6.956809666515</v>
      </c>
      <c r="F9" s="26" t="n">
        <f aca="false">Fee_Schedule!F13</f>
        <v>-7.44182585814412</v>
      </c>
      <c r="G9" s="26" t="n">
        <f aca="false">Fee_Schedule!G13</f>
        <v>-7.9607929624851</v>
      </c>
      <c r="H9" s="26" t="n">
        <f aca="false">Fee_Schedule!H13</f>
        <v>-8.51605344058224</v>
      </c>
      <c r="I9" s="26" t="n">
        <f aca="false">Fee_Schedule!I13</f>
        <v>-9.11010981889837</v>
      </c>
      <c r="J9" s="26" t="n">
        <f aca="false">Fee_Schedule!J13</f>
        <v>-9.74563557268959</v>
      </c>
      <c r="K9" s="26" t="n">
        <f aca="false">Fee_Schedule!K13</f>
        <v>-10.4254867476339</v>
      </c>
      <c r="L9" s="26" t="n">
        <f aca="false">Fee_Schedule!L13</f>
        <v>-11.1527143697374</v>
      </c>
    </row>
    <row r="10" customFormat="false" ht="15" hidden="false" customHeight="false" outlineLevel="0" collapsed="false">
      <c r="A10" s="5"/>
      <c r="B10" s="16" t="s">
        <v>160</v>
      </c>
      <c r="C10" s="26" t="n">
        <f aca="false">-C6*Internal_Opex_Rate</f>
        <v>-11.4</v>
      </c>
      <c r="D10" s="26" t="n">
        <f aca="false">-D6*Internal_Opex_Rate</f>
        <v>-12.194159625</v>
      </c>
      <c r="E10" s="26" t="n">
        <f aca="false">-E6*Internal_Opex_Rate</f>
        <v>-13.0440181247156</v>
      </c>
      <c r="F10" s="26" t="n">
        <f aca="false">-F6*Internal_Opex_Rate</f>
        <v>-13.9534234840202</v>
      </c>
      <c r="G10" s="26" t="n">
        <f aca="false">-G6*Internal_Opex_Rate</f>
        <v>-14.9264868046596</v>
      </c>
      <c r="H10" s="26" t="n">
        <f aca="false">-H6*Internal_Opex_Rate</f>
        <v>-15.9676002010917</v>
      </c>
      <c r="I10" s="26" t="n">
        <f aca="false">-I6*Internal_Opex_Rate</f>
        <v>-17.0814559104344</v>
      </c>
      <c r="J10" s="26" t="n">
        <f aca="false">-J6*Internal_Opex_Rate</f>
        <v>-18.273066698793</v>
      </c>
      <c r="K10" s="26" t="n">
        <f aca="false">-K6*Internal_Opex_Rate</f>
        <v>-19.5477876518135</v>
      </c>
      <c r="L10" s="26" t="n">
        <f aca="false">-L6*Internal_Opex_Rate</f>
        <v>-20.9113394432576</v>
      </c>
    </row>
    <row r="11" customFormat="false" ht="15" hidden="false" customHeight="false" outlineLevel="0" collapsed="false">
      <c r="A11" s="5"/>
      <c r="B11" s="27" t="s">
        <v>161</v>
      </c>
      <c r="C11" s="43" t="n">
        <f aca="false">C6+C7+C8+C9+C10</f>
        <v>8129.43975</v>
      </c>
      <c r="D11" s="43" t="n">
        <f aca="false">D6+D7+D8+D9+D10</f>
        <v>8696.01208314375</v>
      </c>
      <c r="E11" s="43" t="n">
        <f aca="false">E6+E7+E8+E9+E10</f>
        <v>9302.28232268015</v>
      </c>
      <c r="F11" s="43" t="n">
        <f aca="false">F6+F7+F8+F9+F10</f>
        <v>9950.99120310637</v>
      </c>
      <c r="G11" s="43" t="n">
        <f aca="false">G6+G7+G8+G9+G10</f>
        <v>10645.0668007278</v>
      </c>
      <c r="H11" s="43" t="n">
        <f aca="false">H6+H7+H8+H9+H10</f>
        <v>11387.637273623</v>
      </c>
      <c r="I11" s="43" t="n">
        <f aca="false">I6+I7+I8+I9+I10</f>
        <v>12182.044465862</v>
      </c>
      <c r="J11" s="43" t="n">
        <f aca="false">J6+J7+J8+J9+J10</f>
        <v>13031.8584345423</v>
      </c>
      <c r="K11" s="43" t="n">
        <f aca="false">K6+K7+K8+K9+K10</f>
        <v>13940.8929621718</v>
      </c>
      <c r="L11" s="43" t="n">
        <f aca="false">L6+L7+L8+L9+L10</f>
        <v>14913.2221211632</v>
      </c>
    </row>
    <row r="12" customFormat="false" ht="15" hidden="false" customHeight="false" outlineLevel="0" collapsed="false">
      <c r="A12" s="5"/>
      <c r="B12" s="44" t="s">
        <v>162</v>
      </c>
      <c r="C12" s="45"/>
      <c r="D12" s="45"/>
      <c r="E12" s="45"/>
      <c r="F12" s="45"/>
      <c r="G12" s="45"/>
      <c r="H12" s="45"/>
      <c r="I12" s="45"/>
      <c r="J12" s="45"/>
      <c r="K12" s="45"/>
      <c r="L12" s="45"/>
    </row>
    <row r="13" customFormat="false" ht="15" hidden="false" customHeight="false" outlineLevel="0" collapsed="false">
      <c r="A13" s="5"/>
      <c r="B13" s="16" t="s">
        <v>163</v>
      </c>
      <c r="C13" s="26" t="n">
        <f aca="false">AUM_Y0*Wt_FI</f>
        <v>4400</v>
      </c>
      <c r="D13" s="26" t="n">
        <f aca="false">C18</f>
        <v>4580.23775</v>
      </c>
      <c r="E13" s="26" t="n">
        <f aca="false">D18</f>
        <v>4768.25133186875</v>
      </c>
      <c r="F13" s="26" t="n">
        <f aca="false">E18</f>
        <v>4964.37378836865</v>
      </c>
      <c r="G13" s="26" t="n">
        <f aca="false">F18</f>
        <v>5168.95215764073</v>
      </c>
      <c r="H13" s="26" t="n">
        <f aca="false">G18</f>
        <v>5382.34805099306</v>
      </c>
      <c r="I13" s="26" t="n">
        <f aca="false">H18</f>
        <v>5604.93825421046</v>
      </c>
      <c r="J13" s="26" t="n">
        <f aca="false">I18</f>
        <v>5837.1153533332</v>
      </c>
      <c r="K13" s="26" t="n">
        <f aca="false">J18</f>
        <v>6079.28838588986</v>
      </c>
      <c r="L13" s="26" t="n">
        <f aca="false">K18</f>
        <v>6331.88351860904</v>
      </c>
    </row>
    <row r="14" customFormat="false" ht="15" hidden="false" customHeight="false" outlineLevel="0" collapsed="false">
      <c r="A14" s="5"/>
      <c r="B14" s="16" t="s">
        <v>164</v>
      </c>
      <c r="C14" s="26" t="n">
        <f aca="false">C13*FI_Return</f>
        <v>184.8</v>
      </c>
      <c r="D14" s="26" t="n">
        <f aca="false">D13*FI_Return</f>
        <v>192.3699855</v>
      </c>
      <c r="E14" s="26" t="n">
        <f aca="false">E13*FI_Return</f>
        <v>200.266555938488</v>
      </c>
      <c r="F14" s="26" t="n">
        <f aca="false">F13*FI_Return</f>
        <v>208.503699111483</v>
      </c>
      <c r="G14" s="26" t="n">
        <f aca="false">G13*FI_Return</f>
        <v>217.095990620911</v>
      </c>
      <c r="H14" s="26" t="n">
        <f aca="false">H13*FI_Return</f>
        <v>226.058618141709</v>
      </c>
      <c r="I14" s="26" t="n">
        <f aca="false">I13*FI_Return</f>
        <v>235.407406676839</v>
      </c>
      <c r="J14" s="26" t="n">
        <f aca="false">J13*FI_Return</f>
        <v>245.158844839995</v>
      </c>
      <c r="K14" s="26" t="n">
        <f aca="false">K13*FI_Return</f>
        <v>255.330112207374</v>
      </c>
      <c r="L14" s="26" t="n">
        <f aca="false">L13*FI_Return</f>
        <v>265.93910778158</v>
      </c>
    </row>
    <row r="15" customFormat="false" ht="15" hidden="false" customHeight="false" outlineLevel="0" collapsed="false">
      <c r="A15" s="5"/>
      <c r="B15" s="16" t="s">
        <v>165</v>
      </c>
      <c r="C15" s="26" t="n">
        <f aca="false">CP_Net_Flow*Wt_FI</f>
        <v>8.63774999999999</v>
      </c>
      <c r="D15" s="26" t="n">
        <f aca="false">Contributions_Payouts!D17*Wt_FI</f>
        <v>9.38430961874999</v>
      </c>
      <c r="E15" s="26" t="n">
        <f aca="false">Contributions_Payouts!E17*Wt_FI</f>
        <v>10.1606545570148</v>
      </c>
      <c r="F15" s="26" t="n">
        <f aca="false">Contributions_Payouts!F17*Wt_FI</f>
        <v>10.9677915257099</v>
      </c>
      <c r="G15" s="26" t="n">
        <f aca="false">Contributions_Payouts!G17*Wt_FI</f>
        <v>11.8067592043394</v>
      </c>
      <c r="H15" s="26" t="n">
        <f aca="false">Contributions_Payouts!H17*Wt_FI</f>
        <v>12.6786292286713</v>
      </c>
      <c r="I15" s="26" t="n">
        <f aca="false">Contributions_Payouts!I17*Wt_FI</f>
        <v>13.5845072085358</v>
      </c>
      <c r="J15" s="26" t="n">
        <f aca="false">Contributions_Payouts!J17*Wt_FI</f>
        <v>14.525533776659</v>
      </c>
      <c r="K15" s="26" t="n">
        <f aca="false">Contributions_Payouts!K17*Wt_FI</f>
        <v>15.5028856694738</v>
      </c>
      <c r="L15" s="26" t="n">
        <f aca="false">Contributions_Payouts!L17*Wt_FI</f>
        <v>16.5177768408766</v>
      </c>
    </row>
    <row r="16" customFormat="false" ht="15" hidden="false" customHeight="false" outlineLevel="0" collapsed="false">
      <c r="A16" s="5"/>
      <c r="B16" s="16" t="s">
        <v>166</v>
      </c>
      <c r="C16" s="26" t="n">
        <f aca="false">Fee_FI</f>
        <v>-6.6</v>
      </c>
      <c r="D16" s="26" t="n">
        <f aca="false">Fee_Schedule!D14</f>
        <v>-6.870356625</v>
      </c>
      <c r="E16" s="26" t="n">
        <f aca="false">Fee_Schedule!E14</f>
        <v>-7.15237699780313</v>
      </c>
      <c r="F16" s="26" t="n">
        <f aca="false">Fee_Schedule!F14</f>
        <v>-7.44656068255297</v>
      </c>
      <c r="G16" s="26" t="n">
        <f aca="false">Fee_Schedule!G14</f>
        <v>-7.7534282364611</v>
      </c>
      <c r="H16" s="26" t="n">
        <f aca="false">Fee_Schedule!H14</f>
        <v>-8.07352207648959</v>
      </c>
      <c r="I16" s="26" t="n">
        <f aca="false">Fee_Schedule!I14</f>
        <v>-8.40740738131569</v>
      </c>
      <c r="J16" s="26" t="n">
        <f aca="false">Fee_Schedule!J14</f>
        <v>-8.75567302999981</v>
      </c>
      <c r="K16" s="26" t="n">
        <f aca="false">Fee_Schedule!K14</f>
        <v>-9.11893257883479</v>
      </c>
      <c r="L16" s="26" t="n">
        <f aca="false">Fee_Schedule!L14</f>
        <v>-9.49782527791355</v>
      </c>
    </row>
    <row r="17" customFormat="false" ht="15" hidden="false" customHeight="false" outlineLevel="0" collapsed="false">
      <c r="A17" s="5"/>
      <c r="B17" s="16" t="s">
        <v>167</v>
      </c>
      <c r="C17" s="26" t="n">
        <f aca="false">-C13*Internal_Opex_Rate</f>
        <v>-6.6</v>
      </c>
      <c r="D17" s="26" t="n">
        <f aca="false">-D13*Internal_Opex_Rate</f>
        <v>-6.870356625</v>
      </c>
      <c r="E17" s="26" t="n">
        <f aca="false">-E13*Internal_Opex_Rate</f>
        <v>-7.15237699780313</v>
      </c>
      <c r="F17" s="26" t="n">
        <f aca="false">-F13*Internal_Opex_Rate</f>
        <v>-7.44656068255297</v>
      </c>
      <c r="G17" s="26" t="n">
        <f aca="false">-G13*Internal_Opex_Rate</f>
        <v>-7.7534282364611</v>
      </c>
      <c r="H17" s="26" t="n">
        <f aca="false">-H13*Internal_Opex_Rate</f>
        <v>-8.07352207648959</v>
      </c>
      <c r="I17" s="26" t="n">
        <f aca="false">-I13*Internal_Opex_Rate</f>
        <v>-8.40740738131569</v>
      </c>
      <c r="J17" s="26" t="n">
        <f aca="false">-J13*Internal_Opex_Rate</f>
        <v>-8.75567302999981</v>
      </c>
      <c r="K17" s="26" t="n">
        <f aca="false">-K13*Internal_Opex_Rate</f>
        <v>-9.11893257883479</v>
      </c>
      <c r="L17" s="26" t="n">
        <f aca="false">-L13*Internal_Opex_Rate</f>
        <v>-9.49782527791355</v>
      </c>
    </row>
    <row r="18" customFormat="false" ht="15" hidden="false" customHeight="false" outlineLevel="0" collapsed="false">
      <c r="A18" s="5"/>
      <c r="B18" s="27" t="s">
        <v>168</v>
      </c>
      <c r="C18" s="43" t="n">
        <f aca="false">C13+C14+C15+C16+C17</f>
        <v>4580.23775</v>
      </c>
      <c r="D18" s="43" t="n">
        <f aca="false">D13+D14+D15+D16+D17</f>
        <v>4768.25133186875</v>
      </c>
      <c r="E18" s="43" t="n">
        <f aca="false">E13+E14+E15+E16+E17</f>
        <v>4964.37378836865</v>
      </c>
      <c r="F18" s="43" t="n">
        <f aca="false">F13+F14+F15+F16+F17</f>
        <v>5168.95215764073</v>
      </c>
      <c r="G18" s="43" t="n">
        <f aca="false">G13+G14+G15+G16+G17</f>
        <v>5382.34805099306</v>
      </c>
      <c r="H18" s="43" t="n">
        <f aca="false">H13+H14+H15+H16+H17</f>
        <v>5604.93825421046</v>
      </c>
      <c r="I18" s="43" t="n">
        <f aca="false">I13+I14+I15+I16+I17</f>
        <v>5837.1153533332</v>
      </c>
      <c r="J18" s="43" t="n">
        <f aca="false">J13+J14+J15+J16+J17</f>
        <v>6079.28838588986</v>
      </c>
      <c r="K18" s="43" t="n">
        <f aca="false">K13+K14+K15+K16+K17</f>
        <v>6331.88351860904</v>
      </c>
      <c r="L18" s="43" t="n">
        <f aca="false">L13+L14+L15+L16+L17</f>
        <v>6595.34475267567</v>
      </c>
    </row>
    <row r="19" customFormat="false" ht="15" hidden="false" customHeight="false" outlineLevel="0" collapsed="false">
      <c r="A19" s="5"/>
      <c r="B19" s="44" t="s">
        <v>169</v>
      </c>
      <c r="C19" s="45"/>
      <c r="D19" s="45"/>
      <c r="E19" s="45"/>
      <c r="F19" s="45"/>
      <c r="G19" s="45"/>
      <c r="H19" s="45"/>
      <c r="I19" s="45"/>
      <c r="J19" s="45"/>
      <c r="K19" s="45"/>
      <c r="L19" s="45"/>
    </row>
    <row r="20" customFormat="false" ht="15" hidden="false" customHeight="false" outlineLevel="0" collapsed="false">
      <c r="A20" s="5"/>
      <c r="B20" s="16" t="s">
        <v>170</v>
      </c>
      <c r="C20" s="26" t="n">
        <f aca="false">AUM_Y0*Wt_PE</f>
        <v>3600</v>
      </c>
      <c r="D20" s="26" t="n">
        <f aca="false">C25</f>
        <v>3961.66725</v>
      </c>
      <c r="E20" s="26" t="n">
        <f aca="false">D25</f>
        <v>4359.56954563125</v>
      </c>
      <c r="F20" s="26" t="n">
        <f aca="false">E25</f>
        <v>4797.3004086953</v>
      </c>
      <c r="G20" s="26" t="n">
        <f aca="false">F25</f>
        <v>5278.80814656373</v>
      </c>
      <c r="H20" s="26" t="n">
        <f aca="false">G25</f>
        <v>5808.4308247129</v>
      </c>
      <c r="I20" s="26" t="n">
        <f aca="false">H25</f>
        <v>6390.93468486149</v>
      </c>
      <c r="J20" s="26" t="n">
        <f aca="false">I25</f>
        <v>7031.55634812733</v>
      </c>
      <c r="K20" s="26" t="n">
        <f aca="false">J25</f>
        <v>7736.04917605333</v>
      </c>
      <c r="L20" s="26" t="n">
        <f aca="false">K25</f>
        <v>8510.73419907869</v>
      </c>
    </row>
    <row r="21" customFormat="false" ht="15" hidden="false" customHeight="false" outlineLevel="0" collapsed="false">
      <c r="A21" s="5"/>
      <c r="B21" s="16" t="s">
        <v>171</v>
      </c>
      <c r="C21" s="26" t="n">
        <f aca="false">C20*PE_Return</f>
        <v>414</v>
      </c>
      <c r="D21" s="26" t="n">
        <f aca="false">D20*PE_Return</f>
        <v>455.59173375</v>
      </c>
      <c r="E21" s="26" t="n">
        <f aca="false">E20*PE_Return</f>
        <v>501.350497747594</v>
      </c>
      <c r="F21" s="26" t="n">
        <f aca="false">F20*PE_Return</f>
        <v>551.68954699996</v>
      </c>
      <c r="G21" s="26" t="n">
        <f aca="false">G20*PE_Return</f>
        <v>607.062936854829</v>
      </c>
      <c r="H21" s="26" t="n">
        <f aca="false">H20*PE_Return</f>
        <v>667.969544841984</v>
      </c>
      <c r="I21" s="26" t="n">
        <f aca="false">I20*PE_Return</f>
        <v>734.957488759072</v>
      </c>
      <c r="J21" s="26" t="n">
        <f aca="false">J20*PE_Return</f>
        <v>808.628980034643</v>
      </c>
      <c r="K21" s="26" t="n">
        <f aca="false">K20*PE_Return</f>
        <v>889.645655246132</v>
      </c>
      <c r="L21" s="26" t="n">
        <f aca="false">L20*PE_Return</f>
        <v>978.73443289405</v>
      </c>
    </row>
    <row r="22" customFormat="false" ht="15" hidden="false" customHeight="false" outlineLevel="0" collapsed="false">
      <c r="A22" s="5"/>
      <c r="B22" s="16" t="s">
        <v>172</v>
      </c>
      <c r="C22" s="26" t="n">
        <f aca="false">CP_Net_Flow*Wt_PE</f>
        <v>7.06724999999999</v>
      </c>
      <c r="D22" s="26" t="n">
        <f aca="false">Contributions_Payouts!D17*Wt_PE</f>
        <v>7.67807150624999</v>
      </c>
      <c r="E22" s="26" t="n">
        <f aca="false">Contributions_Payouts!E17*Wt_PE</f>
        <v>8.31326281937576</v>
      </c>
      <c r="F22" s="26" t="n">
        <f aca="false">Contributions_Payouts!F17*Wt_PE</f>
        <v>8.97364761194446</v>
      </c>
      <c r="G22" s="26" t="n">
        <f aca="false">Contributions_Payouts!G17*Wt_PE</f>
        <v>9.6600757126413</v>
      </c>
      <c r="H22" s="26" t="n">
        <f aca="false">Contributions_Payouts!H17*Wt_PE</f>
        <v>10.3734239143674</v>
      </c>
      <c r="I22" s="26" t="n">
        <f aca="false">Contributions_Payouts!I17*Wt_PE</f>
        <v>11.1145968069838</v>
      </c>
      <c r="J22" s="26" t="n">
        <f aca="false">Contributions_Payouts!J17*Wt_PE</f>
        <v>11.8845276354482</v>
      </c>
      <c r="K22" s="26" t="n">
        <f aca="false">Contributions_Payouts!K17*Wt_PE</f>
        <v>12.6841791841149</v>
      </c>
      <c r="L22" s="26" t="n">
        <f aca="false">Contributions_Payouts!L17*Wt_PE</f>
        <v>13.51454468799</v>
      </c>
    </row>
    <row r="23" customFormat="false" ht="15" hidden="false" customHeight="false" outlineLevel="0" collapsed="false">
      <c r="A23" s="5"/>
      <c r="B23" s="16" t="s">
        <v>173</v>
      </c>
      <c r="C23" s="26" t="n">
        <f aca="false">Fee_PE_Base</f>
        <v>-54</v>
      </c>
      <c r="D23" s="26" t="n">
        <f aca="false">Fee_Schedule!D15</f>
        <v>-59.42500875</v>
      </c>
      <c r="E23" s="26" t="n">
        <f aca="false">Fee_Schedule!E15</f>
        <v>-65.3935431844687</v>
      </c>
      <c r="F23" s="26" t="n">
        <f aca="false">Fee_Schedule!F15</f>
        <v>-71.9595061304296</v>
      </c>
      <c r="G23" s="26" t="n">
        <f aca="false">Fee_Schedule!G15</f>
        <v>-79.182122198456</v>
      </c>
      <c r="H23" s="26" t="n">
        <f aca="false">Fee_Schedule!H15</f>
        <v>-87.1264623706936</v>
      </c>
      <c r="I23" s="26" t="n">
        <f aca="false">Fee_Schedule!I15</f>
        <v>-95.8640202729224</v>
      </c>
      <c r="J23" s="26" t="n">
        <f aca="false">Fee_Schedule!J15</f>
        <v>-105.47334522191</v>
      </c>
      <c r="K23" s="26" t="n">
        <f aca="false">Fee_Schedule!K15</f>
        <v>-116.0407376408</v>
      </c>
      <c r="L23" s="26" t="n">
        <f aca="false">Fee_Schedule!L15</f>
        <v>-127.66101298618</v>
      </c>
    </row>
    <row r="24" customFormat="false" ht="15" hidden="false" customHeight="false" outlineLevel="0" collapsed="false">
      <c r="A24" s="5"/>
      <c r="B24" s="16" t="s">
        <v>174</v>
      </c>
      <c r="C24" s="26" t="n">
        <f aca="false">-C20*Internal_Opex_Rate</f>
        <v>-5.4</v>
      </c>
      <c r="D24" s="26" t="n">
        <f aca="false">-D20*Internal_Opex_Rate</f>
        <v>-5.942500875</v>
      </c>
      <c r="E24" s="26" t="n">
        <f aca="false">-E20*Internal_Opex_Rate</f>
        <v>-6.53935431844687</v>
      </c>
      <c r="F24" s="26" t="n">
        <f aca="false">-F20*Internal_Opex_Rate</f>
        <v>-7.19595061304296</v>
      </c>
      <c r="G24" s="26" t="n">
        <f aca="false">-G20*Internal_Opex_Rate</f>
        <v>-7.9182122198456</v>
      </c>
      <c r="H24" s="26" t="n">
        <f aca="false">-H20*Internal_Opex_Rate</f>
        <v>-8.71264623706936</v>
      </c>
      <c r="I24" s="26" t="n">
        <f aca="false">-I20*Internal_Opex_Rate</f>
        <v>-9.58640202729224</v>
      </c>
      <c r="J24" s="26" t="n">
        <f aca="false">-J20*Internal_Opex_Rate</f>
        <v>-10.547334522191</v>
      </c>
      <c r="K24" s="26" t="n">
        <f aca="false">-K20*Internal_Opex_Rate</f>
        <v>-11.60407376408</v>
      </c>
      <c r="L24" s="26" t="n">
        <f aca="false">-L20*Internal_Opex_Rate</f>
        <v>-12.766101298618</v>
      </c>
    </row>
    <row r="25" customFormat="false" ht="15" hidden="false" customHeight="false" outlineLevel="0" collapsed="false">
      <c r="A25" s="5"/>
      <c r="B25" s="27" t="s">
        <v>175</v>
      </c>
      <c r="C25" s="43" t="n">
        <f aca="false">C20+C21+C22+C23+C24</f>
        <v>3961.66725</v>
      </c>
      <c r="D25" s="43" t="n">
        <f aca="false">D20+D21+D22+D23+D24</f>
        <v>4359.56954563125</v>
      </c>
      <c r="E25" s="43" t="n">
        <f aca="false">E20+E21+E22+E23+E24</f>
        <v>4797.3004086953</v>
      </c>
      <c r="F25" s="43" t="n">
        <f aca="false">F20+F21+F22+F23+F24</f>
        <v>5278.80814656373</v>
      </c>
      <c r="G25" s="43" t="n">
        <f aca="false">G20+G21+G22+G23+G24</f>
        <v>5808.4308247129</v>
      </c>
      <c r="H25" s="43" t="n">
        <f aca="false">H20+H21+H22+H23+H24</f>
        <v>6390.93468486149</v>
      </c>
      <c r="I25" s="43" t="n">
        <f aca="false">I20+I21+I22+I23+I24</f>
        <v>7031.55634812733</v>
      </c>
      <c r="J25" s="43" t="n">
        <f aca="false">J20+J21+J22+J23+J24</f>
        <v>7736.04917605333</v>
      </c>
      <c r="K25" s="43" t="n">
        <f aca="false">K20+K21+K22+K23+K24</f>
        <v>8510.73419907869</v>
      </c>
      <c r="L25" s="43" t="n">
        <f aca="false">L20+L21+L22+L23+L24</f>
        <v>9362.55606237593</v>
      </c>
    </row>
    <row r="26" customFormat="false" ht="15" hidden="false" customHeight="false" outlineLevel="0" collapsed="false">
      <c r="A26" s="5"/>
      <c r="B26" s="44" t="s">
        <v>176</v>
      </c>
      <c r="C26" s="45"/>
      <c r="D26" s="45"/>
      <c r="E26" s="45"/>
      <c r="F26" s="45"/>
      <c r="G26" s="45"/>
      <c r="H26" s="45"/>
      <c r="I26" s="45"/>
      <c r="J26" s="45"/>
      <c r="K26" s="45"/>
      <c r="L26" s="45"/>
    </row>
    <row r="27" customFormat="false" ht="15" hidden="false" customHeight="false" outlineLevel="0" collapsed="false">
      <c r="A27" s="5"/>
      <c r="B27" s="16" t="s">
        <v>177</v>
      </c>
      <c r="C27" s="26" t="n">
        <f aca="false">AUM_Y0*Wt_RA</f>
        <v>2400</v>
      </c>
      <c r="D27" s="26" t="n">
        <f aca="false">C32</f>
        <v>2542.7115</v>
      </c>
      <c r="E27" s="26" t="n">
        <f aca="false">D32</f>
        <v>2694.0361255875</v>
      </c>
      <c r="F27" s="26" t="n">
        <f aca="false">E32</f>
        <v>2854.4853780217</v>
      </c>
      <c r="G27" s="26" t="n">
        <f aca="false">F32</f>
        <v>3024.60071899924</v>
      </c>
      <c r="H27" s="26" t="n">
        <f aca="false">G32</f>
        <v>3204.95531081679</v>
      </c>
      <c r="I27" s="26" t="n">
        <f aca="false">H32</f>
        <v>3396.15585713167</v>
      </c>
      <c r="J27" s="26" t="n">
        <f aca="false">I32</f>
        <v>3598.8445501214</v>
      </c>
      <c r="K27" s="26" t="n">
        <f aca="false">J32</f>
        <v>3813.70113017701</v>
      </c>
      <c r="L27" s="26" t="n">
        <f aca="false">K32</f>
        <v>4041.44506461826</v>
      </c>
    </row>
    <row r="28" customFormat="false" ht="15" hidden="false" customHeight="false" outlineLevel="0" collapsed="false">
      <c r="A28" s="5"/>
      <c r="B28" s="16" t="s">
        <v>178</v>
      </c>
      <c r="C28" s="26" t="n">
        <f aca="false">C27*RA_Return</f>
        <v>156</v>
      </c>
      <c r="D28" s="26" t="n">
        <f aca="false">D27*RA_Return</f>
        <v>165.2762475</v>
      </c>
      <c r="E28" s="26" t="n">
        <f aca="false">E27*RA_Return</f>
        <v>175.112348163188</v>
      </c>
      <c r="F28" s="26" t="n">
        <f aca="false">F27*RA_Return</f>
        <v>185.54154957141</v>
      </c>
      <c r="G28" s="26" t="n">
        <f aca="false">G27*RA_Return</f>
        <v>196.599046734951</v>
      </c>
      <c r="H28" s="26" t="n">
        <f aca="false">H27*RA_Return</f>
        <v>208.322095203092</v>
      </c>
      <c r="I28" s="26" t="n">
        <f aca="false">I27*RA_Return</f>
        <v>220.750130713559</v>
      </c>
      <c r="J28" s="26" t="n">
        <f aca="false">J27*RA_Return</f>
        <v>233.924895757891</v>
      </c>
      <c r="K28" s="26" t="n">
        <f aca="false">K27*RA_Return</f>
        <v>247.890573461506</v>
      </c>
      <c r="L28" s="26" t="n">
        <f aca="false">L27*RA_Return</f>
        <v>262.693929200187</v>
      </c>
    </row>
    <row r="29" customFormat="false" ht="15" hidden="false" customHeight="false" outlineLevel="0" collapsed="false">
      <c r="A29" s="5"/>
      <c r="B29" s="16" t="s">
        <v>179</v>
      </c>
      <c r="C29" s="26" t="n">
        <f aca="false">CP_Net_Flow*Wt_RA</f>
        <v>4.7115</v>
      </c>
      <c r="D29" s="26" t="n">
        <f aca="false">Contributions_Payouts!D17*Wt_RA</f>
        <v>5.11871433749999</v>
      </c>
      <c r="E29" s="26" t="n">
        <f aca="false">Contributions_Payouts!E17*Wt_RA</f>
        <v>5.54217521291717</v>
      </c>
      <c r="F29" s="26" t="n">
        <f aca="false">Contributions_Payouts!F17*Wt_RA</f>
        <v>5.9824317412963</v>
      </c>
      <c r="G29" s="26" t="n">
        <f aca="false">Contributions_Payouts!G17*Wt_RA</f>
        <v>6.4400504750942</v>
      </c>
      <c r="H29" s="26" t="n">
        <f aca="false">Contributions_Payouts!H17*Wt_RA</f>
        <v>6.91561594291163</v>
      </c>
      <c r="I29" s="26" t="n">
        <f aca="false">Contributions_Payouts!I17*Wt_RA</f>
        <v>7.40973120465589</v>
      </c>
      <c r="J29" s="26" t="n">
        <f aca="false">Contributions_Payouts!J17*Wt_RA</f>
        <v>7.92301842363216</v>
      </c>
      <c r="K29" s="26" t="n">
        <f aca="false">Contributions_Payouts!K17*Wt_RA</f>
        <v>8.45611945607662</v>
      </c>
      <c r="L29" s="26" t="n">
        <f aca="false">Contributions_Payouts!L17*Wt_RA</f>
        <v>9.00969645865997</v>
      </c>
    </row>
    <row r="30" customFormat="false" ht="15" hidden="false" customHeight="false" outlineLevel="0" collapsed="false">
      <c r="A30" s="5"/>
      <c r="B30" s="16" t="s">
        <v>180</v>
      </c>
      <c r="C30" s="26" t="n">
        <f aca="false">Fee_RA</f>
        <v>-14.4</v>
      </c>
      <c r="D30" s="26" t="n">
        <f aca="false">Fee_Schedule!D16</f>
        <v>-15.256269</v>
      </c>
      <c r="E30" s="26" t="n">
        <f aca="false">Fee_Schedule!E16</f>
        <v>-16.164216753525</v>
      </c>
      <c r="F30" s="26" t="n">
        <f aca="false">Fee_Schedule!F16</f>
        <v>-17.1269122681302</v>
      </c>
      <c r="G30" s="26" t="n">
        <f aca="false">Fee_Schedule!G16</f>
        <v>-18.1476043139955</v>
      </c>
      <c r="H30" s="26" t="n">
        <f aca="false">Fee_Schedule!H16</f>
        <v>-19.2297318649008</v>
      </c>
      <c r="I30" s="26" t="n">
        <f aca="false">Fee_Schedule!I16</f>
        <v>-20.37693514279</v>
      </c>
      <c r="J30" s="26" t="n">
        <f aca="false">Fee_Schedule!J16</f>
        <v>-21.5930673007284</v>
      </c>
      <c r="K30" s="26" t="n">
        <f aca="false">Fee_Schedule!K16</f>
        <v>-22.8822067810621</v>
      </c>
      <c r="L30" s="26" t="n">
        <f aca="false">Fee_Schedule!L16</f>
        <v>-24.2486703877096</v>
      </c>
    </row>
    <row r="31" customFormat="false" ht="15" hidden="false" customHeight="false" outlineLevel="0" collapsed="false">
      <c r="A31" s="5"/>
      <c r="B31" s="16" t="s">
        <v>181</v>
      </c>
      <c r="C31" s="26" t="n">
        <f aca="false">-C27*Internal_Opex_Rate</f>
        <v>-3.6</v>
      </c>
      <c r="D31" s="26" t="n">
        <f aca="false">-D27*Internal_Opex_Rate</f>
        <v>-3.81406725</v>
      </c>
      <c r="E31" s="26" t="n">
        <f aca="false">-E27*Internal_Opex_Rate</f>
        <v>-4.04105418838125</v>
      </c>
      <c r="F31" s="26" t="n">
        <f aca="false">-F27*Internal_Opex_Rate</f>
        <v>-4.28172806703255</v>
      </c>
      <c r="G31" s="26" t="n">
        <f aca="false">-G27*Internal_Opex_Rate</f>
        <v>-4.53690107849887</v>
      </c>
      <c r="H31" s="26" t="n">
        <f aca="false">-H27*Internal_Opex_Rate</f>
        <v>-4.80743296622519</v>
      </c>
      <c r="I31" s="26" t="n">
        <f aca="false">-I27*Internal_Opex_Rate</f>
        <v>-5.09423378569751</v>
      </c>
      <c r="J31" s="26" t="n">
        <f aca="false">-J27*Internal_Opex_Rate</f>
        <v>-5.3982668251821</v>
      </c>
      <c r="K31" s="26" t="n">
        <f aca="false">-K27*Internal_Opex_Rate</f>
        <v>-5.72055169526552</v>
      </c>
      <c r="L31" s="26" t="n">
        <f aca="false">-L27*Internal_Opex_Rate</f>
        <v>-6.0621675969274</v>
      </c>
    </row>
    <row r="32" customFormat="false" ht="15" hidden="false" customHeight="false" outlineLevel="0" collapsed="false">
      <c r="A32" s="5"/>
      <c r="B32" s="27" t="s">
        <v>182</v>
      </c>
      <c r="C32" s="43" t="n">
        <f aca="false">C27+C28+C29+C30+C31</f>
        <v>2542.7115</v>
      </c>
      <c r="D32" s="43" t="n">
        <f aca="false">D27+D28+D29+D30+D31</f>
        <v>2694.0361255875</v>
      </c>
      <c r="E32" s="43" t="n">
        <f aca="false">E27+E28+E29+E30+E31</f>
        <v>2854.4853780217</v>
      </c>
      <c r="F32" s="43" t="n">
        <f aca="false">F27+F28+F29+F30+F31</f>
        <v>3024.60071899924</v>
      </c>
      <c r="G32" s="43" t="n">
        <f aca="false">G27+G28+G29+G30+G31</f>
        <v>3204.95531081679</v>
      </c>
      <c r="H32" s="43" t="n">
        <f aca="false">H27+H28+H29+H30+H31</f>
        <v>3396.15585713167</v>
      </c>
      <c r="I32" s="43" t="n">
        <f aca="false">I27+I28+I29+I30+I31</f>
        <v>3598.8445501214</v>
      </c>
      <c r="J32" s="43" t="n">
        <f aca="false">J27+J28+J29+J30+J31</f>
        <v>3813.70113017701</v>
      </c>
      <c r="K32" s="43" t="n">
        <f aca="false">K27+K28+K29+K30+K31</f>
        <v>4041.44506461826</v>
      </c>
      <c r="L32" s="43" t="n">
        <f aca="false">L27+L28+L29+L30+L31</f>
        <v>4282.83785229248</v>
      </c>
    </row>
    <row r="33" customFormat="false" ht="15" hidden="false" customHeight="false" outlineLevel="0" collapsed="false">
      <c r="A33" s="5"/>
      <c r="B33" s="44" t="s">
        <v>183</v>
      </c>
      <c r="C33" s="45"/>
      <c r="D33" s="45"/>
      <c r="E33" s="45"/>
      <c r="F33" s="45"/>
      <c r="G33" s="45"/>
      <c r="H33" s="45"/>
      <c r="I33" s="45"/>
      <c r="J33" s="45"/>
      <c r="K33" s="45"/>
      <c r="L33" s="45"/>
    </row>
    <row r="34" customFormat="false" ht="15" hidden="false" customHeight="false" outlineLevel="0" collapsed="false">
      <c r="A34" s="5"/>
      <c r="B34" s="16" t="s">
        <v>184</v>
      </c>
      <c r="C34" s="26" t="n">
        <f aca="false">AUM_Y0*Wt_HF</f>
        <v>1400</v>
      </c>
      <c r="D34" s="26" t="n">
        <f aca="false">C39</f>
        <v>1463.648375</v>
      </c>
      <c r="E34" s="26" t="n">
        <f aca="false">D39</f>
        <v>1530.30299600938</v>
      </c>
      <c r="F34" s="26" t="n">
        <f aca="false">E39</f>
        <v>1600.10411187665</v>
      </c>
      <c r="G34" s="26" t="n">
        <f aca="false">F39</f>
        <v>1673.19839259238</v>
      </c>
      <c r="H34" s="26" t="n">
        <f aca="false">G39</f>
        <v>1749.73921878062</v>
      </c>
      <c r="I34" s="26" t="n">
        <f aca="false">H39</f>
        <v>1829.8869840976</v>
      </c>
      <c r="J34" s="26" t="n">
        <f aca="false">I39</f>
        <v>1913.80941110857</v>
      </c>
      <c r="K34" s="26" t="n">
        <f aca="false">J39</f>
        <v>2001.68188123891</v>
      </c>
      <c r="L34" s="26" t="n">
        <f aca="false">K39</f>
        <v>2093.68777942218</v>
      </c>
    </row>
    <row r="35" customFormat="false" ht="15" hidden="false" customHeight="false" outlineLevel="0" collapsed="false">
      <c r="A35" s="5"/>
      <c r="B35" s="16" t="s">
        <v>185</v>
      </c>
      <c r="C35" s="26" t="n">
        <f aca="false">C34*HF_Return</f>
        <v>77</v>
      </c>
      <c r="D35" s="26" t="n">
        <f aca="false">D34*HF_Return</f>
        <v>80.500660625</v>
      </c>
      <c r="E35" s="26" t="n">
        <f aca="false">E34*HF_Return</f>
        <v>84.1666647805156</v>
      </c>
      <c r="F35" s="26" t="n">
        <f aca="false">F34*HF_Return</f>
        <v>88.0057261532158</v>
      </c>
      <c r="G35" s="26" t="n">
        <f aca="false">G34*HF_Return</f>
        <v>92.0259115925806</v>
      </c>
      <c r="H35" s="26" t="n">
        <f aca="false">H34*HF_Return</f>
        <v>96.2356570329338</v>
      </c>
      <c r="I35" s="26" t="n">
        <f aca="false">I34*HF_Return</f>
        <v>100.643784125368</v>
      </c>
      <c r="J35" s="26" t="n">
        <f aca="false">J34*HF_Return</f>
        <v>105.259517610971</v>
      </c>
      <c r="K35" s="26" t="n">
        <f aca="false">K34*HF_Return</f>
        <v>110.09250346814</v>
      </c>
      <c r="L35" s="26" t="n">
        <f aca="false">L34*HF_Return</f>
        <v>115.15282786822</v>
      </c>
    </row>
    <row r="36" customFormat="false" ht="15" hidden="false" customHeight="false" outlineLevel="0" collapsed="false">
      <c r="A36" s="5"/>
      <c r="B36" s="16" t="s">
        <v>186</v>
      </c>
      <c r="C36" s="26" t="n">
        <f aca="false">CP_Net_Flow*Wt_HF</f>
        <v>2.748375</v>
      </c>
      <c r="D36" s="26" t="n">
        <f aca="false">Contributions_Payouts!D17*Wt_HF</f>
        <v>2.985916696875</v>
      </c>
      <c r="E36" s="26" t="n">
        <f aca="false">Contributions_Payouts!E17*Wt_HF</f>
        <v>3.23293554086835</v>
      </c>
      <c r="F36" s="26" t="n">
        <f aca="false">Contributions_Payouts!F17*Wt_HF</f>
        <v>3.48975184908951</v>
      </c>
      <c r="G36" s="26" t="n">
        <f aca="false">Contributions_Payouts!G17*Wt_HF</f>
        <v>3.75669611047162</v>
      </c>
      <c r="H36" s="26" t="n">
        <f aca="false">Contributions_Payouts!H17*Wt_HF</f>
        <v>4.03410930003179</v>
      </c>
      <c r="I36" s="26" t="n">
        <f aca="false">Contributions_Payouts!I17*Wt_HF</f>
        <v>4.32234320271594</v>
      </c>
      <c r="J36" s="26" t="n">
        <f aca="false">Contributions_Payouts!J17*Wt_HF</f>
        <v>4.62176074711876</v>
      </c>
      <c r="K36" s="26" t="n">
        <f aca="false">Contributions_Payouts!K17*Wt_HF</f>
        <v>4.93273634937803</v>
      </c>
      <c r="L36" s="26" t="n">
        <f aca="false">Contributions_Payouts!L17*Wt_HF</f>
        <v>5.25565626755165</v>
      </c>
    </row>
    <row r="37" customFormat="false" ht="15" hidden="false" customHeight="false" outlineLevel="0" collapsed="false">
      <c r="A37" s="5"/>
      <c r="B37" s="16" t="s">
        <v>187</v>
      </c>
      <c r="C37" s="26" t="n">
        <f aca="false">Fee_HF_Base</f>
        <v>-14</v>
      </c>
      <c r="D37" s="26" t="n">
        <f aca="false">Fee_Schedule!D17</f>
        <v>-14.63648375</v>
      </c>
      <c r="E37" s="26" t="n">
        <f aca="false">Fee_Schedule!E17</f>
        <v>-15.3030299600938</v>
      </c>
      <c r="F37" s="26" t="n">
        <f aca="false">Fee_Schedule!F17</f>
        <v>-16.0010411187665</v>
      </c>
      <c r="G37" s="26" t="n">
        <f aca="false">Fee_Schedule!G17</f>
        <v>-16.7319839259238</v>
      </c>
      <c r="H37" s="26" t="n">
        <f aca="false">Fee_Schedule!H17</f>
        <v>-17.4973921878062</v>
      </c>
      <c r="I37" s="26" t="n">
        <f aca="false">Fee_Schedule!I17</f>
        <v>-18.298869840976</v>
      </c>
      <c r="J37" s="26" t="n">
        <f aca="false">Fee_Schedule!J17</f>
        <v>-19.1380941110857</v>
      </c>
      <c r="K37" s="26" t="n">
        <f aca="false">Fee_Schedule!K17</f>
        <v>-20.0168188123891</v>
      </c>
      <c r="L37" s="26" t="n">
        <f aca="false">Fee_Schedule!L17</f>
        <v>-20.9368777942218</v>
      </c>
    </row>
    <row r="38" customFormat="false" ht="15" hidden="false" customHeight="false" outlineLevel="0" collapsed="false">
      <c r="A38" s="5"/>
      <c r="B38" s="16" t="s">
        <v>188</v>
      </c>
      <c r="C38" s="26" t="n">
        <f aca="false">-C34*Internal_Opex_Rate</f>
        <v>-2.1</v>
      </c>
      <c r="D38" s="26" t="n">
        <f aca="false">-D34*Internal_Opex_Rate</f>
        <v>-2.1954725625</v>
      </c>
      <c r="E38" s="26" t="n">
        <f aca="false">-E34*Internal_Opex_Rate</f>
        <v>-2.29545449401406</v>
      </c>
      <c r="F38" s="26" t="n">
        <f aca="false">-F34*Internal_Opex_Rate</f>
        <v>-2.40015616781498</v>
      </c>
      <c r="G38" s="26" t="n">
        <f aca="false">-G34*Internal_Opex_Rate</f>
        <v>-2.50979758888856</v>
      </c>
      <c r="H38" s="26" t="n">
        <f aca="false">-H34*Internal_Opex_Rate</f>
        <v>-2.62460882817092</v>
      </c>
      <c r="I38" s="26" t="n">
        <f aca="false">-I34*Internal_Opex_Rate</f>
        <v>-2.74483047614641</v>
      </c>
      <c r="J38" s="26" t="n">
        <f aca="false">-J34*Internal_Opex_Rate</f>
        <v>-2.87071411666285</v>
      </c>
      <c r="K38" s="26" t="n">
        <f aca="false">-K34*Internal_Opex_Rate</f>
        <v>-3.00252282185836</v>
      </c>
      <c r="L38" s="26" t="n">
        <f aca="false">-L34*Internal_Opex_Rate</f>
        <v>-3.14053166913327</v>
      </c>
    </row>
    <row r="39" customFormat="false" ht="15" hidden="false" customHeight="false" outlineLevel="0" collapsed="false">
      <c r="A39" s="5"/>
      <c r="B39" s="27" t="s">
        <v>189</v>
      </c>
      <c r="C39" s="43" t="n">
        <f aca="false">C34+C35+C36+C37+C38</f>
        <v>1463.648375</v>
      </c>
      <c r="D39" s="43" t="n">
        <f aca="false">D34+D35+D36+D37+D38</f>
        <v>1530.30299600938</v>
      </c>
      <c r="E39" s="43" t="n">
        <f aca="false">E34+E35+E36+E37+E38</f>
        <v>1600.10411187665</v>
      </c>
      <c r="F39" s="43" t="n">
        <f aca="false">F34+F35+F36+F37+F38</f>
        <v>1673.19839259238</v>
      </c>
      <c r="G39" s="43" t="n">
        <f aca="false">G34+G35+G36+G37+G38</f>
        <v>1749.73921878062</v>
      </c>
      <c r="H39" s="43" t="n">
        <f aca="false">H34+H35+H36+H37+H38</f>
        <v>1829.8869840976</v>
      </c>
      <c r="I39" s="43" t="n">
        <f aca="false">I34+I35+I36+I37+I38</f>
        <v>1913.80941110857</v>
      </c>
      <c r="J39" s="43" t="n">
        <f aca="false">J34+J35+J36+J37+J38</f>
        <v>2001.68188123891</v>
      </c>
      <c r="K39" s="43" t="n">
        <f aca="false">K34+K35+K36+K37+K38</f>
        <v>2093.68777942218</v>
      </c>
      <c r="L39" s="43" t="n">
        <f aca="false">L34+L35+L36+L37+L38</f>
        <v>2190.01885409459</v>
      </c>
    </row>
    <row r="40" customFormat="false" ht="15" hidden="false" customHeight="false" outlineLevel="0" collapsed="false">
      <c r="A40" s="5"/>
      <c r="B40" s="44" t="s">
        <v>190</v>
      </c>
      <c r="C40" s="45"/>
      <c r="D40" s="45"/>
      <c r="E40" s="45"/>
      <c r="F40" s="45"/>
      <c r="G40" s="45"/>
      <c r="H40" s="45"/>
      <c r="I40" s="45"/>
      <c r="J40" s="45"/>
      <c r="K40" s="45"/>
      <c r="L40" s="45"/>
    </row>
    <row r="41" customFormat="false" ht="15" hidden="false" customHeight="false" outlineLevel="0" collapsed="false">
      <c r="A41" s="5"/>
      <c r="B41" s="16" t="s">
        <v>191</v>
      </c>
      <c r="C41" s="26" t="n">
        <f aca="false">AUM_Y0*Wt_Cash</f>
        <v>600.000000000001</v>
      </c>
      <c r="D41" s="26" t="n">
        <f aca="false">C46</f>
        <v>629.077875000001</v>
      </c>
      <c r="E41" s="26" t="n">
        <f aca="false">D46</f>
        <v>659.609674771876</v>
      </c>
      <c r="F41" s="26" t="n">
        <f aca="false">E46</f>
        <v>691.667068451997</v>
      </c>
      <c r="G41" s="26" t="n">
        <f aca="false">F46</f>
        <v>725.325195070339</v>
      </c>
      <c r="H41" s="26" t="n">
        <f aca="false">G46</f>
        <v>760.662829259883</v>
      </c>
      <c r="I41" s="26" t="n">
        <f aca="false">H46</f>
        <v>797.762554806196</v>
      </c>
      <c r="J41" s="26" t="n">
        <f aca="false">I46</f>
        <v>836.710946405848</v>
      </c>
      <c r="K41" s="26" t="n">
        <f aca="false">J46</f>
        <v>877.598760019628</v>
      </c>
      <c r="L41" s="26" t="n">
        <f aca="false">K46</f>
        <v>920.52113222456</v>
      </c>
    </row>
    <row r="42" customFormat="false" ht="15" hidden="false" customHeight="false" outlineLevel="0" collapsed="false">
      <c r="A42" s="5"/>
      <c r="B42" s="16" t="s">
        <v>192</v>
      </c>
      <c r="C42" s="26" t="n">
        <f aca="false">C41*Cash_Return</f>
        <v>28.8</v>
      </c>
      <c r="D42" s="26" t="n">
        <f aca="false">D41*Cash_Return</f>
        <v>30.195738</v>
      </c>
      <c r="E42" s="26" t="n">
        <f aca="false">E41*Cash_Return</f>
        <v>31.66126438905</v>
      </c>
      <c r="F42" s="26" t="n">
        <f aca="false">F41*Cash_Return</f>
        <v>33.2000192856959</v>
      </c>
      <c r="G42" s="26" t="n">
        <f aca="false">G41*Cash_Return</f>
        <v>34.8156093633763</v>
      </c>
      <c r="H42" s="26" t="n">
        <f aca="false">H41*Cash_Return</f>
        <v>36.5118158044744</v>
      </c>
      <c r="I42" s="26" t="n">
        <f aca="false">I41*Cash_Return</f>
        <v>38.2926026306974</v>
      </c>
      <c r="J42" s="26" t="n">
        <f aca="false">J41*Cash_Return</f>
        <v>40.1621254274807</v>
      </c>
      <c r="K42" s="26" t="n">
        <f aca="false">K41*Cash_Return</f>
        <v>42.1247404809422</v>
      </c>
      <c r="L42" s="26" t="n">
        <f aca="false">L41*Cash_Return</f>
        <v>44.1850143467789</v>
      </c>
    </row>
    <row r="43" customFormat="false" ht="15" hidden="false" customHeight="false" outlineLevel="0" collapsed="false">
      <c r="A43" s="5"/>
      <c r="B43" s="16" t="s">
        <v>193</v>
      </c>
      <c r="C43" s="26" t="n">
        <f aca="false">CP_Net_Flow*Wt_Cash</f>
        <v>1.177875</v>
      </c>
      <c r="D43" s="26" t="n">
        <f aca="false">Contributions_Payouts!D17*Wt_Cash</f>
        <v>1.279678584375</v>
      </c>
      <c r="E43" s="26" t="n">
        <f aca="false">Contributions_Payouts!E17*Wt_Cash</f>
        <v>1.38554380322929</v>
      </c>
      <c r="F43" s="26" t="n">
        <f aca="false">Contributions_Payouts!F17*Wt_Cash</f>
        <v>1.49560793532408</v>
      </c>
      <c r="G43" s="26" t="n">
        <f aca="false">Contributions_Payouts!G17*Wt_Cash</f>
        <v>1.61001261877355</v>
      </c>
      <c r="H43" s="26" t="n">
        <f aca="false">Contributions_Payouts!H17*Wt_Cash</f>
        <v>1.72890398572791</v>
      </c>
      <c r="I43" s="26" t="n">
        <f aca="false">Contributions_Payouts!I17*Wt_Cash</f>
        <v>1.85243280116397</v>
      </c>
      <c r="J43" s="26" t="n">
        <f aca="false">Contributions_Payouts!J17*Wt_Cash</f>
        <v>1.98075460590804</v>
      </c>
      <c r="K43" s="26" t="n">
        <f aca="false">Contributions_Payouts!K17*Wt_Cash</f>
        <v>2.11402986401916</v>
      </c>
      <c r="L43" s="26" t="n">
        <f aca="false">Contributions_Payouts!L17*Wt_Cash</f>
        <v>2.252424114665</v>
      </c>
    </row>
    <row r="44" customFormat="false" ht="15" hidden="false" customHeight="false" outlineLevel="0" collapsed="false">
      <c r="A44" s="5"/>
      <c r="B44" s="16" t="s">
        <v>194</v>
      </c>
      <c r="C44" s="26" t="n">
        <f aca="false">0</f>
        <v>0</v>
      </c>
      <c r="D44" s="26" t="n">
        <f aca="false">0</f>
        <v>0</v>
      </c>
      <c r="E44" s="26" t="n">
        <f aca="false">0</f>
        <v>0</v>
      </c>
      <c r="F44" s="26" t="n">
        <f aca="false">0</f>
        <v>0</v>
      </c>
      <c r="G44" s="26" t="n">
        <f aca="false">0</f>
        <v>0</v>
      </c>
      <c r="H44" s="26" t="n">
        <f aca="false">0</f>
        <v>0</v>
      </c>
      <c r="I44" s="26" t="n">
        <f aca="false">0</f>
        <v>0</v>
      </c>
      <c r="J44" s="26" t="n">
        <f aca="false">0</f>
        <v>0</v>
      </c>
      <c r="K44" s="26" t="n">
        <f aca="false">0</f>
        <v>0</v>
      </c>
      <c r="L44" s="26" t="n">
        <f aca="false">0</f>
        <v>0</v>
      </c>
    </row>
    <row r="45" customFormat="false" ht="15" hidden="false" customHeight="false" outlineLevel="0" collapsed="false">
      <c r="A45" s="5"/>
      <c r="B45" s="16" t="s">
        <v>195</v>
      </c>
      <c r="C45" s="26" t="n">
        <f aca="false">-C41*Internal_Opex_Rate</f>
        <v>-0.900000000000001</v>
      </c>
      <c r="D45" s="26" t="n">
        <f aca="false">-D41*Internal_Opex_Rate</f>
        <v>-0.943616812500001</v>
      </c>
      <c r="E45" s="26" t="n">
        <f aca="false">-E41*Internal_Opex_Rate</f>
        <v>-0.989414512157814</v>
      </c>
      <c r="F45" s="26" t="n">
        <f aca="false">-F41*Internal_Opex_Rate</f>
        <v>-1.037500602678</v>
      </c>
      <c r="G45" s="26" t="n">
        <f aca="false">-G41*Internal_Opex_Rate</f>
        <v>-1.08798779260551</v>
      </c>
      <c r="H45" s="26" t="n">
        <f aca="false">-H41*Internal_Opex_Rate</f>
        <v>-1.14099424388983</v>
      </c>
      <c r="I45" s="26" t="n">
        <f aca="false">-I41*Internal_Opex_Rate</f>
        <v>-1.19664383220929</v>
      </c>
      <c r="J45" s="26" t="n">
        <f aca="false">-J41*Internal_Opex_Rate</f>
        <v>-1.25506641960877</v>
      </c>
      <c r="K45" s="26" t="n">
        <f aca="false">-K41*Internal_Opex_Rate</f>
        <v>-1.31639814002944</v>
      </c>
      <c r="L45" s="26" t="n">
        <f aca="false">-L41*Internal_Opex_Rate</f>
        <v>-1.38078169833684</v>
      </c>
    </row>
    <row r="46" customFormat="false" ht="15" hidden="false" customHeight="false" outlineLevel="0" collapsed="false">
      <c r="A46" s="5"/>
      <c r="B46" s="27" t="s">
        <v>196</v>
      </c>
      <c r="C46" s="43" t="n">
        <f aca="false">C41+C42+C43+C44+C45</f>
        <v>629.077875000001</v>
      </c>
      <c r="D46" s="43" t="n">
        <f aca="false">D41+D42+D43+D44+D45</f>
        <v>659.609674771876</v>
      </c>
      <c r="E46" s="43" t="n">
        <f aca="false">E41+E42+E43+E44+E45</f>
        <v>691.667068451997</v>
      </c>
      <c r="F46" s="43" t="n">
        <f aca="false">F41+F42+F43+F44+F45</f>
        <v>725.325195070339</v>
      </c>
      <c r="G46" s="43" t="n">
        <f aca="false">G41+G42+G43+G44+G45</f>
        <v>760.662829259883</v>
      </c>
      <c r="H46" s="43" t="n">
        <f aca="false">H41+H42+H43+H44+H45</f>
        <v>797.762554806196</v>
      </c>
      <c r="I46" s="43" t="n">
        <f aca="false">I41+I42+I43+I44+I45</f>
        <v>836.710946405848</v>
      </c>
      <c r="J46" s="43" t="n">
        <f aca="false">J41+J42+J43+J44+J45</f>
        <v>877.598760019628</v>
      </c>
      <c r="K46" s="43" t="n">
        <f aca="false">K41+K42+K43+K44+K45</f>
        <v>920.52113222456</v>
      </c>
      <c r="L46" s="43" t="n">
        <f aca="false">L41+L42+L43+L44+L45</f>
        <v>965.577788987667</v>
      </c>
    </row>
    <row r="47" customFormat="false" ht="15" hidden="false" customHeight="false" outlineLevel="0" collapsed="false">
      <c r="A47" s="5"/>
      <c r="B47" s="46" t="s">
        <v>197</v>
      </c>
      <c r="C47" s="40"/>
      <c r="D47" s="40"/>
      <c r="E47" s="40"/>
      <c r="F47" s="40"/>
      <c r="G47" s="40"/>
      <c r="H47" s="40"/>
      <c r="I47" s="40"/>
      <c r="J47" s="40"/>
      <c r="K47" s="40"/>
      <c r="L47" s="40"/>
    </row>
    <row r="48" customFormat="false" ht="15" hidden="false" customHeight="false" outlineLevel="0" collapsed="false">
      <c r="A48" s="5"/>
      <c r="B48" s="27" t="s">
        <v>198</v>
      </c>
      <c r="C48" s="41" t="n">
        <f aca="false">C6+C13+C20+C27+C34+C41</f>
        <v>20000</v>
      </c>
      <c r="D48" s="41" t="n">
        <f aca="false">D6+D13+D20+D27+D34+D41</f>
        <v>21306.7825</v>
      </c>
      <c r="E48" s="41" t="n">
        <f aca="false">E6+E13+E20+E27+E34+E41</f>
        <v>22707.7817570125</v>
      </c>
      <c r="F48" s="41" t="n">
        <f aca="false">F6+F13+F20+F27+F34+F41</f>
        <v>24210.2130780945</v>
      </c>
      <c r="G48" s="41" t="n">
        <f aca="false">G6+G13+G20+G27+G34+G41</f>
        <v>25821.8758139728</v>
      </c>
      <c r="H48" s="41" t="n">
        <f aca="false">H6+H13+H20+H27+H34+H41</f>
        <v>27551.2030352911</v>
      </c>
      <c r="I48" s="41" t="n">
        <f aca="false">I6+I13+I20+I27+I34+I41</f>
        <v>29407.3156087304</v>
      </c>
      <c r="J48" s="41" t="n">
        <f aca="false">J6+J13+J20+J27+J34+J41</f>
        <v>31400.0810749583</v>
      </c>
      <c r="K48" s="41" t="n">
        <f aca="false">K6+K13+K20+K27+K34+K41</f>
        <v>33540.1777679211</v>
      </c>
      <c r="L48" s="41" t="n">
        <f aca="false">L6+L13+L20+L27+L34+L41</f>
        <v>35839.1646561245</v>
      </c>
    </row>
    <row r="49" customFormat="false" ht="15" hidden="false" customHeight="false" outlineLevel="0" collapsed="false">
      <c r="A49" s="5"/>
      <c r="B49" s="16" t="s">
        <v>199</v>
      </c>
      <c r="C49" s="26" t="n">
        <f aca="false">C7+C14+C21+C28+C35+C42</f>
        <v>1392.6</v>
      </c>
      <c r="D49" s="26" t="n">
        <f aca="false">D7+D14+D21+D28+D35+D42</f>
        <v>1492.995147875</v>
      </c>
      <c r="E49" s="26" t="n">
        <f aca="false">E7+E14+E21+E28+E35+E42</f>
        <v>1601.2781768389</v>
      </c>
      <c r="F49" s="26" t="n">
        <f aca="false">F7+F14+F21+F28+F35+F42</f>
        <v>1718.10030370938</v>
      </c>
      <c r="G49" s="26" t="n">
        <f aca="false">G7+G14+G21+G28+G35+G42</f>
        <v>1844.16887938409</v>
      </c>
      <c r="H49" s="26" t="n">
        <f aca="false">H7+H14+H21+H28+H35+H42</f>
        <v>1980.25240707514</v>
      </c>
      <c r="I49" s="26" t="n">
        <f aca="false">I7+I14+I21+I28+I35+I42</f>
        <v>2127.18602205914</v>
      </c>
      <c r="J49" s="26" t="n">
        <f aca="false">J7+J14+J21+J28+J35+J42</f>
        <v>2285.87747628132</v>
      </c>
      <c r="K49" s="26" t="n">
        <f aca="false">K7+K14+K21+K28+K35+K42</f>
        <v>2457.31367528206</v>
      </c>
      <c r="L49" s="26" t="n">
        <f aca="false">L7+L14+L21+L28+L35+L42</f>
        <v>2642.56781944284</v>
      </c>
    </row>
    <row r="50" customFormat="false" ht="15" hidden="false" customHeight="false" outlineLevel="0" collapsed="false">
      <c r="A50" s="5"/>
      <c r="B50" s="16" t="s">
        <v>200</v>
      </c>
      <c r="C50" s="26" t="n">
        <f aca="false">CP_Net_Flow</f>
        <v>39.2625</v>
      </c>
      <c r="D50" s="26" t="n">
        <f aca="false">Contributions_Payouts!D17</f>
        <v>42.6559528125</v>
      </c>
      <c r="E50" s="26" t="n">
        <f aca="false">Contributions_Payouts!E17</f>
        <v>46.1847934409765</v>
      </c>
      <c r="F50" s="26" t="n">
        <f aca="false">Contributions_Payouts!F17</f>
        <v>49.8535978441359</v>
      </c>
      <c r="G50" s="26" t="n">
        <f aca="false">Contributions_Payouts!G17</f>
        <v>53.6670872924517</v>
      </c>
      <c r="H50" s="26" t="n">
        <f aca="false">Contributions_Payouts!H17</f>
        <v>57.6301328575969</v>
      </c>
      <c r="I50" s="26" t="n">
        <f aca="false">Contributions_Payouts!I17</f>
        <v>61.7477600387991</v>
      </c>
      <c r="J50" s="26" t="n">
        <f aca="false">Contributions_Payouts!J17</f>
        <v>66.025153530268</v>
      </c>
      <c r="K50" s="26" t="n">
        <f aca="false">Contributions_Payouts!K17</f>
        <v>70.4676621339719</v>
      </c>
      <c r="L50" s="26" t="n">
        <f aca="false">Contributions_Payouts!L17</f>
        <v>75.0808038221664</v>
      </c>
    </row>
    <row r="51" customFormat="false" ht="15" hidden="false" customHeight="false" outlineLevel="0" collapsed="false">
      <c r="A51" s="5"/>
      <c r="B51" s="16" t="s">
        <v>133</v>
      </c>
      <c r="C51" s="26" t="n">
        <f aca="false">Total_Fees</f>
        <v>-121.68</v>
      </c>
      <c r="D51" s="26" t="n">
        <f aca="false">Fee_Schedule!D22</f>
        <v>-131.88698905</v>
      </c>
      <c r="E51" s="26" t="n">
        <f aca="false">Fee_Schedule!E22</f>
        <v>-143.017266377834</v>
      </c>
      <c r="F51" s="26" t="n">
        <f aca="false">Fee_Schedule!F22</f>
        <v>-155.157053030767</v>
      </c>
      <c r="G51" s="26" t="n">
        <f aca="false">Fee_Schedule!G22</f>
        <v>-168.40078705586</v>
      </c>
      <c r="H51" s="26" t="n">
        <f aca="false">Fee_Schedule!H22</f>
        <v>-182.851916932243</v>
      </c>
      <c r="I51" s="26" t="n">
        <f aca="false">Fee_Schedule!I22</f>
        <v>-198.623772235031</v>
      </c>
      <c r="J51" s="26" t="n">
        <f aca="false">Fee_Schedule!J22</f>
        <v>-215.840519084413</v>
      </c>
      <c r="K51" s="26" t="n">
        <f aca="false">Fee_Schedule!K22</f>
        <v>-234.638208674332</v>
      </c>
      <c r="L51" s="26" t="n">
        <f aca="false">Fee_Schedule!L22</f>
        <v>-255.165927988736</v>
      </c>
    </row>
    <row r="52" customFormat="false" ht="15" hidden="false" customHeight="false" outlineLevel="0" collapsed="false">
      <c r="A52" s="5"/>
      <c r="B52" s="16" t="s">
        <v>201</v>
      </c>
      <c r="C52" s="26" t="n">
        <f aca="false">-C48*Internal_Opex_Rate</f>
        <v>-30</v>
      </c>
      <c r="D52" s="26" t="n">
        <f aca="false">-D48*Internal_Opex_Rate</f>
        <v>-31.96017375</v>
      </c>
      <c r="E52" s="26" t="n">
        <f aca="false">-E48*Internal_Opex_Rate</f>
        <v>-34.0616726355188</v>
      </c>
      <c r="F52" s="26" t="n">
        <f aca="false">-F48*Internal_Opex_Rate</f>
        <v>-36.3153196171417</v>
      </c>
      <c r="G52" s="26" t="n">
        <f aca="false">-G48*Internal_Opex_Rate</f>
        <v>-38.7328137209592</v>
      </c>
      <c r="H52" s="26" t="n">
        <f aca="false">-H48*Internal_Opex_Rate</f>
        <v>-41.3268045529366</v>
      </c>
      <c r="I52" s="26" t="n">
        <f aca="false">-I48*Internal_Opex_Rate</f>
        <v>-44.1109734130956</v>
      </c>
      <c r="J52" s="26" t="n">
        <f aca="false">-J48*Internal_Opex_Rate</f>
        <v>-47.1001216124375</v>
      </c>
      <c r="K52" s="26" t="n">
        <f aca="false">-K48*Internal_Opex_Rate</f>
        <v>-50.3102666518816</v>
      </c>
      <c r="L52" s="26" t="n">
        <f aca="false">-L48*Internal_Opex_Rate</f>
        <v>-53.7587469841867</v>
      </c>
    </row>
    <row r="53" customFormat="false" ht="15" hidden="false" customHeight="false" outlineLevel="0" collapsed="false">
      <c r="A53" s="5"/>
      <c r="B53" s="42" t="s">
        <v>202</v>
      </c>
      <c r="C53" s="43" t="n">
        <f aca="false">C48+C49+C50+C51+C52</f>
        <v>21280.1825</v>
      </c>
      <c r="D53" s="43" t="n">
        <f aca="false">D48+D49+D50+D51+D52</f>
        <v>22678.5864378875</v>
      </c>
      <c r="E53" s="43" t="n">
        <f aca="false">E48+E49+E50+E51+E52</f>
        <v>24178.165788279</v>
      </c>
      <c r="F53" s="43" t="n">
        <f aca="false">F48+F49+F50+F51+F52</f>
        <v>25786.6946070001</v>
      </c>
      <c r="G53" s="43" t="n">
        <f aca="false">G48+G49+G50+G51+G52</f>
        <v>27512.5781798725</v>
      </c>
      <c r="H53" s="43" t="n">
        <f aca="false">H48+H49+H50+H51+H52</f>
        <v>29364.9068537386</v>
      </c>
      <c r="I53" s="43" t="n">
        <f aca="false">I48+I49+I50+I51+I52</f>
        <v>31353.5146451802</v>
      </c>
      <c r="J53" s="43" t="n">
        <f aca="false">J48+J49+J50+J51+J52</f>
        <v>33489.0430640731</v>
      </c>
      <c r="K53" s="43" t="n">
        <f aca="false">K48+K49+K50+K51+K52</f>
        <v>35783.0106300109</v>
      </c>
      <c r="L53" s="43" t="n">
        <f aca="false">L48+L49+L50+L51+L52</f>
        <v>38247.8886044166</v>
      </c>
    </row>
    <row r="54" customFormat="false" ht="15" hidden="false" customHeight="false" outlineLevel="0" collapsed="false">
      <c r="A54" s="5"/>
      <c r="B54" s="5"/>
      <c r="C54" s="5"/>
      <c r="D54" s="5"/>
      <c r="E54" s="5"/>
      <c r="F54" s="5"/>
      <c r="G54" s="5"/>
      <c r="H54" s="5"/>
      <c r="I54" s="5"/>
      <c r="J54" s="5"/>
      <c r="K54" s="5"/>
      <c r="L54" s="5"/>
    </row>
    <row r="55" customFormat="false" ht="15" hidden="false" customHeight="false" outlineLevel="0" collapsed="false">
      <c r="A55" s="5"/>
      <c r="B55" s="47" t="s">
        <v>203</v>
      </c>
      <c r="C55" s="48" t="n">
        <f aca="false">C53-(C48+C50+C49+C51+C52)</f>
        <v>0</v>
      </c>
      <c r="D55" s="48" t="n">
        <f aca="false">D53-(D48+D50+D49+D51+D52)</f>
        <v>0</v>
      </c>
      <c r="E55" s="48" t="n">
        <f aca="false">E53-(E48+E50+E49+E51+E52)</f>
        <v>0</v>
      </c>
      <c r="F55" s="48" t="n">
        <f aca="false">F53-(F48+F50+F49+F51+F52)</f>
        <v>0</v>
      </c>
      <c r="G55" s="48" t="n">
        <f aca="false">G53-(G48+G50+G49+G51+G52)</f>
        <v>0</v>
      </c>
      <c r="H55" s="48" t="n">
        <f aca="false">H53-(H48+H50+H49+H51+H52)</f>
        <v>0</v>
      </c>
      <c r="I55" s="48" t="n">
        <f aca="false">I53-(I48+I50+I49+I51+I52)</f>
        <v>0</v>
      </c>
      <c r="J55" s="48" t="n">
        <f aca="false">J53-(J48+J50+J49+J51+J52)</f>
        <v>0</v>
      </c>
      <c r="K55" s="48" t="n">
        <f aca="false">K53-(K48+K50+K49+K51+K52)</f>
        <v>0</v>
      </c>
      <c r="L55" s="48" t="n">
        <f aca="false">L53-(L48+L50+L49+L51+L52)</f>
        <v>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375623"/>
    <pageSetUpPr fitToPage="false"/>
  </sheetPr>
  <dimension ref="A1:L1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6"/>
    <col collapsed="false" customWidth="true" hidden="false" outlineLevel="0" max="12" min="3" style="0" width="12"/>
  </cols>
  <sheetData>
    <row r="1" customFormat="false" ht="15" hidden="false" customHeight="false" outlineLevel="0" collapsed="false">
      <c r="A1" s="5"/>
      <c r="B1" s="5"/>
      <c r="C1" s="5"/>
      <c r="D1" s="5"/>
      <c r="E1" s="5"/>
      <c r="F1" s="5"/>
      <c r="G1" s="5"/>
      <c r="H1" s="5"/>
      <c r="I1" s="5"/>
      <c r="J1" s="5"/>
      <c r="K1" s="5"/>
      <c r="L1" s="5"/>
    </row>
    <row r="2" customFormat="false" ht="22.05" hidden="false" customHeight="false" outlineLevel="0" collapsed="false">
      <c r="A2" s="5"/>
      <c r="B2" s="29" t="s">
        <v>12</v>
      </c>
      <c r="C2" s="5"/>
      <c r="D2" s="5"/>
      <c r="E2" s="5"/>
      <c r="F2" s="5"/>
      <c r="G2" s="5"/>
      <c r="H2" s="5"/>
      <c r="I2" s="5"/>
      <c r="J2" s="5"/>
      <c r="K2" s="5"/>
      <c r="L2" s="5"/>
    </row>
    <row r="3" customFormat="false" ht="15" hidden="false" customHeight="false" outlineLevel="0" collapsed="false">
      <c r="A3" s="5"/>
      <c r="B3" s="37" t="s">
        <v>204</v>
      </c>
      <c r="C3" s="5"/>
      <c r="D3" s="5"/>
      <c r="E3" s="5"/>
      <c r="F3" s="5"/>
      <c r="G3" s="5"/>
      <c r="H3" s="5"/>
      <c r="I3" s="5"/>
      <c r="J3" s="5"/>
      <c r="K3" s="5"/>
      <c r="L3" s="5"/>
    </row>
    <row r="4" customFormat="false" ht="15" hidden="false" customHeight="false" outlineLevel="0" collapsed="false">
      <c r="A4" s="5"/>
      <c r="B4" s="5"/>
      <c r="C4" s="38" t="s">
        <v>82</v>
      </c>
      <c r="D4" s="38" t="s">
        <v>83</v>
      </c>
      <c r="E4" s="38" t="s">
        <v>84</v>
      </c>
      <c r="F4" s="38" t="s">
        <v>85</v>
      </c>
      <c r="G4" s="38" t="s">
        <v>86</v>
      </c>
      <c r="H4" s="38" t="s">
        <v>87</v>
      </c>
      <c r="I4" s="38" t="s">
        <v>88</v>
      </c>
      <c r="J4" s="38" t="s">
        <v>89</v>
      </c>
      <c r="K4" s="38" t="s">
        <v>90</v>
      </c>
      <c r="L4" s="38" t="s">
        <v>91</v>
      </c>
    </row>
    <row r="5" customFormat="false" ht="15" hidden="false" customHeight="false" outlineLevel="0" collapsed="false">
      <c r="A5" s="5"/>
      <c r="B5" s="39" t="s">
        <v>205</v>
      </c>
      <c r="C5" s="40"/>
      <c r="D5" s="40"/>
      <c r="E5" s="40"/>
      <c r="F5" s="40"/>
      <c r="G5" s="40"/>
      <c r="H5" s="40"/>
      <c r="I5" s="40"/>
      <c r="J5" s="40"/>
      <c r="K5" s="40"/>
      <c r="L5" s="40"/>
    </row>
    <row r="6" customFormat="false" ht="15" hidden="false" customHeight="false" outlineLevel="0" collapsed="false">
      <c r="A6" s="5"/>
      <c r="B6" s="16" t="s">
        <v>206</v>
      </c>
      <c r="C6" s="26" t="n">
        <f aca="false">AUM_Total_Ending</f>
        <v>21280.1825</v>
      </c>
      <c r="D6" s="26" t="n">
        <f aca="false">AUM_Rollforward!D53</f>
        <v>22678.5864378875</v>
      </c>
      <c r="E6" s="26" t="n">
        <f aca="false">AUM_Rollforward!E53</f>
        <v>24178.165788279</v>
      </c>
      <c r="F6" s="26" t="n">
        <f aca="false">AUM_Rollforward!F53</f>
        <v>25786.6946070001</v>
      </c>
      <c r="G6" s="26" t="n">
        <f aca="false">AUM_Rollforward!G53</f>
        <v>27512.5781798725</v>
      </c>
      <c r="H6" s="26" t="n">
        <f aca="false">AUM_Rollforward!H53</f>
        <v>29364.9068537386</v>
      </c>
      <c r="I6" s="26" t="n">
        <f aca="false">AUM_Rollforward!I53</f>
        <v>31353.5146451802</v>
      </c>
      <c r="J6" s="26" t="n">
        <f aca="false">AUM_Rollforward!J53</f>
        <v>33489.0430640731</v>
      </c>
      <c r="K6" s="26" t="n">
        <f aca="false">AUM_Rollforward!K53</f>
        <v>35783.0106300109</v>
      </c>
      <c r="L6" s="26" t="n">
        <f aca="false">AUM_Rollforward!L53</f>
        <v>38247.8886044166</v>
      </c>
    </row>
    <row r="7" customFormat="false" ht="15" hidden="false" customHeight="false" outlineLevel="0" collapsed="false">
      <c r="A7" s="5"/>
      <c r="B7" s="16" t="s">
        <v>207</v>
      </c>
      <c r="C7" s="26" t="n">
        <f aca="false">IF(Mode_Toggle=1,LR_PBO_Closing,0)</f>
        <v>5957.7466875</v>
      </c>
      <c r="D7" s="26" t="n">
        <f aca="false">IF(Mode_Toggle=1,Liability_Rollforward!D11,0)</f>
        <v>6121.60724833594</v>
      </c>
      <c r="E7" s="26" t="n">
        <f aca="false">IF(Mode_Toggle=1,Liability_Rollforward!E11,0)</f>
        <v>6291.86711071081</v>
      </c>
      <c r="F7" s="26" t="n">
        <f aca="false">IF(Mode_Toggle=1,Liability_Rollforward!F11,0)</f>
        <v>6468.82586114141</v>
      </c>
      <c r="G7" s="26" t="n">
        <f aca="false">IF(Mode_Toggle=1,Liability_Rollforward!G11,0)</f>
        <v>6652.79795642801</v>
      </c>
      <c r="H7" s="26" t="n">
        <f aca="false">IF(Mode_Toggle=1,Liability_Rollforward!H11,0)</f>
        <v>6844.11347145658</v>
      </c>
      <c r="I7" s="26" t="n">
        <f aca="false">IF(Mode_Toggle=1,Liability_Rollforward!I11,0)</f>
        <v>7043.1188846338</v>
      </c>
      <c r="J7" s="26" t="n">
        <f aca="false">IF(Mode_Toggle=1,Liability_Rollforward!J11,0)</f>
        <v>7250.17790284576</v>
      </c>
      <c r="K7" s="26" t="n">
        <f aca="false">IF(Mode_Toggle=1,Liability_Rollforward!K11,0)</f>
        <v>7465.67232792559</v>
      </c>
      <c r="L7" s="26" t="n">
        <f aca="false">IF(Mode_Toggle=1,Liability_Rollforward!L11,0)</f>
        <v>7690.00296671518</v>
      </c>
    </row>
    <row r="8" customFormat="false" ht="15" hidden="false" customHeight="false" outlineLevel="0" collapsed="false">
      <c r="A8" s="5"/>
      <c r="B8" s="42" t="s">
        <v>208</v>
      </c>
      <c r="C8" s="43" t="n">
        <f aca="false">C6-C7</f>
        <v>15322.4358125</v>
      </c>
      <c r="D8" s="43" t="n">
        <f aca="false">D6-D7</f>
        <v>16556.9791895516</v>
      </c>
      <c r="E8" s="43" t="n">
        <f aca="false">E6-E7</f>
        <v>17886.2986775682</v>
      </c>
      <c r="F8" s="43" t="n">
        <f aca="false">F6-F7</f>
        <v>19317.8687458586</v>
      </c>
      <c r="G8" s="43" t="n">
        <f aca="false">G6-G7</f>
        <v>20859.7802234445</v>
      </c>
      <c r="H8" s="43" t="n">
        <f aca="false">H6-H7</f>
        <v>22520.793382282</v>
      </c>
      <c r="I8" s="43" t="n">
        <f aca="false">I6-I7</f>
        <v>24310.3957605464</v>
      </c>
      <c r="J8" s="43" t="n">
        <f aca="false">J6-J7</f>
        <v>26238.8651612273</v>
      </c>
      <c r="K8" s="43" t="n">
        <f aca="false">K6-K7</f>
        <v>28317.3383020853</v>
      </c>
      <c r="L8" s="43" t="n">
        <f aca="false">L6-L7</f>
        <v>30557.8856377014</v>
      </c>
    </row>
    <row r="9" customFormat="false" ht="15" hidden="false" customHeight="false" outlineLevel="0" collapsed="false">
      <c r="A9" s="5"/>
      <c r="B9" s="16" t="s">
        <v>209</v>
      </c>
      <c r="C9" s="21" t="n">
        <f aca="false">IF(Mode_Toggle=1,C6/C7,1)</f>
        <v>3.57185083827886</v>
      </c>
      <c r="D9" s="21" t="n">
        <f aca="false">IF(Mode_Toggle=1,D6/D7,1)</f>
        <v>3.70467844764989</v>
      </c>
      <c r="E9" s="21" t="n">
        <f aca="false">IF(Mode_Toggle=1,E6/E7,1)</f>
        <v>3.84276485228366</v>
      </c>
      <c r="F9" s="21" t="n">
        <f aca="false">IF(Mode_Toggle=1,F6/F7,1)</f>
        <v>3.98630217608765</v>
      </c>
      <c r="G9" s="21" t="n">
        <f aca="false">IF(Mode_Toggle=1,G6/G7,1)</f>
        <v>4.13548981346856</v>
      </c>
      <c r="H9" s="21" t="n">
        <f aca="false">IF(Mode_Toggle=1,H6/H7,1)</f>
        <v>4.29053477505964</v>
      </c>
      <c r="I9" s="21" t="n">
        <f aca="false">IF(Mode_Toggle=1,I6/I7,1)</f>
        <v>4.4516520534085</v>
      </c>
      <c r="J9" s="21" t="n">
        <f aca="false">IF(Mode_Toggle=1,J6/J7,1)</f>
        <v>4.61906500955353</v>
      </c>
      <c r="K9" s="21" t="n">
        <f aca="false">IF(Mode_Toggle=1,K6/K7,1)</f>
        <v>4.79300578143021</v>
      </c>
      <c r="L9" s="21" t="n">
        <f aca="false">IF(Mode_Toggle=1,L6/L7,1)</f>
        <v>4.97371571506094</v>
      </c>
    </row>
    <row r="10" customFormat="false" ht="15" hidden="false" customHeight="false" outlineLevel="0" collapsed="false">
      <c r="A10" s="5"/>
      <c r="B10" s="16" t="s">
        <v>210</v>
      </c>
      <c r="C10" s="49" t="str">
        <f aca="false">IF(Mode_Toggle=2,"N/A",IF(C9&gt;=1,"SURPLUS",IF(C9&gt;=0.8,"WATCH","CRITICAL")))</f>
        <v>SURPLUS</v>
      </c>
      <c r="D10" s="49" t="str">
        <f aca="false">IF(Mode_Toggle=2,"N/A",IF(D9&gt;=1,"SURPLUS",IF(D9&gt;=0.8,"WATCH","CRITICAL")))</f>
        <v>SURPLUS</v>
      </c>
      <c r="E10" s="49" t="str">
        <f aca="false">IF(Mode_Toggle=2,"N/A",IF(E9&gt;=1,"SURPLUS",IF(E9&gt;=0.8,"WATCH","CRITICAL")))</f>
        <v>SURPLUS</v>
      </c>
      <c r="F10" s="49" t="str">
        <f aca="false">IF(Mode_Toggle=2,"N/A",IF(F9&gt;=1,"SURPLUS",IF(F9&gt;=0.8,"WATCH","CRITICAL")))</f>
        <v>SURPLUS</v>
      </c>
      <c r="G10" s="49" t="str">
        <f aca="false">IF(Mode_Toggle=2,"N/A",IF(G9&gt;=1,"SURPLUS",IF(G9&gt;=0.8,"WATCH","CRITICAL")))</f>
        <v>SURPLUS</v>
      </c>
      <c r="H10" s="49" t="str">
        <f aca="false">IF(Mode_Toggle=2,"N/A",IF(H9&gt;=1,"SURPLUS",IF(H9&gt;=0.8,"WATCH","CRITICAL")))</f>
        <v>SURPLUS</v>
      </c>
      <c r="I10" s="49" t="str">
        <f aca="false">IF(Mode_Toggle=2,"N/A",IF(I9&gt;=1,"SURPLUS",IF(I9&gt;=0.8,"WATCH","CRITICAL")))</f>
        <v>SURPLUS</v>
      </c>
      <c r="J10" s="49" t="str">
        <f aca="false">IF(Mode_Toggle=2,"N/A",IF(J9&gt;=1,"SURPLUS",IF(J9&gt;=0.8,"WATCH","CRITICAL")))</f>
        <v>SURPLUS</v>
      </c>
      <c r="K10" s="49" t="str">
        <f aca="false">IF(Mode_Toggle=2,"N/A",IF(K9&gt;=1,"SURPLUS",IF(K9&gt;=0.8,"WATCH","CRITICAL")))</f>
        <v>SURPLUS</v>
      </c>
      <c r="L10" s="49" t="str">
        <f aca="false">IF(Mode_Toggle=2,"N/A",IF(L9&gt;=1,"SURPLUS",IF(L9&gt;=0.8,"WATCH","CRITICAL")))</f>
        <v>SURPLUS</v>
      </c>
    </row>
    <row r="11" customFormat="false" ht="15" hidden="false" customHeight="false" outlineLevel="0" collapsed="false">
      <c r="A11" s="5"/>
      <c r="B11" s="39" t="s">
        <v>211</v>
      </c>
      <c r="C11" s="40"/>
      <c r="D11" s="40"/>
      <c r="E11" s="40"/>
      <c r="F11" s="40"/>
      <c r="G11" s="40"/>
      <c r="H11" s="40"/>
      <c r="I11" s="40"/>
      <c r="J11" s="40"/>
      <c r="K11" s="40"/>
      <c r="L11" s="40"/>
    </row>
    <row r="12" customFormat="false" ht="15" hidden="false" customHeight="false" outlineLevel="0" collapsed="false">
      <c r="A12" s="5"/>
      <c r="B12" s="16" t="s">
        <v>212</v>
      </c>
      <c r="C12" s="26" t="n">
        <f aca="false">(Wt_Eq+Wt_FI+Wt_Cash)*C6</f>
        <v>13406.514975</v>
      </c>
      <c r="D12" s="26" t="n">
        <f aca="false">(Wt_Eq+Wt_FI+Wt_Cash)*D6</f>
        <v>14287.5094558691</v>
      </c>
      <c r="E12" s="26" t="n">
        <f aca="false">(Wt_Eq+Wt_FI+Wt_Cash)*E6</f>
        <v>15232.2444466158</v>
      </c>
      <c r="F12" s="26" t="n">
        <f aca="false">(Wt_Eq+Wt_FI+Wt_Cash)*F6</f>
        <v>16245.61760241</v>
      </c>
      <c r="G12" s="26" t="n">
        <f aca="false">(Wt_Eq+Wt_FI+Wt_Cash)*G6</f>
        <v>17332.9242533197</v>
      </c>
      <c r="H12" s="26" t="n">
        <f aca="false">(Wt_Eq+Wt_FI+Wt_Cash)*H6</f>
        <v>18499.8913178553</v>
      </c>
      <c r="I12" s="26" t="n">
        <f aca="false">(Wt_Eq+Wt_FI+Wt_Cash)*I6</f>
        <v>19752.7142264635</v>
      </c>
      <c r="J12" s="26" t="n">
        <f aca="false">(Wt_Eq+Wt_FI+Wt_Cash)*J6</f>
        <v>21098.097130366</v>
      </c>
      <c r="K12" s="26" t="n">
        <f aca="false">(Wt_Eq+Wt_FI+Wt_Cash)*K6</f>
        <v>22543.2966969069</v>
      </c>
      <c r="L12" s="26" t="n">
        <f aca="false">(Wt_Eq+Wt_FI+Wt_Cash)*L6</f>
        <v>24096.1698207824</v>
      </c>
    </row>
    <row r="13" customFormat="false" ht="15" hidden="false" customHeight="false" outlineLevel="0" collapsed="false">
      <c r="A13" s="5"/>
      <c r="B13" s="16" t="s">
        <v>213</v>
      </c>
      <c r="C13" s="26" t="n">
        <f aca="false">-CP_Benefits_Paid+(-Total_Fees)+(-AUM_Total_Opex)</f>
        <v>297.84</v>
      </c>
      <c r="D13" s="26" t="n">
        <f aca="false">-Contributions_Payouts!D10+(-Fee_Schedule!D22)+(-AUM_Rollforward!D52)</f>
        <v>312.1995628</v>
      </c>
      <c r="E13" s="26" t="n">
        <f aca="false">-Contributions_Payouts!E10+(-Fee_Schedule!E22)+(-AUM_Rollforward!E52)</f>
        <v>327.656625013352</v>
      </c>
      <c r="F13" s="26" t="n">
        <f aca="false">-Contributions_Payouts!F10+(-Fee_Schedule!F22)+(-AUM_Rollforward!F52)</f>
        <v>344.308723937909</v>
      </c>
      <c r="G13" s="26" t="n">
        <f aca="false">-Contributions_Payouts!G10+(-Fee_Schedule!G22)+(-AUM_Rollforward!G52)</f>
        <v>362.262497336169</v>
      </c>
      <c r="H13" s="26" t="n">
        <f aca="false">-Contributions_Payouts!H10+(-Fee_Schedule!H22)+(-AUM_Rollforward!H52)</f>
        <v>381.63455149292</v>
      </c>
      <c r="I13" s="26" t="n">
        <f aca="false">-Contributions_Payouts!I10+(-Fee_Schedule!I22)+(-AUM_Rollforward!I52)</f>
        <v>402.552413105982</v>
      </c>
      <c r="J13" s="26" t="n">
        <f aca="false">-Contributions_Payouts!J10+(-Fee_Schedule!J22)+(-AUM_Rollforward!J52)</f>
        <v>425.155573166575</v>
      </c>
      <c r="K13" s="26" t="n">
        <f aca="false">-Contributions_Payouts!K10+(-Fee_Schedule!K22)+(-AUM_Rollforward!K52)</f>
        <v>449.596631782983</v>
      </c>
      <c r="L13" s="26" t="n">
        <f aca="false">-Contributions_Payouts!L10+(-Fee_Schedule!L22)+(-AUM_Rollforward!L52)</f>
        <v>476.042553776544</v>
      </c>
    </row>
    <row r="14" customFormat="false" ht="15" hidden="false" customHeight="false" outlineLevel="0" collapsed="false">
      <c r="A14" s="5"/>
      <c r="B14" s="16" t="s">
        <v>214</v>
      </c>
      <c r="C14" s="50" t="n">
        <f aca="false">C12/C13</f>
        <v>45.0124730560032</v>
      </c>
      <c r="D14" s="50" t="n">
        <f aca="false">D12/D13</f>
        <v>45.7640277511277</v>
      </c>
      <c r="E14" s="50" t="n">
        <f aca="false">E12/E13</f>
        <v>46.4884372351545</v>
      </c>
      <c r="F14" s="50" t="n">
        <f aca="false">F12/F13</f>
        <v>47.1832877674622</v>
      </c>
      <c r="G14" s="50" t="n">
        <f aca="false">G12/G13</f>
        <v>47.8463113923582</v>
      </c>
      <c r="H14" s="50" t="n">
        <f aca="false">H12/H13</f>
        <v>48.4754099058521</v>
      </c>
      <c r="I14" s="50" t="n">
        <f aca="false">I12/I13</f>
        <v>49.0686767321976</v>
      </c>
      <c r="J14" s="50" t="n">
        <f aca="false">J12/J13</f>
        <v>49.6244162418632</v>
      </c>
      <c r="K14" s="50" t="n">
        <f aca="false">K12/K13</f>
        <v>50.1411601050168</v>
      </c>
      <c r="L14" s="50" t="n">
        <f aca="false">L12/L13</f>
        <v>50.6176803515202</v>
      </c>
    </row>
    <row r="15" customFormat="false" ht="15" hidden="false" customHeight="false" outlineLevel="0" collapsed="false">
      <c r="A15" s="5"/>
      <c r="B15" s="16" t="s">
        <v>215</v>
      </c>
      <c r="C15" s="49" t="str">
        <f aca="false">IF(C12&gt;=C13,"PASS","FAIL")</f>
        <v>PASS</v>
      </c>
      <c r="D15" s="49" t="str">
        <f aca="false">IF(D12&gt;=D13,"PASS","FAIL")</f>
        <v>PASS</v>
      </c>
      <c r="E15" s="49" t="str">
        <f aca="false">IF(E12&gt;=E13,"PASS","FAIL")</f>
        <v>PASS</v>
      </c>
      <c r="F15" s="49" t="str">
        <f aca="false">IF(F12&gt;=F13,"PASS","FAIL")</f>
        <v>PASS</v>
      </c>
      <c r="G15" s="49" t="str">
        <f aca="false">IF(G12&gt;=G13,"PASS","FAIL")</f>
        <v>PASS</v>
      </c>
      <c r="H15" s="49" t="str">
        <f aca="false">IF(H12&gt;=H13,"PASS","FAIL")</f>
        <v>PASS</v>
      </c>
      <c r="I15" s="49" t="str">
        <f aca="false">IF(I12&gt;=I13,"PASS","FAIL")</f>
        <v>PASS</v>
      </c>
      <c r="J15" s="49" t="str">
        <f aca="false">IF(J12&gt;=J13,"PASS","FAIL")</f>
        <v>PASS</v>
      </c>
      <c r="K15" s="49" t="str">
        <f aca="false">IF(K12&gt;=K13,"PASS","FAIL")</f>
        <v>PASS</v>
      </c>
      <c r="L15" s="49" t="str">
        <f aca="false">IF(L12&gt;=L13,"PASS","FAIL")</f>
        <v>PASS</v>
      </c>
    </row>
    <row r="16" customFormat="false" ht="15" hidden="false" customHeight="false" outlineLevel="0" collapsed="false">
      <c r="A16" s="5"/>
      <c r="B16" s="39" t="s">
        <v>216</v>
      </c>
      <c r="C16" s="40"/>
      <c r="D16" s="40"/>
      <c r="E16" s="40"/>
      <c r="F16" s="40"/>
      <c r="G16" s="40"/>
      <c r="H16" s="40"/>
      <c r="I16" s="40"/>
      <c r="J16" s="40"/>
      <c r="K16" s="40"/>
      <c r="L16" s="40"/>
    </row>
    <row r="17" customFormat="false" ht="15" hidden="false" customHeight="false" outlineLevel="0" collapsed="false">
      <c r="A17" s="5"/>
      <c r="B17" s="16" t="s">
        <v>216</v>
      </c>
      <c r="C17" s="21" t="n">
        <f aca="false">-AUM_Total_Fees/AUM_Total_Beginning</f>
        <v>0.006084</v>
      </c>
      <c r="D17" s="21" t="n">
        <f aca="false">-Fee_Schedule!D22/AUM_Rollforward!D48</f>
        <v>0.00618990638544323</v>
      </c>
      <c r="E17" s="21" t="n">
        <f aca="false">-Fee_Schedule!E22/AUM_Rollforward!E48</f>
        <v>0.00629816104048419</v>
      </c>
      <c r="F17" s="21" t="n">
        <f aca="false">-Fee_Schedule!F22/AUM_Rollforward!F48</f>
        <v>0.00640874380288516</v>
      </c>
      <c r="G17" s="21" t="n">
        <f aca="false">-Fee_Schedule!G22/AUM_Rollforward!G48</f>
        <v>0.00652163259823032</v>
      </c>
      <c r="H17" s="21" t="n">
        <f aca="false">-Fee_Schedule!H22/AUM_Rollforward!H48</f>
        <v>0.00663680336201738</v>
      </c>
      <c r="I17" s="21" t="n">
        <f aca="false">-Fee_Schedule!I22/AUM_Rollforward!I48</f>
        <v>0.00675422996365107</v>
      </c>
      <c r="J17" s="21" t="n">
        <f aca="false">-Fee_Schedule!J22/AUM_Rollforward!J48</f>
        <v>0.00687388413326572</v>
      </c>
      <c r="K17" s="21" t="n">
        <f aca="false">-Fee_Schedule!K22/AUM_Rollforward!K48</f>
        <v>0.00699573539227772</v>
      </c>
      <c r="L17" s="21" t="n">
        <f aca="false">-Fee_Schedule!L22/AUM_Rollforward!L48</f>
        <v>0.00711975098853569</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LibreOffice/26.2.0.3$MacOSX_AARCH64 LibreOffice_project/afbbd0df0edb6d40b450b0337ac646b0913a760c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2026-05-15T18:53:33Z</dcterms:created>
  <dc:creator>openpyxl</dc:creator>
  <dc:description/>
  <dc:language>en-GB</dc:language>
  <cp:lastModifiedBy/>
  <dcterms:modified xsi:type="dcterms:W3CDTF">2026-05-15T18:53:34Z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