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Construction" sheetId="3" state="visible" r:id="rId5"/>
    <sheet name="Operations" sheetId="4" state="visible" r:id="rId6"/>
    <sheet name="Funding" sheetId="5" state="visible" r:id="rId7"/>
    <sheet name="MMRA" sheetId="6" state="visible" r:id="rId8"/>
    <sheet name="Debt_Schedule" sheetId="7" state="visible" r:id="rId9"/>
    <sheet name="Waterfall" sheetId="8" state="visible" r:id="rId10"/>
    <sheet name="Returns" sheetId="9" state="visible" r:id="rId11"/>
    <sheet name="Checks" sheetId="10" state="visible" r:id="rId12"/>
    <sheet name="Disclaimer" sheetId="11" state="visible" r:id="rId13"/>
  </sheets>
  <definedNames>
    <definedName function="false" hidden="false" name="Base_AP" vbProcedure="false">Assumptions!$C$11</definedName>
    <definedName function="false" hidden="false" name="Concession_Life" vbProcedure="false">Assumptions!$C$31</definedName>
    <definedName function="false" hidden="false" name="Construction_Period" vbProcedure="false">Assumptions!$C$10</definedName>
    <definedName function="false" hidden="false" name="Contingency_Pct" vbProcedure="false">Assumptions!$C$8</definedName>
    <definedName function="false" hidden="false" name="Con_Contingency" vbProcedure="false">Construction!$C$7</definedName>
    <definedName function="false" hidden="false" name="Con_Dev_Fees" vbProcedure="false">Construction!$C$8</definedName>
    <definedName function="false" hidden="false" name="Con_EPC" vbProcedure="false">Construction!$C$6</definedName>
    <definedName function="false" hidden="false" name="Con_Hard_Cost" vbProcedure="false">Construction!$C$9</definedName>
    <definedName function="false" hidden="false" name="Con_IDC" vbProcedure="false">Construction!$C$11</definedName>
    <definedName function="false" hidden="false" name="Con_Total_Cost" vbProcedure="false">Construction!$C$13</definedName>
    <definedName function="false" hidden="false" name="CPI_Rate" vbProcedure="false">Assumptions!$C$13</definedName>
    <definedName function="false" hidden="false" name="Debt_Tenor" vbProcedure="false">Assumptions!$C$19</definedName>
    <definedName function="false" hidden="false" name="Dev_Fees_Pct" vbProcedure="false">Assumptions!$C$9</definedName>
    <definedName function="false" hidden="false" name="Discount_Rate" vbProcedure="false">Assumptions!$C$30</definedName>
    <definedName function="false" hidden="false" name="DSRA_Close_Y1" vbProcedure="false">Debt_Schedule!$D$20</definedName>
    <definedName function="false" hidden="false" name="DSRA_Months" vbProcedure="false">Assumptions!$C$22</definedName>
    <definedName function="false" hidden="false" name="DSRA_Mov_Y1" vbProcedure="false">Debt_Schedule!$D$19</definedName>
    <definedName function="false" hidden="false" name="DSRA_Open_Y1" vbProcedure="false">Debt_Schedule!$D$18</definedName>
    <definedName function="false" hidden="false" name="DSRA_Target_Y0" vbProcedure="false">Debt_Schedule!$C$17</definedName>
    <definedName function="false" hidden="false" name="DS_CFADS_Y1" vbProcedure="false">Debt_Schedule!$D$13</definedName>
    <definedName function="false" hidden="false" name="DS_Close_Y1" vbProcedure="false">Debt_Schedule!$D$11</definedName>
    <definedName function="false" hidden="false" name="DS_DSCR_Y1" vbProcedure="false">Debt_Schedule!$D$14</definedName>
    <definedName function="false" hidden="false" name="DS_Int_Y1" vbProcedure="false">Debt_Schedule!$D$8</definedName>
    <definedName function="false" hidden="false" name="DS_Open_Y1" vbProcedure="false">Debt_Schedule!$D$6</definedName>
    <definedName function="false" hidden="false" name="DS_Prin_Y1" vbProcedure="false">Debt_Schedule!$D$9</definedName>
    <definedName function="false" hidden="false" name="DS_Target_Y1" vbProcedure="false">Debt_Schedule!$D$7</definedName>
    <definedName function="false" hidden="false" name="DS_TDS_Y1" vbProcedure="false">Debt_Schedule!$D$10</definedName>
    <definedName function="false" hidden="false" name="EPC_Cost" vbProcedure="false">Assumptions!$C$7</definedName>
    <definedName function="false" hidden="false" name="Fnd_Balance" vbProcedure="false">Funding!$C$18</definedName>
    <definedName function="false" hidden="false" name="Fnd_Init_DSRA" vbProcedure="false">Funding!$C$7</definedName>
    <definedName function="false" hidden="false" name="Fnd_Ord_Equity" vbProcedure="false">Funding!$C$13</definedName>
    <definedName function="false" hidden="false" name="Fnd_Project_Cost" vbProcedure="false">Funding!$C$6</definedName>
    <definedName function="false" hidden="false" name="Fnd_Senior_Debt" vbProcedure="false">Funding!$C$11</definedName>
    <definedName function="false" hidden="false" name="Fnd_SHL" vbProcedure="false">Funding!$C$14</definedName>
    <definedName function="false" hidden="false" name="Fnd_Total_Equity" vbProcedure="false">Funding!$C$12</definedName>
    <definedName function="false" hidden="false" name="Fnd_Total_Sources" vbProcedure="false">Funding!$C$15</definedName>
    <definedName function="false" hidden="false" name="Fnd_Total_Uses" vbProcedure="false">Funding!$C$8</definedName>
    <definedName function="false" hidden="false" name="Gearing" vbProcedure="false">Assumptions!$C$17</definedName>
    <definedName function="false" hidden="false" name="Insurance_Cost" vbProcedure="false">Assumptions!$C$16</definedName>
    <definedName function="false" hidden="false" name="Lifecycle_Y10" vbProcedure="false">Assumptions!$C$26</definedName>
    <definedName function="false" hidden="false" name="Lifecycle_Y15" vbProcedure="false">Assumptions!$C$27</definedName>
    <definedName function="false" hidden="false" name="Lifecycle_Y20" vbProcedure="false">Assumptions!$C$28</definedName>
    <definedName function="false" hidden="false" name="Lockup_DSCR" vbProcedure="false">Assumptions!$C$21</definedName>
    <definedName function="false" hidden="false" name="MMRA_Close_Y1" vbProcedure="false">MMRA!$D$13</definedName>
    <definedName function="false" hidden="false" name="MMRA_Contrib_Y1" vbProcedure="false">MMRA!$D$6</definedName>
    <definedName function="false" hidden="false" name="MMRA_Draw_Y1" vbProcedure="false">MMRA!$D$8</definedName>
    <definedName function="false" hidden="false" name="MMRA_In_Y1" vbProcedure="false">MMRA!$D$11</definedName>
    <definedName function="false" hidden="false" name="MMRA_Open_Y1" vbProcedure="false">MMRA!$D$10</definedName>
    <definedName function="false" hidden="false" name="MMRA_Out_Y1" vbProcedure="false">MMRA!$D$10</definedName>
    <definedName function="false" hidden="false" name="OM_Cost" vbProcedure="false">Assumptions!$C$14</definedName>
    <definedName function="false" hidden="false" name="Ops_Years" vbProcedure="false">Assumptions!$C$32</definedName>
    <definedName function="false" hidden="false" name="Op_CFADS_Y1" vbProcedure="false">Operations!$D$26</definedName>
    <definedName function="false" hidden="false" name="Op_EBITDA_Y1" vbProcedure="false">Operations!$D$19</definedName>
    <definedName function="false" hidden="false" name="Op_Rev_Y1" vbProcedure="false">Operations!$D$12</definedName>
    <definedName function="false" hidden="false" name="RT_EIRR" vbProcedure="false">Returns!$C$16</definedName>
    <definedName function="false" hidden="false" name="RT_EMULT" vbProcedure="false">Returns!$C$17</definedName>
    <definedName function="false" hidden="false" name="RT_EQ_In" vbProcedure="false">Returns!$C$18</definedName>
    <definedName function="false" hidden="false" name="RT_EQ_Out" vbProcedure="false">Returns!$C$19</definedName>
    <definedName function="false" hidden="false" name="RT_Eq_Y0" vbProcedure="false">Returns!$C$8</definedName>
    <definedName function="false" hidden="false" name="RT_Payback" vbProcedure="false">Returns!$C$20</definedName>
    <definedName function="false" hidden="false" name="RT_PIRR" vbProcedure="false">Returns!$C$12</definedName>
    <definedName function="false" hidden="false" name="RT_PNPV" vbProcedure="false">Returns!$C$13</definedName>
    <definedName function="false" hidden="false" name="RT_Proj_Y0" vbProcedure="false">Returns!$C$6</definedName>
    <definedName function="false" hidden="false" name="Senior_Rate" vbProcedure="false">Assumptions!$C$18</definedName>
    <definedName function="false" hidden="false" name="SHL_Pct" vbProcedure="false">Assumptions!$C$23</definedName>
    <definedName function="false" hidden="false" name="SHL_Rate" vbProcedure="false">Assumptions!$C$24</definedName>
    <definedName function="false" hidden="false" name="SHL_Tenor" vbProcedure="false">Assumptions!$C$25</definedName>
    <definedName function="false" hidden="false" name="SPV_Mgmt" vbProcedure="false">Assumptions!$C$15</definedName>
    <definedName function="false" hidden="false" name="Target_DSCR" vbProcedure="false">Assumptions!$C$20</definedName>
    <definedName function="false" hidden="false" name="Tax_Rate" vbProcedure="false">Assumptions!$C$29</definedName>
    <definedName function="false" hidden="false" name="Unavail_Pct" vbProcedure="false">Assumptions!$C$12</definedName>
    <definedName function="false" hidden="false" name="WF_Avail_Y1" vbProcedure="false">Waterfall!$D$25</definedName>
    <definedName function="false" hidden="false" name="WF_CFADS_Y1" vbProcedure="false">Waterfall!$D$6</definedName>
    <definedName function="false" hidden="false" name="WF_Dist_Y1" vbProcedure="false">Waterfall!$D$26</definedName>
    <definedName function="false" hidden="false" name="WF_DSRA_Y1" vbProcedure="false">Waterfall!$D$14</definedName>
    <definedName function="false" hidden="false" name="WF_Int_Y1" vbProcedure="false">Waterfall!$D$8</definedName>
    <definedName function="false" hidden="false" name="WF_MMRA_Y1" vbProcedure="false">Waterfall!$D$15</definedName>
    <definedName function="false" hidden="false" name="WF_Post_DS_Y1" vbProcedure="false">Waterfall!$D$12</definedName>
    <definedName function="false" hidden="false" name="WF_Post_Res_Y1" vbProcedure="false">Waterfall!$D$17</definedName>
    <definedName function="false" hidden="false" name="WF_Prin_Y1" vbProcedure="false">Waterfall!$D$9</definedName>
    <definedName function="false" hidden="false" name="WF_SHL_Close_Y1" vbProcedure="false">Waterfall!$D$32</definedName>
    <definedName function="false" hidden="false" name="WF_SHL_Open_Y1" vbProcedure="false">Waterfall!$D$28</definedName>
    <definedName function="false" hidden="false" name="WF_SHL_Pmt_Y1" vbProcedure="false">Waterfall!$D$29</definedName>
    <definedName function="false" hidden="false" name="WF_TDS_Y1" vbProcedure="false">Waterfall!$D$10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<sst xmlns="http://schemas.openxmlformats.org/spreadsheetml/2006/main" count="343" uniqueCount="254">
  <si>
    <t xml:space="preserve">INFRASTRUCTURE CONCESSION MODEL</t>
  </si>
  <si>
    <t xml:space="preserve">FINAMODEL.com</t>
  </si>
  <si>
    <t xml:space="preserve">PPP Availability Payment | 25-Year Concession</t>
  </si>
  <si>
    <t xml:space="preserve">Project Name:</t>
  </si>
  <si>
    <t xml:space="preserve">Road / Hospital / [Asset Name]</t>
  </si>
  <si>
    <t xml:space="preserve">Sponsor:</t>
  </si>
  <si>
    <t xml:space="preserve">[Sponsor Name]</t>
  </si>
  <si>
    <t xml:space="preserve">Model Date:</t>
  </si>
  <si>
    <t xml:space="preserve">Version:</t>
  </si>
  <si>
    <t xml:space="preserve">1.0</t>
  </si>
  <si>
    <t xml:space="preserve">SHEET LEGEND</t>
  </si>
  <si>
    <t xml:space="preserve">Blue fill</t>
  </si>
  <si>
    <t xml:space="preserve">Input cells</t>
  </si>
  <si>
    <t xml:space="preserve">White fill</t>
  </si>
  <si>
    <t xml:space="preserve">Calculated cells</t>
  </si>
  <si>
    <t xml:space="preserve">Grey fill</t>
  </si>
  <si>
    <t xml:space="preserve">Outputs / checks</t>
  </si>
  <si>
    <t xml:space="preserve">NAVIGATION</t>
  </si>
  <si>
    <t xml:space="preserve">Cover</t>
  </si>
  <si>
    <t xml:space="preserve">Title page, legend, navigation</t>
  </si>
  <si>
    <t xml:space="preserve">Assumptions</t>
  </si>
  <si>
    <t xml:space="preserve">All input parameters</t>
  </si>
  <si>
    <t xml:space="preserve">Construction</t>
  </si>
  <si>
    <t xml:space="preserve">Project cost build-up (Year 0)</t>
  </si>
  <si>
    <t xml:space="preserve">Operations</t>
  </si>
  <si>
    <t xml:space="preserve">Revenue, OpEx, EBITDA, Tax, CFADS</t>
  </si>
  <si>
    <t xml:space="preserve">Funding</t>
  </si>
  <si>
    <t xml:space="preserve">Sources &amp; Uses, debt / equity sizing</t>
  </si>
  <si>
    <t xml:space="preserve">MMRA</t>
  </si>
  <si>
    <t xml:space="preserve">Major maintenance reserve roll-forward</t>
  </si>
  <si>
    <t xml:space="preserve">Debt_Schedule</t>
  </si>
  <si>
    <t xml:space="preserve">Sculpted debt + DSRA roll-forward</t>
  </si>
  <si>
    <t xml:space="preserve">Waterfall</t>
  </si>
  <si>
    <t xml:space="preserve">CFADS → DS → DSRA → MMRA → SHL → dist</t>
  </si>
  <si>
    <t xml:space="preserve">Returns</t>
  </si>
  <si>
    <t xml:space="preserve">Project IRR, Equity IRR, NPV, payback</t>
  </si>
  <si>
    <t xml:space="preserve">Checks</t>
  </si>
  <si>
    <t xml:space="preserve">10 integrity checks — all must PASS</t>
  </si>
  <si>
    <t xml:space="preserve">About this model</t>
  </si>
  <si>
    <t xml:space="preserve">This project finance model values a PPP/availability-payment concession (hospital, school, sports facility) by forecasting fixed contractual availability revenue indexed to CPI, calculating sculpted debt service, and computing project and equity IRR over the 22â25 year concession term. Answer: given fixed unitary charges with CPI escalation, what capital structure (debt/equity ratio) and debt service sculpting (S-curve, S/Z-curve hybrid) maximises equity returns while maintaining 1.20Ã minimum DSCR throughout operations?
The workbook projects annual availability revenue (Â£30M Year 1, CPI escalation 2.5% p.a., 2% unavailability deduction for performance shortfalls). Operating costs passed through to FM subcontractor via back-to-back fixed-price contracts: Â£4M O&amp;M, Â£1.5M SPV management, Â£0.75M insurance (all escalate at CPI). EBITDA margin stable ~82% across the concession life (both revenue and costs CPI-indexed). Senior debt: 85% gearing sculpted to hit 1.20xâ1.50x DSCR over 22-year tenor (S-curve: low early payments ramping as availability revenue escalates). Shareholder loans (30% of equity tranche at 10% rate) repaid Years 1â7. DSRA funding (6 months senior DS) required at close. MMRA (Major Maintenance Reserve) accumulates for lifecycle capex (Â£20â25M events Years 10, 15, 20).
Used by infrastructure sponsors bidding PPP contracts, equity co-investors in social infrastructure, project lenders on NHS/education/sports projects, and public authorities structuring DBFOM deals. The key structural advantage: no volume or demand risk (unlike toll roads). Downside: government counterparty credit (typically AAA-rated but subject to political risk and budget appropriations), unavailability deductions on service failures, and lifecycle capex volatility. Benchmarks: European PPP markets show 1.2â1.5Ã entry DSCR, 8â12% project IRR, 12â16% equity IRR post-fees. UK PFI/PPP legacy shows Â£50B+ in infrastructure financed via availability-payment model.</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</si>
  <si>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</si>
  <si>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</si>
  <si>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</si>
  <si>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</si>
  <si>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Input parameters — all named ranges registered here</t>
  </si>
  <si>
    <t xml:space="preserve">Parameter</t>
  </si>
  <si>
    <t xml:space="preserve">Value</t>
  </si>
  <si>
    <t xml:space="preserve">Unit</t>
  </si>
  <si>
    <t xml:space="preserve">Notes</t>
  </si>
  <si>
    <t xml:space="preserve">CONSTRUCTION</t>
  </si>
  <si>
    <t xml:space="preserve">OPERATIONS</t>
  </si>
  <si>
    <t xml:space="preserve">$</t>
  </si>
  <si>
    <t xml:space="preserve">EPC contract, fixed-price</t>
  </si>
  <si>
    <t xml:space="preserve">FINANCING</t>
  </si>
  <si>
    <t xml:space="preserve">%</t>
  </si>
  <si>
    <t xml:space="preserve">5% of EPC</t>
  </si>
  <si>
    <t xml:space="preserve">SHAREHOLDER LOAN</t>
  </si>
  <si>
    <t xml:space="preserve">1.5% of EPC</t>
  </si>
  <si>
    <t xml:space="preserve">LIFECYCLE CAPEX</t>
  </si>
  <si>
    <t xml:space="preserve">years</t>
  </si>
  <si>
    <t xml:space="preserve">Model uses Year 0 as single lump</t>
  </si>
  <si>
    <t xml:space="preserve">TAX &amp; DISCOUNT</t>
  </si>
  <si>
    <t xml:space="preserve">$/year</t>
  </si>
  <si>
    <t xml:space="preserve">Gross availability payment Year 1</t>
  </si>
  <si>
    <t xml:space="preserve">Unavailability %</t>
  </si>
  <si>
    <t xml:space="preserve">Performance deductions</t>
  </si>
  <si>
    <t xml:space="preserve">CPI Rate</t>
  </si>
  <si>
    <t xml:space="preserve">% p.a.</t>
  </si>
  <si>
    <t xml:space="preserve">Inflation indexation rate</t>
  </si>
  <si>
    <t xml:space="preserve">O&amp;M Cost (Year 1)</t>
  </si>
  <si>
    <t xml:space="preserve">O&amp;M subcontract Year 1</t>
  </si>
  <si>
    <t xml:space="preserve">SPV Management (Y1)</t>
  </si>
  <si>
    <t xml:space="preserve">SPV management Year 1</t>
  </si>
  <si>
    <t xml:space="preserve">Insurance (Year 1)</t>
  </si>
  <si>
    <t xml:space="preserve">Insurance Year 1</t>
  </si>
  <si>
    <t xml:space="preserve">Gearing</t>
  </si>
  <si>
    <t xml:space="preserve">Debt / Total financing need</t>
  </si>
  <si>
    <t xml:space="preserve">Senior Rate</t>
  </si>
  <si>
    <t xml:space="preserve">All-in senior debt rate</t>
  </si>
  <si>
    <t xml:space="preserve">Debt Tenor</t>
  </si>
  <si>
    <t xml:space="preserve">Matches operations period</t>
  </si>
  <si>
    <t xml:space="preserve">Target DSCR</t>
  </si>
  <si>
    <t xml:space="preserve">x</t>
  </si>
  <si>
    <t xml:space="preserve">Sculpting target</t>
  </si>
  <si>
    <t xml:space="preserve">Lockup DSCR</t>
  </si>
  <si>
    <t xml:space="preserve">Distribution lock-up</t>
  </si>
  <si>
    <t xml:space="preserve">DSRA Months</t>
  </si>
  <si>
    <t xml:space="preserve">months</t>
  </si>
  <si>
    <t xml:space="preserve">Forward DS cover</t>
  </si>
  <si>
    <t xml:space="preserve">SHL % of Equity</t>
  </si>
  <si>
    <t xml:space="preserve">SHL as % of total equity</t>
  </si>
  <si>
    <t xml:space="preserve">SHL Rate</t>
  </si>
  <si>
    <t xml:space="preserve">SHL interest rate</t>
  </si>
  <si>
    <t xml:space="preserve">SHL Tenor</t>
  </si>
  <si>
    <t xml:space="preserve">SHL repayment term</t>
  </si>
  <si>
    <t xml:space="preserve">Lifecycle Y10</t>
  </si>
  <si>
    <t xml:space="preserve">Lifecycle event Year 10</t>
  </si>
  <si>
    <t xml:space="preserve">Lifecycle Y15</t>
  </si>
  <si>
    <t xml:space="preserve">Lifecycle event Year 15</t>
  </si>
  <si>
    <t xml:space="preserve">Lifecycle Y20</t>
  </si>
  <si>
    <t xml:space="preserve">Lifecycle event Year 20</t>
  </si>
  <si>
    <t xml:space="preserve">Tax Rate</t>
  </si>
  <si>
    <t xml:space="preserve">Corporate tax rate</t>
  </si>
  <si>
    <t xml:space="preserve">Discount Rate</t>
  </si>
  <si>
    <t xml:space="preserve">WACC for NPV</t>
  </si>
  <si>
    <t xml:space="preserve">Concession Life</t>
  </si>
  <si>
    <t xml:space="preserve">Total concession incl. construction</t>
  </si>
  <si>
    <t xml:space="preserve">Ops Years</t>
  </si>
  <si>
    <t xml:space="preserve">Operations years modelled</t>
  </si>
  <si>
    <t xml:space="preserve">Project cost build-up — Year 0 only</t>
  </si>
  <si>
    <t xml:space="preserve">PROJECT COST</t>
  </si>
  <si>
    <t xml:space="preserve">EPC Cost</t>
  </si>
  <si>
    <t xml:space="preserve">Contingency</t>
  </si>
  <si>
    <t xml:space="preserve">Development Fees</t>
  </si>
  <si>
    <t xml:space="preserve">Total Hard Cost</t>
  </si>
  <si>
    <t xml:space="preserve">Interest During Construction</t>
  </si>
  <si>
    <t xml:space="preserve">TOTAL PROJECT COST</t>
  </si>
  <si>
    <t xml:space="preserve">Revenue, OpEx, EBITDA, Tax, CFADS (pre-lifecycle)</t>
  </si>
  <si>
    <t xml:space="preserve">YEAR INDEX</t>
  </si>
  <si>
    <t xml:space="preserve">Year</t>
  </si>
  <si>
    <t xml:space="preserve">REVENUE</t>
  </si>
  <si>
    <t xml:space="preserve">Indexation Factor</t>
  </si>
  <si>
    <t xml:space="preserve">Gross AP</t>
  </si>
  <si>
    <t xml:space="preserve">Unavailability Deduction</t>
  </si>
  <si>
    <t xml:space="preserve">Net Revenue</t>
  </si>
  <si>
    <t xml:space="preserve">OPERATING COSTS</t>
  </si>
  <si>
    <t xml:space="preserve">O&amp;M Cost</t>
  </si>
  <si>
    <t xml:space="preserve">SPV Management</t>
  </si>
  <si>
    <t xml:space="preserve">Insurance</t>
  </si>
  <si>
    <t xml:space="preserve">Total OpEx</t>
  </si>
  <si>
    <t xml:space="preserve">EBITDA &amp; TAX</t>
  </si>
  <si>
    <t xml:space="preserve">EBITDA</t>
  </si>
  <si>
    <t xml:space="preserve">Amortisation</t>
  </si>
  <si>
    <t xml:space="preserve">EBIT</t>
  </si>
  <si>
    <t xml:space="preserve">TAX</t>
  </si>
  <si>
    <t xml:space="preserve">Tax Payable</t>
  </si>
  <si>
    <t xml:space="preserve">CFADS (PRE-LIFECYCLE)</t>
  </si>
  <si>
    <t xml:space="preserve">CFADS</t>
  </si>
  <si>
    <t xml:space="preserve">Sources &amp; Uses — must balance to zero</t>
  </si>
  <si>
    <t xml:space="preserve">USES</t>
  </si>
  <si>
    <t xml:space="preserve">Total Project Cost</t>
  </si>
  <si>
    <t xml:space="preserve">Initial DSRA</t>
  </si>
  <si>
    <t xml:space="preserve">TOTAL USES</t>
  </si>
  <si>
    <t xml:space="preserve">SOURCES</t>
  </si>
  <si>
    <t xml:space="preserve">Senior Debt</t>
  </si>
  <si>
    <t xml:space="preserve">Total Equity (Sponsor)</t>
  </si>
  <si>
    <t xml:space="preserve">— of which: Ordinary Equity</t>
  </si>
  <si>
    <t xml:space="preserve">— of which: SHL</t>
  </si>
  <si>
    <t xml:space="preserve">TOTAL SOURCES</t>
  </si>
  <si>
    <t xml:space="preserve">BALANCE CHECK</t>
  </si>
  <si>
    <t xml:space="preserve">Sources − Uses</t>
  </si>
  <si>
    <t xml:space="preserve">Balance = 0?</t>
  </si>
  <si>
    <t xml:space="preserve">Major Maintenance Reserve Account — lifecycle capex funded via drawdowns</t>
  </si>
  <si>
    <t xml:space="preserve">ANNUAL CONTRIBUTION</t>
  </si>
  <si>
    <t xml:space="preserve">Annual MMRA Contribution</t>
  </si>
  <si>
    <t xml:space="preserve">LIFECYCLE DRAWDOWNS</t>
  </si>
  <si>
    <t xml:space="preserve">Lifecycle Drawdown</t>
  </si>
  <si>
    <t xml:space="preserve">MMRA ROLL-FORWARD</t>
  </si>
  <si>
    <t xml:space="preserve">Opening Balance</t>
  </si>
  <si>
    <t xml:space="preserve">Contribution</t>
  </si>
  <si>
    <t xml:space="preserve">Drawdown</t>
  </si>
  <si>
    <t xml:space="preserve">Closing Balance</t>
  </si>
  <si>
    <t xml:space="preserve">Debt Schedule</t>
  </si>
  <si>
    <t xml:space="preserve">Sculpted senior debt + DSRA roll-forward + DSCR</t>
  </si>
  <si>
    <t xml:space="preserve">SENIOR DEBT — SCULPTED</t>
  </si>
  <si>
    <t xml:space="preserve">Target Debt Service</t>
  </si>
  <si>
    <t xml:space="preserve">Interest Expense</t>
  </si>
  <si>
    <t xml:space="preserve">Principal Repayment</t>
  </si>
  <si>
    <t xml:space="preserve">Total Debt Service</t>
  </si>
  <si>
    <t xml:space="preserve">DSCR</t>
  </si>
  <si>
    <t xml:space="preserve">DSRA ROLL-FORWARD</t>
  </si>
  <si>
    <t xml:space="preserve">DSRA Target</t>
  </si>
  <si>
    <t xml:space="preserve">DSRA Opening</t>
  </si>
  <si>
    <t xml:space="preserve">DSRA Movement</t>
  </si>
  <si>
    <t xml:space="preserve">DSRA Closing</t>
  </si>
  <si>
    <t xml:space="preserve">CFADS → Senior DS → DSRA → MMRA → SHL → lock-up → distributions</t>
  </si>
  <si>
    <t xml:space="preserve">CASH AVAILABLE</t>
  </si>
  <si>
    <t xml:space="preserve">SENIOR DEBT SERVICE</t>
  </si>
  <si>
    <t xml:space="preserve">Senior Interest</t>
  </si>
  <si>
    <t xml:space="preserve">Senior Principal</t>
  </si>
  <si>
    <t xml:space="preserve">Total Senior DS</t>
  </si>
  <si>
    <t xml:space="preserve">Post-DS Cash</t>
  </si>
  <si>
    <t xml:space="preserve">RESERVES</t>
  </si>
  <si>
    <t xml:space="preserve">MMRA Contribution</t>
  </si>
  <si>
    <t xml:space="preserve">Post-Reserve Cash</t>
  </si>
  <si>
    <t xml:space="preserve">SHL SERVICE</t>
  </si>
  <si>
    <t xml:space="preserve">SHL Principal</t>
  </si>
  <si>
    <t xml:space="preserve">SHL Interest</t>
  </si>
  <si>
    <t xml:space="preserve">Total SHL Service</t>
  </si>
  <si>
    <t xml:space="preserve">DISTRIBUTIONS</t>
  </si>
  <si>
    <t xml:space="preserve">Lock-up Test</t>
  </si>
  <si>
    <t xml:space="preserve">n/a</t>
  </si>
  <si>
    <t xml:space="preserve">Available for Dist.</t>
  </si>
  <si>
    <t xml:space="preserve">SHL Opening</t>
  </si>
  <si>
    <t xml:space="preserve">SHL Annual Payment</t>
  </si>
  <si>
    <t xml:space="preserve">SHL Interest (paid)</t>
  </si>
  <si>
    <t xml:space="preserve">SHL Principal (paid)</t>
  </si>
  <si>
    <t xml:space="preserve">SHL Closing</t>
  </si>
  <si>
    <t xml:space="preserve">Project IRR + NPV (unlevered) | Equity IRR + Multiple (full sponsor economics)</t>
  </si>
  <si>
    <t xml:space="preserve">CASH FLOW STREAMS</t>
  </si>
  <si>
    <t xml:space="preserve">Project CF (unlevered)</t>
  </si>
  <si>
    <t xml:space="preserve">Cumul. Equity CF</t>
  </si>
  <si>
    <t xml:space="preserve">Equity CF (levered)</t>
  </si>
  <si>
    <t xml:space="preserve">PROJECT RETURNS</t>
  </si>
  <si>
    <t xml:space="preserve">Project IRR</t>
  </si>
  <si>
    <t xml:space="preserve">Project NPV</t>
  </si>
  <si>
    <t xml:space="preserve">EQUITY RETURNS</t>
  </si>
  <si>
    <t xml:space="preserve">Equity IRR</t>
  </si>
  <si>
    <t xml:space="preserve">Equity Multiple</t>
  </si>
  <si>
    <t xml:space="preserve">Total Equity Invested</t>
  </si>
  <si>
    <t xml:space="preserve">Total Cash Returned</t>
  </si>
  <si>
    <t xml:space="preserve">Payback Year (ops year)</t>
  </si>
  <si>
    <t xml:space="preserve">Ops Period (years)</t>
  </si>
  <si>
    <t xml:space="preserve">10 integrity checks — all must show PASS</t>
  </si>
  <si>
    <t xml:space="preserve">Check</t>
  </si>
  <si>
    <t xml:space="preserve">Result</t>
  </si>
  <si>
    <t xml:space="preserve">Description</t>
  </si>
  <si>
    <t xml:space="preserve">Sources = Uses</t>
  </si>
  <si>
    <t xml:space="preserve">Sources − Uses must be &lt; $1; fix: check Funding sheet rows 11–15</t>
  </si>
  <si>
    <t xml:space="preserve">Post-DS Cash ≥ 0 (all years)</t>
  </si>
  <si>
    <t xml:space="preserve">Minimum post-DS cash across ops years — must be ≥ 0</t>
  </si>
  <si>
    <t xml:space="preserve">Debt fully repaid by Y22</t>
  </si>
  <si>
    <t xml:space="preserve">Closing debt balance in Year 22 must be &lt; $1</t>
  </si>
  <si>
    <t xml:space="preserve">Min DSCR ≥ 1.20x</t>
  </si>
  <si>
    <t xml:space="preserve">Minimum annual DSCR must equal or exceed sculpting target (1.20x) — excludes Year 22 where TDS=0</t>
  </si>
  <si>
    <t xml:space="preserve">Dist = 0 when DSCR &lt; lockup</t>
  </si>
  <si>
    <t xml:space="preserve">No distributions should be paid in years where DSCR &lt; 1.10x</t>
  </si>
  <si>
    <t xml:space="preserve">MMRA ≥ 0 (all years)</t>
  </si>
  <si>
    <t xml:space="preserve">MMRA closing balance must never go negative</t>
  </si>
  <si>
    <t xml:space="preserve">SHL balance = 0 by Year 7</t>
  </si>
  <si>
    <t xml:space="preserve">Column J = Year 7 (C=Y0, D=Y1 … J=Y7); SHL should be fully repaid</t>
  </si>
  <si>
    <t xml:space="preserve">Project IRR 5–12%</t>
  </si>
  <si>
    <t xml:space="preserve">Heuristic check: project IRR in 5–12% range for a PPP model</t>
  </si>
  <si>
    <t xml:space="preserve">Equity IRR 10–18%</t>
  </si>
  <si>
    <t xml:space="preserve">Heuristic check: equity IRR in 10–18% range for a PPP model</t>
  </si>
  <si>
    <t xml:space="preserve">EBITDA margin ≥ 78% (Y1)</t>
  </si>
  <si>
    <t xml:space="preserve">Availability-payment PPP should have EBITDA margin ≥ 78% in Year 1</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</si>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</sst>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dd\-mmm\-yyyy"/>
    <numFmt numFmtId="166" formatCode="#,##0.00"/>
    <numFmt numFmtId="167" formatCode="0.00%"/>
    <numFmt numFmtId="168" formatCode="0"/>
    <numFmt numFmtId="169" formatCode="0.00\x"/>
    <numFmt numFmtId="170" formatCode="0.0000"/>
    <numFmt numFmtId="171" formatCode="@"/>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6"/>
      <color theme="0"/>
      <name val="Arial"/>
      <family val="0"/>
      <charset val="1"/>
    </font>
    <font>
      <b val="true"/>
      <sz val="11"/>
      <color theme="0"/>
      <name val="Arial"/>
      <family val="0"/>
      <charset val="1"/>
    </font>
    <font>
      <i val="true"/>
      <sz val="9"/>
      <color theme="0"/>
      <name val="Arial"/>
      <family val="0"/>
      <charset val="1"/>
    </font>
    <font>
      <sz val="11"/>
      <color theme="1"/>
      <name val="Arial"/>
      <family val="0"/>
      <charset val="1"/>
    </font>
    <font>
      <b val="true"/>
      <sz val="9"/>
      <name val="Arial"/>
      <family val="0"/>
      <charset val="1"/>
    </font>
    <font>
      <sz val="9"/>
      <color theme="3"/>
      <name val="Arial"/>
      <family val="0"/>
      <charset val="1"/>
    </font>
    <font>
      <sz val="9"/>
      <name val="Arial"/>
      <family val="0"/>
      <charset val="1"/>
    </font>
    <font>
      <i val="true"/>
      <sz val="9"/>
      <color rgb="FF808080"/>
      <name val="Arial"/>
      <family val="0"/>
      <charset val="1"/>
    </font>
    <font>
      <b val="true"/>
      <sz val="11"/>
      <color theme="3"/>
      <name val="Arial"/>
      <family val="0"/>
      <charset val="1"/>
    </font>
    <font>
      <sz val="11"/>
      <color rgb="FF262626"/>
      <name val="Arial"/>
      <family val="0"/>
      <charset val="1"/>
    </font>
    <font>
      <i val="true"/>
      <sz val="11"/>
      <color rgb="FF595959"/>
      <name val="Arial"/>
      <family val="0"/>
      <charset val="1"/>
    </font>
    <font>
      <b val="true"/>
      <i val="true"/>
      <sz val="11"/>
      <color theme="3"/>
      <name val="Arial"/>
      <family val="0"/>
      <charset val="1"/>
    </font>
    <font>
      <b val="true"/>
      <sz val="11"/>
      <color rgb="FF1F4E79"/>
      <name val="Arial"/>
      <family val="0"/>
      <charset val="1"/>
    </font>
    <font>
      <b val="true"/>
      <i val="true"/>
      <sz val="11"/>
      <color rgb="FF1F4E79"/>
      <name val="Arial"/>
      <family val="0"/>
      <charset val="1"/>
    </font>
    <font>
      <b val="true"/>
      <sz val="9"/>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rgb="FFEBF3FB"/>
        <bgColor rgb="FFF2F2F2"/>
      </patternFill>
    </fill>
    <fill>
      <patternFill patternType="solid">
        <fgColor rgb="FFFFFFFF"/>
        <bgColor rgb="FFF2F2F2"/>
      </patternFill>
    </fill>
    <fill>
      <patternFill patternType="solid">
        <fgColor rgb="FFF2F2F2"/>
        <bgColor rgb="FFEBF3FB"/>
      </patternFill>
    </fill>
    <fill>
      <patternFill patternType="solid">
        <fgColor rgb="FF5B9BD5"/>
        <bgColor rgb="FF808080"/>
      </patternFill>
    </fill>
    <fill>
      <patternFill patternType="solid">
        <fgColor rgb="FFED7D31"/>
        <bgColor rgb="FFFF8080"/>
      </patternFill>
    </fill>
    <fill>
      <patternFill patternType="solid">
        <fgColor rgb="FF70AD47"/>
        <bgColor rgb="FF99CC00"/>
      </patternFill>
    </fill>
    <fill>
      <patternFill patternType="solid">
        <fgColor rgb="FFFF0000"/>
        <bgColor rgb="FF993300"/>
      </patternFill>
    </fill>
    <fill>
      <patternFill patternType="solid">
        <fgColor rgb="FFA5A5A5"/>
        <bgColor rgb="FFC0C0C0"/>
      </patternFill>
    </fill>
    <fill>
      <patternFill patternType="solid">
        <fgColor theme="3" tint="0.8"/>
        <bgColor rgb="FFD6E4F0"/>
      </patternFill>
    </fill>
    <fill>
      <patternFill patternType="solid">
        <fgColor rgb="FFD6E4F0"/>
        <bgColor rgb="FFC6D9F1"/>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5" fontId="10" fillId="3"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4" fontId="8" fillId="10" borderId="0" xfId="0" applyFont="true" applyBorder="false" applyAlignment="false" applyProtection="false">
      <alignment horizontal="general" vertical="bottom" textRotation="0" wrapText="false" indent="0" shrinkToFit="false"/>
      <protection locked="true" hidden="false"/>
    </xf>
    <xf numFmtId="164" fontId="13" fillId="11" borderId="0" xfId="0" applyFont="true" applyBorder="false" applyAlignment="true" applyProtection="false">
      <alignment horizontal="left" vertical="center" textRotation="0" wrapText="false" indent="0" shrinkToFit="false"/>
      <protection locked="true" hidden="false"/>
    </xf>
    <xf numFmtId="164" fontId="8" fillId="11"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12" borderId="0" xfId="0" applyFont="true" applyBorder="false" applyAlignment="true" applyProtection="false">
      <alignment horizontal="left" vertical="center" textRotation="0" wrapText="false" indent="0" shrinkToFit="false"/>
      <protection locked="true" hidden="false"/>
    </xf>
    <xf numFmtId="164" fontId="8" fillId="12"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false" applyAlignment="true" applyProtection="false">
      <alignment horizontal="right" vertical="center"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7" fontId="10" fillId="2" borderId="0" xfId="0" applyFont="true" applyBorder="false" applyAlignment="true" applyProtection="false">
      <alignment horizontal="right" vertical="center" textRotation="0" wrapText="false" indent="0" shrinkToFit="false"/>
      <protection locked="true" hidden="false"/>
    </xf>
    <xf numFmtId="168" fontId="10" fillId="2"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7" fontId="10" fillId="3"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0" fillId="3" borderId="0" xfId="0" applyFont="true" applyBorder="false" applyAlignment="true" applyProtection="false">
      <alignment horizontal="right" vertical="center" textRotation="0" wrapText="false" indent="0" shrinkToFit="false"/>
      <protection locked="true" hidden="false"/>
    </xf>
    <xf numFmtId="168" fontId="10" fillId="3" borderId="0" xfId="0" applyFont="true" applyBorder="false" applyAlignment="true" applyProtection="false">
      <alignment horizontal="right" vertical="center" textRotation="0" wrapText="false" indent="0" shrinkToFit="false"/>
      <protection locked="true" hidden="false"/>
    </xf>
    <xf numFmtId="169" fontId="10" fillId="3" borderId="0" xfId="0" applyFont="true" applyBorder="false" applyAlignment="true" applyProtection="false">
      <alignment horizontal="right" vertical="center" textRotation="0" wrapText="false" indent="0" shrinkToFit="false"/>
      <protection locked="true" hidden="false"/>
    </xf>
    <xf numFmtId="168" fontId="19" fillId="2"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false" indent="0" shrinkToFit="false"/>
      <protection locked="true" hidden="false"/>
    </xf>
    <xf numFmtId="166" fontId="9" fillId="0" borderId="1"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70" fontId="11" fillId="0" borderId="0" xfId="0" applyFont="true" applyBorder="false" applyAlignment="true" applyProtection="false">
      <alignment horizontal="right" vertical="center" textRotation="0" wrapText="false" indent="0" shrinkToFit="false"/>
      <protection locked="true" hidden="false"/>
    </xf>
    <xf numFmtId="166" fontId="11" fillId="0" borderId="2"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2" shrinkToFit="false"/>
      <protection locked="true" hidden="false"/>
    </xf>
    <xf numFmtId="171" fontId="9" fillId="0" borderId="0" xfId="0" applyFont="true" applyBorder="false" applyAlignment="true" applyProtection="false">
      <alignment horizontal="center" vertical="center" textRotation="0" wrapText="false" indent="0" shrinkToFit="false"/>
      <protection locked="true" hidden="false"/>
    </xf>
    <xf numFmtId="169" fontId="11"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71" fontId="11"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6" fontId="8" fillId="0" borderId="0" xfId="0" applyFont="true" applyBorder="false" applyAlignment="true" applyProtection="false">
      <alignment horizontal="right" vertical="center" textRotation="0" wrapText="false" indent="0" shrinkToFit="false"/>
      <protection locked="true" hidden="false"/>
    </xf>
    <xf numFmtId="168" fontId="8" fillId="0" borderId="0" xfId="0" applyFont="true" applyBorder="false" applyAlignment="true" applyProtection="false">
      <alignment horizontal="right" vertical="center" textRotation="0" wrapText="false" indent="0" shrinkToFit="false"/>
      <protection locked="true" hidden="false"/>
    </xf>
    <xf numFmtId="168" fontId="12" fillId="0" borderId="0" xfId="0" applyFont="true" applyBorder="false" applyAlignment="true" applyProtection="false">
      <alignment horizontal="right" vertical="center" textRotation="0" wrapText="false" indent="0" shrinkToFit="false"/>
      <protection locked="true" hidden="false"/>
    </xf>
    <xf numFmtId="169" fontId="8" fillId="0" borderId="0" xfId="0" applyFont="true" applyBorder="false" applyAlignment="true" applyProtection="false">
      <alignment horizontal="right" vertical="center" textRotation="0" wrapText="false" indent="0" shrinkToFit="false"/>
      <protection locked="true" hidden="false"/>
    </xf>
    <xf numFmtId="167" fontId="8"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21" fillId="13"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center" textRotation="0" wrapText="false" indent="1" shrinkToFit="false"/>
      <protection locked="true" hidden="false"/>
    </xf>
    <xf numFmtId="164" fontId="24" fillId="5"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3FB"/>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8"/>
    <col collapsed="false" customWidth="true" hidden="false" outlineLevel="0" max="4" min="4" style="0" width="20"/>
    <col collapsed="false" customWidth="true" hidden="false" outlineLevel="0" max="5" min="5" style="0" width="2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
        <v>4</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5</v>
      </c>
      <c r="C6" s="7" t="s">
        <v>6</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7</v>
      </c>
      <c r="C7" s="8" t="n">
        <v>46157</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8</v>
      </c>
      <c r="C8" s="7" t="s">
        <v>9</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10</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9" t="s">
        <v>11</v>
      </c>
      <c r="C11" s="10" t="s">
        <v>12</v>
      </c>
      <c r="D11" s="11"/>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9" t="s">
        <v>13</v>
      </c>
      <c r="C12" s="10" t="s">
        <v>14</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9" t="s">
        <v>15</v>
      </c>
      <c r="C13" s="10" t="s">
        <v>16</v>
      </c>
      <c r="D13" s="13"/>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17</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9" t="s">
        <v>18</v>
      </c>
      <c r="C17" s="10" t="s">
        <v>19</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9" t="s">
        <v>20</v>
      </c>
      <c r="C18" s="10" t="s">
        <v>21</v>
      </c>
      <c r="D18" s="1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9" t="s">
        <v>22</v>
      </c>
      <c r="C19" s="10" t="s">
        <v>23</v>
      </c>
      <c r="D19" s="16"/>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9" t="s">
        <v>24</v>
      </c>
      <c r="C20" s="10" t="s">
        <v>25</v>
      </c>
      <c r="D20" s="17"/>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9" t="s">
        <v>26</v>
      </c>
      <c r="C21" s="10" t="s">
        <v>27</v>
      </c>
      <c r="D21" s="16"/>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9" t="s">
        <v>28</v>
      </c>
      <c r="C22" s="10" t="s">
        <v>29</v>
      </c>
      <c r="D22" s="18"/>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9" t="s">
        <v>30</v>
      </c>
      <c r="C23" s="10" t="s">
        <v>31</v>
      </c>
      <c r="D23" s="18"/>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9" t="s">
        <v>32</v>
      </c>
      <c r="C24" s="10" t="s">
        <v>33</v>
      </c>
      <c r="D24" s="19"/>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9" t="s">
        <v>34</v>
      </c>
      <c r="C25" s="10" t="s">
        <v>35</v>
      </c>
      <c r="D25" s="19"/>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9" t="s">
        <v>36</v>
      </c>
      <c r="C26" s="10" t="s">
        <v>37</v>
      </c>
      <c r="D26" s="19"/>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9.5" hidden="false" customHeight="true" outlineLevel="0" collapsed="false">
      <c r="A29" s="5"/>
      <c r="B29" s="20" t="s">
        <v>38</v>
      </c>
      <c r="C29" s="21"/>
      <c r="D29" s="21"/>
      <c r="E29" s="21"/>
      <c r="F29" s="21"/>
      <c r="G29" s="21"/>
      <c r="H29" s="5"/>
      <c r="I29" s="5"/>
      <c r="J29" s="5"/>
      <c r="K29" s="5"/>
      <c r="L29" s="5"/>
      <c r="M29" s="5"/>
      <c r="N29" s="5"/>
      <c r="O29" s="5"/>
      <c r="P29" s="5"/>
      <c r="Q29" s="5"/>
      <c r="R29" s="5"/>
      <c r="S29" s="5"/>
      <c r="T29" s="5"/>
      <c r="U29" s="5"/>
      <c r="V29" s="5"/>
      <c r="W29" s="5"/>
      <c r="X29" s="5"/>
      <c r="Y29" s="5"/>
      <c r="Z29" s="5"/>
      <c r="AA29" s="5"/>
      <c r="AB29" s="5"/>
      <c r="AC29" s="5"/>
      <c r="AD29" s="5"/>
    </row>
    <row r="30" customFormat="false" ht="283.5" hidden="false" customHeight="true" outlineLevel="0" collapsed="false">
      <c r="A30" s="5"/>
      <c r="B30" s="22" t="s">
        <v>39</v>
      </c>
      <c r="C30" s="22"/>
      <c r="D30" s="22"/>
      <c r="E30" s="22"/>
      <c r="F30" s="22"/>
      <c r="G30" s="22"/>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9.5" hidden="false" customHeight="true" outlineLevel="0" collapsed="false">
      <c r="A32" s="5"/>
      <c r="B32" s="20" t="s">
        <v>40</v>
      </c>
      <c r="C32" s="21"/>
      <c r="D32" s="21"/>
      <c r="E32" s="21"/>
      <c r="F32" s="21"/>
      <c r="G32" s="21"/>
      <c r="H32" s="5"/>
      <c r="I32" s="5"/>
      <c r="J32" s="5"/>
      <c r="K32" s="5"/>
      <c r="L32" s="5"/>
      <c r="M32" s="5"/>
      <c r="N32" s="5"/>
      <c r="O32" s="5"/>
      <c r="P32" s="5"/>
      <c r="Q32" s="5"/>
      <c r="R32" s="5"/>
      <c r="S32" s="5"/>
      <c r="T32" s="5"/>
      <c r="U32" s="5"/>
      <c r="V32" s="5"/>
      <c r="W32" s="5"/>
      <c r="X32" s="5"/>
      <c r="Y32" s="5"/>
      <c r="Z32" s="5"/>
      <c r="AA32" s="5"/>
      <c r="AB32" s="5"/>
      <c r="AC32" s="5"/>
      <c r="AD32" s="5"/>
    </row>
    <row r="33" customFormat="false" ht="57" hidden="false" customHeight="true" outlineLevel="0" collapsed="false">
      <c r="A33" s="5"/>
      <c r="B33" s="22" t="s">
        <v>41</v>
      </c>
      <c r="C33" s="22"/>
      <c r="D33" s="22"/>
      <c r="E33" s="22"/>
      <c r="F33" s="22"/>
      <c r="G33" s="22"/>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23" t="s">
        <v>42</v>
      </c>
      <c r="C34" s="23"/>
      <c r="D34" s="23"/>
      <c r="E34" s="23"/>
      <c r="F34" s="23"/>
      <c r="G34" s="23"/>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24" t="s">
        <v>43</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9.5" hidden="false" customHeight="true" outlineLevel="0" collapsed="false">
      <c r="A38" s="5"/>
      <c r="B38" s="20" t="s">
        <v>38</v>
      </c>
      <c r="C38" s="21"/>
      <c r="D38" s="21"/>
      <c r="E38" s="21"/>
      <c r="F38" s="21"/>
      <c r="G38" s="21"/>
      <c r="H38" s="5"/>
      <c r="I38" s="5"/>
      <c r="J38" s="5"/>
      <c r="K38" s="5"/>
      <c r="L38" s="5"/>
      <c r="M38" s="5"/>
      <c r="N38" s="5"/>
      <c r="O38" s="5"/>
      <c r="P38" s="5"/>
      <c r="Q38" s="5"/>
      <c r="R38" s="5"/>
      <c r="S38" s="5"/>
      <c r="T38" s="5"/>
      <c r="U38" s="5"/>
      <c r="V38" s="5"/>
      <c r="W38" s="5"/>
      <c r="X38" s="5"/>
      <c r="Y38" s="5"/>
      <c r="Z38" s="5"/>
      <c r="AA38" s="5"/>
      <c r="AB38" s="5"/>
      <c r="AC38" s="5"/>
      <c r="AD38" s="5"/>
    </row>
    <row r="39" customFormat="false" ht="283.5" hidden="false" customHeight="true" outlineLevel="0" collapsed="false">
      <c r="A39" s="5"/>
      <c r="B39" s="22" t="s">
        <v>39</v>
      </c>
      <c r="C39" s="22"/>
      <c r="D39" s="22"/>
      <c r="E39" s="22"/>
      <c r="F39" s="22"/>
      <c r="G39" s="22"/>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9.5" hidden="false" customHeight="true" outlineLevel="0" collapsed="false">
      <c r="A41" s="5"/>
      <c r="B41" s="20" t="s">
        <v>40</v>
      </c>
      <c r="C41" s="21"/>
      <c r="D41" s="21"/>
      <c r="E41" s="21"/>
      <c r="F41" s="21"/>
      <c r="G41" s="21"/>
      <c r="H41" s="5"/>
      <c r="I41" s="5"/>
      <c r="J41" s="5"/>
      <c r="K41" s="5"/>
      <c r="L41" s="5"/>
      <c r="M41" s="5"/>
      <c r="N41" s="5"/>
      <c r="O41" s="5"/>
      <c r="P41" s="5"/>
      <c r="Q41" s="5"/>
      <c r="R41" s="5"/>
      <c r="S41" s="5"/>
      <c r="T41" s="5"/>
      <c r="U41" s="5"/>
      <c r="V41" s="5"/>
      <c r="W41" s="5"/>
      <c r="X41" s="5"/>
      <c r="Y41" s="5"/>
      <c r="Z41" s="5"/>
      <c r="AA41" s="5"/>
      <c r="AB41" s="5"/>
      <c r="AC41" s="5"/>
      <c r="AD41" s="5"/>
    </row>
    <row r="42" customFormat="false" ht="57" hidden="false" customHeight="true" outlineLevel="0" collapsed="false">
      <c r="A42" s="5"/>
      <c r="B42" s="22" t="s">
        <v>41</v>
      </c>
      <c r="C42" s="22"/>
      <c r="D42" s="22"/>
      <c r="E42" s="22"/>
      <c r="F42" s="22"/>
      <c r="G42" s="22"/>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23" t="s">
        <v>42</v>
      </c>
      <c r="C43" s="23"/>
      <c r="D43" s="23"/>
      <c r="E43" s="23"/>
      <c r="F43" s="23"/>
      <c r="G43" s="23"/>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24" t="s">
        <v>43</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9.5" hidden="false" customHeight="true" outlineLevel="0" collapsed="false">
      <c r="A47" s="5"/>
      <c r="B47" s="20" t="s">
        <v>38</v>
      </c>
      <c r="C47" s="21"/>
      <c r="D47" s="21"/>
      <c r="E47" s="21"/>
      <c r="F47" s="21"/>
      <c r="G47" s="21"/>
      <c r="H47" s="5"/>
      <c r="I47" s="5"/>
      <c r="J47" s="5"/>
      <c r="K47" s="5"/>
      <c r="L47" s="5"/>
      <c r="M47" s="5"/>
      <c r="N47" s="5"/>
      <c r="O47" s="5"/>
      <c r="P47" s="5"/>
      <c r="Q47" s="5"/>
      <c r="R47" s="5"/>
      <c r="S47" s="5"/>
      <c r="T47" s="5"/>
      <c r="U47" s="5"/>
      <c r="V47" s="5"/>
      <c r="W47" s="5"/>
      <c r="X47" s="5"/>
      <c r="Y47" s="5"/>
      <c r="Z47" s="5"/>
      <c r="AA47" s="5"/>
      <c r="AB47" s="5"/>
      <c r="AC47" s="5"/>
      <c r="AD47" s="5"/>
    </row>
    <row r="48" customFormat="false" ht="283.5" hidden="false" customHeight="true" outlineLevel="0" collapsed="false">
      <c r="A48" s="5"/>
      <c r="B48" s="22" t="s">
        <v>39</v>
      </c>
      <c r="C48" s="22"/>
      <c r="D48" s="22"/>
      <c r="E48" s="22"/>
      <c r="F48" s="22"/>
      <c r="G48" s="22"/>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9.5" hidden="false" customHeight="true" outlineLevel="0" collapsed="false">
      <c r="A50" s="5"/>
      <c r="B50" s="20" t="s">
        <v>40</v>
      </c>
      <c r="C50" s="21"/>
      <c r="D50" s="21"/>
      <c r="E50" s="21"/>
      <c r="F50" s="21"/>
      <c r="G50" s="21"/>
      <c r="H50" s="5"/>
      <c r="I50" s="5"/>
      <c r="J50" s="5"/>
      <c r="K50" s="5"/>
      <c r="L50" s="5"/>
      <c r="M50" s="5"/>
      <c r="N50" s="5"/>
      <c r="O50" s="5"/>
      <c r="P50" s="5"/>
      <c r="Q50" s="5"/>
      <c r="R50" s="5"/>
      <c r="S50" s="5"/>
      <c r="T50" s="5"/>
      <c r="U50" s="5"/>
      <c r="V50" s="5"/>
      <c r="W50" s="5"/>
      <c r="X50" s="5"/>
      <c r="Y50" s="5"/>
      <c r="Z50" s="5"/>
      <c r="AA50" s="5"/>
      <c r="AB50" s="5"/>
      <c r="AC50" s="5"/>
      <c r="AD50" s="5"/>
    </row>
    <row r="51" customFormat="false" ht="57" hidden="false" customHeight="true" outlineLevel="0" collapsed="false">
      <c r="A51" s="5"/>
      <c r="B51" s="22" t="s">
        <v>41</v>
      </c>
      <c r="C51" s="22"/>
      <c r="D51" s="22"/>
      <c r="E51" s="22"/>
      <c r="F51" s="22"/>
      <c r="G51" s="22"/>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23" t="s">
        <v>42</v>
      </c>
      <c r="C52" s="23"/>
      <c r="D52" s="23"/>
      <c r="E52" s="23"/>
      <c r="F52" s="23"/>
      <c r="G52" s="23"/>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24" t="s">
        <v>43</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9.5" hidden="false" customHeight="true" outlineLevel="0" collapsed="false">
      <c r="A56" s="5"/>
      <c r="B56" s="20" t="s">
        <v>38</v>
      </c>
      <c r="C56" s="21"/>
      <c r="D56" s="21"/>
      <c r="E56" s="21"/>
      <c r="F56" s="21"/>
      <c r="G56" s="21"/>
      <c r="H56" s="5"/>
      <c r="I56" s="5"/>
      <c r="J56" s="5"/>
      <c r="K56" s="5"/>
      <c r="L56" s="5"/>
      <c r="M56" s="5"/>
      <c r="N56" s="5"/>
      <c r="O56" s="5"/>
      <c r="P56" s="5"/>
      <c r="Q56" s="5"/>
      <c r="R56" s="5"/>
      <c r="S56" s="5"/>
      <c r="T56" s="5"/>
      <c r="U56" s="5"/>
      <c r="V56" s="5"/>
      <c r="W56" s="5"/>
      <c r="X56" s="5"/>
      <c r="Y56" s="5"/>
      <c r="Z56" s="5"/>
      <c r="AA56" s="5"/>
      <c r="AB56" s="5"/>
      <c r="AC56" s="5"/>
      <c r="AD56" s="5"/>
    </row>
    <row r="57" customFormat="false" ht="283.5" hidden="false" customHeight="true" outlineLevel="0" collapsed="false">
      <c r="A57" s="5"/>
      <c r="B57" s="22" t="s">
        <v>39</v>
      </c>
      <c r="C57" s="22"/>
      <c r="D57" s="22"/>
      <c r="E57" s="22"/>
      <c r="F57" s="22"/>
      <c r="G57" s="22"/>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9.5" hidden="false" customHeight="true" outlineLevel="0" collapsed="false">
      <c r="A59" s="5"/>
      <c r="B59" s="20" t="s">
        <v>40</v>
      </c>
      <c r="C59" s="21"/>
      <c r="D59" s="21"/>
      <c r="E59" s="21"/>
      <c r="F59" s="21"/>
      <c r="G59" s="21"/>
      <c r="H59" s="5"/>
      <c r="I59" s="5"/>
      <c r="J59" s="5"/>
      <c r="K59" s="5"/>
      <c r="L59" s="5"/>
      <c r="M59" s="5"/>
      <c r="N59" s="5"/>
      <c r="O59" s="5"/>
      <c r="P59" s="5"/>
      <c r="Q59" s="5"/>
      <c r="R59" s="5"/>
      <c r="S59" s="5"/>
      <c r="T59" s="5"/>
      <c r="U59" s="5"/>
      <c r="V59" s="5"/>
      <c r="W59" s="5"/>
      <c r="X59" s="5"/>
      <c r="Y59" s="5"/>
      <c r="Z59" s="5"/>
      <c r="AA59" s="5"/>
      <c r="AB59" s="5"/>
      <c r="AC59" s="5"/>
      <c r="AD59" s="5"/>
    </row>
    <row r="60" customFormat="false" ht="57" hidden="false" customHeight="true" outlineLevel="0" collapsed="false">
      <c r="A60" s="5"/>
      <c r="B60" s="22" t="s">
        <v>41</v>
      </c>
      <c r="C60" s="22"/>
      <c r="D60" s="22"/>
      <c r="E60" s="22"/>
      <c r="F60" s="22"/>
      <c r="G60" s="22"/>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23" t="s">
        <v>42</v>
      </c>
      <c r="C61" s="23"/>
      <c r="D61" s="23"/>
      <c r="E61" s="23"/>
      <c r="F61" s="23"/>
      <c r="G61" s="23"/>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24" t="s">
        <v>43</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5" hidden="false" customHeight="false" outlineLevel="0" collapsed="false">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customFormat="false" ht="19.5" hidden="false" customHeight="true" outlineLevel="0" collapsed="false">
      <c r="A65" s="5"/>
      <c r="B65" s="20" t="s">
        <v>38</v>
      </c>
      <c r="C65" s="21"/>
      <c r="D65" s="21"/>
      <c r="E65" s="21"/>
      <c r="F65" s="21"/>
      <c r="G65" s="21"/>
      <c r="H65" s="5"/>
      <c r="I65" s="5"/>
      <c r="J65" s="5"/>
      <c r="K65" s="5"/>
      <c r="L65" s="5"/>
      <c r="M65" s="5"/>
      <c r="N65" s="5"/>
      <c r="O65" s="5"/>
      <c r="P65" s="5"/>
      <c r="Q65" s="5"/>
      <c r="R65" s="5"/>
      <c r="S65" s="5"/>
      <c r="T65" s="5"/>
      <c r="U65" s="5"/>
      <c r="V65" s="5"/>
      <c r="W65" s="5"/>
      <c r="X65" s="5"/>
      <c r="Y65" s="5"/>
      <c r="Z65" s="5"/>
      <c r="AA65" s="5"/>
      <c r="AB65" s="5"/>
      <c r="AC65" s="5"/>
      <c r="AD65" s="5"/>
    </row>
    <row r="66" customFormat="false" ht="283.5" hidden="false" customHeight="true" outlineLevel="0" collapsed="false">
      <c r="A66" s="5"/>
      <c r="B66" s="22" t="s">
        <v>39</v>
      </c>
      <c r="C66" s="22"/>
      <c r="D66" s="22"/>
      <c r="E66" s="22"/>
      <c r="F66" s="22"/>
      <c r="G66" s="22"/>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9.5" hidden="false" customHeight="true" outlineLevel="0" collapsed="false">
      <c r="A68" s="5"/>
      <c r="B68" s="20" t="s">
        <v>40</v>
      </c>
      <c r="C68" s="21"/>
      <c r="D68" s="21"/>
      <c r="E68" s="21"/>
      <c r="F68" s="21"/>
      <c r="G68" s="21"/>
      <c r="H68" s="5"/>
      <c r="I68" s="5"/>
      <c r="J68" s="5"/>
      <c r="K68" s="5"/>
      <c r="L68" s="5"/>
      <c r="M68" s="5"/>
      <c r="N68" s="5"/>
      <c r="O68" s="5"/>
      <c r="P68" s="5"/>
      <c r="Q68" s="5"/>
      <c r="R68" s="5"/>
      <c r="S68" s="5"/>
      <c r="T68" s="5"/>
      <c r="U68" s="5"/>
      <c r="V68" s="5"/>
      <c r="W68" s="5"/>
      <c r="X68" s="5"/>
      <c r="Y68" s="5"/>
      <c r="Z68" s="5"/>
      <c r="AA68" s="5"/>
      <c r="AB68" s="5"/>
      <c r="AC68" s="5"/>
      <c r="AD68" s="5"/>
    </row>
    <row r="69" customFormat="false" ht="57" hidden="false" customHeight="true" outlineLevel="0" collapsed="false">
      <c r="A69" s="5"/>
      <c r="B69" s="22" t="s">
        <v>41</v>
      </c>
      <c r="C69" s="22"/>
      <c r="D69" s="22"/>
      <c r="E69" s="22"/>
      <c r="F69" s="22"/>
      <c r="G69" s="22"/>
      <c r="H69" s="5"/>
      <c r="I69" s="5"/>
      <c r="J69" s="5"/>
      <c r="K69" s="5"/>
      <c r="L69" s="5"/>
      <c r="M69" s="5"/>
      <c r="N69" s="5"/>
      <c r="O69" s="5"/>
      <c r="P69" s="5"/>
      <c r="Q69" s="5"/>
      <c r="R69" s="5"/>
      <c r="S69" s="5"/>
      <c r="T69" s="5"/>
      <c r="U69" s="5"/>
      <c r="V69" s="5"/>
      <c r="W69" s="5"/>
      <c r="X69" s="5"/>
      <c r="Y69" s="5"/>
      <c r="Z69" s="5"/>
      <c r="AA69" s="5"/>
      <c r="AB69" s="5"/>
      <c r="AC69" s="5"/>
      <c r="AD69" s="5"/>
    </row>
    <row r="70" customFormat="false" ht="15" hidden="false" customHeight="false" outlineLevel="0" collapsed="false">
      <c r="A70" s="5"/>
      <c r="B70" s="23" t="s">
        <v>42</v>
      </c>
      <c r="C70" s="23"/>
      <c r="D70" s="23"/>
      <c r="E70" s="23"/>
      <c r="F70" s="23"/>
      <c r="G70" s="23"/>
      <c r="H70" s="5"/>
      <c r="I70" s="5"/>
      <c r="J70" s="5"/>
      <c r="K70" s="5"/>
      <c r="L70" s="5"/>
      <c r="M70" s="5"/>
      <c r="N70" s="5"/>
      <c r="O70" s="5"/>
      <c r="P70" s="5"/>
      <c r="Q70" s="5"/>
      <c r="R70" s="5"/>
      <c r="S70" s="5"/>
      <c r="T70" s="5"/>
      <c r="U70" s="5"/>
      <c r="V70" s="5"/>
      <c r="W70" s="5"/>
      <c r="X70" s="5"/>
      <c r="Y70" s="5"/>
      <c r="Z70" s="5"/>
      <c r="AA70" s="5"/>
      <c r="AB70" s="5"/>
      <c r="AC70" s="5"/>
      <c r="AD70" s="5"/>
    </row>
    <row r="71" customFormat="false" ht="15" hidden="false" customHeight="false" outlineLevel="0" collapsed="false">
      <c r="A71" s="5"/>
      <c r="B71" s="24" t="s">
        <v>43</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row>
    <row r="72" customFormat="false" ht="15" hidden="false" customHeight="false" outlineLevel="0" collapsed="false">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customFormat="false" ht="15" hidden="false" customHeight="false" outlineLevel="0" collapsed="false">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customFormat="false" ht="19.5" hidden="false" customHeight="true" outlineLevel="0" collapsed="false">
      <c r="A74" s="5"/>
      <c r="B74" s="20" t="s">
        <v>38</v>
      </c>
      <c r="C74" s="21"/>
      <c r="D74" s="21"/>
      <c r="E74" s="21"/>
      <c r="F74" s="21"/>
      <c r="G74" s="21"/>
      <c r="H74" s="5"/>
      <c r="I74" s="5"/>
      <c r="J74" s="5"/>
      <c r="K74" s="5"/>
      <c r="L74" s="5"/>
      <c r="M74" s="5"/>
      <c r="N74" s="5"/>
      <c r="O74" s="5"/>
      <c r="P74" s="5"/>
      <c r="Q74" s="5"/>
      <c r="R74" s="5"/>
      <c r="S74" s="5"/>
      <c r="T74" s="5"/>
      <c r="U74" s="5"/>
      <c r="V74" s="5"/>
      <c r="W74" s="5"/>
      <c r="X74" s="5"/>
      <c r="Y74" s="5"/>
      <c r="Z74" s="5"/>
      <c r="AA74" s="5"/>
      <c r="AB74" s="5"/>
      <c r="AC74" s="5"/>
      <c r="AD74" s="5"/>
    </row>
    <row r="75" customFormat="false" ht="283.5" hidden="false" customHeight="true" outlineLevel="0" collapsed="false">
      <c r="A75" s="5"/>
      <c r="B75" s="22" t="s">
        <v>39</v>
      </c>
      <c r="C75" s="22"/>
      <c r="D75" s="22"/>
      <c r="E75" s="22"/>
      <c r="F75" s="22"/>
      <c r="G75" s="22"/>
      <c r="H75" s="5"/>
      <c r="I75" s="5"/>
      <c r="J75" s="5"/>
      <c r="K75" s="5"/>
      <c r="L75" s="5"/>
      <c r="M75" s="5"/>
      <c r="N75" s="5"/>
      <c r="O75" s="5"/>
      <c r="P75" s="5"/>
      <c r="Q75" s="5"/>
      <c r="R75" s="5"/>
      <c r="S75" s="5"/>
      <c r="T75" s="5"/>
      <c r="U75" s="5"/>
      <c r="V75" s="5"/>
      <c r="W75" s="5"/>
      <c r="X75" s="5"/>
      <c r="Y75" s="5"/>
      <c r="Z75" s="5"/>
      <c r="AA75" s="5"/>
      <c r="AB75" s="5"/>
      <c r="AC75" s="5"/>
      <c r="AD75" s="5"/>
    </row>
    <row r="76" customFormat="false" ht="15" hidden="false" customHeight="false" outlineLevel="0" collapsed="false">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customFormat="false" ht="19.5" hidden="false" customHeight="true" outlineLevel="0" collapsed="false">
      <c r="A77" s="5"/>
      <c r="B77" s="20" t="s">
        <v>40</v>
      </c>
      <c r="C77" s="21"/>
      <c r="D77" s="21"/>
      <c r="E77" s="21"/>
      <c r="F77" s="21"/>
      <c r="G77" s="21"/>
      <c r="H77" s="5"/>
      <c r="I77" s="5"/>
      <c r="J77" s="5"/>
      <c r="K77" s="5"/>
      <c r="L77" s="5"/>
      <c r="M77" s="5"/>
      <c r="N77" s="5"/>
      <c r="O77" s="5"/>
      <c r="P77" s="5"/>
      <c r="Q77" s="5"/>
      <c r="R77" s="5"/>
      <c r="S77" s="5"/>
      <c r="T77" s="5"/>
      <c r="U77" s="5"/>
      <c r="V77" s="5"/>
      <c r="W77" s="5"/>
      <c r="X77" s="5"/>
      <c r="Y77" s="5"/>
      <c r="Z77" s="5"/>
      <c r="AA77" s="5"/>
      <c r="AB77" s="5"/>
      <c r="AC77" s="5"/>
      <c r="AD77" s="5"/>
    </row>
    <row r="78" customFormat="false" ht="57" hidden="false" customHeight="true" outlineLevel="0" collapsed="false">
      <c r="A78" s="5"/>
      <c r="B78" s="22" t="s">
        <v>41</v>
      </c>
      <c r="C78" s="22"/>
      <c r="D78" s="22"/>
      <c r="E78" s="22"/>
      <c r="F78" s="22"/>
      <c r="G78" s="22"/>
      <c r="H78" s="5"/>
      <c r="I78" s="5"/>
      <c r="J78" s="5"/>
      <c r="K78" s="5"/>
      <c r="L78" s="5"/>
      <c r="M78" s="5"/>
      <c r="N78" s="5"/>
      <c r="O78" s="5"/>
      <c r="P78" s="5"/>
      <c r="Q78" s="5"/>
      <c r="R78" s="5"/>
      <c r="S78" s="5"/>
      <c r="T78" s="5"/>
      <c r="U78" s="5"/>
      <c r="V78" s="5"/>
      <c r="W78" s="5"/>
      <c r="X78" s="5"/>
      <c r="Y78" s="5"/>
      <c r="Z78" s="5"/>
      <c r="AA78" s="5"/>
      <c r="AB78" s="5"/>
      <c r="AC78" s="5"/>
      <c r="AD78" s="5"/>
    </row>
    <row r="79" customFormat="false" ht="15" hidden="false" customHeight="false" outlineLevel="0" collapsed="false">
      <c r="A79" s="5"/>
      <c r="B79" s="23" t="s">
        <v>42</v>
      </c>
      <c r="C79" s="23"/>
      <c r="D79" s="23"/>
      <c r="E79" s="23"/>
      <c r="F79" s="23"/>
      <c r="G79" s="23"/>
      <c r="H79" s="5"/>
      <c r="I79" s="5"/>
      <c r="J79" s="5"/>
      <c r="K79" s="5"/>
      <c r="L79" s="5"/>
      <c r="M79" s="5"/>
      <c r="N79" s="5"/>
      <c r="O79" s="5"/>
      <c r="P79" s="5"/>
      <c r="Q79" s="5"/>
      <c r="R79" s="5"/>
      <c r="S79" s="5"/>
      <c r="T79" s="5"/>
      <c r="U79" s="5"/>
      <c r="V79" s="5"/>
      <c r="W79" s="5"/>
      <c r="X79" s="5"/>
      <c r="Y79" s="5"/>
      <c r="Z79" s="5"/>
      <c r="AA79" s="5"/>
      <c r="AB79" s="5"/>
      <c r="AC79" s="5"/>
      <c r="AD79" s="5"/>
    </row>
    <row r="80" customFormat="false" ht="15" hidden="false" customHeight="false" outlineLevel="0" collapsed="false">
      <c r="A80" s="5"/>
      <c r="B80" s="24" t="s">
        <v>43</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row>
    <row r="81" customFormat="false" ht="15" hidden="false" customHeight="false" outlineLevel="0" collapsed="false">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row>
    <row r="82" customFormat="false" ht="15" hidden="false" customHeight="false" outlineLevel="0" collapsed="false">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row>
    <row r="83" customFormat="false" ht="19.5" hidden="false" customHeight="true" outlineLevel="0" collapsed="false">
      <c r="A83" s="5"/>
      <c r="B83" s="20" t="s">
        <v>38</v>
      </c>
      <c r="C83" s="21"/>
      <c r="D83" s="21"/>
      <c r="E83" s="21"/>
      <c r="F83" s="21"/>
      <c r="G83" s="21"/>
      <c r="H83" s="5"/>
      <c r="I83" s="5"/>
      <c r="J83" s="5"/>
      <c r="K83" s="5"/>
      <c r="L83" s="5"/>
      <c r="M83" s="5"/>
      <c r="N83" s="5"/>
      <c r="O83" s="5"/>
      <c r="P83" s="5"/>
      <c r="Q83" s="5"/>
      <c r="R83" s="5"/>
      <c r="S83" s="5"/>
      <c r="T83" s="5"/>
      <c r="U83" s="5"/>
      <c r="V83" s="5"/>
      <c r="W83" s="5"/>
      <c r="X83" s="5"/>
      <c r="Y83" s="5"/>
      <c r="Z83" s="5"/>
      <c r="AA83" s="5"/>
      <c r="AB83" s="5"/>
      <c r="AC83" s="5"/>
      <c r="AD83" s="5"/>
    </row>
    <row r="84" customFormat="false" ht="283.5" hidden="false" customHeight="true" outlineLevel="0" collapsed="false">
      <c r="A84" s="5"/>
      <c r="B84" s="22" t="s">
        <v>39</v>
      </c>
      <c r="C84" s="22"/>
      <c r="D84" s="22"/>
      <c r="E84" s="22"/>
      <c r="F84" s="22"/>
      <c r="G84" s="22"/>
      <c r="H84" s="5"/>
      <c r="I84" s="5"/>
      <c r="J84" s="5"/>
      <c r="K84" s="5"/>
      <c r="L84" s="5"/>
      <c r="M84" s="5"/>
      <c r="N84" s="5"/>
      <c r="O84" s="5"/>
      <c r="P84" s="5"/>
      <c r="Q84" s="5"/>
      <c r="R84" s="5"/>
      <c r="S84" s="5"/>
      <c r="T84" s="5"/>
      <c r="U84" s="5"/>
      <c r="V84" s="5"/>
      <c r="W84" s="5"/>
      <c r="X84" s="5"/>
      <c r="Y84" s="5"/>
      <c r="Z84" s="5"/>
      <c r="AA84" s="5"/>
      <c r="AB84" s="5"/>
      <c r="AC84" s="5"/>
      <c r="AD84" s="5"/>
    </row>
    <row r="85" customFormat="false" ht="15" hidden="false" customHeight="false" outlineLevel="0" collapsed="false">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row>
    <row r="86" customFormat="false" ht="19.5" hidden="false" customHeight="true" outlineLevel="0" collapsed="false">
      <c r="A86" s="5"/>
      <c r="B86" s="20" t="s">
        <v>40</v>
      </c>
      <c r="C86" s="21"/>
      <c r="D86" s="21"/>
      <c r="E86" s="21"/>
      <c r="F86" s="21"/>
      <c r="G86" s="21"/>
      <c r="H86" s="5"/>
      <c r="I86" s="5"/>
      <c r="J86" s="5"/>
      <c r="K86" s="5"/>
      <c r="L86" s="5"/>
      <c r="M86" s="5"/>
      <c r="N86" s="5"/>
      <c r="O86" s="5"/>
      <c r="P86" s="5"/>
      <c r="Q86" s="5"/>
      <c r="R86" s="5"/>
      <c r="S86" s="5"/>
      <c r="T86" s="5"/>
      <c r="U86" s="5"/>
      <c r="V86" s="5"/>
      <c r="W86" s="5"/>
      <c r="X86" s="5"/>
      <c r="Y86" s="5"/>
      <c r="Z86" s="5"/>
      <c r="AA86" s="5"/>
      <c r="AB86" s="5"/>
      <c r="AC86" s="5"/>
      <c r="AD86" s="5"/>
    </row>
    <row r="87" customFormat="false" ht="57" hidden="false" customHeight="true" outlineLevel="0" collapsed="false">
      <c r="A87" s="5"/>
      <c r="B87" s="22" t="s">
        <v>41</v>
      </c>
      <c r="C87" s="22"/>
      <c r="D87" s="22"/>
      <c r="E87" s="22"/>
      <c r="F87" s="22"/>
      <c r="G87" s="22"/>
      <c r="H87" s="5"/>
      <c r="I87" s="5"/>
      <c r="J87" s="5"/>
      <c r="K87" s="5"/>
      <c r="L87" s="5"/>
      <c r="M87" s="5"/>
      <c r="N87" s="5"/>
      <c r="O87" s="5"/>
      <c r="P87" s="5"/>
      <c r="Q87" s="5"/>
      <c r="R87" s="5"/>
      <c r="S87" s="5"/>
      <c r="T87" s="5"/>
      <c r="U87" s="5"/>
      <c r="V87" s="5"/>
      <c r="W87" s="5"/>
      <c r="X87" s="5"/>
      <c r="Y87" s="5"/>
      <c r="Z87" s="5"/>
      <c r="AA87" s="5"/>
      <c r="AB87" s="5"/>
      <c r="AC87" s="5"/>
      <c r="AD87" s="5"/>
    </row>
    <row r="88" customFormat="false" ht="15" hidden="false" customHeight="false" outlineLevel="0" collapsed="false">
      <c r="A88" s="5"/>
      <c r="B88" s="23" t="s">
        <v>42</v>
      </c>
      <c r="C88" s="23"/>
      <c r="D88" s="23"/>
      <c r="E88" s="23"/>
      <c r="F88" s="23"/>
      <c r="G88" s="23"/>
      <c r="H88" s="5"/>
      <c r="I88" s="5"/>
      <c r="J88" s="5"/>
      <c r="K88" s="5"/>
      <c r="L88" s="5"/>
      <c r="M88" s="5"/>
      <c r="N88" s="5"/>
      <c r="O88" s="5"/>
      <c r="P88" s="5"/>
      <c r="Q88" s="5"/>
      <c r="R88" s="5"/>
      <c r="S88" s="5"/>
      <c r="T88" s="5"/>
      <c r="U88" s="5"/>
      <c r="V88" s="5"/>
      <c r="W88" s="5"/>
      <c r="X88" s="5"/>
      <c r="Y88" s="5"/>
      <c r="Z88" s="5"/>
      <c r="AA88" s="5"/>
      <c r="AB88" s="5"/>
      <c r="AC88" s="5"/>
      <c r="AD88" s="5"/>
    </row>
    <row r="89" customFormat="false" ht="15" hidden="false" customHeight="false" outlineLevel="0" collapsed="false">
      <c r="A89" s="5"/>
      <c r="B89" s="24" t="s">
        <v>43</v>
      </c>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row>
    <row r="90" customFormat="false" ht="15" hidden="false" customHeight="false" outlineLevel="0" collapsed="false">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row>
    <row r="91" customFormat="false" ht="15" hidden="false" customHeight="false" outlineLevel="0" collapsed="false">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row>
    <row r="92" customFormat="false" ht="19.5" hidden="false" customHeight="true" outlineLevel="0" collapsed="false">
      <c r="A92" s="5"/>
      <c r="B92" s="20" t="s">
        <v>38</v>
      </c>
      <c r="C92" s="21"/>
      <c r="D92" s="21"/>
      <c r="E92" s="21"/>
      <c r="F92" s="21"/>
      <c r="G92" s="21"/>
      <c r="H92" s="5"/>
      <c r="I92" s="5"/>
      <c r="J92" s="5"/>
      <c r="K92" s="5"/>
      <c r="L92" s="5"/>
      <c r="M92" s="5"/>
      <c r="N92" s="5"/>
      <c r="O92" s="5"/>
      <c r="P92" s="5"/>
      <c r="Q92" s="5"/>
      <c r="R92" s="5"/>
      <c r="S92" s="5"/>
      <c r="T92" s="5"/>
      <c r="U92" s="5"/>
      <c r="V92" s="5"/>
      <c r="W92" s="5"/>
      <c r="X92" s="5"/>
      <c r="Y92" s="5"/>
      <c r="Z92" s="5"/>
      <c r="AA92" s="5"/>
      <c r="AB92" s="5"/>
      <c r="AC92" s="5"/>
      <c r="AD92" s="5"/>
    </row>
    <row r="93" customFormat="false" ht="283.5" hidden="false" customHeight="true" outlineLevel="0" collapsed="false">
      <c r="A93" s="5"/>
      <c r="B93" s="22" t="s">
        <v>39</v>
      </c>
      <c r="C93" s="22"/>
      <c r="D93" s="22"/>
      <c r="E93" s="22"/>
      <c r="F93" s="22"/>
      <c r="G93" s="22"/>
      <c r="H93" s="5"/>
      <c r="I93" s="5"/>
      <c r="J93" s="5"/>
      <c r="K93" s="5"/>
      <c r="L93" s="5"/>
      <c r="M93" s="5"/>
      <c r="N93" s="5"/>
      <c r="O93" s="5"/>
      <c r="P93" s="5"/>
      <c r="Q93" s="5"/>
      <c r="R93" s="5"/>
      <c r="S93" s="5"/>
      <c r="T93" s="5"/>
      <c r="U93" s="5"/>
      <c r="V93" s="5"/>
      <c r="W93" s="5"/>
      <c r="X93" s="5"/>
      <c r="Y93" s="5"/>
      <c r="Z93" s="5"/>
      <c r="AA93" s="5"/>
      <c r="AB93" s="5"/>
      <c r="AC93" s="5"/>
      <c r="AD93" s="5"/>
    </row>
    <row r="94" customFormat="false" ht="15" hidden="false" customHeight="false" outlineLevel="0" collapsed="false">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row>
    <row r="95" customFormat="false" ht="19.5" hidden="false" customHeight="true" outlineLevel="0" collapsed="false">
      <c r="A95" s="5"/>
      <c r="B95" s="20" t="s">
        <v>40</v>
      </c>
      <c r="C95" s="21"/>
      <c r="D95" s="21"/>
      <c r="E95" s="21"/>
      <c r="F95" s="21"/>
      <c r="G95" s="21"/>
      <c r="H95" s="5"/>
      <c r="I95" s="5"/>
      <c r="J95" s="5"/>
      <c r="K95" s="5"/>
      <c r="L95" s="5"/>
      <c r="M95" s="5"/>
      <c r="N95" s="5"/>
      <c r="O95" s="5"/>
      <c r="P95" s="5"/>
      <c r="Q95" s="5"/>
      <c r="R95" s="5"/>
      <c r="S95" s="5"/>
      <c r="T95" s="5"/>
      <c r="U95" s="5"/>
      <c r="V95" s="5"/>
      <c r="W95" s="5"/>
      <c r="X95" s="5"/>
      <c r="Y95" s="5"/>
      <c r="Z95" s="5"/>
      <c r="AA95" s="5"/>
      <c r="AB95" s="5"/>
      <c r="AC95" s="5"/>
      <c r="AD95" s="5"/>
    </row>
    <row r="96" customFormat="false" ht="57" hidden="false" customHeight="true" outlineLevel="0" collapsed="false">
      <c r="A96" s="5"/>
      <c r="B96" s="22" t="s">
        <v>41</v>
      </c>
      <c r="C96" s="22"/>
      <c r="D96" s="22"/>
      <c r="E96" s="22"/>
      <c r="F96" s="22"/>
      <c r="G96" s="22"/>
      <c r="H96" s="5"/>
      <c r="I96" s="5"/>
      <c r="J96" s="5"/>
      <c r="K96" s="5"/>
      <c r="L96" s="5"/>
      <c r="M96" s="5"/>
      <c r="N96" s="5"/>
      <c r="O96" s="5"/>
      <c r="P96" s="5"/>
      <c r="Q96" s="5"/>
      <c r="R96" s="5"/>
      <c r="S96" s="5"/>
      <c r="T96" s="5"/>
      <c r="U96" s="5"/>
      <c r="V96" s="5"/>
      <c r="W96" s="5"/>
      <c r="X96" s="5"/>
      <c r="Y96" s="5"/>
      <c r="Z96" s="5"/>
      <c r="AA96" s="5"/>
      <c r="AB96" s="5"/>
      <c r="AC96" s="5"/>
      <c r="AD96" s="5"/>
    </row>
    <row r="97" customFormat="false" ht="15" hidden="false" customHeight="false" outlineLevel="0" collapsed="false">
      <c r="A97" s="5"/>
      <c r="B97" s="23" t="s">
        <v>42</v>
      </c>
      <c r="C97" s="23"/>
      <c r="D97" s="23"/>
      <c r="E97" s="23"/>
      <c r="F97" s="23"/>
      <c r="G97" s="23"/>
      <c r="H97" s="5"/>
      <c r="I97" s="5"/>
      <c r="J97" s="5"/>
      <c r="K97" s="5"/>
      <c r="L97" s="5"/>
      <c r="M97" s="5"/>
      <c r="N97" s="5"/>
      <c r="O97" s="5"/>
      <c r="P97" s="5"/>
      <c r="Q97" s="5"/>
      <c r="R97" s="5"/>
      <c r="S97" s="5"/>
      <c r="T97" s="5"/>
      <c r="U97" s="5"/>
      <c r="V97" s="5"/>
      <c r="W97" s="5"/>
      <c r="X97" s="5"/>
      <c r="Y97" s="5"/>
      <c r="Z97" s="5"/>
      <c r="AA97" s="5"/>
      <c r="AB97" s="5"/>
      <c r="AC97" s="5"/>
      <c r="AD97" s="5"/>
    </row>
    <row r="98" customFormat="false" ht="15" hidden="false" customHeight="false" outlineLevel="0" collapsed="false">
      <c r="A98" s="5"/>
      <c r="B98" s="24" t="s">
        <v>43</v>
      </c>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customFormat="false" ht="15" hidden="false" customHeight="false" outlineLevel="0" collapsed="false">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customFormat="false" ht="15" hidden="false" customHeight="false" outlineLevel="0" collapsed="false">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customFormat="false" ht="19.5" hidden="false" customHeight="true" outlineLevel="0" collapsed="false">
      <c r="A101" s="5"/>
      <c r="B101" s="20" t="s">
        <v>38</v>
      </c>
      <c r="C101" s="21"/>
      <c r="D101" s="21"/>
      <c r="E101" s="21"/>
      <c r="F101" s="21"/>
      <c r="G101" s="21"/>
      <c r="H101" s="5"/>
      <c r="I101" s="5"/>
      <c r="J101" s="5"/>
      <c r="K101" s="5"/>
      <c r="L101" s="5"/>
      <c r="M101" s="5"/>
      <c r="N101" s="5"/>
      <c r="O101" s="5"/>
      <c r="P101" s="5"/>
      <c r="Q101" s="5"/>
      <c r="R101" s="5"/>
      <c r="S101" s="5"/>
      <c r="T101" s="5"/>
      <c r="U101" s="5"/>
      <c r="V101" s="5"/>
      <c r="W101" s="5"/>
      <c r="X101" s="5"/>
      <c r="Y101" s="5"/>
      <c r="Z101" s="5"/>
      <c r="AA101" s="5"/>
      <c r="AB101" s="5"/>
      <c r="AC101" s="5"/>
      <c r="AD101" s="5"/>
    </row>
    <row r="102" customFormat="false" ht="283.5" hidden="false" customHeight="true" outlineLevel="0" collapsed="false">
      <c r="A102" s="5"/>
      <c r="B102" s="22" t="s">
        <v>39</v>
      </c>
      <c r="C102" s="22"/>
      <c r="D102" s="22"/>
      <c r="E102" s="22"/>
      <c r="F102" s="22"/>
      <c r="G102" s="22"/>
      <c r="H102" s="5"/>
      <c r="I102" s="5"/>
      <c r="J102" s="5"/>
      <c r="K102" s="5"/>
      <c r="L102" s="5"/>
      <c r="M102" s="5"/>
      <c r="N102" s="5"/>
      <c r="O102" s="5"/>
      <c r="P102" s="5"/>
      <c r="Q102" s="5"/>
      <c r="R102" s="5"/>
      <c r="S102" s="5"/>
      <c r="T102" s="5"/>
      <c r="U102" s="5"/>
      <c r="V102" s="5"/>
      <c r="W102" s="5"/>
      <c r="X102" s="5"/>
      <c r="Y102" s="5"/>
      <c r="Z102" s="5"/>
      <c r="AA102" s="5"/>
      <c r="AB102" s="5"/>
      <c r="AC102" s="5"/>
      <c r="AD102" s="5"/>
    </row>
    <row r="103" customFormat="false" ht="15" hidden="false" customHeight="false" outlineLevel="0" collapsed="false">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customFormat="false" ht="19.5" hidden="false" customHeight="true" outlineLevel="0" collapsed="false">
      <c r="A104" s="5"/>
      <c r="B104" s="20" t="s">
        <v>40</v>
      </c>
      <c r="C104" s="21"/>
      <c r="D104" s="21"/>
      <c r="E104" s="21"/>
      <c r="F104" s="21"/>
      <c r="G104" s="21"/>
      <c r="H104" s="5"/>
      <c r="I104" s="5"/>
      <c r="J104" s="5"/>
      <c r="K104" s="5"/>
      <c r="L104" s="5"/>
      <c r="M104" s="5"/>
      <c r="N104" s="5"/>
      <c r="O104" s="5"/>
      <c r="P104" s="5"/>
      <c r="Q104" s="5"/>
      <c r="R104" s="5"/>
      <c r="S104" s="5"/>
      <c r="T104" s="5"/>
      <c r="U104" s="5"/>
      <c r="V104" s="5"/>
      <c r="W104" s="5"/>
      <c r="X104" s="5"/>
      <c r="Y104" s="5"/>
      <c r="Z104" s="5"/>
      <c r="AA104" s="5"/>
      <c r="AB104" s="5"/>
      <c r="AC104" s="5"/>
      <c r="AD104" s="5"/>
    </row>
    <row r="105" customFormat="false" ht="57" hidden="false" customHeight="true" outlineLevel="0" collapsed="false">
      <c r="A105" s="5"/>
      <c r="B105" s="22" t="s">
        <v>41</v>
      </c>
      <c r="C105" s="22"/>
      <c r="D105" s="22"/>
      <c r="E105" s="22"/>
      <c r="F105" s="22"/>
      <c r="G105" s="22"/>
      <c r="H105" s="5"/>
      <c r="I105" s="5"/>
      <c r="J105" s="5"/>
      <c r="K105" s="5"/>
      <c r="L105" s="5"/>
      <c r="M105" s="5"/>
      <c r="N105" s="5"/>
      <c r="O105" s="5"/>
      <c r="P105" s="5"/>
      <c r="Q105" s="5"/>
      <c r="R105" s="5"/>
      <c r="S105" s="5"/>
      <c r="T105" s="5"/>
      <c r="U105" s="5"/>
      <c r="V105" s="5"/>
      <c r="W105" s="5"/>
      <c r="X105" s="5"/>
      <c r="Y105" s="5"/>
      <c r="Z105" s="5"/>
      <c r="AA105" s="5"/>
      <c r="AB105" s="5"/>
      <c r="AC105" s="5"/>
      <c r="AD105" s="5"/>
    </row>
    <row r="106" customFormat="false" ht="15" hidden="false" customHeight="false" outlineLevel="0" collapsed="false">
      <c r="A106" s="5"/>
      <c r="B106" s="23" t="s">
        <v>42</v>
      </c>
      <c r="C106" s="23"/>
      <c r="D106" s="23"/>
      <c r="E106" s="23"/>
      <c r="F106" s="23"/>
      <c r="G106" s="23"/>
      <c r="H106" s="5"/>
      <c r="I106" s="5"/>
      <c r="J106" s="5"/>
      <c r="K106" s="5"/>
      <c r="L106" s="5"/>
      <c r="M106" s="5"/>
      <c r="N106" s="5"/>
      <c r="O106" s="5"/>
      <c r="P106" s="5"/>
      <c r="Q106" s="5"/>
      <c r="R106" s="5"/>
      <c r="S106" s="5"/>
      <c r="T106" s="5"/>
      <c r="U106" s="5"/>
      <c r="V106" s="5"/>
      <c r="W106" s="5"/>
      <c r="X106" s="5"/>
      <c r="Y106" s="5"/>
      <c r="Z106" s="5"/>
      <c r="AA106" s="5"/>
      <c r="AB106" s="5"/>
      <c r="AC106" s="5"/>
      <c r="AD106" s="5"/>
    </row>
    <row r="107" customFormat="false" ht="15" hidden="false" customHeight="false" outlineLevel="0" collapsed="false">
      <c r="A107" s="5"/>
      <c r="B107" s="24" t="s">
        <v>43</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customFormat="false" ht="15" hidden="false" customHeight="false" outlineLevel="0" collapsed="false">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customFormat="false" ht="15" hidden="false" customHeight="false" outlineLevel="0" collapsed="false">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customFormat="false" ht="19.5" hidden="false" customHeight="true" outlineLevel="0" collapsed="false">
      <c r="A110" s="5"/>
      <c r="B110" s="25" t="s">
        <v>38</v>
      </c>
      <c r="C110" s="26"/>
      <c r="D110" s="26"/>
      <c r="E110" s="26"/>
      <c r="F110" s="26"/>
      <c r="G110" s="26"/>
      <c r="H110" s="5"/>
      <c r="I110" s="5"/>
      <c r="J110" s="5"/>
      <c r="K110" s="5"/>
      <c r="L110" s="5"/>
      <c r="M110" s="5"/>
      <c r="N110" s="5"/>
      <c r="O110" s="5"/>
      <c r="P110" s="5"/>
      <c r="Q110" s="5"/>
      <c r="R110" s="5"/>
      <c r="S110" s="5"/>
      <c r="T110" s="5"/>
      <c r="U110" s="5"/>
      <c r="V110" s="5"/>
      <c r="W110" s="5"/>
      <c r="X110" s="5"/>
      <c r="Y110" s="5"/>
      <c r="Z110" s="5"/>
      <c r="AA110" s="5"/>
      <c r="AB110" s="5"/>
      <c r="AC110" s="5"/>
      <c r="AD110" s="5"/>
    </row>
    <row r="111" customFormat="false" ht="283.5" hidden="false" customHeight="true" outlineLevel="0" collapsed="false">
      <c r="A111" s="5"/>
      <c r="B111" s="22" t="s">
        <v>39</v>
      </c>
      <c r="C111" s="22"/>
      <c r="D111" s="22"/>
      <c r="E111" s="22"/>
      <c r="F111" s="22"/>
      <c r="G111" s="22"/>
      <c r="H111" s="5"/>
      <c r="I111" s="5"/>
      <c r="J111" s="5"/>
      <c r="K111" s="5"/>
      <c r="L111" s="5"/>
      <c r="M111" s="5"/>
      <c r="N111" s="5"/>
      <c r="O111" s="5"/>
      <c r="P111" s="5"/>
      <c r="Q111" s="5"/>
      <c r="R111" s="5"/>
      <c r="S111" s="5"/>
      <c r="T111" s="5"/>
      <c r="U111" s="5"/>
      <c r="V111" s="5"/>
      <c r="W111" s="5"/>
      <c r="X111" s="5"/>
      <c r="Y111" s="5"/>
      <c r="Z111" s="5"/>
      <c r="AA111" s="5"/>
      <c r="AB111" s="5"/>
      <c r="AC111" s="5"/>
      <c r="AD111" s="5"/>
    </row>
    <row r="112" customFormat="false" ht="15" hidden="false" customHeight="false" outlineLevel="0" collapsed="false">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customFormat="false" ht="19.5" hidden="false" customHeight="true" outlineLevel="0" collapsed="false">
      <c r="A113" s="5"/>
      <c r="B113" s="25" t="s">
        <v>40</v>
      </c>
      <c r="C113" s="26"/>
      <c r="D113" s="26"/>
      <c r="E113" s="26"/>
      <c r="F113" s="26"/>
      <c r="G113" s="26"/>
      <c r="H113" s="5"/>
      <c r="I113" s="5"/>
      <c r="J113" s="5"/>
      <c r="K113" s="5"/>
      <c r="L113" s="5"/>
      <c r="M113" s="5"/>
      <c r="N113" s="5"/>
      <c r="O113" s="5"/>
      <c r="P113" s="5"/>
      <c r="Q113" s="5"/>
      <c r="R113" s="5"/>
      <c r="S113" s="5"/>
      <c r="T113" s="5"/>
      <c r="U113" s="5"/>
      <c r="V113" s="5"/>
      <c r="W113" s="5"/>
      <c r="X113" s="5"/>
      <c r="Y113" s="5"/>
      <c r="Z113" s="5"/>
      <c r="AA113" s="5"/>
      <c r="AB113" s="5"/>
      <c r="AC113" s="5"/>
      <c r="AD113" s="5"/>
    </row>
    <row r="114" customFormat="false" ht="57" hidden="false" customHeight="true" outlineLevel="0" collapsed="false">
      <c r="A114" s="5"/>
      <c r="B114" s="22" t="s">
        <v>41</v>
      </c>
      <c r="C114" s="22"/>
      <c r="D114" s="22"/>
      <c r="E114" s="22"/>
      <c r="F114" s="22"/>
      <c r="G114" s="22"/>
      <c r="H114" s="5"/>
      <c r="I114" s="5"/>
      <c r="J114" s="5"/>
      <c r="K114" s="5"/>
      <c r="L114" s="5"/>
      <c r="M114" s="5"/>
      <c r="N114" s="5"/>
      <c r="O114" s="5"/>
      <c r="P114" s="5"/>
      <c r="Q114" s="5"/>
      <c r="R114" s="5"/>
      <c r="S114" s="5"/>
      <c r="T114" s="5"/>
      <c r="U114" s="5"/>
      <c r="V114" s="5"/>
      <c r="W114" s="5"/>
      <c r="X114" s="5"/>
      <c r="Y114" s="5"/>
      <c r="Z114" s="5"/>
      <c r="AA114" s="5"/>
      <c r="AB114" s="5"/>
      <c r="AC114" s="5"/>
      <c r="AD114" s="5"/>
    </row>
    <row r="115" customFormat="false" ht="15" hidden="false" customHeight="false" outlineLevel="0" collapsed="false">
      <c r="A115" s="5"/>
      <c r="B115" s="23" t="s">
        <v>42</v>
      </c>
      <c r="C115" s="23"/>
      <c r="D115" s="23"/>
      <c r="E115" s="23"/>
      <c r="F115" s="23"/>
      <c r="G115" s="23"/>
      <c r="H115" s="5"/>
      <c r="I115" s="5"/>
      <c r="J115" s="5"/>
      <c r="K115" s="5"/>
      <c r="L115" s="5"/>
      <c r="M115" s="5"/>
      <c r="N115" s="5"/>
      <c r="O115" s="5"/>
      <c r="P115" s="5"/>
      <c r="Q115" s="5"/>
      <c r="R115" s="5"/>
      <c r="S115" s="5"/>
      <c r="T115" s="5"/>
      <c r="U115" s="5"/>
      <c r="V115" s="5"/>
      <c r="W115" s="5"/>
      <c r="X115" s="5"/>
      <c r="Y115" s="5"/>
      <c r="Z115" s="5"/>
      <c r="AA115" s="5"/>
      <c r="AB115" s="5"/>
      <c r="AC115" s="5"/>
      <c r="AD115" s="5"/>
    </row>
    <row r="116" customFormat="false" ht="15" hidden="false" customHeight="false" outlineLevel="0" collapsed="false">
      <c r="A116" s="5"/>
      <c r="B116" s="27" t="s">
        <v>43</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sheetData>
  <mergeCells count="30">
    <mergeCell ref="B30:G30"/>
    <mergeCell ref="B33:G33"/>
    <mergeCell ref="B34:G34"/>
    <mergeCell ref="B39:G39"/>
    <mergeCell ref="B42:G42"/>
    <mergeCell ref="B43:G43"/>
    <mergeCell ref="B48:G48"/>
    <mergeCell ref="B51:G51"/>
    <mergeCell ref="B52:G52"/>
    <mergeCell ref="B57:G57"/>
    <mergeCell ref="B60:G60"/>
    <mergeCell ref="B61:G61"/>
    <mergeCell ref="B66:G66"/>
    <mergeCell ref="B69:G69"/>
    <mergeCell ref="B70:G70"/>
    <mergeCell ref="B75:G75"/>
    <mergeCell ref="B78:G78"/>
    <mergeCell ref="B79:G79"/>
    <mergeCell ref="B84:G84"/>
    <mergeCell ref="B87:G87"/>
    <mergeCell ref="B88:G88"/>
    <mergeCell ref="B93:G93"/>
    <mergeCell ref="B96:G96"/>
    <mergeCell ref="B97:G97"/>
    <mergeCell ref="B102:G102"/>
    <mergeCell ref="B105:G105"/>
    <mergeCell ref="B106:G106"/>
    <mergeCell ref="B111:G111"/>
    <mergeCell ref="B114:G114"/>
    <mergeCell ref="B115:G11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4"/>
    <col collapsed="false" customWidth="true" hidden="false" outlineLevel="0" max="5" min="5"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36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213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28" t="s">
        <v>214</v>
      </c>
      <c r="C4" s="29" t="s">
        <v>46</v>
      </c>
      <c r="D4" s="29" t="s">
        <v>215</v>
      </c>
      <c r="E4" s="29" t="s">
        <v>216</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36" t="s">
        <v>217</v>
      </c>
      <c r="C5" s="62" t="n">
        <f aca="false">Fnd_Balance</f>
        <v>0</v>
      </c>
      <c r="D5" s="55" t="str">
        <f aca="false">IF(ABS(C5)&lt;1,"PASS","FAIL")</f>
        <v>PASS</v>
      </c>
      <c r="E5" s="10" t="s">
        <v>218</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36" t="s">
        <v>219</v>
      </c>
      <c r="C6" s="62" t="n">
        <f aca="false">MIN(D12:Y12)</f>
        <v>0</v>
      </c>
      <c r="D6" s="55" t="str">
        <f aca="false">IF(C6&gt;=0,"PASS","FAIL")</f>
        <v>PASS</v>
      </c>
      <c r="E6" s="10" t="s">
        <v>220</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36" t="s">
        <v>221</v>
      </c>
      <c r="C7" s="62" t="n">
        <f aca="false">Debt_Schedule!Y11</f>
        <v>0</v>
      </c>
      <c r="D7" s="55" t="str">
        <f aca="false">IF(ABS(C7)&lt;1,"PASS","FAIL")</f>
        <v>PASS</v>
      </c>
      <c r="E7" s="10" t="s">
        <v>222</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36" t="s">
        <v>223</v>
      </c>
      <c r="C8" s="65" t="n">
        <f aca="false">MIN(D14:X14)</f>
        <v>0</v>
      </c>
      <c r="D8" s="55" t="str">
        <f aca="false">IF(C8&gt;=Target_DSCR,"PASS","FAIL")</f>
        <v>FAIL</v>
      </c>
      <c r="E8" s="10" t="s">
        <v>224</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36" t="s">
        <v>225</v>
      </c>
      <c r="C9" s="63" t="n">
        <f aca="false">SUMPRODUCT((D14:Y14&lt;Lockup_DSCR)*(D26:Y26&gt;0))</f>
        <v>0</v>
      </c>
      <c r="D9" s="55" t="str">
        <f aca="false">IF(C9=0,"PASS","FAIL")</f>
        <v>PASS</v>
      </c>
      <c r="E9" s="10" t="s">
        <v>226</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36" t="s">
        <v>227</v>
      </c>
      <c r="C10" s="62" t="n">
        <f aca="false">MIN(D13:Y13)</f>
        <v>0</v>
      </c>
      <c r="D10" s="55" t="str">
        <f aca="false">IF(C10&gt;=0,"PASS","FAIL")</f>
        <v>PASS</v>
      </c>
      <c r="E10" s="10" t="s">
        <v>228</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36" t="s">
        <v>229</v>
      </c>
      <c r="C11" s="62" t="n">
        <f aca="false">Waterfall!J32</f>
        <v>0</v>
      </c>
      <c r="D11" s="55" t="str">
        <f aca="false">IF(ABS(C11)&lt;1,"PASS","FAIL")</f>
        <v>PASS</v>
      </c>
      <c r="E11" s="10" t="s">
        <v>230</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36" t="s">
        <v>231</v>
      </c>
      <c r="C12" s="66" t="n">
        <f aca="false">RT_PIRR</f>
        <v>0.0654573932073561</v>
      </c>
      <c r="D12" s="55" t="str">
        <f aca="false">IF(AND(C12&gt;0.05,C12&lt;0.12),"PASS","WARN")</f>
        <v>PASS</v>
      </c>
      <c r="E12" s="10" t="s">
        <v>232</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36" t="s">
        <v>233</v>
      </c>
      <c r="C13" s="66" t="n">
        <f aca="false">RT_EIRR</f>
        <v>0.0515924405872014</v>
      </c>
      <c r="D13" s="55" t="str">
        <f aca="false">IF(AND(C13&gt;0.1,C13&lt;0.18),"PASS","WARN")</f>
        <v>WARN</v>
      </c>
      <c r="E13" s="10" t="s">
        <v>234</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36" t="s">
        <v>235</v>
      </c>
      <c r="C14" s="66" t="n">
        <f aca="false">Op_EBITDA_Y1/Op_Rev_Y1</f>
        <v>0.787414965986395</v>
      </c>
      <c r="D14" s="55" t="str">
        <f aca="false">IF(C14&gt;=0.78,"PASS","WARN")</f>
        <v>PASS</v>
      </c>
      <c r="E14" s="10" t="s">
        <v>236</v>
      </c>
      <c r="F14" s="5"/>
      <c r="G14" s="5"/>
      <c r="H14" s="5"/>
      <c r="I14" s="5"/>
      <c r="J14" s="5"/>
      <c r="K14" s="5"/>
      <c r="L14" s="5"/>
      <c r="M14" s="5"/>
      <c r="N14" s="5"/>
      <c r="O14" s="5"/>
      <c r="P14" s="5"/>
      <c r="Q14" s="5"/>
      <c r="R14" s="5"/>
      <c r="S14" s="5"/>
      <c r="T14" s="5"/>
      <c r="U14" s="5"/>
      <c r="V14" s="5"/>
      <c r="W14" s="5"/>
      <c r="X14" s="5"/>
      <c r="Y14" s="5"/>
      <c r="Z14" s="5"/>
      <c r="AA14" s="5"/>
      <c r="AB14" s="5"/>
      <c r="AC14" s="5"/>
      <c r="AD14"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67" t="s">
        <v>237</v>
      </c>
    </row>
    <row r="3" customFormat="false" ht="3.75" hidden="false" customHeight="true" outlineLevel="0" collapsed="false">
      <c r="A3" s="5"/>
      <c r="B3" s="68"/>
    </row>
    <row r="4" customFormat="false" ht="15" hidden="false" customHeight="false" outlineLevel="0" collapsed="false">
      <c r="A4" s="5"/>
      <c r="B4" s="5"/>
    </row>
    <row r="5" customFormat="false" ht="19.5" hidden="false" customHeight="true" outlineLevel="0" collapsed="false">
      <c r="A5" s="5"/>
      <c r="B5" s="69" t="s">
        <v>238</v>
      </c>
    </row>
    <row r="6" customFormat="false" ht="48" hidden="false" customHeight="true" outlineLevel="0" collapsed="false">
      <c r="A6" s="5"/>
      <c r="B6" s="70" t="s">
        <v>239</v>
      </c>
    </row>
    <row r="7" customFormat="false" ht="15" hidden="false" customHeight="false" outlineLevel="0" collapsed="false">
      <c r="A7" s="5"/>
      <c r="B7" s="5"/>
    </row>
    <row r="8" customFormat="false" ht="19.5" hidden="false" customHeight="true" outlineLevel="0" collapsed="false">
      <c r="A8" s="5"/>
      <c r="B8" s="69" t="s">
        <v>240</v>
      </c>
    </row>
    <row r="9" customFormat="false" ht="61.5" hidden="false" customHeight="true" outlineLevel="0" collapsed="false">
      <c r="A9" s="5"/>
      <c r="B9" s="70" t="s">
        <v>241</v>
      </c>
    </row>
    <row r="10" customFormat="false" ht="15" hidden="false" customHeight="false" outlineLevel="0" collapsed="false">
      <c r="A10" s="5"/>
      <c r="B10" s="5"/>
    </row>
    <row r="11" customFormat="false" ht="19.5" hidden="false" customHeight="true" outlineLevel="0" collapsed="false">
      <c r="A11" s="5"/>
      <c r="B11" s="69" t="s">
        <v>242</v>
      </c>
    </row>
    <row r="12" customFormat="false" ht="75.75" hidden="false" customHeight="true" outlineLevel="0" collapsed="false">
      <c r="A12" s="5"/>
      <c r="B12" s="70" t="s">
        <v>243</v>
      </c>
    </row>
    <row r="13" customFormat="false" ht="15" hidden="false" customHeight="false" outlineLevel="0" collapsed="false">
      <c r="A13" s="5"/>
      <c r="B13" s="5"/>
    </row>
    <row r="14" customFormat="false" ht="19.5" hidden="false" customHeight="true" outlineLevel="0" collapsed="false">
      <c r="A14" s="5"/>
      <c r="B14" s="69" t="s">
        <v>244</v>
      </c>
    </row>
    <row r="15" customFormat="false" ht="61.5" hidden="false" customHeight="true" outlineLevel="0" collapsed="false">
      <c r="A15" s="5"/>
      <c r="B15" s="70" t="s">
        <v>245</v>
      </c>
    </row>
    <row r="16" customFormat="false" ht="15" hidden="false" customHeight="false" outlineLevel="0" collapsed="false">
      <c r="A16" s="5"/>
      <c r="B16" s="5"/>
    </row>
    <row r="17" customFormat="false" ht="19.5" hidden="false" customHeight="true" outlineLevel="0" collapsed="false">
      <c r="A17" s="5"/>
      <c r="B17" s="69" t="s">
        <v>246</v>
      </c>
    </row>
    <row r="18" customFormat="false" ht="33.75" hidden="false" customHeight="true" outlineLevel="0" collapsed="false">
      <c r="A18" s="5"/>
      <c r="B18" s="70" t="s">
        <v>247</v>
      </c>
    </row>
    <row r="19" customFormat="false" ht="15" hidden="false" customHeight="false" outlineLevel="0" collapsed="false">
      <c r="A19" s="5"/>
      <c r="B19" s="5"/>
    </row>
    <row r="20" customFormat="false" ht="19.5" hidden="false" customHeight="true" outlineLevel="0" collapsed="false">
      <c r="A20" s="5"/>
      <c r="B20" s="69" t="s">
        <v>248</v>
      </c>
    </row>
    <row r="21" customFormat="false" ht="33.75" hidden="false" customHeight="true" outlineLevel="0" collapsed="false">
      <c r="A21" s="5"/>
      <c r="B21" s="70" t="s">
        <v>249</v>
      </c>
    </row>
    <row r="22" customFormat="false" ht="15" hidden="false" customHeight="false" outlineLevel="0" collapsed="false">
      <c r="A22" s="5"/>
      <c r="B22" s="5"/>
    </row>
    <row r="23" customFormat="false" ht="21.75" hidden="false" customHeight="true" outlineLevel="0" collapsed="false">
      <c r="A23" s="5"/>
      <c r="B23" s="71" t="s">
        <v>250</v>
      </c>
    </row>
    <row r="24" customFormat="false" ht="15" hidden="false" customHeight="false" outlineLevel="0" collapsed="false">
      <c r="A24" s="5"/>
      <c r="B24" s="5"/>
    </row>
    <row r="25" customFormat="false" ht="18" hidden="false" customHeight="true" outlineLevel="0" collapsed="false">
      <c r="A25" s="5"/>
      <c r="B25" s="72" t="s">
        <v>251</v>
      </c>
    </row>
    <row r="26" customFormat="false" ht="201.75" hidden="false" customHeight="true" outlineLevel="0" collapsed="false">
      <c r="A26" s="5"/>
      <c r="B26" s="73" t="s">
        <v>252</v>
      </c>
    </row>
    <row r="27" customFormat="false" ht="15" hidden="false" customHeight="false" outlineLevel="0" collapsed="false">
      <c r="A27" s="5"/>
      <c r="B27" s="5"/>
    </row>
    <row r="28" customFormat="false" ht="18" hidden="false" customHeight="true" outlineLevel="0" collapsed="false">
      <c r="A28" s="5"/>
      <c r="B28" s="74" t="s">
        <v>253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20</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44</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8" t="s">
        <v>45</v>
      </c>
      <c r="C5" s="29" t="s">
        <v>46</v>
      </c>
      <c r="D5" s="29" t="s">
        <v>47</v>
      </c>
      <c r="E5" s="29" t="s">
        <v>48</v>
      </c>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30" t="s">
        <v>49</v>
      </c>
      <c r="C6" s="14"/>
      <c r="D6" s="14"/>
      <c r="E6" s="14"/>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28" t="s">
        <v>50</v>
      </c>
      <c r="C7" s="31" t="n">
        <v>250000000</v>
      </c>
      <c r="D7" s="32" t="s">
        <v>51</v>
      </c>
      <c r="E7" s="33" t="s">
        <v>52</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28" t="s">
        <v>53</v>
      </c>
      <c r="C8" s="34" t="n">
        <v>0.05</v>
      </c>
      <c r="D8" s="32" t="s">
        <v>54</v>
      </c>
      <c r="E8" s="33" t="s">
        <v>55</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28" t="s">
        <v>56</v>
      </c>
      <c r="C9" s="34" t="n">
        <v>0.015</v>
      </c>
      <c r="D9" s="32" t="s">
        <v>54</v>
      </c>
      <c r="E9" s="33" t="s">
        <v>57</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28" t="s">
        <v>58</v>
      </c>
      <c r="C10" s="35" t="n">
        <v>3</v>
      </c>
      <c r="D10" s="32" t="s">
        <v>59</v>
      </c>
      <c r="E10" s="33" t="s">
        <v>60</v>
      </c>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8" t="s">
        <v>61</v>
      </c>
      <c r="C11" s="31" t="n">
        <v>30000000</v>
      </c>
      <c r="D11" s="32" t="s">
        <v>62</v>
      </c>
      <c r="E11" s="33" t="s">
        <v>63</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36" t="s">
        <v>64</v>
      </c>
      <c r="C12" s="37" t="n">
        <v>0.02</v>
      </c>
      <c r="D12" s="38" t="s">
        <v>54</v>
      </c>
      <c r="E12" s="10" t="s">
        <v>65</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36" t="s">
        <v>66</v>
      </c>
      <c r="C13" s="37" t="n">
        <v>0.025</v>
      </c>
      <c r="D13" s="38" t="s">
        <v>67</v>
      </c>
      <c r="E13" s="10" t="s">
        <v>68</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36" t="s">
        <v>69</v>
      </c>
      <c r="C14" s="39" t="n">
        <v>4000000</v>
      </c>
      <c r="D14" s="38" t="s">
        <v>62</v>
      </c>
      <c r="E14" s="10" t="s">
        <v>70</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36" t="s">
        <v>71</v>
      </c>
      <c r="C15" s="39" t="n">
        <v>1500000</v>
      </c>
      <c r="D15" s="38" t="s">
        <v>62</v>
      </c>
      <c r="E15" s="10" t="s">
        <v>72</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36" t="s">
        <v>73</v>
      </c>
      <c r="C16" s="39" t="n">
        <v>750000</v>
      </c>
      <c r="D16" s="38" t="s">
        <v>62</v>
      </c>
      <c r="E16" s="10" t="s">
        <v>74</v>
      </c>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36" t="s">
        <v>75</v>
      </c>
      <c r="C17" s="37" t="n">
        <v>0.85</v>
      </c>
      <c r="D17" s="38" t="s">
        <v>54</v>
      </c>
      <c r="E17" s="10" t="s">
        <v>76</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36" t="s">
        <v>77</v>
      </c>
      <c r="C18" s="37" t="n">
        <v>0.055</v>
      </c>
      <c r="D18" s="38" t="s">
        <v>67</v>
      </c>
      <c r="E18" s="10" t="s">
        <v>78</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36" t="s">
        <v>79</v>
      </c>
      <c r="C19" s="40" t="n">
        <v>22</v>
      </c>
      <c r="D19" s="38" t="s">
        <v>59</v>
      </c>
      <c r="E19" s="10" t="s">
        <v>80</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36" t="s">
        <v>81</v>
      </c>
      <c r="C20" s="41" t="n">
        <v>1.2</v>
      </c>
      <c r="D20" s="38" t="s">
        <v>82</v>
      </c>
      <c r="E20" s="10" t="s">
        <v>83</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36" t="s">
        <v>84</v>
      </c>
      <c r="C21" s="41" t="n">
        <v>1.1</v>
      </c>
      <c r="D21" s="38" t="s">
        <v>82</v>
      </c>
      <c r="E21" s="10" t="s">
        <v>85</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36" t="s">
        <v>86</v>
      </c>
      <c r="C22" s="40" t="n">
        <v>6</v>
      </c>
      <c r="D22" s="38" t="s">
        <v>87</v>
      </c>
      <c r="E22" s="10" t="s">
        <v>88</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36" t="s">
        <v>89</v>
      </c>
      <c r="C23" s="37" t="n">
        <v>0.3</v>
      </c>
      <c r="D23" s="38" t="s">
        <v>54</v>
      </c>
      <c r="E23" s="10" t="s">
        <v>90</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36" t="s">
        <v>91</v>
      </c>
      <c r="C24" s="37" t="n">
        <v>0.1</v>
      </c>
      <c r="D24" s="38" t="s">
        <v>67</v>
      </c>
      <c r="E24" s="10" t="s">
        <v>92</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36" t="s">
        <v>93</v>
      </c>
      <c r="C25" s="40" t="n">
        <v>7</v>
      </c>
      <c r="D25" s="38" t="s">
        <v>59</v>
      </c>
      <c r="E25" s="10" t="s">
        <v>94</v>
      </c>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36" t="s">
        <v>95</v>
      </c>
      <c r="C26" s="39" t="n">
        <v>20000000</v>
      </c>
      <c r="D26" s="38" t="s">
        <v>51</v>
      </c>
      <c r="E26" s="10" t="s">
        <v>96</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36" t="s">
        <v>97</v>
      </c>
      <c r="C27" s="39" t="n">
        <v>20000000</v>
      </c>
      <c r="D27" s="38" t="s">
        <v>51</v>
      </c>
      <c r="E27" s="10" t="s">
        <v>98</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36" t="s">
        <v>99</v>
      </c>
      <c r="C28" s="39" t="n">
        <v>25000000</v>
      </c>
      <c r="D28" s="38" t="s">
        <v>51</v>
      </c>
      <c r="E28" s="10" t="s">
        <v>100</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36" t="s">
        <v>101</v>
      </c>
      <c r="C29" s="37" t="n">
        <v>0.25</v>
      </c>
      <c r="D29" s="38" t="s">
        <v>54</v>
      </c>
      <c r="E29" s="10" t="s">
        <v>102</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36" t="s">
        <v>103</v>
      </c>
      <c r="C30" s="37" t="n">
        <v>0.07</v>
      </c>
      <c r="D30" s="38" t="s">
        <v>54</v>
      </c>
      <c r="E30" s="10" t="s">
        <v>104</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36" t="s">
        <v>105</v>
      </c>
      <c r="C31" s="40" t="n">
        <v>25</v>
      </c>
      <c r="D31" s="38" t="s">
        <v>59</v>
      </c>
      <c r="E31" s="10" t="s">
        <v>106</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36" t="s">
        <v>107</v>
      </c>
      <c r="C32" s="40" t="n">
        <v>22</v>
      </c>
      <c r="D32" s="38" t="s">
        <v>59</v>
      </c>
      <c r="E32" s="10" t="s">
        <v>108</v>
      </c>
      <c r="F32" s="5"/>
      <c r="G32" s="5"/>
      <c r="H32" s="5"/>
      <c r="I32" s="5"/>
      <c r="J32" s="5"/>
      <c r="K32" s="5"/>
      <c r="L32" s="5"/>
      <c r="M32" s="5"/>
      <c r="N32" s="5"/>
      <c r="O32" s="5"/>
      <c r="P32" s="5"/>
      <c r="Q32" s="5"/>
      <c r="R32" s="5"/>
      <c r="S32" s="5"/>
      <c r="T32" s="5"/>
      <c r="U32" s="5"/>
      <c r="V32" s="5"/>
      <c r="W32" s="5"/>
      <c r="X32" s="5"/>
      <c r="Y32" s="5"/>
      <c r="Z32" s="5"/>
      <c r="AA32" s="5"/>
      <c r="AB32" s="5"/>
      <c r="AC32" s="5"/>
      <c r="AD3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109</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110</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43" t="s">
        <v>111</v>
      </c>
      <c r="C6" s="44" t="n">
        <f aca="false">EPC_Cost</f>
        <v>250000000</v>
      </c>
      <c r="D6" s="44" t="n">
        <f aca="false">0</f>
        <v>0</v>
      </c>
      <c r="E6" s="44" t="n">
        <f aca="false">0</f>
        <v>0</v>
      </c>
      <c r="F6" s="44" t="n">
        <f aca="false">0</f>
        <v>0</v>
      </c>
      <c r="G6" s="44" t="n">
        <f aca="false">0</f>
        <v>0</v>
      </c>
      <c r="H6" s="44" t="n">
        <f aca="false">0</f>
        <v>0</v>
      </c>
      <c r="I6" s="44" t="n">
        <f aca="false">0</f>
        <v>0</v>
      </c>
      <c r="J6" s="44" t="n">
        <f aca="false">0</f>
        <v>0</v>
      </c>
      <c r="K6" s="44" t="n">
        <f aca="false">0</f>
        <v>0</v>
      </c>
      <c r="L6" s="44" t="n">
        <f aca="false">0</f>
        <v>0</v>
      </c>
      <c r="M6" s="44" t="n">
        <f aca="false">0</f>
        <v>0</v>
      </c>
      <c r="N6" s="44" t="n">
        <f aca="false">0</f>
        <v>0</v>
      </c>
      <c r="O6" s="44" t="n">
        <f aca="false">0</f>
        <v>0</v>
      </c>
      <c r="P6" s="44" t="n">
        <f aca="false">0</f>
        <v>0</v>
      </c>
      <c r="Q6" s="44" t="n">
        <f aca="false">0</f>
        <v>0</v>
      </c>
      <c r="R6" s="44" t="n">
        <f aca="false">0</f>
        <v>0</v>
      </c>
      <c r="S6" s="44" t="n">
        <f aca="false">0</f>
        <v>0</v>
      </c>
      <c r="T6" s="44" t="n">
        <f aca="false">0</f>
        <v>0</v>
      </c>
      <c r="U6" s="44" t="n">
        <f aca="false">0</f>
        <v>0</v>
      </c>
      <c r="V6" s="44" t="n">
        <f aca="false">0</f>
        <v>0</v>
      </c>
      <c r="W6" s="44" t="n">
        <f aca="false">0</f>
        <v>0</v>
      </c>
      <c r="X6" s="44" t="n">
        <f aca="false">0</f>
        <v>0</v>
      </c>
      <c r="Y6" s="44" t="n">
        <f aca="false">0</f>
        <v>0</v>
      </c>
      <c r="Z6" s="5"/>
      <c r="AA6" s="5"/>
      <c r="AB6" s="5"/>
      <c r="AC6" s="5"/>
      <c r="AD6" s="5"/>
    </row>
    <row r="7" customFormat="false" ht="15" hidden="false" customHeight="false" outlineLevel="0" collapsed="false">
      <c r="A7" s="5"/>
      <c r="B7" s="43" t="s">
        <v>112</v>
      </c>
      <c r="C7" s="44" t="n">
        <f aca="false">Con_EPC*Contingency_Pct</f>
        <v>12500000</v>
      </c>
      <c r="D7" s="44" t="n">
        <f aca="false">0</f>
        <v>0</v>
      </c>
      <c r="E7" s="44" t="n">
        <f aca="false">0</f>
        <v>0</v>
      </c>
      <c r="F7" s="44" t="n">
        <f aca="false">0</f>
        <v>0</v>
      </c>
      <c r="G7" s="44" t="n">
        <f aca="false">0</f>
        <v>0</v>
      </c>
      <c r="H7" s="44" t="n">
        <f aca="false">0</f>
        <v>0</v>
      </c>
      <c r="I7" s="44" t="n">
        <f aca="false">0</f>
        <v>0</v>
      </c>
      <c r="J7" s="44" t="n">
        <f aca="false">0</f>
        <v>0</v>
      </c>
      <c r="K7" s="44" t="n">
        <f aca="false">0</f>
        <v>0</v>
      </c>
      <c r="L7" s="44" t="n">
        <f aca="false">0</f>
        <v>0</v>
      </c>
      <c r="M7" s="44" t="n">
        <f aca="false">0</f>
        <v>0</v>
      </c>
      <c r="N7" s="44" t="n">
        <f aca="false">0</f>
        <v>0</v>
      </c>
      <c r="O7" s="44" t="n">
        <f aca="false">0</f>
        <v>0</v>
      </c>
      <c r="P7" s="44" t="n">
        <f aca="false">0</f>
        <v>0</v>
      </c>
      <c r="Q7" s="44" t="n">
        <f aca="false">0</f>
        <v>0</v>
      </c>
      <c r="R7" s="44" t="n">
        <f aca="false">0</f>
        <v>0</v>
      </c>
      <c r="S7" s="44" t="n">
        <f aca="false">0</f>
        <v>0</v>
      </c>
      <c r="T7" s="44" t="n">
        <f aca="false">0</f>
        <v>0</v>
      </c>
      <c r="U7" s="44" t="n">
        <f aca="false">0</f>
        <v>0</v>
      </c>
      <c r="V7" s="44" t="n">
        <f aca="false">0</f>
        <v>0</v>
      </c>
      <c r="W7" s="44" t="n">
        <f aca="false">0</f>
        <v>0</v>
      </c>
      <c r="X7" s="44" t="n">
        <f aca="false">0</f>
        <v>0</v>
      </c>
      <c r="Y7" s="44" t="n">
        <f aca="false">0</f>
        <v>0</v>
      </c>
      <c r="Z7" s="5"/>
      <c r="AA7" s="5"/>
      <c r="AB7" s="5"/>
      <c r="AC7" s="5"/>
      <c r="AD7" s="5"/>
    </row>
    <row r="8" customFormat="false" ht="15" hidden="false" customHeight="false" outlineLevel="0" collapsed="false">
      <c r="A8" s="5"/>
      <c r="B8" s="43" t="s">
        <v>113</v>
      </c>
      <c r="C8" s="44" t="n">
        <f aca="false">Con_EPC*Dev_Fees_Pct</f>
        <v>3750000</v>
      </c>
      <c r="D8" s="44" t="n">
        <f aca="false">0</f>
        <v>0</v>
      </c>
      <c r="E8" s="44" t="n">
        <f aca="false">0</f>
        <v>0</v>
      </c>
      <c r="F8" s="44" t="n">
        <f aca="false">0</f>
        <v>0</v>
      </c>
      <c r="G8" s="44" t="n">
        <f aca="false">0</f>
        <v>0</v>
      </c>
      <c r="H8" s="44" t="n">
        <f aca="false">0</f>
        <v>0</v>
      </c>
      <c r="I8" s="44" t="n">
        <f aca="false">0</f>
        <v>0</v>
      </c>
      <c r="J8" s="44" t="n">
        <f aca="false">0</f>
        <v>0</v>
      </c>
      <c r="K8" s="44" t="n">
        <f aca="false">0</f>
        <v>0</v>
      </c>
      <c r="L8" s="44" t="n">
        <f aca="false">0</f>
        <v>0</v>
      </c>
      <c r="M8" s="44" t="n">
        <f aca="false">0</f>
        <v>0</v>
      </c>
      <c r="N8" s="44" t="n">
        <f aca="false">0</f>
        <v>0</v>
      </c>
      <c r="O8" s="44" t="n">
        <f aca="false">0</f>
        <v>0</v>
      </c>
      <c r="P8" s="44" t="n">
        <f aca="false">0</f>
        <v>0</v>
      </c>
      <c r="Q8" s="44" t="n">
        <f aca="false">0</f>
        <v>0</v>
      </c>
      <c r="R8" s="44" t="n">
        <f aca="false">0</f>
        <v>0</v>
      </c>
      <c r="S8" s="44" t="n">
        <f aca="false">0</f>
        <v>0</v>
      </c>
      <c r="T8" s="44" t="n">
        <f aca="false">0</f>
        <v>0</v>
      </c>
      <c r="U8" s="44" t="n">
        <f aca="false">0</f>
        <v>0</v>
      </c>
      <c r="V8" s="44" t="n">
        <f aca="false">0</f>
        <v>0</v>
      </c>
      <c r="W8" s="44" t="n">
        <f aca="false">0</f>
        <v>0</v>
      </c>
      <c r="X8" s="44" t="n">
        <f aca="false">0</f>
        <v>0</v>
      </c>
      <c r="Y8" s="44" t="n">
        <f aca="false">0</f>
        <v>0</v>
      </c>
      <c r="Z8" s="5"/>
      <c r="AA8" s="5"/>
      <c r="AB8" s="5"/>
      <c r="AC8" s="5"/>
      <c r="AD8" s="5"/>
    </row>
    <row r="9" customFormat="false" ht="15" hidden="false" customHeight="false" outlineLevel="0" collapsed="false">
      <c r="A9" s="5"/>
      <c r="B9" s="45" t="s">
        <v>114</v>
      </c>
      <c r="C9" s="46" t="n">
        <f aca="false">Con_EPC+Con_Contingency+Con_Dev_Fees</f>
        <v>266250000</v>
      </c>
      <c r="D9" s="46" t="n">
        <f aca="false">0</f>
        <v>0</v>
      </c>
      <c r="E9" s="46" t="n">
        <f aca="false">0</f>
        <v>0</v>
      </c>
      <c r="F9" s="46" t="n">
        <f aca="false">0</f>
        <v>0</v>
      </c>
      <c r="G9" s="46" t="n">
        <f aca="false">0</f>
        <v>0</v>
      </c>
      <c r="H9" s="46" t="n">
        <f aca="false">0</f>
        <v>0</v>
      </c>
      <c r="I9" s="46" t="n">
        <f aca="false">0</f>
        <v>0</v>
      </c>
      <c r="J9" s="46" t="n">
        <f aca="false">0</f>
        <v>0</v>
      </c>
      <c r="K9" s="46" t="n">
        <f aca="false">0</f>
        <v>0</v>
      </c>
      <c r="L9" s="46" t="n">
        <f aca="false">0</f>
        <v>0</v>
      </c>
      <c r="M9" s="46" t="n">
        <f aca="false">0</f>
        <v>0</v>
      </c>
      <c r="N9" s="46" t="n">
        <f aca="false">0</f>
        <v>0</v>
      </c>
      <c r="O9" s="46" t="n">
        <f aca="false">0</f>
        <v>0</v>
      </c>
      <c r="P9" s="46" t="n">
        <f aca="false">0</f>
        <v>0</v>
      </c>
      <c r="Q9" s="46" t="n">
        <f aca="false">0</f>
        <v>0</v>
      </c>
      <c r="R9" s="46" t="n">
        <f aca="false">0</f>
        <v>0</v>
      </c>
      <c r="S9" s="46" t="n">
        <f aca="false">0</f>
        <v>0</v>
      </c>
      <c r="T9" s="46" t="n">
        <f aca="false">0</f>
        <v>0</v>
      </c>
      <c r="U9" s="46" t="n">
        <f aca="false">0</f>
        <v>0</v>
      </c>
      <c r="V9" s="46" t="n">
        <f aca="false">0</f>
        <v>0</v>
      </c>
      <c r="W9" s="46" t="n">
        <f aca="false">0</f>
        <v>0</v>
      </c>
      <c r="X9" s="46" t="n">
        <f aca="false">0</f>
        <v>0</v>
      </c>
      <c r="Y9" s="46" t="n">
        <f aca="false">0</f>
        <v>0</v>
      </c>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43" t="s">
        <v>115</v>
      </c>
      <c r="C11" s="44" t="n">
        <f aca="false">Con_Hard_Cost*Gearing*Senior_Rate*(Construction_Period/2)</f>
        <v>18670781.25</v>
      </c>
      <c r="D11" s="44" t="n">
        <f aca="false">0</f>
        <v>0</v>
      </c>
      <c r="E11" s="44" t="n">
        <f aca="false">0</f>
        <v>0</v>
      </c>
      <c r="F11" s="44" t="n">
        <f aca="false">0</f>
        <v>0</v>
      </c>
      <c r="G11" s="44" t="n">
        <f aca="false">0</f>
        <v>0</v>
      </c>
      <c r="H11" s="44" t="n">
        <f aca="false">0</f>
        <v>0</v>
      </c>
      <c r="I11" s="44" t="n">
        <f aca="false">0</f>
        <v>0</v>
      </c>
      <c r="J11" s="44" t="n">
        <f aca="false">0</f>
        <v>0</v>
      </c>
      <c r="K11" s="44" t="n">
        <f aca="false">0</f>
        <v>0</v>
      </c>
      <c r="L11" s="44" t="n">
        <f aca="false">0</f>
        <v>0</v>
      </c>
      <c r="M11" s="44" t="n">
        <f aca="false">0</f>
        <v>0</v>
      </c>
      <c r="N11" s="44" t="n">
        <f aca="false">0</f>
        <v>0</v>
      </c>
      <c r="O11" s="44" t="n">
        <f aca="false">0</f>
        <v>0</v>
      </c>
      <c r="P11" s="44" t="n">
        <f aca="false">0</f>
        <v>0</v>
      </c>
      <c r="Q11" s="44" t="n">
        <f aca="false">0</f>
        <v>0</v>
      </c>
      <c r="R11" s="44" t="n">
        <f aca="false">0</f>
        <v>0</v>
      </c>
      <c r="S11" s="44" t="n">
        <f aca="false">0</f>
        <v>0</v>
      </c>
      <c r="T11" s="44" t="n">
        <f aca="false">0</f>
        <v>0</v>
      </c>
      <c r="U11" s="44" t="n">
        <f aca="false">0</f>
        <v>0</v>
      </c>
      <c r="V11" s="44" t="n">
        <f aca="false">0</f>
        <v>0</v>
      </c>
      <c r="W11" s="44" t="n">
        <f aca="false">0</f>
        <v>0</v>
      </c>
      <c r="X11" s="44" t="n">
        <f aca="false">0</f>
        <v>0</v>
      </c>
      <c r="Y11" s="44" t="n">
        <f aca="false">0</f>
        <v>0</v>
      </c>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47" t="s">
        <v>116</v>
      </c>
      <c r="C13" s="48" t="n">
        <f aca="false">Con_Hard_Cost+Con_IDC</f>
        <v>284920781.25</v>
      </c>
      <c r="D13" s="48" t="n">
        <f aca="false">0</f>
        <v>0</v>
      </c>
      <c r="E13" s="48" t="n">
        <f aca="false">0</f>
        <v>0</v>
      </c>
      <c r="F13" s="48" t="n">
        <f aca="false">0</f>
        <v>0</v>
      </c>
      <c r="G13" s="48" t="n">
        <f aca="false">0</f>
        <v>0</v>
      </c>
      <c r="H13" s="48" t="n">
        <f aca="false">0</f>
        <v>0</v>
      </c>
      <c r="I13" s="48" t="n">
        <f aca="false">0</f>
        <v>0</v>
      </c>
      <c r="J13" s="48" t="n">
        <f aca="false">0</f>
        <v>0</v>
      </c>
      <c r="K13" s="48" t="n">
        <f aca="false">0</f>
        <v>0</v>
      </c>
      <c r="L13" s="48" t="n">
        <f aca="false">0</f>
        <v>0</v>
      </c>
      <c r="M13" s="48" t="n">
        <f aca="false">0</f>
        <v>0</v>
      </c>
      <c r="N13" s="48" t="n">
        <f aca="false">0</f>
        <v>0</v>
      </c>
      <c r="O13" s="48" t="n">
        <f aca="false">0</f>
        <v>0</v>
      </c>
      <c r="P13" s="48" t="n">
        <f aca="false">0</f>
        <v>0</v>
      </c>
      <c r="Q13" s="48" t="n">
        <f aca="false">0</f>
        <v>0</v>
      </c>
      <c r="R13" s="48" t="n">
        <f aca="false">0</f>
        <v>0</v>
      </c>
      <c r="S13" s="48" t="n">
        <f aca="false">0</f>
        <v>0</v>
      </c>
      <c r="T13" s="48" t="n">
        <f aca="false">0</f>
        <v>0</v>
      </c>
      <c r="U13" s="48" t="n">
        <f aca="false">0</f>
        <v>0</v>
      </c>
      <c r="V13" s="48" t="n">
        <f aca="false">0</f>
        <v>0</v>
      </c>
      <c r="W13" s="48" t="n">
        <f aca="false">0</f>
        <v>0</v>
      </c>
      <c r="X13" s="48" t="n">
        <f aca="false">0</f>
        <v>0</v>
      </c>
      <c r="Y13" s="48" t="n">
        <f aca="false">0</f>
        <v>0</v>
      </c>
      <c r="Z13" s="5"/>
      <c r="AA13" s="5"/>
      <c r="AB13" s="5"/>
      <c r="AC13" s="5"/>
      <c r="AD1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117</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118</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49" t="s">
        <v>119</v>
      </c>
      <c r="C6" s="50" t="n">
        <v>0</v>
      </c>
      <c r="D6" s="50" t="n">
        <v>1</v>
      </c>
      <c r="E6" s="50" t="n">
        <v>2</v>
      </c>
      <c r="F6" s="50" t="n">
        <v>3</v>
      </c>
      <c r="G6" s="50" t="n">
        <v>4</v>
      </c>
      <c r="H6" s="50" t="n">
        <v>5</v>
      </c>
      <c r="I6" s="50" t="n">
        <v>6</v>
      </c>
      <c r="J6" s="50" t="n">
        <v>7</v>
      </c>
      <c r="K6" s="50" t="n">
        <v>8</v>
      </c>
      <c r="L6" s="50" t="n">
        <v>9</v>
      </c>
      <c r="M6" s="50" t="n">
        <v>10</v>
      </c>
      <c r="N6" s="50" t="n">
        <v>11</v>
      </c>
      <c r="O6" s="50" t="n">
        <v>12</v>
      </c>
      <c r="P6" s="50" t="n">
        <v>13</v>
      </c>
      <c r="Q6" s="50" t="n">
        <v>14</v>
      </c>
      <c r="R6" s="50" t="n">
        <v>15</v>
      </c>
      <c r="S6" s="50" t="n">
        <v>16</v>
      </c>
      <c r="T6" s="50" t="n">
        <v>17</v>
      </c>
      <c r="U6" s="50" t="n">
        <v>18</v>
      </c>
      <c r="V6" s="50" t="n">
        <v>19</v>
      </c>
      <c r="W6" s="50" t="n">
        <v>20</v>
      </c>
      <c r="X6" s="50" t="n">
        <v>21</v>
      </c>
      <c r="Y6" s="50" t="n">
        <v>22</v>
      </c>
      <c r="Z6" s="5"/>
      <c r="AA6" s="5"/>
      <c r="AB6" s="5"/>
      <c r="AC6" s="5"/>
      <c r="AD6" s="5"/>
    </row>
    <row r="7" customFormat="false" ht="15" hidden="false" customHeight="false" outlineLevel="0" collapsed="false">
      <c r="A7" s="5"/>
      <c r="B7" s="30" t="s">
        <v>120</v>
      </c>
      <c r="C7" s="14"/>
      <c r="D7" s="14"/>
      <c r="E7" s="14"/>
      <c r="F7" s="14"/>
      <c r="G7" s="14"/>
      <c r="H7" s="14"/>
      <c r="I7" s="14"/>
      <c r="J7" s="14"/>
      <c r="K7" s="14"/>
      <c r="L7" s="14"/>
      <c r="M7" s="14"/>
      <c r="N7" s="14"/>
      <c r="O7" s="14"/>
      <c r="P7" s="14"/>
      <c r="Q7" s="14"/>
      <c r="R7" s="14"/>
      <c r="S7" s="14"/>
      <c r="T7" s="14"/>
      <c r="U7" s="14"/>
      <c r="V7" s="14"/>
      <c r="W7" s="14"/>
      <c r="X7" s="14"/>
      <c r="Y7" s="14"/>
      <c r="Z7" s="5"/>
      <c r="AA7" s="5"/>
      <c r="AB7" s="5"/>
      <c r="AC7" s="5"/>
      <c r="AD7" s="5"/>
    </row>
    <row r="8" customFormat="false" ht="15" hidden="false" customHeight="false" outlineLevel="0" collapsed="false">
      <c r="A8" s="5"/>
      <c r="B8" s="51" t="s">
        <v>121</v>
      </c>
      <c r="C8" s="52" t="n">
        <v>0</v>
      </c>
      <c r="D8" s="52" t="n">
        <f aca="false">(1+CPI_Rate)^D6</f>
        <v>1.025</v>
      </c>
      <c r="E8" s="52" t="n">
        <f aca="false">(1+CPI_Rate)^E6</f>
        <v>1.050625</v>
      </c>
      <c r="F8" s="52" t="n">
        <f aca="false">(1+CPI_Rate)^F6</f>
        <v>1.076890625</v>
      </c>
      <c r="G8" s="52" t="n">
        <f aca="false">(1+CPI_Rate)^G6</f>
        <v>1.103812890625</v>
      </c>
      <c r="H8" s="52" t="n">
        <f aca="false">(1+CPI_Rate)^H6</f>
        <v>1.13140821289062</v>
      </c>
      <c r="I8" s="52" t="n">
        <f aca="false">(1+CPI_Rate)^I6</f>
        <v>1.15969341821289</v>
      </c>
      <c r="J8" s="52" t="n">
        <f aca="false">(1+CPI_Rate)^J6</f>
        <v>1.18868575366821</v>
      </c>
      <c r="K8" s="52" t="n">
        <f aca="false">(1+CPI_Rate)^K6</f>
        <v>1.21840289750992</v>
      </c>
      <c r="L8" s="52" t="n">
        <f aca="false">(1+CPI_Rate)^L6</f>
        <v>1.24886296994767</v>
      </c>
      <c r="M8" s="52" t="n">
        <f aca="false">(1+CPI_Rate)^M6</f>
        <v>1.28008454419636</v>
      </c>
      <c r="N8" s="52" t="n">
        <f aca="false">(1+CPI_Rate)^N6</f>
        <v>1.31208665780127</v>
      </c>
      <c r="O8" s="52" t="n">
        <f aca="false">(1+CPI_Rate)^O6</f>
        <v>1.3448888242463</v>
      </c>
      <c r="P8" s="52" t="n">
        <f aca="false">(1+CPI_Rate)^P6</f>
        <v>1.37851104485245</v>
      </c>
      <c r="Q8" s="52" t="n">
        <f aca="false">(1+CPI_Rate)^Q6</f>
        <v>1.41297382097377</v>
      </c>
      <c r="R8" s="52" t="n">
        <f aca="false">(1+CPI_Rate)^R6</f>
        <v>1.44829816649811</v>
      </c>
      <c r="S8" s="52" t="n">
        <f aca="false">(1+CPI_Rate)^S6</f>
        <v>1.48450562066056</v>
      </c>
      <c r="T8" s="52" t="n">
        <f aca="false">(1+CPI_Rate)^T6</f>
        <v>1.52161826117708</v>
      </c>
      <c r="U8" s="52" t="n">
        <f aca="false">(1+CPI_Rate)^U6</f>
        <v>1.5596587177065</v>
      </c>
      <c r="V8" s="52" t="n">
        <f aca="false">(1+CPI_Rate)^V6</f>
        <v>1.59865018564917</v>
      </c>
      <c r="W8" s="52" t="n">
        <f aca="false">(1+CPI_Rate)^W6</f>
        <v>1.63861644029039</v>
      </c>
      <c r="X8" s="52" t="n">
        <f aca="false">(1+CPI_Rate)^X6</f>
        <v>1.67958185129765</v>
      </c>
      <c r="Y8" s="52" t="n">
        <f aca="false">(1+CPI_Rate)^Y6</f>
        <v>1.7215713975801</v>
      </c>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43" t="s">
        <v>122</v>
      </c>
      <c r="C10" s="44" t="n">
        <v>0</v>
      </c>
      <c r="D10" s="44" t="n">
        <f aca="false">Base_AP*D8</f>
        <v>30750000</v>
      </c>
      <c r="E10" s="44" t="n">
        <f aca="false">Base_AP*E8</f>
        <v>31518750</v>
      </c>
      <c r="F10" s="44" t="n">
        <f aca="false">Base_AP*F8</f>
        <v>32306718.75</v>
      </c>
      <c r="G10" s="44" t="n">
        <f aca="false">Base_AP*G8</f>
        <v>33114386.71875</v>
      </c>
      <c r="H10" s="44" t="n">
        <f aca="false">Base_AP*H8</f>
        <v>33942246.3867187</v>
      </c>
      <c r="I10" s="44" t="n">
        <f aca="false">Base_AP*I8</f>
        <v>34790802.5463867</v>
      </c>
      <c r="J10" s="44" t="n">
        <f aca="false">Base_AP*J8</f>
        <v>35660572.6100464</v>
      </c>
      <c r="K10" s="44" t="n">
        <f aca="false">Base_AP*K8</f>
        <v>36552086.9252975</v>
      </c>
      <c r="L10" s="44" t="n">
        <f aca="false">Base_AP*L8</f>
        <v>37465889.09843</v>
      </c>
      <c r="M10" s="44" t="n">
        <f aca="false">Base_AP*M8</f>
        <v>38402536.3258907</v>
      </c>
      <c r="N10" s="44" t="n">
        <f aca="false">Base_AP*N8</f>
        <v>39362599.734038</v>
      </c>
      <c r="O10" s="44" t="n">
        <f aca="false">Base_AP*O8</f>
        <v>40346664.7273889</v>
      </c>
      <c r="P10" s="44" t="n">
        <f aca="false">Base_AP*P8</f>
        <v>41355331.3455736</v>
      </c>
      <c r="Q10" s="44" t="n">
        <f aca="false">Base_AP*Q8</f>
        <v>42389214.629213</v>
      </c>
      <c r="R10" s="44" t="n">
        <f aca="false">Base_AP*R8</f>
        <v>43448944.9949433</v>
      </c>
      <c r="S10" s="44" t="n">
        <f aca="false">Base_AP*S8</f>
        <v>44535168.6198169</v>
      </c>
      <c r="T10" s="44" t="n">
        <f aca="false">Base_AP*T8</f>
        <v>45648547.8353123</v>
      </c>
      <c r="U10" s="44" t="n">
        <f aca="false">Base_AP*U8</f>
        <v>46789761.5311951</v>
      </c>
      <c r="V10" s="44" t="n">
        <f aca="false">Base_AP*V8</f>
        <v>47959505.569475</v>
      </c>
      <c r="W10" s="44" t="n">
        <f aca="false">Base_AP*W8</f>
        <v>49158493.2087118</v>
      </c>
      <c r="X10" s="44" t="n">
        <f aca="false">Base_AP*X8</f>
        <v>50387455.5389296</v>
      </c>
      <c r="Y10" s="44" t="n">
        <f aca="false">Base_AP*Y8</f>
        <v>51647141.9274029</v>
      </c>
      <c r="Z10" s="5"/>
      <c r="AA10" s="5"/>
      <c r="AB10" s="5"/>
      <c r="AC10" s="5"/>
      <c r="AD10" s="5"/>
    </row>
    <row r="11" customFormat="false" ht="15" hidden="false" customHeight="false" outlineLevel="0" collapsed="false">
      <c r="A11" s="5"/>
      <c r="B11" s="43" t="s">
        <v>123</v>
      </c>
      <c r="C11" s="44" t="n">
        <v>0</v>
      </c>
      <c r="D11" s="44" t="n">
        <f aca="false">D10*Unavail_Pct</f>
        <v>615000</v>
      </c>
      <c r="E11" s="44" t="n">
        <f aca="false">E10*Unavail_Pct</f>
        <v>630375</v>
      </c>
      <c r="F11" s="44" t="n">
        <f aca="false">F10*Unavail_Pct</f>
        <v>646134.375</v>
      </c>
      <c r="G11" s="44" t="n">
        <f aca="false">G10*Unavail_Pct</f>
        <v>662287.734375</v>
      </c>
      <c r="H11" s="44" t="n">
        <f aca="false">H10*Unavail_Pct</f>
        <v>678844.927734375</v>
      </c>
      <c r="I11" s="44" t="n">
        <f aca="false">I10*Unavail_Pct</f>
        <v>695816.050927734</v>
      </c>
      <c r="J11" s="44" t="n">
        <f aca="false">J10*Unavail_Pct</f>
        <v>713211.452200927</v>
      </c>
      <c r="K11" s="44" t="n">
        <f aca="false">K10*Unavail_Pct</f>
        <v>731041.73850595</v>
      </c>
      <c r="L11" s="44" t="n">
        <f aca="false">L10*Unavail_Pct</f>
        <v>749317.781968599</v>
      </c>
      <c r="M11" s="44" t="n">
        <f aca="false">M10*Unavail_Pct</f>
        <v>768050.726517814</v>
      </c>
      <c r="N11" s="44" t="n">
        <f aca="false">N10*Unavail_Pct</f>
        <v>787251.994680759</v>
      </c>
      <c r="O11" s="44" t="n">
        <f aca="false">O10*Unavail_Pct</f>
        <v>806933.294547778</v>
      </c>
      <c r="P11" s="44" t="n">
        <f aca="false">P10*Unavail_Pct</f>
        <v>827106.626911473</v>
      </c>
      <c r="Q11" s="44" t="n">
        <f aca="false">Q10*Unavail_Pct</f>
        <v>847784.292584259</v>
      </c>
      <c r="R11" s="44" t="n">
        <f aca="false">R10*Unavail_Pct</f>
        <v>868978.899898866</v>
      </c>
      <c r="S11" s="44" t="n">
        <f aca="false">S10*Unavail_Pct</f>
        <v>890703.372396338</v>
      </c>
      <c r="T11" s="44" t="n">
        <f aca="false">T10*Unavail_Pct</f>
        <v>912970.956706246</v>
      </c>
      <c r="U11" s="44" t="n">
        <f aca="false">U10*Unavail_Pct</f>
        <v>935795.230623902</v>
      </c>
      <c r="V11" s="44" t="n">
        <f aca="false">V10*Unavail_Pct</f>
        <v>959190.111389499</v>
      </c>
      <c r="W11" s="44" t="n">
        <f aca="false">W10*Unavail_Pct</f>
        <v>983169.864174237</v>
      </c>
      <c r="X11" s="44" t="n">
        <f aca="false">X10*Unavail_Pct</f>
        <v>1007749.11077859</v>
      </c>
      <c r="Y11" s="44" t="n">
        <f aca="false">Y10*Unavail_Pct</f>
        <v>1032942.83854806</v>
      </c>
      <c r="Z11" s="5"/>
      <c r="AA11" s="5"/>
      <c r="AB11" s="5"/>
      <c r="AC11" s="5"/>
      <c r="AD11" s="5"/>
    </row>
    <row r="12" customFormat="false" ht="15" hidden="false" customHeight="false" outlineLevel="0" collapsed="false">
      <c r="A12" s="5"/>
      <c r="B12" s="45" t="s">
        <v>124</v>
      </c>
      <c r="C12" s="46" t="n">
        <v>0</v>
      </c>
      <c r="D12" s="46" t="n">
        <f aca="false">D10-D11</f>
        <v>30135000</v>
      </c>
      <c r="E12" s="46" t="n">
        <f aca="false">E10-E11</f>
        <v>30888375</v>
      </c>
      <c r="F12" s="46" t="n">
        <f aca="false">F10-F11</f>
        <v>31660584.375</v>
      </c>
      <c r="G12" s="46" t="n">
        <f aca="false">G10-G11</f>
        <v>32452098.984375</v>
      </c>
      <c r="H12" s="46" t="n">
        <f aca="false">H10-H11</f>
        <v>33263401.4589844</v>
      </c>
      <c r="I12" s="46" t="n">
        <f aca="false">I10-I11</f>
        <v>34094986.495459</v>
      </c>
      <c r="J12" s="46" t="n">
        <f aca="false">J10-J11</f>
        <v>34947361.1578454</v>
      </c>
      <c r="K12" s="46" t="n">
        <f aca="false">K10-K11</f>
        <v>35821045.1867916</v>
      </c>
      <c r="L12" s="46" t="n">
        <f aca="false">L10-L11</f>
        <v>36716571.3164614</v>
      </c>
      <c r="M12" s="46" t="n">
        <f aca="false">M10-M11</f>
        <v>37634485.5993729</v>
      </c>
      <c r="N12" s="46" t="n">
        <f aca="false">N10-N11</f>
        <v>38575347.7393572</v>
      </c>
      <c r="O12" s="46" t="n">
        <f aca="false">O10-O11</f>
        <v>39539731.4328411</v>
      </c>
      <c r="P12" s="46" t="n">
        <f aca="false">P10-P11</f>
        <v>40528224.7186622</v>
      </c>
      <c r="Q12" s="46" t="n">
        <f aca="false">Q10-Q11</f>
        <v>41541430.3366287</v>
      </c>
      <c r="R12" s="46" t="n">
        <f aca="false">R10-R11</f>
        <v>42579966.0950444</v>
      </c>
      <c r="S12" s="46" t="n">
        <f aca="false">S10-S11</f>
        <v>43644465.2474205</v>
      </c>
      <c r="T12" s="46" t="n">
        <f aca="false">T10-T11</f>
        <v>44735576.878606</v>
      </c>
      <c r="U12" s="46" t="n">
        <f aca="false">U10-U11</f>
        <v>45853966.3005712</v>
      </c>
      <c r="V12" s="46" t="n">
        <f aca="false">V10-V11</f>
        <v>47000315.4580855</v>
      </c>
      <c r="W12" s="46" t="n">
        <f aca="false">W10-W11</f>
        <v>48175323.3445376</v>
      </c>
      <c r="X12" s="46" t="n">
        <f aca="false">X10-X11</f>
        <v>49379706.428151</v>
      </c>
      <c r="Y12" s="46" t="n">
        <f aca="false">Y10-Y11</f>
        <v>50614199.0888548</v>
      </c>
      <c r="Z12" s="5"/>
      <c r="AA12" s="5"/>
      <c r="AB12" s="5"/>
      <c r="AC12" s="5"/>
      <c r="AD12" s="5"/>
    </row>
    <row r="13" customFormat="false" ht="15" hidden="false" customHeight="false" outlineLevel="0" collapsed="false">
      <c r="A13" s="5"/>
      <c r="B13" s="30" t="s">
        <v>125</v>
      </c>
      <c r="C13" s="14"/>
      <c r="D13" s="14"/>
      <c r="E13" s="14"/>
      <c r="F13" s="14"/>
      <c r="G13" s="14"/>
      <c r="H13" s="14"/>
      <c r="I13" s="14"/>
      <c r="J13" s="14"/>
      <c r="K13" s="14"/>
      <c r="L13" s="14"/>
      <c r="M13" s="14"/>
      <c r="N13" s="14"/>
      <c r="O13" s="14"/>
      <c r="P13" s="14"/>
      <c r="Q13" s="14"/>
      <c r="R13" s="14"/>
      <c r="S13" s="14"/>
      <c r="T13" s="14"/>
      <c r="U13" s="14"/>
      <c r="V13" s="14"/>
      <c r="W13" s="14"/>
      <c r="X13" s="14"/>
      <c r="Y13" s="14"/>
      <c r="Z13" s="5"/>
      <c r="AA13" s="5"/>
      <c r="AB13" s="5"/>
      <c r="AC13" s="5"/>
      <c r="AD13" s="5"/>
    </row>
    <row r="14" customFormat="false" ht="15" hidden="false" customHeight="false" outlineLevel="0" collapsed="false">
      <c r="A14" s="5"/>
      <c r="B14" s="43" t="s">
        <v>126</v>
      </c>
      <c r="C14" s="44" t="n">
        <v>0</v>
      </c>
      <c r="D14" s="44" t="n">
        <f aca="false">OM_Cost*D8</f>
        <v>4100000</v>
      </c>
      <c r="E14" s="44" t="n">
        <f aca="false">OM_Cost*E8</f>
        <v>4202500</v>
      </c>
      <c r="F14" s="44" t="n">
        <f aca="false">OM_Cost*F8</f>
        <v>4307562.5</v>
      </c>
      <c r="G14" s="44" t="n">
        <f aca="false">OM_Cost*G8</f>
        <v>4415251.5625</v>
      </c>
      <c r="H14" s="44" t="n">
        <f aca="false">OM_Cost*H8</f>
        <v>4525632.8515625</v>
      </c>
      <c r="I14" s="44" t="n">
        <f aca="false">OM_Cost*I8</f>
        <v>4638773.67285156</v>
      </c>
      <c r="J14" s="44" t="n">
        <f aca="false">OM_Cost*J8</f>
        <v>4754743.01467285</v>
      </c>
      <c r="K14" s="44" t="n">
        <f aca="false">OM_Cost*K8</f>
        <v>4873611.59003967</v>
      </c>
      <c r="L14" s="44" t="n">
        <f aca="false">OM_Cost*L8</f>
        <v>4995451.87979066</v>
      </c>
      <c r="M14" s="44" t="n">
        <f aca="false">OM_Cost*M8</f>
        <v>5120338.17678543</v>
      </c>
      <c r="N14" s="44" t="n">
        <f aca="false">OM_Cost*N8</f>
        <v>5248346.63120506</v>
      </c>
      <c r="O14" s="44" t="n">
        <f aca="false">OM_Cost*O8</f>
        <v>5379555.29698519</v>
      </c>
      <c r="P14" s="44" t="n">
        <f aca="false">OM_Cost*P8</f>
        <v>5514044.17940982</v>
      </c>
      <c r="Q14" s="44" t="n">
        <f aca="false">OM_Cost*Q8</f>
        <v>5651895.28389506</v>
      </c>
      <c r="R14" s="44" t="n">
        <f aca="false">OM_Cost*R8</f>
        <v>5793192.66599244</v>
      </c>
      <c r="S14" s="44" t="n">
        <f aca="false">OM_Cost*S8</f>
        <v>5938022.48264225</v>
      </c>
      <c r="T14" s="44" t="n">
        <f aca="false">OM_Cost*T8</f>
        <v>6086473.0447083</v>
      </c>
      <c r="U14" s="44" t="n">
        <f aca="false">OM_Cost*U8</f>
        <v>6238634.87082601</v>
      </c>
      <c r="V14" s="44" t="n">
        <f aca="false">OM_Cost*V8</f>
        <v>6394600.74259666</v>
      </c>
      <c r="W14" s="44" t="n">
        <f aca="false">OM_Cost*W8</f>
        <v>6554465.76116158</v>
      </c>
      <c r="X14" s="44" t="n">
        <f aca="false">OM_Cost*X8</f>
        <v>6718327.40519062</v>
      </c>
      <c r="Y14" s="44" t="n">
        <f aca="false">OM_Cost*Y8</f>
        <v>6886285.59032038</v>
      </c>
      <c r="Z14" s="5"/>
      <c r="AA14" s="5"/>
      <c r="AB14" s="5"/>
      <c r="AC14" s="5"/>
      <c r="AD14" s="5"/>
    </row>
    <row r="15" customFormat="false" ht="15" hidden="false" customHeight="false" outlineLevel="0" collapsed="false">
      <c r="A15" s="5"/>
      <c r="B15" s="43" t="s">
        <v>127</v>
      </c>
      <c r="C15" s="44" t="n">
        <v>0</v>
      </c>
      <c r="D15" s="44" t="n">
        <f aca="false">SPV_Mgmt*D8</f>
        <v>1537500</v>
      </c>
      <c r="E15" s="44" t="n">
        <f aca="false">SPV_Mgmt*E8</f>
        <v>1575937.5</v>
      </c>
      <c r="F15" s="44" t="n">
        <f aca="false">SPV_Mgmt*F8</f>
        <v>1615335.9375</v>
      </c>
      <c r="G15" s="44" t="n">
        <f aca="false">SPV_Mgmt*G8</f>
        <v>1655719.3359375</v>
      </c>
      <c r="H15" s="44" t="n">
        <f aca="false">SPV_Mgmt*H8</f>
        <v>1697112.31933594</v>
      </c>
      <c r="I15" s="44" t="n">
        <f aca="false">SPV_Mgmt*I8</f>
        <v>1739540.12731934</v>
      </c>
      <c r="J15" s="44" t="n">
        <f aca="false">SPV_Mgmt*J8</f>
        <v>1783028.63050232</v>
      </c>
      <c r="K15" s="44" t="n">
        <f aca="false">SPV_Mgmt*K8</f>
        <v>1827604.34626488</v>
      </c>
      <c r="L15" s="44" t="n">
        <f aca="false">SPV_Mgmt*L8</f>
        <v>1873294.4549215</v>
      </c>
      <c r="M15" s="44" t="n">
        <f aca="false">SPV_Mgmt*M8</f>
        <v>1920126.81629454</v>
      </c>
      <c r="N15" s="44" t="n">
        <f aca="false">SPV_Mgmt*N8</f>
        <v>1968129.9867019</v>
      </c>
      <c r="O15" s="44" t="n">
        <f aca="false">SPV_Mgmt*O8</f>
        <v>2017333.23636945</v>
      </c>
      <c r="P15" s="44" t="n">
        <f aca="false">SPV_Mgmt*P8</f>
        <v>2067766.56727868</v>
      </c>
      <c r="Q15" s="44" t="n">
        <f aca="false">SPV_Mgmt*Q8</f>
        <v>2119460.73146065</v>
      </c>
      <c r="R15" s="44" t="n">
        <f aca="false">SPV_Mgmt*R8</f>
        <v>2172447.24974716</v>
      </c>
      <c r="S15" s="44" t="n">
        <f aca="false">SPV_Mgmt*S8</f>
        <v>2226758.43099084</v>
      </c>
      <c r="T15" s="44" t="n">
        <f aca="false">SPV_Mgmt*T8</f>
        <v>2282427.39176561</v>
      </c>
      <c r="U15" s="44" t="n">
        <f aca="false">SPV_Mgmt*U8</f>
        <v>2339488.07655975</v>
      </c>
      <c r="V15" s="44" t="n">
        <f aca="false">SPV_Mgmt*V8</f>
        <v>2397975.27847375</v>
      </c>
      <c r="W15" s="44" t="n">
        <f aca="false">SPV_Mgmt*W8</f>
        <v>2457924.66043559</v>
      </c>
      <c r="X15" s="44" t="n">
        <f aca="false">SPV_Mgmt*X8</f>
        <v>2519372.77694648</v>
      </c>
      <c r="Y15" s="44" t="n">
        <f aca="false">SPV_Mgmt*Y8</f>
        <v>2582357.09637014</v>
      </c>
      <c r="Z15" s="5"/>
      <c r="AA15" s="5"/>
      <c r="AB15" s="5"/>
      <c r="AC15" s="5"/>
      <c r="AD15" s="5"/>
    </row>
    <row r="16" customFormat="false" ht="15" hidden="false" customHeight="false" outlineLevel="0" collapsed="false">
      <c r="A16" s="5"/>
      <c r="B16" s="43" t="s">
        <v>128</v>
      </c>
      <c r="C16" s="44" t="n">
        <v>0</v>
      </c>
      <c r="D16" s="44" t="n">
        <f aca="false">Insurance_Cost*D8</f>
        <v>768750</v>
      </c>
      <c r="E16" s="44" t="n">
        <f aca="false">Insurance_Cost*E8</f>
        <v>787968.75</v>
      </c>
      <c r="F16" s="44" t="n">
        <f aca="false">Insurance_Cost*F8</f>
        <v>807667.96875</v>
      </c>
      <c r="G16" s="44" t="n">
        <f aca="false">Insurance_Cost*G8</f>
        <v>827859.66796875</v>
      </c>
      <c r="H16" s="44" t="n">
        <f aca="false">Insurance_Cost*H8</f>
        <v>848556.159667968</v>
      </c>
      <c r="I16" s="44" t="n">
        <f aca="false">Insurance_Cost*I8</f>
        <v>869770.063659668</v>
      </c>
      <c r="J16" s="44" t="n">
        <f aca="false">Insurance_Cost*J8</f>
        <v>891514.315251159</v>
      </c>
      <c r="K16" s="44" t="n">
        <f aca="false">Insurance_Cost*K8</f>
        <v>913802.173132438</v>
      </c>
      <c r="L16" s="44" t="n">
        <f aca="false">Insurance_Cost*L8</f>
        <v>936647.227460749</v>
      </c>
      <c r="M16" s="44" t="n">
        <f aca="false">Insurance_Cost*M8</f>
        <v>960063.408147268</v>
      </c>
      <c r="N16" s="44" t="n">
        <f aca="false">Insurance_Cost*N8</f>
        <v>984064.993350949</v>
      </c>
      <c r="O16" s="44" t="n">
        <f aca="false">Insurance_Cost*O8</f>
        <v>1008666.61818472</v>
      </c>
      <c r="P16" s="44" t="n">
        <f aca="false">Insurance_Cost*P8</f>
        <v>1033883.28363934</v>
      </c>
      <c r="Q16" s="44" t="n">
        <f aca="false">Insurance_Cost*Q8</f>
        <v>1059730.36573032</v>
      </c>
      <c r="R16" s="44" t="n">
        <f aca="false">Insurance_Cost*R8</f>
        <v>1086223.62487358</v>
      </c>
      <c r="S16" s="44" t="n">
        <f aca="false">Insurance_Cost*S8</f>
        <v>1113379.21549542</v>
      </c>
      <c r="T16" s="44" t="n">
        <f aca="false">Insurance_Cost*T8</f>
        <v>1141213.69588281</v>
      </c>
      <c r="U16" s="44" t="n">
        <f aca="false">Insurance_Cost*U8</f>
        <v>1169744.03827988</v>
      </c>
      <c r="V16" s="44" t="n">
        <f aca="false">Insurance_Cost*V8</f>
        <v>1198987.63923687</v>
      </c>
      <c r="W16" s="44" t="n">
        <f aca="false">Insurance_Cost*W8</f>
        <v>1228962.3302178</v>
      </c>
      <c r="X16" s="44" t="n">
        <f aca="false">Insurance_Cost*X8</f>
        <v>1259686.38847324</v>
      </c>
      <c r="Y16" s="44" t="n">
        <f aca="false">Insurance_Cost*Y8</f>
        <v>1291178.54818507</v>
      </c>
      <c r="Z16" s="5"/>
      <c r="AA16" s="5"/>
      <c r="AB16" s="5"/>
      <c r="AC16" s="5"/>
      <c r="AD16" s="5"/>
    </row>
    <row r="17" customFormat="false" ht="15" hidden="false" customHeight="false" outlineLevel="0" collapsed="false">
      <c r="A17" s="5"/>
      <c r="B17" s="45" t="s">
        <v>129</v>
      </c>
      <c r="C17" s="46" t="n">
        <v>0</v>
      </c>
      <c r="D17" s="46" t="n">
        <f aca="false">D14+D15+D16</f>
        <v>6406250</v>
      </c>
      <c r="E17" s="46" t="n">
        <f aca="false">E14+E15+E16</f>
        <v>6566406.25</v>
      </c>
      <c r="F17" s="46" t="n">
        <f aca="false">F14+F15+F16</f>
        <v>6730566.40625</v>
      </c>
      <c r="G17" s="46" t="n">
        <f aca="false">G14+G15+G16</f>
        <v>6898830.56640625</v>
      </c>
      <c r="H17" s="46" t="n">
        <f aca="false">H14+H15+H16</f>
        <v>7071301.3305664</v>
      </c>
      <c r="I17" s="46" t="n">
        <f aca="false">I14+I15+I16</f>
        <v>7248083.86383056</v>
      </c>
      <c r="J17" s="46" t="n">
        <f aca="false">J14+J15+J16</f>
        <v>7429285.96042633</v>
      </c>
      <c r="K17" s="46" t="n">
        <f aca="false">K14+K15+K16</f>
        <v>7615018.10943698</v>
      </c>
      <c r="L17" s="46" t="n">
        <f aca="false">L14+L15+L16</f>
        <v>7805393.56217291</v>
      </c>
      <c r="M17" s="46" t="n">
        <f aca="false">M14+M15+M16</f>
        <v>8000528.40122723</v>
      </c>
      <c r="N17" s="46" t="n">
        <f aca="false">N14+N15+N16</f>
        <v>8200541.61125791</v>
      </c>
      <c r="O17" s="46" t="n">
        <f aca="false">O14+O15+O16</f>
        <v>8405555.15153936</v>
      </c>
      <c r="P17" s="46" t="n">
        <f aca="false">P14+P15+P16</f>
        <v>8615694.03032784</v>
      </c>
      <c r="Q17" s="46" t="n">
        <f aca="false">Q14+Q15+Q16</f>
        <v>8831086.38108604</v>
      </c>
      <c r="R17" s="46" t="n">
        <f aca="false">R14+R15+R16</f>
        <v>9051863.54061319</v>
      </c>
      <c r="S17" s="46" t="n">
        <f aca="false">S14+S15+S16</f>
        <v>9278160.12912852</v>
      </c>
      <c r="T17" s="46" t="n">
        <f aca="false">T14+T15+T16</f>
        <v>9510114.13235673</v>
      </c>
      <c r="U17" s="46" t="n">
        <f aca="false">U14+U15+U16</f>
        <v>9747866.98566564</v>
      </c>
      <c r="V17" s="46" t="n">
        <f aca="false">V14+V15+V16</f>
        <v>9991563.66030728</v>
      </c>
      <c r="W17" s="46" t="n">
        <f aca="false">W14+W15+W16</f>
        <v>10241352.751815</v>
      </c>
      <c r="X17" s="46" t="n">
        <f aca="false">X14+X15+X16</f>
        <v>10497386.5706103</v>
      </c>
      <c r="Y17" s="46" t="n">
        <f aca="false">Y14+Y15+Y16</f>
        <v>10759821.2348756</v>
      </c>
      <c r="Z17" s="5"/>
      <c r="AA17" s="5"/>
      <c r="AB17" s="5"/>
      <c r="AC17" s="5"/>
      <c r="AD17" s="5"/>
    </row>
    <row r="18" customFormat="false" ht="15" hidden="false" customHeight="false" outlineLevel="0" collapsed="false">
      <c r="A18" s="5"/>
      <c r="B18" s="30" t="s">
        <v>130</v>
      </c>
      <c r="C18" s="14"/>
      <c r="D18" s="14"/>
      <c r="E18" s="14"/>
      <c r="F18" s="14"/>
      <c r="G18" s="14"/>
      <c r="H18" s="14"/>
      <c r="I18" s="14"/>
      <c r="J18" s="14"/>
      <c r="K18" s="14"/>
      <c r="L18" s="14"/>
      <c r="M18" s="14"/>
      <c r="N18" s="14"/>
      <c r="O18" s="14"/>
      <c r="P18" s="14"/>
      <c r="Q18" s="14"/>
      <c r="R18" s="14"/>
      <c r="S18" s="14"/>
      <c r="T18" s="14"/>
      <c r="U18" s="14"/>
      <c r="V18" s="14"/>
      <c r="W18" s="14"/>
      <c r="X18" s="14"/>
      <c r="Y18" s="14"/>
      <c r="Z18" s="5"/>
      <c r="AA18" s="5"/>
      <c r="AB18" s="5"/>
      <c r="AC18" s="5"/>
      <c r="AD18" s="5"/>
    </row>
    <row r="19" customFormat="false" ht="15" hidden="false" customHeight="false" outlineLevel="0" collapsed="false">
      <c r="A19" s="5"/>
      <c r="B19" s="45" t="s">
        <v>131</v>
      </c>
      <c r="C19" s="46" t="n">
        <v>0</v>
      </c>
      <c r="D19" s="46" t="n">
        <f aca="false">D12-D17</f>
        <v>23728750</v>
      </c>
      <c r="E19" s="46" t="n">
        <f aca="false">E12-E17</f>
        <v>24321968.75</v>
      </c>
      <c r="F19" s="46" t="n">
        <f aca="false">F12-F17</f>
        <v>24930017.96875</v>
      </c>
      <c r="G19" s="46" t="n">
        <f aca="false">G12-G17</f>
        <v>25553268.4179687</v>
      </c>
      <c r="H19" s="46" t="n">
        <f aca="false">H12-H17</f>
        <v>26192100.128418</v>
      </c>
      <c r="I19" s="46" t="n">
        <f aca="false">I12-I17</f>
        <v>26846902.6316284</v>
      </c>
      <c r="J19" s="46" t="n">
        <f aca="false">J12-J17</f>
        <v>27518075.1974191</v>
      </c>
      <c r="K19" s="46" t="n">
        <f aca="false">K12-K17</f>
        <v>28206027.0773546</v>
      </c>
      <c r="L19" s="46" t="n">
        <f aca="false">L12-L17</f>
        <v>28911177.7542884</v>
      </c>
      <c r="M19" s="46" t="n">
        <f aca="false">M12-M17</f>
        <v>29633957.1981457</v>
      </c>
      <c r="N19" s="46" t="n">
        <f aca="false">N12-N17</f>
        <v>30374806.1280993</v>
      </c>
      <c r="O19" s="46" t="n">
        <f aca="false">O12-O17</f>
        <v>31134176.2813018</v>
      </c>
      <c r="P19" s="46" t="n">
        <f aca="false">P12-P17</f>
        <v>31912530.6883343</v>
      </c>
      <c r="Q19" s="46" t="n">
        <f aca="false">Q12-Q17</f>
        <v>32710343.9555427</v>
      </c>
      <c r="R19" s="46" t="n">
        <f aca="false">R12-R17</f>
        <v>33528102.5544312</v>
      </c>
      <c r="S19" s="46" t="n">
        <f aca="false">S12-S17</f>
        <v>34366305.118292</v>
      </c>
      <c r="T19" s="46" t="n">
        <f aca="false">T12-T17</f>
        <v>35225462.7462493</v>
      </c>
      <c r="U19" s="46" t="n">
        <f aca="false">U12-U17</f>
        <v>36106099.3149056</v>
      </c>
      <c r="V19" s="46" t="n">
        <f aca="false">V12-V17</f>
        <v>37008751.7977782</v>
      </c>
      <c r="W19" s="46" t="n">
        <f aca="false">W12-W17</f>
        <v>37933970.5927226</v>
      </c>
      <c r="X19" s="46" t="n">
        <f aca="false">X12-X17</f>
        <v>38882319.8575407</v>
      </c>
      <c r="Y19" s="46" t="n">
        <f aca="false">Y12-Y17</f>
        <v>39854377.8539792</v>
      </c>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43" t="s">
        <v>132</v>
      </c>
      <c r="C21" s="44" t="n">
        <v>0</v>
      </c>
      <c r="D21" s="44" t="n">
        <f aca="false">Con_Total_Cost/Concession_Life</f>
        <v>11396831.25</v>
      </c>
      <c r="E21" s="44" t="n">
        <f aca="false">Con_Total_Cost/Concession_Life</f>
        <v>11396831.25</v>
      </c>
      <c r="F21" s="44" t="n">
        <f aca="false">Con_Total_Cost/Concession_Life</f>
        <v>11396831.25</v>
      </c>
      <c r="G21" s="44" t="n">
        <f aca="false">Con_Total_Cost/Concession_Life</f>
        <v>11396831.25</v>
      </c>
      <c r="H21" s="44" t="n">
        <f aca="false">Con_Total_Cost/Concession_Life</f>
        <v>11396831.25</v>
      </c>
      <c r="I21" s="44" t="n">
        <f aca="false">Con_Total_Cost/Concession_Life</f>
        <v>11396831.25</v>
      </c>
      <c r="J21" s="44" t="n">
        <f aca="false">Con_Total_Cost/Concession_Life</f>
        <v>11396831.25</v>
      </c>
      <c r="K21" s="44" t="n">
        <f aca="false">Con_Total_Cost/Concession_Life</f>
        <v>11396831.25</v>
      </c>
      <c r="L21" s="44" t="n">
        <f aca="false">Con_Total_Cost/Concession_Life</f>
        <v>11396831.25</v>
      </c>
      <c r="M21" s="44" t="n">
        <f aca="false">Con_Total_Cost/Concession_Life</f>
        <v>11396831.25</v>
      </c>
      <c r="N21" s="44" t="n">
        <f aca="false">Con_Total_Cost/Concession_Life</f>
        <v>11396831.25</v>
      </c>
      <c r="O21" s="44" t="n">
        <f aca="false">Con_Total_Cost/Concession_Life</f>
        <v>11396831.25</v>
      </c>
      <c r="P21" s="44" t="n">
        <f aca="false">Con_Total_Cost/Concession_Life</f>
        <v>11396831.25</v>
      </c>
      <c r="Q21" s="44" t="n">
        <f aca="false">Con_Total_Cost/Concession_Life</f>
        <v>11396831.25</v>
      </c>
      <c r="R21" s="44" t="n">
        <f aca="false">Con_Total_Cost/Concession_Life</f>
        <v>11396831.25</v>
      </c>
      <c r="S21" s="44" t="n">
        <f aca="false">Con_Total_Cost/Concession_Life</f>
        <v>11396831.25</v>
      </c>
      <c r="T21" s="44" t="n">
        <f aca="false">Con_Total_Cost/Concession_Life</f>
        <v>11396831.25</v>
      </c>
      <c r="U21" s="44" t="n">
        <f aca="false">Con_Total_Cost/Concession_Life</f>
        <v>11396831.25</v>
      </c>
      <c r="V21" s="44" t="n">
        <f aca="false">Con_Total_Cost/Concession_Life</f>
        <v>11396831.25</v>
      </c>
      <c r="W21" s="44" t="n">
        <f aca="false">Con_Total_Cost/Concession_Life</f>
        <v>11396831.25</v>
      </c>
      <c r="X21" s="44" t="n">
        <f aca="false">Con_Total_Cost/Concession_Life</f>
        <v>11396831.25</v>
      </c>
      <c r="Y21" s="44" t="n">
        <f aca="false">Con_Total_Cost/Concession_Life</f>
        <v>11396831.25</v>
      </c>
      <c r="Z21" s="5"/>
      <c r="AA21" s="5"/>
      <c r="AB21" s="5"/>
      <c r="AC21" s="5"/>
      <c r="AD21" s="5"/>
    </row>
    <row r="22" customFormat="false" ht="15" hidden="false" customHeight="false" outlineLevel="0" collapsed="false">
      <c r="A22" s="5"/>
      <c r="B22" s="36" t="s">
        <v>133</v>
      </c>
      <c r="C22" s="44" t="n">
        <v>0</v>
      </c>
      <c r="D22" s="44" t="n">
        <f aca="false">D19-D21</f>
        <v>12331918.75</v>
      </c>
      <c r="E22" s="44" t="n">
        <f aca="false">E19-E21</f>
        <v>12925137.5</v>
      </c>
      <c r="F22" s="44" t="n">
        <f aca="false">F19-F21</f>
        <v>13533186.71875</v>
      </c>
      <c r="G22" s="44" t="n">
        <f aca="false">G19-G21</f>
        <v>14156437.1679687</v>
      </c>
      <c r="H22" s="44" t="n">
        <f aca="false">H19-H21</f>
        <v>14795268.878418</v>
      </c>
      <c r="I22" s="44" t="n">
        <f aca="false">I19-I21</f>
        <v>15450071.3816284</v>
      </c>
      <c r="J22" s="44" t="n">
        <f aca="false">J19-J21</f>
        <v>16121243.9474191</v>
      </c>
      <c r="K22" s="44" t="n">
        <f aca="false">K19-K21</f>
        <v>16809195.8273546</v>
      </c>
      <c r="L22" s="44" t="n">
        <f aca="false">L19-L21</f>
        <v>17514346.5042884</v>
      </c>
      <c r="M22" s="44" t="n">
        <f aca="false">M19-M21</f>
        <v>18237125.9481457</v>
      </c>
      <c r="N22" s="44" t="n">
        <f aca="false">N19-N21</f>
        <v>18977974.8780993</v>
      </c>
      <c r="O22" s="44" t="n">
        <f aca="false">O19-O21</f>
        <v>19737345.0313018</v>
      </c>
      <c r="P22" s="44" t="n">
        <f aca="false">P19-P21</f>
        <v>20515699.4383343</v>
      </c>
      <c r="Q22" s="44" t="n">
        <f aca="false">Q19-Q21</f>
        <v>21313512.7055427</v>
      </c>
      <c r="R22" s="44" t="n">
        <f aca="false">R19-R21</f>
        <v>22131271.3044312</v>
      </c>
      <c r="S22" s="44" t="n">
        <f aca="false">S19-S21</f>
        <v>22969473.868292</v>
      </c>
      <c r="T22" s="44" t="n">
        <f aca="false">T19-T21</f>
        <v>23828631.4962493</v>
      </c>
      <c r="U22" s="44" t="n">
        <f aca="false">U19-U21</f>
        <v>24709268.0649055</v>
      </c>
      <c r="V22" s="44" t="n">
        <f aca="false">V19-V21</f>
        <v>25611920.5477782</v>
      </c>
      <c r="W22" s="44" t="n">
        <f aca="false">W19-W21</f>
        <v>26537139.3427226</v>
      </c>
      <c r="X22" s="44" t="n">
        <f aca="false">X19-X21</f>
        <v>27485488.6075407</v>
      </c>
      <c r="Y22" s="44" t="n">
        <f aca="false">Y19-Y21</f>
        <v>28457546.6039792</v>
      </c>
      <c r="Z22" s="5"/>
      <c r="AA22" s="5"/>
      <c r="AB22" s="5"/>
      <c r="AC22" s="5"/>
      <c r="AD22" s="5"/>
    </row>
    <row r="23" customFormat="false" ht="15" hidden="false" customHeight="false" outlineLevel="0" collapsed="false">
      <c r="A23" s="5"/>
      <c r="B23" s="30" t="s">
        <v>134</v>
      </c>
      <c r="C23" s="14"/>
      <c r="D23" s="14"/>
      <c r="E23" s="14"/>
      <c r="F23" s="14"/>
      <c r="G23" s="14"/>
      <c r="H23" s="14"/>
      <c r="I23" s="14"/>
      <c r="J23" s="14"/>
      <c r="K23" s="14"/>
      <c r="L23" s="14"/>
      <c r="M23" s="14"/>
      <c r="N23" s="14"/>
      <c r="O23" s="14"/>
      <c r="P23" s="14"/>
      <c r="Q23" s="14"/>
      <c r="R23" s="14"/>
      <c r="S23" s="14"/>
      <c r="T23" s="14"/>
      <c r="U23" s="14"/>
      <c r="V23" s="14"/>
      <c r="W23" s="14"/>
      <c r="X23" s="14"/>
      <c r="Y23" s="14"/>
      <c r="Z23" s="5"/>
      <c r="AA23" s="5"/>
      <c r="AB23" s="5"/>
      <c r="AC23" s="5"/>
      <c r="AD23" s="5"/>
    </row>
    <row r="24" customFormat="false" ht="15" hidden="false" customHeight="false" outlineLevel="0" collapsed="false">
      <c r="A24" s="5"/>
      <c r="B24" s="43" t="s">
        <v>135</v>
      </c>
      <c r="C24" s="44" t="n">
        <v>0</v>
      </c>
      <c r="D24" s="44" t="n">
        <f aca="false">MAX(0,D22*Tax_Rate)</f>
        <v>3082979.6875</v>
      </c>
      <c r="E24" s="44" t="n">
        <f aca="false">MAX(0,E22*Tax_Rate)</f>
        <v>3231284.375</v>
      </c>
      <c r="F24" s="44" t="n">
        <f aca="false">MAX(0,F22*Tax_Rate)</f>
        <v>3383296.6796875</v>
      </c>
      <c r="G24" s="44" t="n">
        <f aca="false">MAX(0,G22*Tax_Rate)</f>
        <v>3539109.29199218</v>
      </c>
      <c r="H24" s="44" t="n">
        <f aca="false">MAX(0,H22*Tax_Rate)</f>
        <v>3698817.21960449</v>
      </c>
      <c r="I24" s="44" t="n">
        <f aca="false">MAX(0,I22*Tax_Rate)</f>
        <v>3862517.8454071</v>
      </c>
      <c r="J24" s="44" t="n">
        <f aca="false">MAX(0,J22*Tax_Rate)</f>
        <v>4030310.98685478</v>
      </c>
      <c r="K24" s="44" t="n">
        <f aca="false">MAX(0,K22*Tax_Rate)</f>
        <v>4202298.95683865</v>
      </c>
      <c r="L24" s="44" t="n">
        <f aca="false">MAX(0,L22*Tax_Rate)</f>
        <v>4378586.62607211</v>
      </c>
      <c r="M24" s="44" t="n">
        <f aca="false">MAX(0,M22*Tax_Rate)</f>
        <v>4559281.48703641</v>
      </c>
      <c r="N24" s="44" t="n">
        <f aca="false">MAX(0,N22*Tax_Rate)</f>
        <v>4744493.71952482</v>
      </c>
      <c r="O24" s="44" t="n">
        <f aca="false">MAX(0,O22*Tax_Rate)</f>
        <v>4934336.25782544</v>
      </c>
      <c r="P24" s="44" t="n">
        <f aca="false">MAX(0,P22*Tax_Rate)</f>
        <v>5128924.85958358</v>
      </c>
      <c r="Q24" s="44" t="n">
        <f aca="false">MAX(0,Q22*Tax_Rate)</f>
        <v>5328378.17638567</v>
      </c>
      <c r="R24" s="44" t="n">
        <f aca="false">MAX(0,R22*Tax_Rate)</f>
        <v>5532817.82610781</v>
      </c>
      <c r="S24" s="44" t="n">
        <f aca="false">MAX(0,S22*Tax_Rate)</f>
        <v>5742368.46707301</v>
      </c>
      <c r="T24" s="44" t="n">
        <f aca="false">MAX(0,T22*Tax_Rate)</f>
        <v>5957157.87406233</v>
      </c>
      <c r="U24" s="44" t="n">
        <f aca="false">MAX(0,U22*Tax_Rate)</f>
        <v>6177317.01622639</v>
      </c>
      <c r="V24" s="44" t="n">
        <f aca="false">MAX(0,V22*Tax_Rate)</f>
        <v>6402980.13694454</v>
      </c>
      <c r="W24" s="44" t="n">
        <f aca="false">MAX(0,W22*Tax_Rate)</f>
        <v>6634284.83568066</v>
      </c>
      <c r="X24" s="44" t="n">
        <f aca="false">MAX(0,X22*Tax_Rate)</f>
        <v>6871372.15188517</v>
      </c>
      <c r="Y24" s="44" t="n">
        <f aca="false">MAX(0,Y22*Tax_Rate)</f>
        <v>7114386.6509948</v>
      </c>
      <c r="Z24" s="5"/>
      <c r="AA24" s="5"/>
      <c r="AB24" s="5"/>
      <c r="AC24" s="5"/>
      <c r="AD24" s="5"/>
    </row>
    <row r="25" customFormat="false" ht="15" hidden="false" customHeight="false" outlineLevel="0" collapsed="false">
      <c r="A25" s="5"/>
      <c r="B25" s="30" t="s">
        <v>136</v>
      </c>
      <c r="C25" s="14"/>
      <c r="D25" s="14"/>
      <c r="E25" s="14"/>
      <c r="F25" s="14"/>
      <c r="G25" s="14"/>
      <c r="H25" s="14"/>
      <c r="I25" s="14"/>
      <c r="J25" s="14"/>
      <c r="K25" s="14"/>
      <c r="L25" s="14"/>
      <c r="M25" s="14"/>
      <c r="N25" s="14"/>
      <c r="O25" s="14"/>
      <c r="P25" s="14"/>
      <c r="Q25" s="14"/>
      <c r="R25" s="14"/>
      <c r="S25" s="14"/>
      <c r="T25" s="14"/>
      <c r="U25" s="14"/>
      <c r="V25" s="14"/>
      <c r="W25" s="14"/>
      <c r="X25" s="14"/>
      <c r="Y25" s="14"/>
      <c r="Z25" s="5"/>
      <c r="AA25" s="5"/>
      <c r="AB25" s="5"/>
      <c r="AC25" s="5"/>
      <c r="AD25" s="5"/>
    </row>
    <row r="26" customFormat="false" ht="15" hidden="false" customHeight="false" outlineLevel="0" collapsed="false">
      <c r="A26" s="5"/>
      <c r="B26" s="47" t="s">
        <v>137</v>
      </c>
      <c r="C26" s="48" t="n">
        <v>0</v>
      </c>
      <c r="D26" s="48" t="n">
        <f aca="false">D19-D24</f>
        <v>20645770.3125</v>
      </c>
      <c r="E26" s="48" t="n">
        <f aca="false">E19-E24</f>
        <v>21090684.375</v>
      </c>
      <c r="F26" s="48" t="n">
        <f aca="false">F19-F24</f>
        <v>21546721.2890625</v>
      </c>
      <c r="G26" s="48" t="n">
        <f aca="false">G19-G24</f>
        <v>22014159.1259766</v>
      </c>
      <c r="H26" s="48" t="n">
        <f aca="false">H19-H24</f>
        <v>22493282.9088135</v>
      </c>
      <c r="I26" s="48" t="n">
        <f aca="false">I19-I24</f>
        <v>22984384.7862213</v>
      </c>
      <c r="J26" s="48" t="n">
        <f aca="false">J19-J24</f>
        <v>23487764.2105643</v>
      </c>
      <c r="K26" s="48" t="n">
        <f aca="false">K19-K24</f>
        <v>24003728.1205159</v>
      </c>
      <c r="L26" s="48" t="n">
        <f aca="false">L19-L24</f>
        <v>24532591.1282163</v>
      </c>
      <c r="M26" s="48" t="n">
        <f aca="false">M19-M24</f>
        <v>25074675.7111092</v>
      </c>
      <c r="N26" s="48" t="n">
        <f aca="false">N19-N24</f>
        <v>25630312.4085745</v>
      </c>
      <c r="O26" s="48" t="n">
        <f aca="false">O19-O24</f>
        <v>26199840.0234763</v>
      </c>
      <c r="P26" s="48" t="n">
        <f aca="false">P19-P24</f>
        <v>26783605.8287507</v>
      </c>
      <c r="Q26" s="48" t="n">
        <f aca="false">Q19-Q24</f>
        <v>27381965.779157</v>
      </c>
      <c r="R26" s="48" t="n">
        <f aca="false">R19-R24</f>
        <v>27995284.7283234</v>
      </c>
      <c r="S26" s="48" t="n">
        <f aca="false">S19-S24</f>
        <v>28623936.651219</v>
      </c>
      <c r="T26" s="48" t="n">
        <f aca="false">T19-T24</f>
        <v>29268304.872187</v>
      </c>
      <c r="U26" s="48" t="n">
        <f aca="false">U19-U24</f>
        <v>29928782.2986792</v>
      </c>
      <c r="V26" s="48" t="n">
        <f aca="false">V19-V24</f>
        <v>30605771.6608336</v>
      </c>
      <c r="W26" s="48" t="n">
        <f aca="false">W19-W24</f>
        <v>31299685.757042</v>
      </c>
      <c r="X26" s="48" t="n">
        <f aca="false">X19-X24</f>
        <v>32010947.7056555</v>
      </c>
      <c r="Y26" s="48" t="n">
        <f aca="false">Y19-Y24</f>
        <v>32739991.2029844</v>
      </c>
      <c r="Z26" s="5"/>
      <c r="AA26" s="5"/>
      <c r="AB26" s="5"/>
      <c r="AC26" s="5"/>
      <c r="AD2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138</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30" t="s">
        <v>139</v>
      </c>
      <c r="C5" s="14"/>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43" t="s">
        <v>140</v>
      </c>
      <c r="C6" s="44" t="n">
        <f aca="false">Con_Total_Cost</f>
        <v>284920781.25</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43" t="s">
        <v>141</v>
      </c>
      <c r="C7" s="44" t="n">
        <f aca="false">DSRA_Months/12*(Op_CFADS_Y1/Target_DSCR)</f>
        <v>8602404.296875</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47" t="s">
        <v>142</v>
      </c>
      <c r="C8" s="53" t="n">
        <f aca="false">Fnd_Project_Cost+Fnd_Init_DSRA</f>
        <v>293523185.546875</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30" t="s">
        <v>143</v>
      </c>
      <c r="C10" s="14"/>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43" t="s">
        <v>144</v>
      </c>
      <c r="C11" s="44" t="n">
        <f aca="false">Fnd_Total_Uses*Gearing</f>
        <v>249494707.714844</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43" t="s">
        <v>145</v>
      </c>
      <c r="C12" s="44" t="n">
        <f aca="false">Fnd_Total_Uses*(1-Gearing)</f>
        <v>44028477.8320313</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54" t="s">
        <v>146</v>
      </c>
      <c r="C13" s="44" t="n">
        <f aca="false">Fnd_Total_Equity*(1-SHL_Pct)</f>
        <v>30819934.4824219</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4" t="s">
        <v>147</v>
      </c>
      <c r="C14" s="44" t="n">
        <f aca="false">Fnd_Total_Equity*SHL_Pct</f>
        <v>13208543.3496094</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47" t="s">
        <v>148</v>
      </c>
      <c r="C15" s="53" t="n">
        <f aca="false">Fnd_Senior_Debt+Fnd_Total_Equity</f>
        <v>293523185.546875</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30" t="s">
        <v>149</v>
      </c>
      <c r="C17" s="14"/>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36" t="s">
        <v>150</v>
      </c>
      <c r="C18" s="44" t="n">
        <f aca="false">Fnd_Total_Sources-Fnd_Total_Uses</f>
        <v>0</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9" t="s">
        <v>151</v>
      </c>
      <c r="C19" s="55" t="str">
        <f aca="false">IF(ABS(Fnd_Balance)&lt;1,"PASS","FAIL")</f>
        <v>PASS</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28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152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153</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36" t="s">
        <v>154</v>
      </c>
      <c r="C6" s="44" t="n">
        <v>0</v>
      </c>
      <c r="D6" s="44" t="n">
        <f aca="false">MAX(Lifecycle_Y10/10,(Lifecycle_Y10+Lifecycle_Y15)/15,(Lifecycle_Y10+Lifecycle_Y15+Lifecycle_Y20)/20)</f>
        <v>3250000</v>
      </c>
      <c r="E6" s="44" t="n">
        <f aca="false">MAX(Lifecycle_Y10/10,(Lifecycle_Y10+Lifecycle_Y15)/15,(Lifecycle_Y10+Lifecycle_Y15+Lifecycle_Y20)/20)</f>
        <v>3250000</v>
      </c>
      <c r="F6" s="44" t="n">
        <f aca="false">MAX(Lifecycle_Y10/10,(Lifecycle_Y10+Lifecycle_Y15)/15,(Lifecycle_Y10+Lifecycle_Y15+Lifecycle_Y20)/20)</f>
        <v>3250000</v>
      </c>
      <c r="G6" s="44" t="n">
        <f aca="false">MAX(Lifecycle_Y10/10,(Lifecycle_Y10+Lifecycle_Y15)/15,(Lifecycle_Y10+Lifecycle_Y15+Lifecycle_Y20)/20)</f>
        <v>3250000</v>
      </c>
      <c r="H6" s="44" t="n">
        <f aca="false">MAX(Lifecycle_Y10/10,(Lifecycle_Y10+Lifecycle_Y15)/15,(Lifecycle_Y10+Lifecycle_Y15+Lifecycle_Y20)/20)</f>
        <v>3250000</v>
      </c>
      <c r="I6" s="44" t="n">
        <f aca="false">MAX(Lifecycle_Y10/10,(Lifecycle_Y10+Lifecycle_Y15)/15,(Lifecycle_Y10+Lifecycle_Y15+Lifecycle_Y20)/20)</f>
        <v>3250000</v>
      </c>
      <c r="J6" s="44" t="n">
        <f aca="false">MAX(Lifecycle_Y10/10,(Lifecycle_Y10+Lifecycle_Y15)/15,(Lifecycle_Y10+Lifecycle_Y15+Lifecycle_Y20)/20)</f>
        <v>3250000</v>
      </c>
      <c r="K6" s="44" t="n">
        <f aca="false">MAX(Lifecycle_Y10/10,(Lifecycle_Y10+Lifecycle_Y15)/15,(Lifecycle_Y10+Lifecycle_Y15+Lifecycle_Y20)/20)</f>
        <v>3250000</v>
      </c>
      <c r="L6" s="44" t="n">
        <f aca="false">MAX(Lifecycle_Y10/10,(Lifecycle_Y10+Lifecycle_Y15)/15,(Lifecycle_Y10+Lifecycle_Y15+Lifecycle_Y20)/20)</f>
        <v>3250000</v>
      </c>
      <c r="M6" s="44" t="n">
        <f aca="false">MAX(Lifecycle_Y10/10,(Lifecycle_Y10+Lifecycle_Y15)/15,(Lifecycle_Y10+Lifecycle_Y15+Lifecycle_Y20)/20)</f>
        <v>3250000</v>
      </c>
      <c r="N6" s="44" t="n">
        <f aca="false">MAX(Lifecycle_Y10/10,(Lifecycle_Y10+Lifecycle_Y15)/15,(Lifecycle_Y10+Lifecycle_Y15+Lifecycle_Y20)/20)</f>
        <v>3250000</v>
      </c>
      <c r="O6" s="44" t="n">
        <f aca="false">MAX(Lifecycle_Y10/10,(Lifecycle_Y10+Lifecycle_Y15)/15,(Lifecycle_Y10+Lifecycle_Y15+Lifecycle_Y20)/20)</f>
        <v>3250000</v>
      </c>
      <c r="P6" s="44" t="n">
        <f aca="false">MAX(Lifecycle_Y10/10,(Lifecycle_Y10+Lifecycle_Y15)/15,(Lifecycle_Y10+Lifecycle_Y15+Lifecycle_Y20)/20)</f>
        <v>3250000</v>
      </c>
      <c r="Q6" s="44" t="n">
        <f aca="false">MAX(Lifecycle_Y10/10,(Lifecycle_Y10+Lifecycle_Y15)/15,(Lifecycle_Y10+Lifecycle_Y15+Lifecycle_Y20)/20)</f>
        <v>3250000</v>
      </c>
      <c r="R6" s="44" t="n">
        <f aca="false">MAX(Lifecycle_Y10/10,(Lifecycle_Y10+Lifecycle_Y15)/15,(Lifecycle_Y10+Lifecycle_Y15+Lifecycle_Y20)/20)</f>
        <v>3250000</v>
      </c>
      <c r="S6" s="44" t="n">
        <f aca="false">MAX(Lifecycle_Y10/10,(Lifecycle_Y10+Lifecycle_Y15)/15,(Lifecycle_Y10+Lifecycle_Y15+Lifecycle_Y20)/20)</f>
        <v>3250000</v>
      </c>
      <c r="T6" s="44" t="n">
        <f aca="false">MAX(Lifecycle_Y10/10,(Lifecycle_Y10+Lifecycle_Y15)/15,(Lifecycle_Y10+Lifecycle_Y15+Lifecycle_Y20)/20)</f>
        <v>3250000</v>
      </c>
      <c r="U6" s="44" t="n">
        <f aca="false">MAX(Lifecycle_Y10/10,(Lifecycle_Y10+Lifecycle_Y15)/15,(Lifecycle_Y10+Lifecycle_Y15+Lifecycle_Y20)/20)</f>
        <v>3250000</v>
      </c>
      <c r="V6" s="44" t="n">
        <f aca="false">MAX(Lifecycle_Y10/10,(Lifecycle_Y10+Lifecycle_Y15)/15,(Lifecycle_Y10+Lifecycle_Y15+Lifecycle_Y20)/20)</f>
        <v>3250000</v>
      </c>
      <c r="W6" s="44" t="n">
        <f aca="false">MAX(Lifecycle_Y10/10,(Lifecycle_Y10+Lifecycle_Y15)/15,(Lifecycle_Y10+Lifecycle_Y15+Lifecycle_Y20)/20)</f>
        <v>3250000</v>
      </c>
      <c r="X6" s="44" t="n">
        <f aca="false">0</f>
        <v>0</v>
      </c>
      <c r="Y6" s="44" t="n">
        <f aca="false">0</f>
        <v>0</v>
      </c>
      <c r="Z6" s="5"/>
      <c r="AA6" s="5"/>
      <c r="AB6" s="5"/>
      <c r="AC6" s="5"/>
      <c r="AD6" s="5"/>
    </row>
    <row r="7" customFormat="false" ht="15" hidden="false" customHeight="false" outlineLevel="0" collapsed="false">
      <c r="A7" s="5"/>
      <c r="B7" s="30" t="s">
        <v>155</v>
      </c>
      <c r="C7" s="14"/>
      <c r="D7" s="14"/>
      <c r="E7" s="14"/>
      <c r="F7" s="14"/>
      <c r="G7" s="14"/>
      <c r="H7" s="14"/>
      <c r="I7" s="14"/>
      <c r="J7" s="14"/>
      <c r="K7" s="14"/>
      <c r="L7" s="14"/>
      <c r="M7" s="14"/>
      <c r="N7" s="14"/>
      <c r="O7" s="14"/>
      <c r="P7" s="14"/>
      <c r="Q7" s="14"/>
      <c r="R7" s="14"/>
      <c r="S7" s="14"/>
      <c r="T7" s="14"/>
      <c r="U7" s="14"/>
      <c r="V7" s="14"/>
      <c r="W7" s="14"/>
      <c r="X7" s="14"/>
      <c r="Y7" s="14"/>
      <c r="Z7" s="5"/>
      <c r="AA7" s="5"/>
      <c r="AB7" s="5"/>
      <c r="AC7" s="5"/>
      <c r="AD7" s="5"/>
    </row>
    <row r="8" customFormat="false" ht="15" hidden="false" customHeight="false" outlineLevel="0" collapsed="false">
      <c r="A8" s="5"/>
      <c r="B8" s="43" t="s">
        <v>156</v>
      </c>
      <c r="C8" s="44" t="n">
        <v>0</v>
      </c>
      <c r="D8" s="44" t="n">
        <f aca="false">IF(Operations!D6=10,Lifecycle_Y10,IF(Operations!D6=15,Lifecycle_Y15,IF(Operations!D6=20,Lifecycle_Y20,0)))</f>
        <v>0</v>
      </c>
      <c r="E8" s="44" t="n">
        <f aca="false">IF(Operations!E6=10,Lifecycle_Y10,IF(Operations!E6=15,Lifecycle_Y15,IF(Operations!E6=20,Lifecycle_Y20,0)))</f>
        <v>0</v>
      </c>
      <c r="F8" s="44" t="n">
        <f aca="false">IF(Operations!F6=10,Lifecycle_Y10,IF(Operations!F6=15,Lifecycle_Y15,IF(Operations!F6=20,Lifecycle_Y20,0)))</f>
        <v>0</v>
      </c>
      <c r="G8" s="44" t="n">
        <f aca="false">IF(Operations!G6=10,Lifecycle_Y10,IF(Operations!G6=15,Lifecycle_Y15,IF(Operations!G6=20,Lifecycle_Y20,0)))</f>
        <v>0</v>
      </c>
      <c r="H8" s="44" t="n">
        <f aca="false">IF(Operations!H6=10,Lifecycle_Y10,IF(Operations!H6=15,Lifecycle_Y15,IF(Operations!H6=20,Lifecycle_Y20,0)))</f>
        <v>0</v>
      </c>
      <c r="I8" s="44" t="n">
        <f aca="false">IF(Operations!I6=10,Lifecycle_Y10,IF(Operations!I6=15,Lifecycle_Y15,IF(Operations!I6=20,Lifecycle_Y20,0)))</f>
        <v>0</v>
      </c>
      <c r="J8" s="44" t="n">
        <f aca="false">IF(Operations!J6=10,Lifecycle_Y10,IF(Operations!J6=15,Lifecycle_Y15,IF(Operations!J6=20,Lifecycle_Y20,0)))</f>
        <v>0</v>
      </c>
      <c r="K8" s="44" t="n">
        <f aca="false">IF(Operations!K6=10,Lifecycle_Y10,IF(Operations!K6=15,Lifecycle_Y15,IF(Operations!K6=20,Lifecycle_Y20,0)))</f>
        <v>0</v>
      </c>
      <c r="L8" s="44" t="n">
        <f aca="false">IF(Operations!L6=10,Lifecycle_Y10,IF(Operations!L6=15,Lifecycle_Y15,IF(Operations!L6=20,Lifecycle_Y20,0)))</f>
        <v>0</v>
      </c>
      <c r="M8" s="44" t="n">
        <f aca="false">IF(Operations!M6=10,Lifecycle_Y10,IF(Operations!M6=15,Lifecycle_Y15,IF(Operations!M6=20,Lifecycle_Y20,0)))</f>
        <v>20000000</v>
      </c>
      <c r="N8" s="44" t="n">
        <f aca="false">IF(Operations!N6=10,Lifecycle_Y10,IF(Operations!N6=15,Lifecycle_Y15,IF(Operations!N6=20,Lifecycle_Y20,0)))</f>
        <v>0</v>
      </c>
      <c r="O8" s="44" t="n">
        <f aca="false">IF(Operations!O6=10,Lifecycle_Y10,IF(Operations!O6=15,Lifecycle_Y15,IF(Operations!O6=20,Lifecycle_Y20,0)))</f>
        <v>0</v>
      </c>
      <c r="P8" s="44" t="n">
        <f aca="false">IF(Operations!P6=10,Lifecycle_Y10,IF(Operations!P6=15,Lifecycle_Y15,IF(Operations!P6=20,Lifecycle_Y20,0)))</f>
        <v>0</v>
      </c>
      <c r="Q8" s="44" t="n">
        <f aca="false">IF(Operations!Q6=10,Lifecycle_Y10,IF(Operations!Q6=15,Lifecycle_Y15,IF(Operations!Q6=20,Lifecycle_Y20,0)))</f>
        <v>0</v>
      </c>
      <c r="R8" s="44" t="n">
        <f aca="false">IF(Operations!R6=10,Lifecycle_Y10,IF(Operations!R6=15,Lifecycle_Y15,IF(Operations!R6=20,Lifecycle_Y20,0)))</f>
        <v>20000000</v>
      </c>
      <c r="S8" s="44" t="n">
        <f aca="false">IF(Operations!S6=10,Lifecycle_Y10,IF(Operations!S6=15,Lifecycle_Y15,IF(Operations!S6=20,Lifecycle_Y20,0)))</f>
        <v>0</v>
      </c>
      <c r="T8" s="44" t="n">
        <f aca="false">IF(Operations!T6=10,Lifecycle_Y10,IF(Operations!T6=15,Lifecycle_Y15,IF(Operations!T6=20,Lifecycle_Y20,0)))</f>
        <v>0</v>
      </c>
      <c r="U8" s="44" t="n">
        <f aca="false">IF(Operations!U6=10,Lifecycle_Y10,IF(Operations!U6=15,Lifecycle_Y15,IF(Operations!U6=20,Lifecycle_Y20,0)))</f>
        <v>0</v>
      </c>
      <c r="V8" s="44" t="n">
        <f aca="false">IF(Operations!V6=10,Lifecycle_Y10,IF(Operations!V6=15,Lifecycle_Y15,IF(Operations!V6=20,Lifecycle_Y20,0)))</f>
        <v>0</v>
      </c>
      <c r="W8" s="44" t="n">
        <f aca="false">IF(Operations!W6=10,Lifecycle_Y10,IF(Operations!W6=15,Lifecycle_Y15,IF(Operations!W6=20,Lifecycle_Y20,0)))</f>
        <v>25000000</v>
      </c>
      <c r="X8" s="44" t="n">
        <f aca="false">IF(Operations!X6=10,Lifecycle_Y10,IF(Operations!X6=15,Lifecycle_Y15,IF(Operations!X6=20,Lifecycle_Y20,0)))</f>
        <v>0</v>
      </c>
      <c r="Y8" s="44" t="n">
        <f aca="false">IF(Operations!Y6=10,Lifecycle_Y10,IF(Operations!Y6=15,Lifecycle_Y15,IF(Operations!Y6=20,Lifecycle_Y20,0)))</f>
        <v>0</v>
      </c>
      <c r="Z8" s="5"/>
      <c r="AA8" s="5"/>
      <c r="AB8" s="5"/>
      <c r="AC8" s="5"/>
      <c r="AD8" s="5"/>
    </row>
    <row r="9" customFormat="false" ht="15" hidden="false" customHeight="false" outlineLevel="0" collapsed="false">
      <c r="A9" s="5"/>
      <c r="B9" s="30" t="s">
        <v>157</v>
      </c>
      <c r="C9" s="14"/>
      <c r="D9" s="14"/>
      <c r="E9" s="14"/>
      <c r="F9" s="14"/>
      <c r="G9" s="14"/>
      <c r="H9" s="14"/>
      <c r="I9" s="14"/>
      <c r="J9" s="14"/>
      <c r="K9" s="14"/>
      <c r="L9" s="14"/>
      <c r="M9" s="14"/>
      <c r="N9" s="14"/>
      <c r="O9" s="14"/>
      <c r="P9" s="14"/>
      <c r="Q9" s="14"/>
      <c r="R9" s="14"/>
      <c r="S9" s="14"/>
      <c r="T9" s="14"/>
      <c r="U9" s="14"/>
      <c r="V9" s="14"/>
      <c r="W9" s="14"/>
      <c r="X9" s="14"/>
      <c r="Y9" s="14"/>
      <c r="Z9" s="5"/>
      <c r="AA9" s="5"/>
      <c r="AB9" s="5"/>
      <c r="AC9" s="5"/>
      <c r="AD9" s="5"/>
    </row>
    <row r="10" customFormat="false" ht="15" hidden="false" customHeight="false" outlineLevel="0" collapsed="false">
      <c r="A10" s="5"/>
      <c r="B10" s="43" t="s">
        <v>158</v>
      </c>
      <c r="C10" s="44" t="n">
        <v>0</v>
      </c>
      <c r="D10" s="44" t="n">
        <v>0</v>
      </c>
      <c r="E10" s="44" t="n">
        <f aca="false">D13</f>
        <v>3250000</v>
      </c>
      <c r="F10" s="44" t="n">
        <f aca="false">E13</f>
        <v>6500000</v>
      </c>
      <c r="G10" s="44" t="n">
        <f aca="false">F13</f>
        <v>9750000</v>
      </c>
      <c r="H10" s="44" t="n">
        <f aca="false">G13</f>
        <v>13000000</v>
      </c>
      <c r="I10" s="44" t="n">
        <f aca="false">H13</f>
        <v>16250000</v>
      </c>
      <c r="J10" s="44" t="n">
        <f aca="false">I13</f>
        <v>19500000</v>
      </c>
      <c r="K10" s="44" t="n">
        <f aca="false">J13</f>
        <v>22750000</v>
      </c>
      <c r="L10" s="44" t="n">
        <f aca="false">K13</f>
        <v>26000000</v>
      </c>
      <c r="M10" s="44" t="n">
        <f aca="false">L13</f>
        <v>29250000</v>
      </c>
      <c r="N10" s="44" t="n">
        <f aca="false">M13</f>
        <v>12500000</v>
      </c>
      <c r="O10" s="44" t="n">
        <f aca="false">N13</f>
        <v>15750000</v>
      </c>
      <c r="P10" s="44" t="n">
        <f aca="false">O13</f>
        <v>19000000</v>
      </c>
      <c r="Q10" s="44" t="n">
        <f aca="false">P13</f>
        <v>22250000</v>
      </c>
      <c r="R10" s="44" t="n">
        <f aca="false">Q13</f>
        <v>25500000</v>
      </c>
      <c r="S10" s="44" t="n">
        <f aca="false">R13</f>
        <v>8750000</v>
      </c>
      <c r="T10" s="44" t="n">
        <f aca="false">S13</f>
        <v>12000000</v>
      </c>
      <c r="U10" s="44" t="n">
        <f aca="false">T13</f>
        <v>15250000</v>
      </c>
      <c r="V10" s="44" t="n">
        <f aca="false">U13</f>
        <v>18500000</v>
      </c>
      <c r="W10" s="44" t="n">
        <f aca="false">V13</f>
        <v>21750000</v>
      </c>
      <c r="X10" s="44" t="n">
        <f aca="false">W13</f>
        <v>0</v>
      </c>
      <c r="Y10" s="44" t="n">
        <f aca="false">X13</f>
        <v>0</v>
      </c>
      <c r="Z10" s="5"/>
      <c r="AA10" s="5"/>
      <c r="AB10" s="5"/>
      <c r="AC10" s="5"/>
      <c r="AD10" s="5"/>
    </row>
    <row r="11" customFormat="false" ht="15" hidden="false" customHeight="false" outlineLevel="0" collapsed="false">
      <c r="A11" s="5"/>
      <c r="B11" s="43" t="s">
        <v>159</v>
      </c>
      <c r="C11" s="44" t="n">
        <v>0</v>
      </c>
      <c r="D11" s="44" t="n">
        <f aca="false">D6</f>
        <v>3250000</v>
      </c>
      <c r="E11" s="44" t="n">
        <f aca="false">E6</f>
        <v>3250000</v>
      </c>
      <c r="F11" s="44" t="n">
        <f aca="false">F6</f>
        <v>3250000</v>
      </c>
      <c r="G11" s="44" t="n">
        <f aca="false">G6</f>
        <v>3250000</v>
      </c>
      <c r="H11" s="44" t="n">
        <f aca="false">H6</f>
        <v>3250000</v>
      </c>
      <c r="I11" s="44" t="n">
        <f aca="false">I6</f>
        <v>3250000</v>
      </c>
      <c r="J11" s="44" t="n">
        <f aca="false">J6</f>
        <v>3250000</v>
      </c>
      <c r="K11" s="44" t="n">
        <f aca="false">K6</f>
        <v>3250000</v>
      </c>
      <c r="L11" s="44" t="n">
        <f aca="false">L6</f>
        <v>3250000</v>
      </c>
      <c r="M11" s="44" t="n">
        <f aca="false">M6</f>
        <v>3250000</v>
      </c>
      <c r="N11" s="44" t="n">
        <f aca="false">N6</f>
        <v>3250000</v>
      </c>
      <c r="O11" s="44" t="n">
        <f aca="false">O6</f>
        <v>3250000</v>
      </c>
      <c r="P11" s="44" t="n">
        <f aca="false">P6</f>
        <v>3250000</v>
      </c>
      <c r="Q11" s="44" t="n">
        <f aca="false">Q6</f>
        <v>3250000</v>
      </c>
      <c r="R11" s="44" t="n">
        <f aca="false">R6</f>
        <v>3250000</v>
      </c>
      <c r="S11" s="44" t="n">
        <f aca="false">S6</f>
        <v>3250000</v>
      </c>
      <c r="T11" s="44" t="n">
        <f aca="false">T6</f>
        <v>3250000</v>
      </c>
      <c r="U11" s="44" t="n">
        <f aca="false">U6</f>
        <v>3250000</v>
      </c>
      <c r="V11" s="44" t="n">
        <f aca="false">V6</f>
        <v>3250000</v>
      </c>
      <c r="W11" s="44" t="n">
        <f aca="false">W6</f>
        <v>3250000</v>
      </c>
      <c r="X11" s="44" t="n">
        <f aca="false">X6</f>
        <v>0</v>
      </c>
      <c r="Y11" s="44" t="n">
        <f aca="false">Y6</f>
        <v>0</v>
      </c>
      <c r="Z11" s="5"/>
      <c r="AA11" s="5"/>
      <c r="AB11" s="5"/>
      <c r="AC11" s="5"/>
      <c r="AD11" s="5"/>
    </row>
    <row r="12" customFormat="false" ht="15" hidden="false" customHeight="false" outlineLevel="0" collapsed="false">
      <c r="A12" s="5"/>
      <c r="B12" s="43" t="s">
        <v>160</v>
      </c>
      <c r="C12" s="44" t="n">
        <v>0</v>
      </c>
      <c r="D12" s="44" t="n">
        <f aca="false">D8</f>
        <v>0</v>
      </c>
      <c r="E12" s="44" t="n">
        <f aca="false">E8</f>
        <v>0</v>
      </c>
      <c r="F12" s="44" t="n">
        <f aca="false">F8</f>
        <v>0</v>
      </c>
      <c r="G12" s="44" t="n">
        <f aca="false">G8</f>
        <v>0</v>
      </c>
      <c r="H12" s="44" t="n">
        <f aca="false">H8</f>
        <v>0</v>
      </c>
      <c r="I12" s="44" t="n">
        <f aca="false">I8</f>
        <v>0</v>
      </c>
      <c r="J12" s="44" t="n">
        <f aca="false">J8</f>
        <v>0</v>
      </c>
      <c r="K12" s="44" t="n">
        <f aca="false">K8</f>
        <v>0</v>
      </c>
      <c r="L12" s="44" t="n">
        <f aca="false">L8</f>
        <v>0</v>
      </c>
      <c r="M12" s="44" t="n">
        <f aca="false">M8</f>
        <v>20000000</v>
      </c>
      <c r="N12" s="44" t="n">
        <f aca="false">N8</f>
        <v>0</v>
      </c>
      <c r="O12" s="44" t="n">
        <f aca="false">O8</f>
        <v>0</v>
      </c>
      <c r="P12" s="44" t="n">
        <f aca="false">P8</f>
        <v>0</v>
      </c>
      <c r="Q12" s="44" t="n">
        <f aca="false">Q8</f>
        <v>0</v>
      </c>
      <c r="R12" s="44" t="n">
        <f aca="false">R8</f>
        <v>20000000</v>
      </c>
      <c r="S12" s="44" t="n">
        <f aca="false">S8</f>
        <v>0</v>
      </c>
      <c r="T12" s="44" t="n">
        <f aca="false">T8</f>
        <v>0</v>
      </c>
      <c r="U12" s="44" t="n">
        <f aca="false">U8</f>
        <v>0</v>
      </c>
      <c r="V12" s="44" t="n">
        <f aca="false">V8</f>
        <v>0</v>
      </c>
      <c r="W12" s="44" t="n">
        <f aca="false">W8</f>
        <v>25000000</v>
      </c>
      <c r="X12" s="44" t="n">
        <f aca="false">X8</f>
        <v>0</v>
      </c>
      <c r="Y12" s="44" t="n">
        <f aca="false">Y8</f>
        <v>0</v>
      </c>
      <c r="Z12" s="5"/>
      <c r="AA12" s="5"/>
      <c r="AB12" s="5"/>
      <c r="AC12" s="5"/>
      <c r="AD12" s="5"/>
    </row>
    <row r="13" customFormat="false" ht="15" hidden="false" customHeight="false" outlineLevel="0" collapsed="false">
      <c r="A13" s="5"/>
      <c r="B13" s="47" t="s">
        <v>161</v>
      </c>
      <c r="C13" s="48" t="n">
        <v>0</v>
      </c>
      <c r="D13" s="48" t="n">
        <f aca="false">D10+D11-D12</f>
        <v>3250000</v>
      </c>
      <c r="E13" s="48" t="n">
        <f aca="false">E10+E11-E12</f>
        <v>6500000</v>
      </c>
      <c r="F13" s="48" t="n">
        <f aca="false">F10+F11-F12</f>
        <v>9750000</v>
      </c>
      <c r="G13" s="48" t="n">
        <f aca="false">G10+G11-G12</f>
        <v>13000000</v>
      </c>
      <c r="H13" s="48" t="n">
        <f aca="false">H10+H11-H12</f>
        <v>16250000</v>
      </c>
      <c r="I13" s="48" t="n">
        <f aca="false">I10+I11-I12</f>
        <v>19500000</v>
      </c>
      <c r="J13" s="48" t="n">
        <f aca="false">J10+J11-J12</f>
        <v>22750000</v>
      </c>
      <c r="K13" s="48" t="n">
        <f aca="false">K10+K11-K12</f>
        <v>26000000</v>
      </c>
      <c r="L13" s="48" t="n">
        <f aca="false">L10+L11-L12</f>
        <v>29250000</v>
      </c>
      <c r="M13" s="48" t="n">
        <f aca="false">M10+M11-M12</f>
        <v>12500000</v>
      </c>
      <c r="N13" s="48" t="n">
        <f aca="false">N10+N11-N12</f>
        <v>15750000</v>
      </c>
      <c r="O13" s="48" t="n">
        <f aca="false">O10+O11-O12</f>
        <v>19000000</v>
      </c>
      <c r="P13" s="48" t="n">
        <f aca="false">P10+P11-P12</f>
        <v>22250000</v>
      </c>
      <c r="Q13" s="48" t="n">
        <f aca="false">Q10+Q11-Q12</f>
        <v>25500000</v>
      </c>
      <c r="R13" s="48" t="n">
        <f aca="false">R10+R11-R12</f>
        <v>8750000</v>
      </c>
      <c r="S13" s="48" t="n">
        <f aca="false">S10+S11-S12</f>
        <v>12000000</v>
      </c>
      <c r="T13" s="48" t="n">
        <f aca="false">T10+T11-T12</f>
        <v>15250000</v>
      </c>
      <c r="U13" s="48" t="n">
        <f aca="false">U10+U11-U12</f>
        <v>18500000</v>
      </c>
      <c r="V13" s="48" t="n">
        <f aca="false">V10+V11-V12</f>
        <v>21750000</v>
      </c>
      <c r="W13" s="48" t="n">
        <f aca="false">W10+W11-W12</f>
        <v>0</v>
      </c>
      <c r="X13" s="48" t="n">
        <f aca="false">X10+X11-X12</f>
        <v>0</v>
      </c>
      <c r="Y13" s="48" t="n">
        <f aca="false">Y10+Y11-Y12</f>
        <v>0</v>
      </c>
      <c r="Z13" s="5"/>
      <c r="AA13" s="5"/>
      <c r="AB13" s="5"/>
      <c r="AC13" s="5"/>
      <c r="AD1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162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163</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164</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43" t="s">
        <v>158</v>
      </c>
      <c r="C6" s="44" t="n">
        <v>0</v>
      </c>
      <c r="D6" s="44" t="n">
        <f aca="false">Fnd_Senior_Debt</f>
        <v>249494707.714844</v>
      </c>
      <c r="E6" s="44" t="n">
        <f aca="false">D11</f>
        <v>246012108.04541</v>
      </c>
      <c r="F6" s="44" t="n">
        <f aca="false">E11</f>
        <v>241967203.675408</v>
      </c>
      <c r="G6" s="44" t="n">
        <f aca="false">F11</f>
        <v>237319798.803336</v>
      </c>
      <c r="H6" s="44" t="n">
        <f aca="false">G11</f>
        <v>232027255.132539</v>
      </c>
      <c r="I6" s="44" t="n">
        <f aca="false">H11</f>
        <v>226044351.740818</v>
      </c>
      <c r="J6" s="44" t="n">
        <f aca="false">I11</f>
        <v>219323137.098045</v>
      </c>
      <c r="K6" s="44" t="n">
        <f aca="false">J11</f>
        <v>211812772.796301</v>
      </c>
      <c r="L6" s="44" t="n">
        <f aca="false">K11</f>
        <v>203459368.533001</v>
      </c>
      <c r="M6" s="44" t="n">
        <f aca="false">L11</f>
        <v>194205807.862135</v>
      </c>
      <c r="N6" s="44" t="n">
        <f aca="false">M11</f>
        <v>183991564.201962</v>
      </c>
      <c r="O6" s="44" t="n">
        <f aca="false">N11</f>
        <v>172752506.559258</v>
      </c>
      <c r="P6" s="44" t="n">
        <f aca="false">O11</f>
        <v>160420694.400453</v>
      </c>
      <c r="Q6" s="44" t="n">
        <f aca="false">P11</f>
        <v>146924161.068519</v>
      </c>
      <c r="R6" s="44" t="n">
        <f aca="false">Q11</f>
        <v>132186685.111323</v>
      </c>
      <c r="S6" s="44" t="n">
        <f aca="false">R11</f>
        <v>116127548.852177</v>
      </c>
      <c r="T6" s="44" t="n">
        <f aca="false">S11</f>
        <v>98661283.4963639</v>
      </c>
      <c r="U6" s="44" t="n">
        <f aca="false">T11</f>
        <v>79697400.0285081</v>
      </c>
      <c r="V6" s="44" t="n">
        <f aca="false">U11</f>
        <v>59140105.1145101</v>
      </c>
      <c r="W6" s="44" t="n">
        <f aca="false">V11</f>
        <v>36888001.1784468</v>
      </c>
      <c r="X6" s="44" t="n">
        <f aca="false">W11</f>
        <v>12833769.7790597</v>
      </c>
      <c r="Y6" s="44" t="n">
        <f aca="false">X11</f>
        <v>0</v>
      </c>
      <c r="Z6" s="5"/>
      <c r="AA6" s="5"/>
      <c r="AB6" s="5"/>
      <c r="AC6" s="5"/>
      <c r="AD6" s="5"/>
    </row>
    <row r="7" customFormat="false" ht="15" hidden="false" customHeight="false" outlineLevel="0" collapsed="false">
      <c r="A7" s="5"/>
      <c r="B7" s="43" t="s">
        <v>165</v>
      </c>
      <c r="C7" s="44" t="n">
        <v>0</v>
      </c>
      <c r="D7" s="44" t="n">
        <f aca="false">Operations!D26/Target_DSCR</f>
        <v>17204808.59375</v>
      </c>
      <c r="E7" s="44" t="n">
        <f aca="false">Operations!E26/Target_DSCR</f>
        <v>17575570.3125</v>
      </c>
      <c r="F7" s="44" t="n">
        <f aca="false">Operations!F26/Target_DSCR</f>
        <v>17955601.0742187</v>
      </c>
      <c r="G7" s="44" t="n">
        <f aca="false">Operations!G26/Target_DSCR</f>
        <v>18345132.6049805</v>
      </c>
      <c r="H7" s="44" t="n">
        <f aca="false">Operations!H26/Target_DSCR</f>
        <v>18744402.4240112</v>
      </c>
      <c r="I7" s="44" t="n">
        <f aca="false">Operations!I26/Target_DSCR</f>
        <v>19153653.9885178</v>
      </c>
      <c r="J7" s="44" t="n">
        <f aca="false">Operations!J26/Target_DSCR</f>
        <v>19573136.842137</v>
      </c>
      <c r="K7" s="44" t="n">
        <f aca="false">Operations!K26/Target_DSCR</f>
        <v>20003106.7670966</v>
      </c>
      <c r="L7" s="44" t="n">
        <f aca="false">Operations!L26/Target_DSCR</f>
        <v>20443825.9401803</v>
      </c>
      <c r="M7" s="44" t="n">
        <f aca="false">Operations!M26/Target_DSCR</f>
        <v>20895563.092591</v>
      </c>
      <c r="N7" s="44" t="n">
        <f aca="false">Operations!N26/Target_DSCR</f>
        <v>21358593.6738121</v>
      </c>
      <c r="O7" s="44" t="n">
        <f aca="false">Operations!O26/Target_DSCR</f>
        <v>21833200.0195636</v>
      </c>
      <c r="P7" s="44" t="n">
        <f aca="false">Operations!P26/Target_DSCR</f>
        <v>22319671.523959</v>
      </c>
      <c r="Q7" s="44" t="n">
        <f aca="false">Operations!Q26/Target_DSCR</f>
        <v>22818304.8159642</v>
      </c>
      <c r="R7" s="44" t="n">
        <f aca="false">Operations!R26/Target_DSCR</f>
        <v>23329403.9402695</v>
      </c>
      <c r="S7" s="44" t="n">
        <f aca="false">Operations!S26/Target_DSCR</f>
        <v>23853280.5426825</v>
      </c>
      <c r="T7" s="44" t="n">
        <f aca="false">Operations!T26/Target_DSCR</f>
        <v>24390254.0601558</v>
      </c>
      <c r="U7" s="44" t="n">
        <f aca="false">Operations!U26/Target_DSCR</f>
        <v>24940651.915566</v>
      </c>
      <c r="V7" s="44" t="n">
        <f aca="false">Operations!V26/Target_DSCR</f>
        <v>25504809.7173614</v>
      </c>
      <c r="W7" s="44" t="n">
        <f aca="false">Operations!W26/Target_DSCR</f>
        <v>26083071.4642016</v>
      </c>
      <c r="X7" s="44" t="n">
        <f aca="false">Operations!X26/Target_DSCR</f>
        <v>26675789.7547129</v>
      </c>
      <c r="Y7" s="44" t="n">
        <f aca="false">Operations!Y26/Target_DSCR</f>
        <v>27283326.002487</v>
      </c>
      <c r="Z7" s="5"/>
      <c r="AA7" s="5"/>
      <c r="AB7" s="5"/>
      <c r="AC7" s="5"/>
      <c r="AD7" s="5"/>
    </row>
    <row r="8" customFormat="false" ht="15" hidden="false" customHeight="false" outlineLevel="0" collapsed="false">
      <c r="A8" s="5"/>
      <c r="B8" s="43" t="s">
        <v>166</v>
      </c>
      <c r="C8" s="44" t="n">
        <v>0</v>
      </c>
      <c r="D8" s="44" t="n">
        <f aca="false">D6*Senior_Rate</f>
        <v>13722208.9243164</v>
      </c>
      <c r="E8" s="44" t="n">
        <f aca="false">E6*Senior_Rate</f>
        <v>13530665.9424976</v>
      </c>
      <c r="F8" s="44" t="n">
        <f aca="false">F6*Senior_Rate</f>
        <v>13308196.2021474</v>
      </c>
      <c r="G8" s="44" t="n">
        <f aca="false">G6*Senior_Rate</f>
        <v>13052588.9341835</v>
      </c>
      <c r="H8" s="44" t="n">
        <f aca="false">H6*Senior_Rate</f>
        <v>12761499.0322897</v>
      </c>
      <c r="I8" s="44" t="n">
        <f aca="false">I6*Senior_Rate</f>
        <v>12432439.345745</v>
      </c>
      <c r="J8" s="44" t="n">
        <f aca="false">J6*Senior_Rate</f>
        <v>12062772.5403925</v>
      </c>
      <c r="K8" s="44" t="n">
        <f aca="false">K6*Senior_Rate</f>
        <v>11649702.5037965</v>
      </c>
      <c r="L8" s="44" t="n">
        <f aca="false">L6*Senior_Rate</f>
        <v>11190265.269315</v>
      </c>
      <c r="M8" s="44" t="n">
        <f aca="false">M6*Senior_Rate</f>
        <v>10681319.4324174</v>
      </c>
      <c r="N8" s="44" t="n">
        <f aca="false">N6*Senior_Rate</f>
        <v>10119536.0311079</v>
      </c>
      <c r="O8" s="44" t="n">
        <f aca="false">O6*Senior_Rate</f>
        <v>9501387.86075917</v>
      </c>
      <c r="P8" s="44" t="n">
        <f aca="false">P6*Senior_Rate</f>
        <v>8823138.19202492</v>
      </c>
      <c r="Q8" s="44" t="n">
        <f aca="false">Q6*Senior_Rate</f>
        <v>8080828.85876855</v>
      </c>
      <c r="R8" s="44" t="n">
        <f aca="false">R6*Senior_Rate</f>
        <v>7270267.68112279</v>
      </c>
      <c r="S8" s="44" t="n">
        <f aca="false">S6*Senior_Rate</f>
        <v>6387015.18686972</v>
      </c>
      <c r="T8" s="44" t="n">
        <f aca="false">T6*Senior_Rate</f>
        <v>5426370.59230002</v>
      </c>
      <c r="U8" s="44" t="n">
        <f aca="false">U6*Senior_Rate</f>
        <v>4383357.00156795</v>
      </c>
      <c r="V8" s="44" t="n">
        <f aca="false">V6*Senior_Rate</f>
        <v>3252705.78129806</v>
      </c>
      <c r="W8" s="44" t="n">
        <f aca="false">W6*Senior_Rate</f>
        <v>2028840.06481457</v>
      </c>
      <c r="X8" s="44" t="n">
        <f aca="false">X6*Senior_Rate</f>
        <v>705857.337848285</v>
      </c>
      <c r="Y8" s="44" t="n">
        <f aca="false">Y6*Senior_Rate</f>
        <v>0</v>
      </c>
      <c r="Z8" s="5"/>
      <c r="AA8" s="5"/>
      <c r="AB8" s="5"/>
      <c r="AC8" s="5"/>
      <c r="AD8" s="5"/>
    </row>
    <row r="9" customFormat="false" ht="15" hidden="false" customHeight="false" outlineLevel="0" collapsed="false">
      <c r="A9" s="5"/>
      <c r="B9" s="43" t="s">
        <v>167</v>
      </c>
      <c r="C9" s="44" t="n">
        <v>0</v>
      </c>
      <c r="D9" s="44" t="n">
        <f aca="false">IF(1&lt;=Debt_Tenor,MIN(D6,MAX(0,D7-D8)),0)</f>
        <v>3482599.66943359</v>
      </c>
      <c r="E9" s="44" t="n">
        <f aca="false">IF(2&lt;=Debt_Tenor,MIN(E6,MAX(0,E7-E8)),0)</f>
        <v>4044904.37000244</v>
      </c>
      <c r="F9" s="44" t="n">
        <f aca="false">IF(3&lt;=Debt_Tenor,MIN(F6,MAX(0,F7-F8)),0)</f>
        <v>4647404.87207132</v>
      </c>
      <c r="G9" s="44" t="n">
        <f aca="false">IF(4&lt;=Debt_Tenor,MIN(G6,MAX(0,G7-G8)),0)</f>
        <v>5292543.67079696</v>
      </c>
      <c r="H9" s="44" t="n">
        <f aca="false">IF(5&lt;=Debt_Tenor,MIN(H6,MAX(0,H7-H8)),0)</f>
        <v>5982903.39172156</v>
      </c>
      <c r="I9" s="44" t="n">
        <f aca="false">IF(6&lt;=Debt_Tenor,MIN(I6,MAX(0,I7-I8)),0)</f>
        <v>6721214.64277277</v>
      </c>
      <c r="J9" s="44" t="n">
        <f aca="false">IF(7&lt;=Debt_Tenor,MIN(J6,MAX(0,J7-J8)),0)</f>
        <v>7510364.30174447</v>
      </c>
      <c r="K9" s="44" t="n">
        <f aca="false">IF(8&lt;=Debt_Tenor,MIN(K6,MAX(0,K7-K8)),0)</f>
        <v>8353404.26330008</v>
      </c>
      <c r="L9" s="44" t="n">
        <f aca="false">IF(9&lt;=Debt_Tenor,MIN(L6,MAX(0,L7-L8)),0)</f>
        <v>9253560.67086525</v>
      </c>
      <c r="M9" s="44" t="n">
        <f aca="false">IF(10&lt;=Debt_Tenor,MIN(M6,MAX(0,M7-M8)),0)</f>
        <v>10214243.6601736</v>
      </c>
      <c r="N9" s="44" t="n">
        <f aca="false">IF(11&lt;=Debt_Tenor,MIN(N6,MAX(0,N7-N8)),0)</f>
        <v>11239057.6427042</v>
      </c>
      <c r="O9" s="44" t="n">
        <f aca="false">IF(12&lt;=Debt_Tenor,MIN(O6,MAX(0,O7-O8)),0)</f>
        <v>12331812.1588044</v>
      </c>
      <c r="P9" s="44" t="n">
        <f aca="false">IF(13&lt;=Debt_Tenor,MIN(P6,MAX(0,P7-P8)),0)</f>
        <v>13496533.331934</v>
      </c>
      <c r="Q9" s="44" t="n">
        <f aca="false">IF(14&lt;=Debt_Tenor,MIN(Q6,MAX(0,Q7-Q8)),0)</f>
        <v>14737475.9571956</v>
      </c>
      <c r="R9" s="44" t="n">
        <f aca="false">IF(15&lt;=Debt_Tenor,MIN(R6,MAX(0,R7-R8)),0)</f>
        <v>16059136.2591467</v>
      </c>
      <c r="S9" s="44" t="n">
        <f aca="false">IF(16&lt;=Debt_Tenor,MIN(S6,MAX(0,S7-S8)),0)</f>
        <v>17466265.3558128</v>
      </c>
      <c r="T9" s="44" t="n">
        <f aca="false">IF(17&lt;=Debt_Tenor,MIN(T6,MAX(0,T7-T8)),0)</f>
        <v>18963883.4678558</v>
      </c>
      <c r="U9" s="44" t="n">
        <f aca="false">IF(18&lt;=Debt_Tenor,MIN(U6,MAX(0,U7-U8)),0)</f>
        <v>20557294.913998</v>
      </c>
      <c r="V9" s="44" t="n">
        <f aca="false">IF(19&lt;=Debt_Tenor,MIN(V6,MAX(0,V7-V8)),0)</f>
        <v>22252103.9360633</v>
      </c>
      <c r="W9" s="44" t="n">
        <f aca="false">IF(20&lt;=Debt_Tenor,MIN(W6,MAX(0,W7-W8)),0)</f>
        <v>24054231.3993871</v>
      </c>
      <c r="X9" s="44" t="n">
        <f aca="false">IF(21&lt;=Debt_Tenor,MIN(X6,MAX(0,X7-X8)),0)</f>
        <v>12833769.7790597</v>
      </c>
      <c r="Y9" s="44" t="n">
        <f aca="false">IF(22&lt;=Debt_Tenor,MIN(Y6,MAX(0,Y7-Y8)),0)</f>
        <v>0</v>
      </c>
      <c r="Z9" s="5"/>
      <c r="AA9" s="5"/>
      <c r="AB9" s="5"/>
      <c r="AC9" s="5"/>
      <c r="AD9" s="5"/>
    </row>
    <row r="10" customFormat="false" ht="15" hidden="false" customHeight="false" outlineLevel="0" collapsed="false">
      <c r="A10" s="5"/>
      <c r="B10" s="45" t="s">
        <v>168</v>
      </c>
      <c r="C10" s="46" t="n">
        <v>0</v>
      </c>
      <c r="D10" s="46" t="n">
        <f aca="false">D8+D9</f>
        <v>17204808.59375</v>
      </c>
      <c r="E10" s="46" t="n">
        <f aca="false">E8+E9</f>
        <v>17575570.3125</v>
      </c>
      <c r="F10" s="46" t="n">
        <f aca="false">F8+F9</f>
        <v>17955601.0742187</v>
      </c>
      <c r="G10" s="46" t="n">
        <f aca="false">G8+G9</f>
        <v>18345132.6049805</v>
      </c>
      <c r="H10" s="46" t="n">
        <f aca="false">H8+H9</f>
        <v>18744402.4240112</v>
      </c>
      <c r="I10" s="46" t="n">
        <f aca="false">I8+I9</f>
        <v>19153653.9885178</v>
      </c>
      <c r="J10" s="46" t="n">
        <f aca="false">J8+J9</f>
        <v>19573136.842137</v>
      </c>
      <c r="K10" s="46" t="n">
        <f aca="false">K8+K9</f>
        <v>20003106.7670966</v>
      </c>
      <c r="L10" s="46" t="n">
        <f aca="false">L8+L9</f>
        <v>20443825.9401803</v>
      </c>
      <c r="M10" s="46" t="n">
        <f aca="false">M8+M9</f>
        <v>20895563.092591</v>
      </c>
      <c r="N10" s="46" t="n">
        <f aca="false">N8+N9</f>
        <v>21358593.6738121</v>
      </c>
      <c r="O10" s="46" t="n">
        <f aca="false">O8+O9</f>
        <v>21833200.0195636</v>
      </c>
      <c r="P10" s="46" t="n">
        <f aca="false">P8+P9</f>
        <v>22319671.523959</v>
      </c>
      <c r="Q10" s="46" t="n">
        <f aca="false">Q8+Q9</f>
        <v>22818304.8159642</v>
      </c>
      <c r="R10" s="46" t="n">
        <f aca="false">R8+R9</f>
        <v>23329403.9402695</v>
      </c>
      <c r="S10" s="46" t="n">
        <f aca="false">S8+S9</f>
        <v>23853280.5426825</v>
      </c>
      <c r="T10" s="46" t="n">
        <f aca="false">T8+T9</f>
        <v>24390254.0601558</v>
      </c>
      <c r="U10" s="46" t="n">
        <f aca="false">U8+U9</f>
        <v>24940651.915566</v>
      </c>
      <c r="V10" s="46" t="n">
        <f aca="false">V8+V9</f>
        <v>25504809.7173614</v>
      </c>
      <c r="W10" s="46" t="n">
        <f aca="false">W8+W9</f>
        <v>26083071.4642016</v>
      </c>
      <c r="X10" s="46" t="n">
        <f aca="false">X8+X9</f>
        <v>13539627.116908</v>
      </c>
      <c r="Y10" s="46" t="n">
        <f aca="false">Y8+Y9</f>
        <v>0</v>
      </c>
      <c r="Z10" s="5"/>
      <c r="AA10" s="5"/>
      <c r="AB10" s="5"/>
      <c r="AC10" s="5"/>
      <c r="AD10" s="5"/>
    </row>
    <row r="11" customFormat="false" ht="15" hidden="false" customHeight="false" outlineLevel="0" collapsed="false">
      <c r="A11" s="5"/>
      <c r="B11" s="47" t="s">
        <v>161</v>
      </c>
      <c r="C11" s="48" t="n">
        <v>0</v>
      </c>
      <c r="D11" s="48" t="n">
        <f aca="false">D6-D9</f>
        <v>246012108.04541</v>
      </c>
      <c r="E11" s="48" t="n">
        <f aca="false">E6-E9</f>
        <v>241967203.675408</v>
      </c>
      <c r="F11" s="48" t="n">
        <f aca="false">F6-F9</f>
        <v>237319798.803336</v>
      </c>
      <c r="G11" s="48" t="n">
        <f aca="false">G6-G9</f>
        <v>232027255.132539</v>
      </c>
      <c r="H11" s="48" t="n">
        <f aca="false">H6-H9</f>
        <v>226044351.740818</v>
      </c>
      <c r="I11" s="48" t="n">
        <f aca="false">I6-I9</f>
        <v>219323137.098045</v>
      </c>
      <c r="J11" s="48" t="n">
        <f aca="false">J6-J9</f>
        <v>211812772.796301</v>
      </c>
      <c r="K11" s="48" t="n">
        <f aca="false">K6-K9</f>
        <v>203459368.533001</v>
      </c>
      <c r="L11" s="48" t="n">
        <f aca="false">L6-L9</f>
        <v>194205807.862135</v>
      </c>
      <c r="M11" s="48" t="n">
        <f aca="false">M6-M9</f>
        <v>183991564.201962</v>
      </c>
      <c r="N11" s="48" t="n">
        <f aca="false">N6-N9</f>
        <v>172752506.559258</v>
      </c>
      <c r="O11" s="48" t="n">
        <f aca="false">O6-O9</f>
        <v>160420694.400453</v>
      </c>
      <c r="P11" s="48" t="n">
        <f aca="false">P6-P9</f>
        <v>146924161.068519</v>
      </c>
      <c r="Q11" s="48" t="n">
        <f aca="false">Q6-Q9</f>
        <v>132186685.111323</v>
      </c>
      <c r="R11" s="48" t="n">
        <f aca="false">R6-R9</f>
        <v>116127548.852177</v>
      </c>
      <c r="S11" s="48" t="n">
        <f aca="false">S6-S9</f>
        <v>98661283.4963639</v>
      </c>
      <c r="T11" s="48" t="n">
        <f aca="false">T6-T9</f>
        <v>79697400.0285081</v>
      </c>
      <c r="U11" s="48" t="n">
        <f aca="false">U6-U9</f>
        <v>59140105.1145101</v>
      </c>
      <c r="V11" s="48" t="n">
        <f aca="false">V6-V9</f>
        <v>36888001.1784468</v>
      </c>
      <c r="W11" s="48" t="n">
        <f aca="false">W6-W9</f>
        <v>12833769.7790597</v>
      </c>
      <c r="X11" s="48" t="n">
        <f aca="false">X6-X9</f>
        <v>0</v>
      </c>
      <c r="Y11" s="48" t="n">
        <f aca="false">Y6-Y9</f>
        <v>0</v>
      </c>
      <c r="Z11" s="5"/>
      <c r="AA11" s="5"/>
      <c r="AB11" s="5"/>
      <c r="AC11" s="5"/>
      <c r="AD11" s="5"/>
    </row>
    <row r="12" customFormat="false" ht="15" hidden="false" customHeight="false" outlineLevel="0" collapsed="false">
      <c r="A12" s="5"/>
      <c r="B12" s="30" t="s">
        <v>169</v>
      </c>
      <c r="C12" s="14"/>
      <c r="D12" s="14"/>
      <c r="E12" s="14"/>
      <c r="F12" s="14"/>
      <c r="G12" s="14"/>
      <c r="H12" s="14"/>
      <c r="I12" s="14"/>
      <c r="J12" s="14"/>
      <c r="K12" s="14"/>
      <c r="L12" s="14"/>
      <c r="M12" s="14"/>
      <c r="N12" s="14"/>
      <c r="O12" s="14"/>
      <c r="P12" s="14"/>
      <c r="Q12" s="14"/>
      <c r="R12" s="14"/>
      <c r="S12" s="14"/>
      <c r="T12" s="14"/>
      <c r="U12" s="14"/>
      <c r="V12" s="14"/>
      <c r="W12" s="14"/>
      <c r="X12" s="14"/>
      <c r="Y12" s="14"/>
      <c r="Z12" s="5"/>
      <c r="AA12" s="5"/>
      <c r="AB12" s="5"/>
      <c r="AC12" s="5"/>
      <c r="AD12" s="5"/>
    </row>
    <row r="13" customFormat="false" ht="15" hidden="false" customHeight="false" outlineLevel="0" collapsed="false">
      <c r="A13" s="5"/>
      <c r="B13" s="51" t="s">
        <v>137</v>
      </c>
      <c r="C13" s="44" t="n">
        <v>0</v>
      </c>
      <c r="D13" s="44" t="n">
        <f aca="false">Operations!D26</f>
        <v>20645770.3125</v>
      </c>
      <c r="E13" s="44" t="n">
        <f aca="false">Operations!E26</f>
        <v>21090684.375</v>
      </c>
      <c r="F13" s="44" t="n">
        <f aca="false">Operations!F26</f>
        <v>21546721.2890625</v>
      </c>
      <c r="G13" s="44" t="n">
        <f aca="false">Operations!G26</f>
        <v>22014159.1259766</v>
      </c>
      <c r="H13" s="44" t="n">
        <f aca="false">Operations!H26</f>
        <v>22493282.9088135</v>
      </c>
      <c r="I13" s="44" t="n">
        <f aca="false">Operations!I26</f>
        <v>22984384.7862213</v>
      </c>
      <c r="J13" s="44" t="n">
        <f aca="false">Operations!J26</f>
        <v>23487764.2105643</v>
      </c>
      <c r="K13" s="44" t="n">
        <f aca="false">Operations!K26</f>
        <v>24003728.1205159</v>
      </c>
      <c r="L13" s="44" t="n">
        <f aca="false">Operations!L26</f>
        <v>24532591.1282163</v>
      </c>
      <c r="M13" s="44" t="n">
        <f aca="false">Operations!M26</f>
        <v>25074675.7111092</v>
      </c>
      <c r="N13" s="44" t="n">
        <f aca="false">Operations!N26</f>
        <v>25630312.4085745</v>
      </c>
      <c r="O13" s="44" t="n">
        <f aca="false">Operations!O26</f>
        <v>26199840.0234763</v>
      </c>
      <c r="P13" s="44" t="n">
        <f aca="false">Operations!P26</f>
        <v>26783605.8287507</v>
      </c>
      <c r="Q13" s="44" t="n">
        <f aca="false">Operations!Q26</f>
        <v>27381965.779157</v>
      </c>
      <c r="R13" s="44" t="n">
        <f aca="false">Operations!R26</f>
        <v>27995284.7283234</v>
      </c>
      <c r="S13" s="44" t="n">
        <f aca="false">Operations!S26</f>
        <v>28623936.651219</v>
      </c>
      <c r="T13" s="44" t="n">
        <f aca="false">Operations!T26</f>
        <v>29268304.872187</v>
      </c>
      <c r="U13" s="44" t="n">
        <f aca="false">Operations!U26</f>
        <v>29928782.2986792</v>
      </c>
      <c r="V13" s="44" t="n">
        <f aca="false">Operations!V26</f>
        <v>30605771.6608336</v>
      </c>
      <c r="W13" s="44" t="n">
        <f aca="false">Operations!W26</f>
        <v>31299685.757042</v>
      </c>
      <c r="X13" s="44" t="n">
        <f aca="false">Operations!X26</f>
        <v>32010947.7056555</v>
      </c>
      <c r="Y13" s="44" t="n">
        <f aca="false">Operations!Y26</f>
        <v>32739991.2029844</v>
      </c>
      <c r="Z13" s="5"/>
      <c r="AA13" s="5"/>
      <c r="AB13" s="5"/>
      <c r="AC13" s="5"/>
      <c r="AD13" s="5"/>
    </row>
    <row r="14" customFormat="false" ht="15" hidden="false" customHeight="false" outlineLevel="0" collapsed="false">
      <c r="A14" s="5"/>
      <c r="B14" s="36" t="s">
        <v>169</v>
      </c>
      <c r="C14" s="56" t="n">
        <v>0</v>
      </c>
      <c r="D14" s="56" t="n">
        <f aca="false">IF(D10&gt;0,D13/D10,0)</f>
        <v>1.2</v>
      </c>
      <c r="E14" s="56" t="n">
        <f aca="false">IF(E10&gt;0,E13/E10,0)</f>
        <v>1.2</v>
      </c>
      <c r="F14" s="56" t="n">
        <f aca="false">IF(F10&gt;0,F13/F10,0)</f>
        <v>1.2</v>
      </c>
      <c r="G14" s="56" t="n">
        <f aca="false">IF(G10&gt;0,G13/G10,0)</f>
        <v>1.2</v>
      </c>
      <c r="H14" s="56" t="n">
        <f aca="false">IF(H10&gt;0,H13/H10,0)</f>
        <v>1.2</v>
      </c>
      <c r="I14" s="56" t="n">
        <f aca="false">IF(I10&gt;0,I13/I10,0)</f>
        <v>1.2</v>
      </c>
      <c r="J14" s="56" t="n">
        <f aca="false">IF(J10&gt;0,J13/J10,0)</f>
        <v>1.2</v>
      </c>
      <c r="K14" s="56" t="n">
        <f aca="false">IF(K10&gt;0,K13/K10,0)</f>
        <v>1.2</v>
      </c>
      <c r="L14" s="56" t="n">
        <f aca="false">IF(L10&gt;0,L13/L10,0)</f>
        <v>1.2</v>
      </c>
      <c r="M14" s="56" t="n">
        <f aca="false">IF(M10&gt;0,M13/M10,0)</f>
        <v>1.2</v>
      </c>
      <c r="N14" s="56" t="n">
        <f aca="false">IF(N10&gt;0,N13/N10,0)</f>
        <v>1.2</v>
      </c>
      <c r="O14" s="56" t="n">
        <f aca="false">IF(O10&gt;0,O13/O10,0)</f>
        <v>1.2</v>
      </c>
      <c r="P14" s="56" t="n">
        <f aca="false">IF(P10&gt;0,P13/P10,0)</f>
        <v>1.2</v>
      </c>
      <c r="Q14" s="56" t="n">
        <f aca="false">IF(Q10&gt;0,Q13/Q10,0)</f>
        <v>1.2</v>
      </c>
      <c r="R14" s="56" t="n">
        <f aca="false">IF(R10&gt;0,R13/R10,0)</f>
        <v>1.2</v>
      </c>
      <c r="S14" s="56" t="n">
        <f aca="false">IF(S10&gt;0,S13/S10,0)</f>
        <v>1.2</v>
      </c>
      <c r="T14" s="56" t="n">
        <f aca="false">IF(T10&gt;0,T13/T10,0)</f>
        <v>1.2</v>
      </c>
      <c r="U14" s="56" t="n">
        <f aca="false">IF(U10&gt;0,U13/U10,0)</f>
        <v>1.2</v>
      </c>
      <c r="V14" s="56" t="n">
        <f aca="false">IF(V10&gt;0,V13/V10,0)</f>
        <v>1.2</v>
      </c>
      <c r="W14" s="56" t="n">
        <f aca="false">IF(W10&gt;0,W13/W10,0)</f>
        <v>1.2</v>
      </c>
      <c r="X14" s="56" t="n">
        <f aca="false">IF(X10&gt;0,X13/X10,0)</f>
        <v>2.36424145430718</v>
      </c>
      <c r="Y14" s="56" t="n">
        <f aca="false">IF(Y10&gt;0,Y13/Y10,0)</f>
        <v>0</v>
      </c>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30" t="s">
        <v>170</v>
      </c>
      <c r="C16" s="14"/>
      <c r="D16" s="14"/>
      <c r="E16" s="14"/>
      <c r="F16" s="14"/>
      <c r="G16" s="14"/>
      <c r="H16" s="14"/>
      <c r="I16" s="14"/>
      <c r="J16" s="14"/>
      <c r="K16" s="14"/>
      <c r="L16" s="14"/>
      <c r="M16" s="14"/>
      <c r="N16" s="14"/>
      <c r="O16" s="14"/>
      <c r="P16" s="14"/>
      <c r="Q16" s="14"/>
      <c r="R16" s="14"/>
      <c r="S16" s="14"/>
      <c r="T16" s="14"/>
      <c r="U16" s="14"/>
      <c r="V16" s="14"/>
      <c r="W16" s="14"/>
      <c r="X16" s="14"/>
      <c r="Y16" s="14"/>
      <c r="Z16" s="5"/>
      <c r="AA16" s="5"/>
      <c r="AB16" s="5"/>
      <c r="AC16" s="5"/>
      <c r="AD16" s="5"/>
    </row>
    <row r="17" customFormat="false" ht="15" hidden="false" customHeight="false" outlineLevel="0" collapsed="false">
      <c r="A17" s="5"/>
      <c r="B17" s="43" t="s">
        <v>171</v>
      </c>
      <c r="C17" s="44" t="n">
        <f aca="false">Fnd_Init_DSRA</f>
        <v>8602404.296875</v>
      </c>
      <c r="D17" s="44" t="n">
        <f aca="false">IF(D11&gt;0,DSRA_Months/12*D10,0)</f>
        <v>8602404.296875</v>
      </c>
      <c r="E17" s="44" t="n">
        <f aca="false">IF(E11&gt;0,DSRA_Months/12*E10,0)</f>
        <v>8787785.15625</v>
      </c>
      <c r="F17" s="44" t="n">
        <f aca="false">IF(F11&gt;0,DSRA_Months/12*F10,0)</f>
        <v>8977800.53710937</v>
      </c>
      <c r="G17" s="44" t="n">
        <f aca="false">IF(G11&gt;0,DSRA_Months/12*G10,0)</f>
        <v>9172566.30249023</v>
      </c>
      <c r="H17" s="44" t="n">
        <f aca="false">IF(H11&gt;0,DSRA_Months/12*H10,0)</f>
        <v>9372201.21200561</v>
      </c>
      <c r="I17" s="44" t="n">
        <f aca="false">IF(I11&gt;0,DSRA_Months/12*I10,0)</f>
        <v>9576826.99425888</v>
      </c>
      <c r="J17" s="44" t="n">
        <f aca="false">IF(J11&gt;0,DSRA_Months/12*J10,0)</f>
        <v>9786568.42106848</v>
      </c>
      <c r="K17" s="44" t="n">
        <f aca="false">IF(K11&gt;0,DSRA_Months/12*K10,0)</f>
        <v>10001553.3835483</v>
      </c>
      <c r="L17" s="44" t="n">
        <f aca="false">IF(L11&gt;0,DSRA_Months/12*L10,0)</f>
        <v>10221912.9700901</v>
      </c>
      <c r="M17" s="44" t="n">
        <f aca="false">IF(M11&gt;0,DSRA_Months/12*M10,0)</f>
        <v>10447781.5462955</v>
      </c>
      <c r="N17" s="44" t="n">
        <f aca="false">IF(N11&gt;0,DSRA_Months/12*N10,0)</f>
        <v>10679296.836906</v>
      </c>
      <c r="O17" s="44" t="n">
        <f aca="false">IF(O11&gt;0,DSRA_Months/12*O10,0)</f>
        <v>10916600.0097818</v>
      </c>
      <c r="P17" s="44" t="n">
        <f aca="false">IF(P11&gt;0,DSRA_Months/12*P10,0)</f>
        <v>11159835.7619795</v>
      </c>
      <c r="Q17" s="44" t="n">
        <f aca="false">IF(Q11&gt;0,DSRA_Months/12*Q10,0)</f>
        <v>11409152.4079821</v>
      </c>
      <c r="R17" s="44" t="n">
        <f aca="false">IF(R11&gt;0,DSRA_Months/12*R10,0)</f>
        <v>11664701.9701348</v>
      </c>
      <c r="S17" s="44" t="n">
        <f aca="false">IF(S11&gt;0,DSRA_Months/12*S10,0)</f>
        <v>11926640.2713413</v>
      </c>
      <c r="T17" s="44" t="n">
        <f aca="false">IF(T11&gt;0,DSRA_Months/12*T10,0)</f>
        <v>12195127.0300779</v>
      </c>
      <c r="U17" s="44" t="n">
        <f aca="false">IF(U11&gt;0,DSRA_Months/12*U10,0)</f>
        <v>12470325.957783</v>
      </c>
      <c r="V17" s="44" t="n">
        <f aca="false">IF(V11&gt;0,DSRA_Months/12*V10,0)</f>
        <v>12752404.8586807</v>
      </c>
      <c r="W17" s="44" t="n">
        <f aca="false">IF(W11&gt;0,DSRA_Months/12*W10,0)</f>
        <v>13041535.7321008</v>
      </c>
      <c r="X17" s="44" t="n">
        <f aca="false">IF(X11&gt;0,DSRA_Months/12*X10,0)</f>
        <v>0</v>
      </c>
      <c r="Y17" s="44" t="n">
        <f aca="false">IF(Y11&gt;0,DSRA_Months/12*Y10,0)</f>
        <v>0</v>
      </c>
      <c r="Z17" s="5"/>
      <c r="AA17" s="5"/>
      <c r="AB17" s="5"/>
      <c r="AC17" s="5"/>
      <c r="AD17" s="5"/>
    </row>
    <row r="18" customFormat="false" ht="15" hidden="false" customHeight="false" outlineLevel="0" collapsed="false">
      <c r="A18" s="5"/>
      <c r="B18" s="43" t="s">
        <v>172</v>
      </c>
      <c r="C18" s="44" t="n">
        <v>0</v>
      </c>
      <c r="D18" s="44" t="n">
        <f aca="false">C17</f>
        <v>8602404.296875</v>
      </c>
      <c r="E18" s="44" t="n">
        <f aca="false">D20</f>
        <v>8602404.296875</v>
      </c>
      <c r="F18" s="44" t="n">
        <f aca="false">E20</f>
        <v>8787785.15625</v>
      </c>
      <c r="G18" s="44" t="n">
        <f aca="false">F20</f>
        <v>8977800.53710937</v>
      </c>
      <c r="H18" s="44" t="n">
        <f aca="false">G20</f>
        <v>9172566.30249023</v>
      </c>
      <c r="I18" s="44" t="n">
        <f aca="false">H20</f>
        <v>9372201.21200561</v>
      </c>
      <c r="J18" s="44" t="n">
        <f aca="false">I20</f>
        <v>9576826.99425888</v>
      </c>
      <c r="K18" s="44" t="n">
        <f aca="false">J20</f>
        <v>9786568.42106848</v>
      </c>
      <c r="L18" s="44" t="n">
        <f aca="false">K20</f>
        <v>10001553.3835483</v>
      </c>
      <c r="M18" s="44" t="n">
        <f aca="false">L20</f>
        <v>10221912.9700901</v>
      </c>
      <c r="N18" s="44" t="n">
        <f aca="false">M20</f>
        <v>10447781.5462955</v>
      </c>
      <c r="O18" s="44" t="n">
        <f aca="false">N20</f>
        <v>10679296.836906</v>
      </c>
      <c r="P18" s="44" t="n">
        <f aca="false">O20</f>
        <v>10916600.0097818</v>
      </c>
      <c r="Q18" s="44" t="n">
        <f aca="false">P20</f>
        <v>11159835.7619795</v>
      </c>
      <c r="R18" s="44" t="n">
        <f aca="false">Q20</f>
        <v>11409152.4079821</v>
      </c>
      <c r="S18" s="44" t="n">
        <f aca="false">R20</f>
        <v>11664701.9701348</v>
      </c>
      <c r="T18" s="44" t="n">
        <f aca="false">S20</f>
        <v>11926640.2713413</v>
      </c>
      <c r="U18" s="44" t="n">
        <f aca="false">T20</f>
        <v>12195127.0300779</v>
      </c>
      <c r="V18" s="44" t="n">
        <f aca="false">U20</f>
        <v>12470325.957783</v>
      </c>
      <c r="W18" s="44" t="n">
        <f aca="false">V20</f>
        <v>12752404.8586807</v>
      </c>
      <c r="X18" s="44" t="n">
        <f aca="false">W20</f>
        <v>13041535.7321008</v>
      </c>
      <c r="Y18" s="44" t="n">
        <f aca="false">X20</f>
        <v>0</v>
      </c>
      <c r="Z18" s="5"/>
      <c r="AA18" s="5"/>
      <c r="AB18" s="5"/>
      <c r="AC18" s="5"/>
      <c r="AD18" s="5"/>
    </row>
    <row r="19" customFormat="false" ht="15" hidden="false" customHeight="false" outlineLevel="0" collapsed="false">
      <c r="A19" s="5"/>
      <c r="B19" s="43" t="s">
        <v>173</v>
      </c>
      <c r="C19" s="44" t="n">
        <v>0</v>
      </c>
      <c r="D19" s="44" t="n">
        <f aca="false">D17-D18</f>
        <v>0</v>
      </c>
      <c r="E19" s="44" t="n">
        <f aca="false">E17-E18</f>
        <v>185380.859375</v>
      </c>
      <c r="F19" s="44" t="n">
        <f aca="false">F17-F18</f>
        <v>190015.380859375</v>
      </c>
      <c r="G19" s="44" t="n">
        <f aca="false">G17-G18</f>
        <v>194765.765380859</v>
      </c>
      <c r="H19" s="44" t="n">
        <f aca="false">H17-H18</f>
        <v>199634.909515381</v>
      </c>
      <c r="I19" s="44" t="n">
        <f aca="false">I17-I18</f>
        <v>204625.782253262</v>
      </c>
      <c r="J19" s="44" t="n">
        <f aca="false">J17-J18</f>
        <v>209741.4268096</v>
      </c>
      <c r="K19" s="44" t="n">
        <f aca="false">K17-K18</f>
        <v>214984.962479835</v>
      </c>
      <c r="L19" s="44" t="n">
        <f aca="false">L17-L18</f>
        <v>220359.58654183</v>
      </c>
      <c r="M19" s="44" t="n">
        <f aca="false">M17-M18</f>
        <v>225868.576205378</v>
      </c>
      <c r="N19" s="44" t="n">
        <f aca="false">N17-N18</f>
        <v>231515.290610511</v>
      </c>
      <c r="O19" s="44" t="n">
        <f aca="false">O17-O18</f>
        <v>237303.172875777</v>
      </c>
      <c r="P19" s="44" t="n">
        <f aca="false">P17-P18</f>
        <v>243235.75219767</v>
      </c>
      <c r="Q19" s="44" t="n">
        <f aca="false">Q17-Q18</f>
        <v>249316.646002609</v>
      </c>
      <c r="R19" s="44" t="n">
        <f aca="false">R17-R18</f>
        <v>255549.562152678</v>
      </c>
      <c r="S19" s="44" t="n">
        <f aca="false">S17-S18</f>
        <v>261938.301206494</v>
      </c>
      <c r="T19" s="44" t="n">
        <f aca="false">T17-T18</f>
        <v>268486.758736653</v>
      </c>
      <c r="U19" s="44" t="n">
        <f aca="false">U17-U18</f>
        <v>275198.927705074</v>
      </c>
      <c r="V19" s="44" t="n">
        <f aca="false">V17-V18</f>
        <v>282078.900897697</v>
      </c>
      <c r="W19" s="44" t="n">
        <f aca="false">W17-W18</f>
        <v>289130.87342014</v>
      </c>
      <c r="X19" s="44" t="n">
        <f aca="false">X17-X18</f>
        <v>-13041535.7321008</v>
      </c>
      <c r="Y19" s="44" t="n">
        <f aca="false">Y17-Y18</f>
        <v>0</v>
      </c>
      <c r="Z19" s="5"/>
      <c r="AA19" s="5"/>
      <c r="AB19" s="5"/>
      <c r="AC19" s="5"/>
      <c r="AD19" s="5"/>
    </row>
    <row r="20" customFormat="false" ht="15" hidden="false" customHeight="false" outlineLevel="0" collapsed="false">
      <c r="A20" s="5"/>
      <c r="B20" s="47" t="s">
        <v>174</v>
      </c>
      <c r="C20" s="48" t="n">
        <f aca="false">C17</f>
        <v>8602404.296875</v>
      </c>
      <c r="D20" s="48" t="n">
        <f aca="false">D18+D19</f>
        <v>8602404.296875</v>
      </c>
      <c r="E20" s="48" t="n">
        <f aca="false">E18+E19</f>
        <v>8787785.15625</v>
      </c>
      <c r="F20" s="48" t="n">
        <f aca="false">F18+F19</f>
        <v>8977800.53710937</v>
      </c>
      <c r="G20" s="48" t="n">
        <f aca="false">G18+G19</f>
        <v>9172566.30249023</v>
      </c>
      <c r="H20" s="48" t="n">
        <f aca="false">H18+H19</f>
        <v>9372201.21200561</v>
      </c>
      <c r="I20" s="48" t="n">
        <f aca="false">I18+I19</f>
        <v>9576826.99425888</v>
      </c>
      <c r="J20" s="48" t="n">
        <f aca="false">J18+J19</f>
        <v>9786568.42106848</v>
      </c>
      <c r="K20" s="48" t="n">
        <f aca="false">K18+K19</f>
        <v>10001553.3835483</v>
      </c>
      <c r="L20" s="48" t="n">
        <f aca="false">L18+L19</f>
        <v>10221912.9700901</v>
      </c>
      <c r="M20" s="48" t="n">
        <f aca="false">M18+M19</f>
        <v>10447781.5462955</v>
      </c>
      <c r="N20" s="48" t="n">
        <f aca="false">N18+N19</f>
        <v>10679296.836906</v>
      </c>
      <c r="O20" s="48" t="n">
        <f aca="false">O18+O19</f>
        <v>10916600.0097818</v>
      </c>
      <c r="P20" s="48" t="n">
        <f aca="false">P18+P19</f>
        <v>11159835.7619795</v>
      </c>
      <c r="Q20" s="48" t="n">
        <f aca="false">Q18+Q19</f>
        <v>11409152.4079821</v>
      </c>
      <c r="R20" s="48" t="n">
        <f aca="false">R18+R19</f>
        <v>11664701.9701348</v>
      </c>
      <c r="S20" s="48" t="n">
        <f aca="false">S18+S19</f>
        <v>11926640.2713413</v>
      </c>
      <c r="T20" s="48" t="n">
        <f aca="false">T18+T19</f>
        <v>12195127.0300779</v>
      </c>
      <c r="U20" s="48" t="n">
        <f aca="false">U18+U19</f>
        <v>12470325.957783</v>
      </c>
      <c r="V20" s="48" t="n">
        <f aca="false">V18+V19</f>
        <v>12752404.8586807</v>
      </c>
      <c r="W20" s="48" t="n">
        <f aca="false">W18+W19</f>
        <v>13041535.7321008</v>
      </c>
      <c r="X20" s="48" t="n">
        <f aca="false">X18+X19</f>
        <v>0</v>
      </c>
      <c r="Y20" s="48" t="n">
        <f aca="false">Y18+Y19</f>
        <v>0</v>
      </c>
      <c r="Z20" s="5"/>
      <c r="AA20" s="5"/>
      <c r="AB20" s="5"/>
      <c r="AC20" s="5"/>
      <c r="AD2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32</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175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176</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57" t="s">
        <v>137</v>
      </c>
      <c r="C6" s="58" t="n">
        <v>0</v>
      </c>
      <c r="D6" s="58" t="n">
        <f aca="false">Operations!D26</f>
        <v>20645770.3125</v>
      </c>
      <c r="E6" s="58" t="n">
        <f aca="false">Operations!E26</f>
        <v>21090684.375</v>
      </c>
      <c r="F6" s="58" t="n">
        <f aca="false">Operations!F26</f>
        <v>21546721.2890625</v>
      </c>
      <c r="G6" s="58" t="n">
        <f aca="false">Operations!G26</f>
        <v>22014159.1259766</v>
      </c>
      <c r="H6" s="58" t="n">
        <f aca="false">Operations!H26</f>
        <v>22493282.9088135</v>
      </c>
      <c r="I6" s="58" t="n">
        <f aca="false">Operations!I26</f>
        <v>22984384.7862213</v>
      </c>
      <c r="J6" s="58" t="n">
        <f aca="false">Operations!J26</f>
        <v>23487764.2105643</v>
      </c>
      <c r="K6" s="58" t="n">
        <f aca="false">Operations!K26</f>
        <v>24003728.1205159</v>
      </c>
      <c r="L6" s="58" t="n">
        <f aca="false">Operations!L26</f>
        <v>24532591.1282163</v>
      </c>
      <c r="M6" s="58" t="n">
        <f aca="false">Operations!M26</f>
        <v>25074675.7111092</v>
      </c>
      <c r="N6" s="58" t="n">
        <f aca="false">Operations!N26</f>
        <v>25630312.4085745</v>
      </c>
      <c r="O6" s="58" t="n">
        <f aca="false">Operations!O26</f>
        <v>26199840.0234763</v>
      </c>
      <c r="P6" s="58" t="n">
        <f aca="false">Operations!P26</f>
        <v>26783605.8287507</v>
      </c>
      <c r="Q6" s="58" t="n">
        <f aca="false">Operations!Q26</f>
        <v>27381965.779157</v>
      </c>
      <c r="R6" s="58" t="n">
        <f aca="false">Operations!R26</f>
        <v>27995284.7283234</v>
      </c>
      <c r="S6" s="58" t="n">
        <f aca="false">Operations!S26</f>
        <v>28623936.651219</v>
      </c>
      <c r="T6" s="58" t="n">
        <f aca="false">Operations!T26</f>
        <v>29268304.872187</v>
      </c>
      <c r="U6" s="58" t="n">
        <f aca="false">Operations!U26</f>
        <v>29928782.2986792</v>
      </c>
      <c r="V6" s="58" t="n">
        <f aca="false">Operations!V26</f>
        <v>30605771.6608336</v>
      </c>
      <c r="W6" s="58" t="n">
        <f aca="false">Operations!W26</f>
        <v>31299685.757042</v>
      </c>
      <c r="X6" s="58" t="n">
        <f aca="false">Operations!X26</f>
        <v>32010947.7056555</v>
      </c>
      <c r="Y6" s="58" t="n">
        <f aca="false">Operations!Y26</f>
        <v>32739991.2029844</v>
      </c>
      <c r="Z6" s="5"/>
      <c r="AA6" s="5"/>
      <c r="AB6" s="5"/>
      <c r="AC6" s="5"/>
      <c r="AD6" s="5"/>
    </row>
    <row r="7" customFormat="false" ht="15" hidden="false" customHeight="false" outlineLevel="0" collapsed="false">
      <c r="A7" s="5"/>
      <c r="B7" s="30" t="s">
        <v>177</v>
      </c>
      <c r="C7" s="14"/>
      <c r="D7" s="14"/>
      <c r="E7" s="14"/>
      <c r="F7" s="14"/>
      <c r="G7" s="14"/>
      <c r="H7" s="14"/>
      <c r="I7" s="14"/>
      <c r="J7" s="14"/>
      <c r="K7" s="14"/>
      <c r="L7" s="14"/>
      <c r="M7" s="14"/>
      <c r="N7" s="14"/>
      <c r="O7" s="14"/>
      <c r="P7" s="14"/>
      <c r="Q7" s="14"/>
      <c r="R7" s="14"/>
      <c r="S7" s="14"/>
      <c r="T7" s="14"/>
      <c r="U7" s="14"/>
      <c r="V7" s="14"/>
      <c r="W7" s="14"/>
      <c r="X7" s="14"/>
      <c r="Y7" s="14"/>
      <c r="Z7" s="5"/>
      <c r="AA7" s="5"/>
      <c r="AB7" s="5"/>
      <c r="AC7" s="5"/>
      <c r="AD7" s="5"/>
    </row>
    <row r="8" customFormat="false" ht="15" hidden="false" customHeight="false" outlineLevel="0" collapsed="false">
      <c r="A8" s="5"/>
      <c r="B8" s="43" t="s">
        <v>178</v>
      </c>
      <c r="C8" s="44" t="n">
        <v>0</v>
      </c>
      <c r="D8" s="44" t="n">
        <f aca="false">Debt_Schedule!D8</f>
        <v>13722208.9243164</v>
      </c>
      <c r="E8" s="44" t="n">
        <f aca="false">Debt_Schedule!E8</f>
        <v>13530665.9424976</v>
      </c>
      <c r="F8" s="44" t="n">
        <f aca="false">Debt_Schedule!F8</f>
        <v>13308196.2021474</v>
      </c>
      <c r="G8" s="44" t="n">
        <f aca="false">Debt_Schedule!G8</f>
        <v>13052588.9341835</v>
      </c>
      <c r="H8" s="44" t="n">
        <f aca="false">Debt_Schedule!H8</f>
        <v>12761499.0322897</v>
      </c>
      <c r="I8" s="44" t="n">
        <f aca="false">Debt_Schedule!I8</f>
        <v>12432439.345745</v>
      </c>
      <c r="J8" s="44" t="n">
        <f aca="false">Debt_Schedule!J8</f>
        <v>12062772.5403925</v>
      </c>
      <c r="K8" s="44" t="n">
        <f aca="false">Debt_Schedule!K8</f>
        <v>11649702.5037965</v>
      </c>
      <c r="L8" s="44" t="n">
        <f aca="false">Debt_Schedule!L8</f>
        <v>11190265.269315</v>
      </c>
      <c r="M8" s="44" t="n">
        <f aca="false">Debt_Schedule!M8</f>
        <v>10681319.4324174</v>
      </c>
      <c r="N8" s="44" t="n">
        <f aca="false">Debt_Schedule!N8</f>
        <v>10119536.0311079</v>
      </c>
      <c r="O8" s="44" t="n">
        <f aca="false">Debt_Schedule!O8</f>
        <v>9501387.86075917</v>
      </c>
      <c r="P8" s="44" t="n">
        <f aca="false">Debt_Schedule!P8</f>
        <v>8823138.19202492</v>
      </c>
      <c r="Q8" s="44" t="n">
        <f aca="false">Debt_Schedule!Q8</f>
        <v>8080828.85876855</v>
      </c>
      <c r="R8" s="44" t="n">
        <f aca="false">Debt_Schedule!R8</f>
        <v>7270267.68112279</v>
      </c>
      <c r="S8" s="44" t="n">
        <f aca="false">Debt_Schedule!S8</f>
        <v>6387015.18686972</v>
      </c>
      <c r="T8" s="44" t="n">
        <f aca="false">Debt_Schedule!T8</f>
        <v>5426370.59230002</v>
      </c>
      <c r="U8" s="44" t="n">
        <f aca="false">Debt_Schedule!U8</f>
        <v>4383357.00156795</v>
      </c>
      <c r="V8" s="44" t="n">
        <f aca="false">Debt_Schedule!V8</f>
        <v>3252705.78129806</v>
      </c>
      <c r="W8" s="44" t="n">
        <f aca="false">Debt_Schedule!W8</f>
        <v>2028840.06481457</v>
      </c>
      <c r="X8" s="44" t="n">
        <f aca="false">Debt_Schedule!X8</f>
        <v>705857.337848285</v>
      </c>
      <c r="Y8" s="44" t="n">
        <f aca="false">Debt_Schedule!Y8</f>
        <v>0</v>
      </c>
      <c r="Z8" s="5"/>
      <c r="AA8" s="5"/>
      <c r="AB8" s="5"/>
      <c r="AC8" s="5"/>
      <c r="AD8" s="5"/>
    </row>
    <row r="9" customFormat="false" ht="15" hidden="false" customHeight="false" outlineLevel="0" collapsed="false">
      <c r="A9" s="5"/>
      <c r="B9" s="43" t="s">
        <v>179</v>
      </c>
      <c r="C9" s="44" t="n">
        <v>0</v>
      </c>
      <c r="D9" s="44" t="n">
        <f aca="false">Debt_Schedule!D9</f>
        <v>3482599.66943359</v>
      </c>
      <c r="E9" s="44" t="n">
        <f aca="false">Debt_Schedule!E9</f>
        <v>4044904.37000244</v>
      </c>
      <c r="F9" s="44" t="n">
        <f aca="false">Debt_Schedule!F9</f>
        <v>4647404.87207132</v>
      </c>
      <c r="G9" s="44" t="n">
        <f aca="false">Debt_Schedule!G9</f>
        <v>5292543.67079696</v>
      </c>
      <c r="H9" s="44" t="n">
        <f aca="false">Debt_Schedule!H9</f>
        <v>5982903.39172156</v>
      </c>
      <c r="I9" s="44" t="n">
        <f aca="false">Debt_Schedule!I9</f>
        <v>6721214.64277277</v>
      </c>
      <c r="J9" s="44" t="n">
        <f aca="false">Debt_Schedule!J9</f>
        <v>7510364.30174447</v>
      </c>
      <c r="K9" s="44" t="n">
        <f aca="false">Debt_Schedule!K9</f>
        <v>8353404.26330008</v>
      </c>
      <c r="L9" s="44" t="n">
        <f aca="false">Debt_Schedule!L9</f>
        <v>9253560.67086525</v>
      </c>
      <c r="M9" s="44" t="n">
        <f aca="false">Debt_Schedule!M9</f>
        <v>10214243.6601736</v>
      </c>
      <c r="N9" s="44" t="n">
        <f aca="false">Debt_Schedule!N9</f>
        <v>11239057.6427042</v>
      </c>
      <c r="O9" s="44" t="n">
        <f aca="false">Debt_Schedule!O9</f>
        <v>12331812.1588044</v>
      </c>
      <c r="P9" s="44" t="n">
        <f aca="false">Debt_Schedule!P9</f>
        <v>13496533.331934</v>
      </c>
      <c r="Q9" s="44" t="n">
        <f aca="false">Debt_Schedule!Q9</f>
        <v>14737475.9571956</v>
      </c>
      <c r="R9" s="44" t="n">
        <f aca="false">Debt_Schedule!R9</f>
        <v>16059136.2591467</v>
      </c>
      <c r="S9" s="44" t="n">
        <f aca="false">Debt_Schedule!S9</f>
        <v>17466265.3558128</v>
      </c>
      <c r="T9" s="44" t="n">
        <f aca="false">Debt_Schedule!T9</f>
        <v>18963883.4678558</v>
      </c>
      <c r="U9" s="44" t="n">
        <f aca="false">Debt_Schedule!U9</f>
        <v>20557294.913998</v>
      </c>
      <c r="V9" s="44" t="n">
        <f aca="false">Debt_Schedule!V9</f>
        <v>22252103.9360633</v>
      </c>
      <c r="W9" s="44" t="n">
        <f aca="false">Debt_Schedule!W9</f>
        <v>24054231.3993871</v>
      </c>
      <c r="X9" s="44" t="n">
        <f aca="false">Debt_Schedule!X9</f>
        <v>12833769.7790597</v>
      </c>
      <c r="Y9" s="44" t="n">
        <f aca="false">Debt_Schedule!Y9</f>
        <v>0</v>
      </c>
      <c r="Z9" s="5"/>
      <c r="AA9" s="5"/>
      <c r="AB9" s="5"/>
      <c r="AC9" s="5"/>
      <c r="AD9" s="5"/>
    </row>
    <row r="10" customFormat="false" ht="15" hidden="false" customHeight="false" outlineLevel="0" collapsed="false">
      <c r="A10" s="5"/>
      <c r="B10" s="45" t="s">
        <v>180</v>
      </c>
      <c r="C10" s="46" t="n">
        <v>0</v>
      </c>
      <c r="D10" s="46" t="n">
        <f aca="false">D8+D9</f>
        <v>17204808.59375</v>
      </c>
      <c r="E10" s="46" t="n">
        <f aca="false">E8+E9</f>
        <v>17575570.3125</v>
      </c>
      <c r="F10" s="46" t="n">
        <f aca="false">F8+F9</f>
        <v>17955601.0742187</v>
      </c>
      <c r="G10" s="46" t="n">
        <f aca="false">G8+G9</f>
        <v>18345132.6049805</v>
      </c>
      <c r="H10" s="46" t="n">
        <f aca="false">H8+H9</f>
        <v>18744402.4240112</v>
      </c>
      <c r="I10" s="46" t="n">
        <f aca="false">I8+I9</f>
        <v>19153653.9885178</v>
      </c>
      <c r="J10" s="46" t="n">
        <f aca="false">J8+J9</f>
        <v>19573136.842137</v>
      </c>
      <c r="K10" s="46" t="n">
        <f aca="false">K8+K9</f>
        <v>20003106.7670966</v>
      </c>
      <c r="L10" s="46" t="n">
        <f aca="false">L8+L9</f>
        <v>20443825.9401803</v>
      </c>
      <c r="M10" s="46" t="n">
        <f aca="false">M8+M9</f>
        <v>20895563.092591</v>
      </c>
      <c r="N10" s="46" t="n">
        <f aca="false">N8+N9</f>
        <v>21358593.6738121</v>
      </c>
      <c r="O10" s="46" t="n">
        <f aca="false">O8+O9</f>
        <v>21833200.0195636</v>
      </c>
      <c r="P10" s="46" t="n">
        <f aca="false">P8+P9</f>
        <v>22319671.523959</v>
      </c>
      <c r="Q10" s="46" t="n">
        <f aca="false">Q8+Q9</f>
        <v>22818304.8159642</v>
      </c>
      <c r="R10" s="46" t="n">
        <f aca="false">R8+R9</f>
        <v>23329403.9402695</v>
      </c>
      <c r="S10" s="46" t="n">
        <f aca="false">S8+S9</f>
        <v>23853280.5426825</v>
      </c>
      <c r="T10" s="46" t="n">
        <f aca="false">T8+T9</f>
        <v>24390254.0601558</v>
      </c>
      <c r="U10" s="46" t="n">
        <f aca="false">U8+U9</f>
        <v>24940651.915566</v>
      </c>
      <c r="V10" s="46" t="n">
        <f aca="false">V8+V9</f>
        <v>25504809.7173614</v>
      </c>
      <c r="W10" s="46" t="n">
        <f aca="false">W8+W9</f>
        <v>26083071.4642016</v>
      </c>
      <c r="X10" s="46" t="n">
        <f aca="false">X8+X9</f>
        <v>13539627.116908</v>
      </c>
      <c r="Y10" s="46" t="n">
        <f aca="false">Y8+Y9</f>
        <v>0</v>
      </c>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47" t="s">
        <v>181</v>
      </c>
      <c r="C12" s="48" t="n">
        <v>0</v>
      </c>
      <c r="D12" s="48" t="n">
        <f aca="false">D6-D10</f>
        <v>3440961.71875</v>
      </c>
      <c r="E12" s="48" t="n">
        <f aca="false">E6-E10</f>
        <v>3515114.0625</v>
      </c>
      <c r="F12" s="48" t="n">
        <f aca="false">F6-F10</f>
        <v>3591120.21484375</v>
      </c>
      <c r="G12" s="48" t="n">
        <f aca="false">G6-G10</f>
        <v>3669026.52099609</v>
      </c>
      <c r="H12" s="48" t="n">
        <f aca="false">H6-H10</f>
        <v>3748880.48480224</v>
      </c>
      <c r="I12" s="48" t="n">
        <f aca="false">I6-I10</f>
        <v>3830730.79770355</v>
      </c>
      <c r="J12" s="48" t="n">
        <f aca="false">J6-J10</f>
        <v>3914627.36842739</v>
      </c>
      <c r="K12" s="48" t="n">
        <f aca="false">K6-K10</f>
        <v>4000621.35341932</v>
      </c>
      <c r="L12" s="48" t="n">
        <f aca="false">L6-L10</f>
        <v>4088765.18803605</v>
      </c>
      <c r="M12" s="48" t="n">
        <f aca="false">M6-M10</f>
        <v>4179112.61851821</v>
      </c>
      <c r="N12" s="48" t="n">
        <f aca="false">N6-N10</f>
        <v>4271718.73476241</v>
      </c>
      <c r="O12" s="48" t="n">
        <f aca="false">O6-O10</f>
        <v>4366640.00391272</v>
      </c>
      <c r="P12" s="48" t="n">
        <f aca="false">P6-P10</f>
        <v>4463934.30479179</v>
      </c>
      <c r="Q12" s="48" t="n">
        <f aca="false">Q6-Q10</f>
        <v>4563660.96319283</v>
      </c>
      <c r="R12" s="48" t="n">
        <f aca="false">R6-R10</f>
        <v>4665880.7880539</v>
      </c>
      <c r="S12" s="48" t="n">
        <f aca="false">S6-S10</f>
        <v>4770656.1085365</v>
      </c>
      <c r="T12" s="48" t="n">
        <f aca="false">T6-T10</f>
        <v>4878050.81203116</v>
      </c>
      <c r="U12" s="48" t="n">
        <f aca="false">U6-U10</f>
        <v>4988130.38311319</v>
      </c>
      <c r="V12" s="48" t="n">
        <f aca="false">V6-V10</f>
        <v>5100961.94347227</v>
      </c>
      <c r="W12" s="48" t="n">
        <f aca="false">W6-W10</f>
        <v>5216614.29284033</v>
      </c>
      <c r="X12" s="48" t="n">
        <f aca="false">X6-X10</f>
        <v>18471320.5887475</v>
      </c>
      <c r="Y12" s="48" t="n">
        <f aca="false">Y6-Y10</f>
        <v>32739991.2029844</v>
      </c>
      <c r="Z12" s="5"/>
      <c r="AA12" s="5"/>
      <c r="AB12" s="5"/>
      <c r="AC12" s="5"/>
      <c r="AD12" s="5"/>
    </row>
    <row r="13" customFormat="false" ht="15" hidden="false" customHeight="false" outlineLevel="0" collapsed="false">
      <c r="A13" s="5"/>
      <c r="B13" s="30" t="s">
        <v>182</v>
      </c>
      <c r="C13" s="14"/>
      <c r="D13" s="14"/>
      <c r="E13" s="14"/>
      <c r="F13" s="14"/>
      <c r="G13" s="14"/>
      <c r="H13" s="14"/>
      <c r="I13" s="14"/>
      <c r="J13" s="14"/>
      <c r="K13" s="14"/>
      <c r="L13" s="14"/>
      <c r="M13" s="14"/>
      <c r="N13" s="14"/>
      <c r="O13" s="14"/>
      <c r="P13" s="14"/>
      <c r="Q13" s="14"/>
      <c r="R13" s="14"/>
      <c r="S13" s="14"/>
      <c r="T13" s="14"/>
      <c r="U13" s="14"/>
      <c r="V13" s="14"/>
      <c r="W13" s="14"/>
      <c r="X13" s="14"/>
      <c r="Y13" s="14"/>
      <c r="Z13" s="5"/>
      <c r="AA13" s="5"/>
      <c r="AB13" s="5"/>
      <c r="AC13" s="5"/>
      <c r="AD13" s="5"/>
    </row>
    <row r="14" customFormat="false" ht="15" hidden="false" customHeight="false" outlineLevel="0" collapsed="false">
      <c r="A14" s="5"/>
      <c r="B14" s="43" t="s">
        <v>173</v>
      </c>
      <c r="C14" s="44" t="n">
        <v>0</v>
      </c>
      <c r="D14" s="44" t="n">
        <f aca="false">Debt_Schedule!D19</f>
        <v>0</v>
      </c>
      <c r="E14" s="44" t="n">
        <f aca="false">Debt_Schedule!E19</f>
        <v>185380.859375</v>
      </c>
      <c r="F14" s="44" t="n">
        <f aca="false">Debt_Schedule!F19</f>
        <v>190015.380859375</v>
      </c>
      <c r="G14" s="44" t="n">
        <f aca="false">Debt_Schedule!G19</f>
        <v>194765.765380859</v>
      </c>
      <c r="H14" s="44" t="n">
        <f aca="false">Debt_Schedule!H19</f>
        <v>199634.909515381</v>
      </c>
      <c r="I14" s="44" t="n">
        <f aca="false">Debt_Schedule!I19</f>
        <v>204625.782253262</v>
      </c>
      <c r="J14" s="44" t="n">
        <f aca="false">Debt_Schedule!J19</f>
        <v>209741.4268096</v>
      </c>
      <c r="K14" s="44" t="n">
        <f aca="false">Debt_Schedule!K19</f>
        <v>214984.962479835</v>
      </c>
      <c r="L14" s="44" t="n">
        <f aca="false">Debt_Schedule!L19</f>
        <v>220359.58654183</v>
      </c>
      <c r="M14" s="44" t="n">
        <f aca="false">Debt_Schedule!M19</f>
        <v>225868.576205378</v>
      </c>
      <c r="N14" s="44" t="n">
        <f aca="false">Debt_Schedule!N19</f>
        <v>231515.290610511</v>
      </c>
      <c r="O14" s="44" t="n">
        <f aca="false">Debt_Schedule!O19</f>
        <v>237303.172875777</v>
      </c>
      <c r="P14" s="44" t="n">
        <f aca="false">Debt_Schedule!P19</f>
        <v>243235.75219767</v>
      </c>
      <c r="Q14" s="44" t="n">
        <f aca="false">Debt_Schedule!Q19</f>
        <v>249316.646002609</v>
      </c>
      <c r="R14" s="44" t="n">
        <f aca="false">Debt_Schedule!R19</f>
        <v>255549.562152678</v>
      </c>
      <c r="S14" s="44" t="n">
        <f aca="false">Debt_Schedule!S19</f>
        <v>261938.301206494</v>
      </c>
      <c r="T14" s="44" t="n">
        <f aca="false">Debt_Schedule!T19</f>
        <v>268486.758736653</v>
      </c>
      <c r="U14" s="44" t="n">
        <f aca="false">Debt_Schedule!U19</f>
        <v>275198.927705074</v>
      </c>
      <c r="V14" s="44" t="n">
        <f aca="false">Debt_Schedule!V19</f>
        <v>282078.900897697</v>
      </c>
      <c r="W14" s="44" t="n">
        <f aca="false">Debt_Schedule!W19</f>
        <v>289130.87342014</v>
      </c>
      <c r="X14" s="44" t="n">
        <f aca="false">Debt_Schedule!X19</f>
        <v>-13041535.7321008</v>
      </c>
      <c r="Y14" s="44" t="n">
        <f aca="false">Debt_Schedule!Y19</f>
        <v>0</v>
      </c>
      <c r="Z14" s="5"/>
      <c r="AA14" s="5"/>
      <c r="AB14" s="5"/>
      <c r="AC14" s="5"/>
      <c r="AD14" s="5"/>
    </row>
    <row r="15" customFormat="false" ht="15" hidden="false" customHeight="false" outlineLevel="0" collapsed="false">
      <c r="A15" s="5"/>
      <c r="B15" s="43" t="s">
        <v>183</v>
      </c>
      <c r="C15" s="44" t="n">
        <v>0</v>
      </c>
      <c r="D15" s="44" t="n">
        <f aca="false">MMRA!D6</f>
        <v>3250000</v>
      </c>
      <c r="E15" s="44" t="n">
        <f aca="false">MMRA!E6</f>
        <v>3250000</v>
      </c>
      <c r="F15" s="44" t="n">
        <f aca="false">MMRA!F6</f>
        <v>3250000</v>
      </c>
      <c r="G15" s="44" t="n">
        <f aca="false">MMRA!G6</f>
        <v>3250000</v>
      </c>
      <c r="H15" s="44" t="n">
        <f aca="false">MMRA!H6</f>
        <v>3250000</v>
      </c>
      <c r="I15" s="44" t="n">
        <f aca="false">MMRA!I6</f>
        <v>3250000</v>
      </c>
      <c r="J15" s="44" t="n">
        <f aca="false">MMRA!J6</f>
        <v>3250000</v>
      </c>
      <c r="K15" s="44" t="n">
        <f aca="false">MMRA!K6</f>
        <v>3250000</v>
      </c>
      <c r="L15" s="44" t="n">
        <f aca="false">MMRA!L6</f>
        <v>3250000</v>
      </c>
      <c r="M15" s="44" t="n">
        <f aca="false">MMRA!M6</f>
        <v>3250000</v>
      </c>
      <c r="N15" s="44" t="n">
        <f aca="false">MMRA!N6</f>
        <v>3250000</v>
      </c>
      <c r="O15" s="44" t="n">
        <f aca="false">MMRA!O6</f>
        <v>3250000</v>
      </c>
      <c r="P15" s="44" t="n">
        <f aca="false">MMRA!P6</f>
        <v>3250000</v>
      </c>
      <c r="Q15" s="44" t="n">
        <f aca="false">MMRA!Q6</f>
        <v>3250000</v>
      </c>
      <c r="R15" s="44" t="n">
        <f aca="false">MMRA!R6</f>
        <v>3250000</v>
      </c>
      <c r="S15" s="44" t="n">
        <f aca="false">MMRA!S6</f>
        <v>3250000</v>
      </c>
      <c r="T15" s="44" t="n">
        <f aca="false">MMRA!T6</f>
        <v>3250000</v>
      </c>
      <c r="U15" s="44" t="n">
        <f aca="false">MMRA!U6</f>
        <v>3250000</v>
      </c>
      <c r="V15" s="44" t="n">
        <f aca="false">MMRA!V6</f>
        <v>3250000</v>
      </c>
      <c r="W15" s="44" t="n">
        <f aca="false">MMRA!W6</f>
        <v>3250000</v>
      </c>
      <c r="X15" s="44" t="n">
        <f aca="false">MMRA!X6</f>
        <v>0</v>
      </c>
      <c r="Y15" s="44" t="n">
        <f aca="false">MMRA!Y6</f>
        <v>0</v>
      </c>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47" t="s">
        <v>184</v>
      </c>
      <c r="C17" s="48" t="n">
        <v>0</v>
      </c>
      <c r="D17" s="48" t="n">
        <f aca="false">D12-D14-D15</f>
        <v>190961.71875</v>
      </c>
      <c r="E17" s="48" t="n">
        <f aca="false">E12-E14-E15</f>
        <v>79733.203125</v>
      </c>
      <c r="F17" s="48" t="n">
        <f aca="false">F12-F14-F15</f>
        <v>151104.833984371</v>
      </c>
      <c r="G17" s="48" t="n">
        <f aca="false">G12-G14-G15</f>
        <v>224260.755615231</v>
      </c>
      <c r="H17" s="48" t="n">
        <f aca="false">H12-H14-H15</f>
        <v>299245.575286862</v>
      </c>
      <c r="I17" s="48" t="n">
        <f aca="false">I12-I14-I15</f>
        <v>376105.015450288</v>
      </c>
      <c r="J17" s="48" t="n">
        <f aca="false">J12-J14-J15</f>
        <v>454885.941617789</v>
      </c>
      <c r="K17" s="48" t="n">
        <f aca="false">K12-K14-K15</f>
        <v>535636.390939487</v>
      </c>
      <c r="L17" s="48" t="n">
        <f aca="false">L12-L14-L15</f>
        <v>618405.601494225</v>
      </c>
      <c r="M17" s="48" t="n">
        <f aca="false">M12-M14-M15</f>
        <v>703244.042312829</v>
      </c>
      <c r="N17" s="48" t="n">
        <f aca="false">N12-N14-N15</f>
        <v>790203.444151901</v>
      </c>
      <c r="O17" s="48" t="n">
        <f aca="false">O12-O14-O15</f>
        <v>879336.831036944</v>
      </c>
      <c r="P17" s="48" t="n">
        <f aca="false">P12-P14-P15</f>
        <v>970698.55259412</v>
      </c>
      <c r="Q17" s="48" t="n">
        <f aca="false">Q12-Q14-Q15</f>
        <v>1064344.31719022</v>
      </c>
      <c r="R17" s="48" t="n">
        <f aca="false">R12-R14-R15</f>
        <v>1160331.22590123</v>
      </c>
      <c r="S17" s="48" t="n">
        <f aca="false">S12-S14-S15</f>
        <v>1258717.80733001</v>
      </c>
      <c r="T17" s="48" t="n">
        <f aca="false">T12-T14-T15</f>
        <v>1359564.05329451</v>
      </c>
      <c r="U17" s="48" t="n">
        <f aca="false">U12-U14-U15</f>
        <v>1462931.45540812</v>
      </c>
      <c r="V17" s="48" t="n">
        <f aca="false">V12-V14-V15</f>
        <v>1568883.04257457</v>
      </c>
      <c r="W17" s="48" t="n">
        <f aca="false">W12-W14-W15</f>
        <v>1677483.41942019</v>
      </c>
      <c r="X17" s="48" t="n">
        <f aca="false">X12-X14-X15</f>
        <v>31512856.3208483</v>
      </c>
      <c r="Y17" s="48" t="n">
        <f aca="false">Y12-Y14-Y15</f>
        <v>32739991.2029844</v>
      </c>
      <c r="Z17" s="5"/>
      <c r="AA17" s="5"/>
      <c r="AB17" s="5"/>
      <c r="AC17" s="5"/>
      <c r="AD17" s="5"/>
    </row>
    <row r="18" customFormat="false" ht="15" hidden="false" customHeight="false" outlineLevel="0" collapsed="false">
      <c r="A18" s="5"/>
      <c r="B18" s="30" t="s">
        <v>185</v>
      </c>
      <c r="C18" s="14"/>
      <c r="D18" s="14"/>
      <c r="E18" s="14"/>
      <c r="F18" s="14"/>
      <c r="G18" s="14"/>
      <c r="H18" s="14"/>
      <c r="I18" s="14"/>
      <c r="J18" s="14"/>
      <c r="K18" s="14"/>
      <c r="L18" s="14"/>
      <c r="M18" s="14"/>
      <c r="N18" s="14"/>
      <c r="O18" s="14"/>
      <c r="P18" s="14"/>
      <c r="Q18" s="14"/>
      <c r="R18" s="14"/>
      <c r="S18" s="14"/>
      <c r="T18" s="14"/>
      <c r="U18" s="14"/>
      <c r="V18" s="14"/>
      <c r="W18" s="14"/>
      <c r="X18" s="14"/>
      <c r="Y18" s="14"/>
      <c r="Z18" s="5"/>
      <c r="AA18" s="5"/>
      <c r="AB18" s="5"/>
      <c r="AC18" s="5"/>
      <c r="AD18" s="5"/>
    </row>
    <row r="19" customFormat="false" ht="15" hidden="false" customHeight="false" outlineLevel="0" collapsed="false">
      <c r="A19" s="5"/>
      <c r="B19" s="43" t="s">
        <v>186</v>
      </c>
      <c r="C19" s="44" t="n">
        <v>0</v>
      </c>
      <c r="D19" s="44" t="n">
        <f aca="false">D31</f>
        <v>1392253.11208256</v>
      </c>
      <c r="E19" s="44" t="n">
        <f aca="false">E31</f>
        <v>1531478.42329081</v>
      </c>
      <c r="F19" s="44" t="n">
        <f aca="false">F31</f>
        <v>1684626.26561989</v>
      </c>
      <c r="G19" s="44" t="n">
        <f aca="false">G31</f>
        <v>1853088.89218188</v>
      </c>
      <c r="H19" s="44" t="n">
        <f aca="false">H31</f>
        <v>2038397.78140007</v>
      </c>
      <c r="I19" s="44" t="n">
        <f aca="false">I31</f>
        <v>2242237.55954008</v>
      </c>
      <c r="J19" s="44" t="n">
        <f aca="false">J31</f>
        <v>2466461.31549409</v>
      </c>
      <c r="K19" s="44" t="n">
        <f aca="false">K31</f>
        <v>0</v>
      </c>
      <c r="L19" s="44" t="n">
        <f aca="false">L31</f>
        <v>0</v>
      </c>
      <c r="M19" s="44" t="n">
        <f aca="false">M31</f>
        <v>0</v>
      </c>
      <c r="N19" s="44" t="n">
        <f aca="false">N31</f>
        <v>0</v>
      </c>
      <c r="O19" s="44" t="n">
        <f aca="false">O31</f>
        <v>0</v>
      </c>
      <c r="P19" s="44" t="n">
        <f aca="false">P31</f>
        <v>0</v>
      </c>
      <c r="Q19" s="44" t="n">
        <f aca="false">Q31</f>
        <v>0</v>
      </c>
      <c r="R19" s="44" t="n">
        <f aca="false">R31</f>
        <v>0</v>
      </c>
      <c r="S19" s="44" t="n">
        <f aca="false">S31</f>
        <v>0</v>
      </c>
      <c r="T19" s="44" t="n">
        <f aca="false">T31</f>
        <v>0</v>
      </c>
      <c r="U19" s="44" t="n">
        <f aca="false">U31</f>
        <v>0</v>
      </c>
      <c r="V19" s="44" t="n">
        <f aca="false">V31</f>
        <v>0</v>
      </c>
      <c r="W19" s="44" t="n">
        <f aca="false">W31</f>
        <v>0</v>
      </c>
      <c r="X19" s="44" t="n">
        <f aca="false">X31</f>
        <v>0</v>
      </c>
      <c r="Y19" s="44" t="n">
        <f aca="false">Y31</f>
        <v>0</v>
      </c>
      <c r="Z19" s="5"/>
      <c r="AA19" s="5"/>
      <c r="AB19" s="5"/>
      <c r="AC19" s="5"/>
      <c r="AD19" s="5"/>
    </row>
    <row r="20" customFormat="false" ht="15" hidden="false" customHeight="false" outlineLevel="0" collapsed="false">
      <c r="A20" s="5"/>
      <c r="B20" s="43" t="s">
        <v>187</v>
      </c>
      <c r="C20" s="44" t="n">
        <v>0</v>
      </c>
      <c r="D20" s="44" t="n">
        <f aca="false">D30</f>
        <v>1320854.33496094</v>
      </c>
      <c r="E20" s="44" t="n">
        <f aca="false">E30</f>
        <v>1181629.02375268</v>
      </c>
      <c r="F20" s="44" t="n">
        <f aca="false">F30</f>
        <v>1028481.1814236</v>
      </c>
      <c r="G20" s="44" t="n">
        <f aca="false">G30</f>
        <v>860018.554861612</v>
      </c>
      <c r="H20" s="44" t="n">
        <f aca="false">H30</f>
        <v>674709.665643423</v>
      </c>
      <c r="I20" s="44" t="n">
        <f aca="false">I30</f>
        <v>470869.887503416</v>
      </c>
      <c r="J20" s="44" t="n">
        <f aca="false">J30</f>
        <v>246646.131549409</v>
      </c>
      <c r="K20" s="44" t="n">
        <f aca="false">K30</f>
        <v>0</v>
      </c>
      <c r="L20" s="44" t="n">
        <f aca="false">L30</f>
        <v>0</v>
      </c>
      <c r="M20" s="44" t="n">
        <f aca="false">M30</f>
        <v>0</v>
      </c>
      <c r="N20" s="44" t="n">
        <f aca="false">N30</f>
        <v>0</v>
      </c>
      <c r="O20" s="44" t="n">
        <f aca="false">O30</f>
        <v>0</v>
      </c>
      <c r="P20" s="44" t="n">
        <f aca="false">P30</f>
        <v>0</v>
      </c>
      <c r="Q20" s="44" t="n">
        <f aca="false">Q30</f>
        <v>0</v>
      </c>
      <c r="R20" s="44" t="n">
        <f aca="false">R30</f>
        <v>0</v>
      </c>
      <c r="S20" s="44" t="n">
        <f aca="false">S30</f>
        <v>0</v>
      </c>
      <c r="T20" s="44" t="n">
        <f aca="false">T30</f>
        <v>0</v>
      </c>
      <c r="U20" s="44" t="n">
        <f aca="false">U30</f>
        <v>0</v>
      </c>
      <c r="V20" s="44" t="n">
        <f aca="false">V30</f>
        <v>0</v>
      </c>
      <c r="W20" s="44" t="n">
        <f aca="false">W30</f>
        <v>0</v>
      </c>
      <c r="X20" s="44" t="n">
        <f aca="false">X30</f>
        <v>0</v>
      </c>
      <c r="Y20" s="44" t="n">
        <f aca="false">Y30</f>
        <v>0</v>
      </c>
      <c r="Z20" s="5"/>
      <c r="AA20" s="5"/>
      <c r="AB20" s="5"/>
      <c r="AC20" s="5"/>
      <c r="AD20" s="5"/>
    </row>
    <row r="21" customFormat="false" ht="15" hidden="false" customHeight="false" outlineLevel="0" collapsed="false">
      <c r="A21" s="5"/>
      <c r="B21" s="45" t="s">
        <v>188</v>
      </c>
      <c r="C21" s="46" t="n">
        <v>0</v>
      </c>
      <c r="D21" s="46" t="n">
        <f aca="false">D19+D20</f>
        <v>2713107.44704349</v>
      </c>
      <c r="E21" s="46" t="n">
        <f aca="false">E19+E20</f>
        <v>2713107.44704349</v>
      </c>
      <c r="F21" s="46" t="n">
        <f aca="false">F19+F20</f>
        <v>2713107.44704349</v>
      </c>
      <c r="G21" s="46" t="n">
        <f aca="false">G19+G20</f>
        <v>2713107.44704349</v>
      </c>
      <c r="H21" s="46" t="n">
        <f aca="false">H19+H20</f>
        <v>2713107.44704349</v>
      </c>
      <c r="I21" s="46" t="n">
        <f aca="false">I19+I20</f>
        <v>2713107.44704349</v>
      </c>
      <c r="J21" s="46" t="n">
        <f aca="false">J19+J20</f>
        <v>2713107.44704349</v>
      </c>
      <c r="K21" s="46" t="n">
        <f aca="false">K19+K20</f>
        <v>0</v>
      </c>
      <c r="L21" s="46" t="n">
        <f aca="false">L19+L20</f>
        <v>0</v>
      </c>
      <c r="M21" s="46" t="n">
        <f aca="false">M19+M20</f>
        <v>0</v>
      </c>
      <c r="N21" s="46" t="n">
        <f aca="false">N19+N20</f>
        <v>0</v>
      </c>
      <c r="O21" s="46" t="n">
        <f aca="false">O19+O20</f>
        <v>0</v>
      </c>
      <c r="P21" s="46" t="n">
        <f aca="false">P19+P20</f>
        <v>0</v>
      </c>
      <c r="Q21" s="46" t="n">
        <f aca="false">Q19+Q20</f>
        <v>0</v>
      </c>
      <c r="R21" s="46" t="n">
        <f aca="false">R19+R20</f>
        <v>0</v>
      </c>
      <c r="S21" s="46" t="n">
        <f aca="false">S19+S20</f>
        <v>0</v>
      </c>
      <c r="T21" s="46" t="n">
        <f aca="false">T19+T20</f>
        <v>0</v>
      </c>
      <c r="U21" s="46" t="n">
        <f aca="false">U19+U20</f>
        <v>0</v>
      </c>
      <c r="V21" s="46" t="n">
        <f aca="false">V19+V20</f>
        <v>0</v>
      </c>
      <c r="W21" s="46" t="n">
        <f aca="false">W19+W20</f>
        <v>0</v>
      </c>
      <c r="X21" s="46" t="n">
        <f aca="false">X19+X20</f>
        <v>0</v>
      </c>
      <c r="Y21" s="46" t="n">
        <f aca="false">Y19+Y20</f>
        <v>0</v>
      </c>
      <c r="Z21" s="5"/>
      <c r="AA21" s="5"/>
      <c r="AB21" s="5"/>
      <c r="AC21" s="5"/>
      <c r="AD21" s="5"/>
    </row>
    <row r="22" customFormat="false" ht="15" hidden="false" customHeight="false" outlineLevel="0" collapsed="false">
      <c r="A22" s="5"/>
      <c r="B22" s="30" t="s">
        <v>189</v>
      </c>
      <c r="C22" s="14"/>
      <c r="D22" s="14"/>
      <c r="E22" s="14"/>
      <c r="F22" s="14"/>
      <c r="G22" s="14"/>
      <c r="H22" s="14"/>
      <c r="I22" s="14"/>
      <c r="J22" s="14"/>
      <c r="K22" s="14"/>
      <c r="L22" s="14"/>
      <c r="M22" s="14"/>
      <c r="N22" s="14"/>
      <c r="O22" s="14"/>
      <c r="P22" s="14"/>
      <c r="Q22" s="14"/>
      <c r="R22" s="14"/>
      <c r="S22" s="14"/>
      <c r="T22" s="14"/>
      <c r="U22" s="14"/>
      <c r="V22" s="14"/>
      <c r="W22" s="14"/>
      <c r="X22" s="14"/>
      <c r="Y22" s="14"/>
      <c r="Z22" s="5"/>
      <c r="AA22" s="5"/>
      <c r="AB22" s="5"/>
      <c r="AC22" s="5"/>
      <c r="AD22" s="5"/>
    </row>
    <row r="23" customFormat="false" ht="15" hidden="false" customHeight="false" outlineLevel="0" collapsed="false">
      <c r="A23" s="5"/>
      <c r="B23" s="36" t="s">
        <v>190</v>
      </c>
      <c r="C23" s="59" t="s">
        <v>191</v>
      </c>
      <c r="D23" s="59" t="str">
        <f aca="false">IF(Debt_Schedule!D11=0,"PASS",IF(Debt_Schedule!D14&gt;=Lockup_DSCR,"PASS","FAIL"))</f>
        <v>PASS</v>
      </c>
      <c r="E23" s="59" t="str">
        <f aca="false">IF(Debt_Schedule!E11=0,"PASS",IF(Debt_Schedule!E14&gt;=Lockup_DSCR,"PASS","FAIL"))</f>
        <v>PASS</v>
      </c>
      <c r="F23" s="59" t="str">
        <f aca="false">IF(Debt_Schedule!F11=0,"PASS",IF(Debt_Schedule!F14&gt;=Lockup_DSCR,"PASS","FAIL"))</f>
        <v>PASS</v>
      </c>
      <c r="G23" s="59" t="str">
        <f aca="false">IF(Debt_Schedule!G11=0,"PASS",IF(Debt_Schedule!G14&gt;=Lockup_DSCR,"PASS","FAIL"))</f>
        <v>PASS</v>
      </c>
      <c r="H23" s="59" t="str">
        <f aca="false">IF(Debt_Schedule!H11=0,"PASS",IF(Debt_Schedule!H14&gt;=Lockup_DSCR,"PASS","FAIL"))</f>
        <v>PASS</v>
      </c>
      <c r="I23" s="59" t="str">
        <f aca="false">IF(Debt_Schedule!I11=0,"PASS",IF(Debt_Schedule!I14&gt;=Lockup_DSCR,"PASS","FAIL"))</f>
        <v>PASS</v>
      </c>
      <c r="J23" s="59" t="str">
        <f aca="false">IF(Debt_Schedule!J11=0,"PASS",IF(Debt_Schedule!J14&gt;=Lockup_DSCR,"PASS","FAIL"))</f>
        <v>PASS</v>
      </c>
      <c r="K23" s="59" t="str">
        <f aca="false">IF(Debt_Schedule!K11=0,"PASS",IF(Debt_Schedule!K14&gt;=Lockup_DSCR,"PASS","FAIL"))</f>
        <v>PASS</v>
      </c>
      <c r="L23" s="59" t="str">
        <f aca="false">IF(Debt_Schedule!L11=0,"PASS",IF(Debt_Schedule!L14&gt;=Lockup_DSCR,"PASS","FAIL"))</f>
        <v>PASS</v>
      </c>
      <c r="M23" s="59" t="str">
        <f aca="false">IF(Debt_Schedule!M11=0,"PASS",IF(Debt_Schedule!M14&gt;=Lockup_DSCR,"PASS","FAIL"))</f>
        <v>PASS</v>
      </c>
      <c r="N23" s="59" t="str">
        <f aca="false">IF(Debt_Schedule!N11=0,"PASS",IF(Debt_Schedule!N14&gt;=Lockup_DSCR,"PASS","FAIL"))</f>
        <v>PASS</v>
      </c>
      <c r="O23" s="59" t="str">
        <f aca="false">IF(Debt_Schedule!O11=0,"PASS",IF(Debt_Schedule!O14&gt;=Lockup_DSCR,"PASS","FAIL"))</f>
        <v>PASS</v>
      </c>
      <c r="P23" s="59" t="str">
        <f aca="false">IF(Debt_Schedule!P11=0,"PASS",IF(Debt_Schedule!P14&gt;=Lockup_DSCR,"PASS","FAIL"))</f>
        <v>PASS</v>
      </c>
      <c r="Q23" s="59" t="str">
        <f aca="false">IF(Debt_Schedule!Q11=0,"PASS",IF(Debt_Schedule!Q14&gt;=Lockup_DSCR,"PASS","FAIL"))</f>
        <v>PASS</v>
      </c>
      <c r="R23" s="59" t="str">
        <f aca="false">IF(Debt_Schedule!R11=0,"PASS",IF(Debt_Schedule!R14&gt;=Lockup_DSCR,"PASS","FAIL"))</f>
        <v>PASS</v>
      </c>
      <c r="S23" s="59" t="str">
        <f aca="false">IF(Debt_Schedule!S11=0,"PASS",IF(Debt_Schedule!S14&gt;=Lockup_DSCR,"PASS","FAIL"))</f>
        <v>PASS</v>
      </c>
      <c r="T23" s="59" t="str">
        <f aca="false">IF(Debt_Schedule!T11=0,"PASS",IF(Debt_Schedule!T14&gt;=Lockup_DSCR,"PASS","FAIL"))</f>
        <v>PASS</v>
      </c>
      <c r="U23" s="59" t="str">
        <f aca="false">IF(Debt_Schedule!U11=0,"PASS",IF(Debt_Schedule!U14&gt;=Lockup_DSCR,"PASS","FAIL"))</f>
        <v>PASS</v>
      </c>
      <c r="V23" s="59" t="str">
        <f aca="false">IF(Debt_Schedule!V11=0,"PASS",IF(Debt_Schedule!V14&gt;=Lockup_DSCR,"PASS","FAIL"))</f>
        <v>PASS</v>
      </c>
      <c r="W23" s="59" t="str">
        <f aca="false">IF(Debt_Schedule!W11=0,"PASS",IF(Debt_Schedule!W14&gt;=Lockup_DSCR,"PASS","FAIL"))</f>
        <v>PASS</v>
      </c>
      <c r="X23" s="59" t="str">
        <f aca="false">IF(Debt_Schedule!X11=0,"PASS",IF(Debt_Schedule!X14&gt;=Lockup_DSCR,"PASS","FAIL"))</f>
        <v>PASS</v>
      </c>
      <c r="Y23" s="59" t="str">
        <f aca="false">IF(Debt_Schedule!Y11=0,"PASS",IF(Debt_Schedule!Y14&gt;=Lockup_DSCR,"PASS","FAIL"))</f>
        <v>PASS</v>
      </c>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43" t="s">
        <v>192</v>
      </c>
      <c r="C25" s="44" t="n">
        <v>0</v>
      </c>
      <c r="D25" s="44" t="n">
        <f aca="false">MAX(0,D17-D21)</f>
        <v>0</v>
      </c>
      <c r="E25" s="44" t="n">
        <f aca="false">MAX(0,E17-E21)</f>
        <v>0</v>
      </c>
      <c r="F25" s="44" t="n">
        <f aca="false">MAX(0,F17-F21)</f>
        <v>0</v>
      </c>
      <c r="G25" s="44" t="n">
        <f aca="false">MAX(0,G17-G21)</f>
        <v>0</v>
      </c>
      <c r="H25" s="44" t="n">
        <f aca="false">MAX(0,H17-H21)</f>
        <v>0</v>
      </c>
      <c r="I25" s="44" t="n">
        <f aca="false">MAX(0,I17-I21)</f>
        <v>0</v>
      </c>
      <c r="J25" s="44" t="n">
        <f aca="false">MAX(0,J17-J21)</f>
        <v>0</v>
      </c>
      <c r="K25" s="44" t="n">
        <f aca="false">MAX(0,K17-K21)</f>
        <v>535636.390939487</v>
      </c>
      <c r="L25" s="44" t="n">
        <f aca="false">MAX(0,L17-L21)</f>
        <v>618405.601494225</v>
      </c>
      <c r="M25" s="44" t="n">
        <f aca="false">MAX(0,M17-M21)</f>
        <v>703244.042312829</v>
      </c>
      <c r="N25" s="44" t="n">
        <f aca="false">MAX(0,N17-N21)</f>
        <v>790203.444151901</v>
      </c>
      <c r="O25" s="44" t="n">
        <f aca="false">MAX(0,O17-O21)</f>
        <v>879336.831036944</v>
      </c>
      <c r="P25" s="44" t="n">
        <f aca="false">MAX(0,P17-P21)</f>
        <v>970698.55259412</v>
      </c>
      <c r="Q25" s="44" t="n">
        <f aca="false">MAX(0,Q17-Q21)</f>
        <v>1064344.31719022</v>
      </c>
      <c r="R25" s="44" t="n">
        <f aca="false">MAX(0,R17-R21)</f>
        <v>1160331.22590123</v>
      </c>
      <c r="S25" s="44" t="n">
        <f aca="false">MAX(0,S17-S21)</f>
        <v>1258717.80733001</v>
      </c>
      <c r="T25" s="44" t="n">
        <f aca="false">MAX(0,T17-T21)</f>
        <v>1359564.05329451</v>
      </c>
      <c r="U25" s="44" t="n">
        <f aca="false">MAX(0,U17-U21)</f>
        <v>1462931.45540812</v>
      </c>
      <c r="V25" s="44" t="n">
        <f aca="false">MAX(0,V17-V21)</f>
        <v>1568883.04257457</v>
      </c>
      <c r="W25" s="44" t="n">
        <f aca="false">MAX(0,W17-W21)</f>
        <v>1677483.41942019</v>
      </c>
      <c r="X25" s="44" t="n">
        <f aca="false">MAX(0,X17-X21)</f>
        <v>31512856.3208483</v>
      </c>
      <c r="Y25" s="44" t="n">
        <f aca="false">MAX(0,Y17-Y21)</f>
        <v>32739991.2029844</v>
      </c>
      <c r="Z25" s="5"/>
      <c r="AA25" s="5"/>
      <c r="AB25" s="5"/>
      <c r="AC25" s="5"/>
      <c r="AD25" s="5"/>
    </row>
    <row r="26" customFormat="false" ht="15" hidden="false" customHeight="false" outlineLevel="0" collapsed="false">
      <c r="A26" s="5"/>
      <c r="B26" s="47" t="s">
        <v>189</v>
      </c>
      <c r="C26" s="48" t="n">
        <v>0</v>
      </c>
      <c r="D26" s="48" t="n">
        <f aca="false">IF(D23="PASS",D25,0)</f>
        <v>0</v>
      </c>
      <c r="E26" s="48" t="n">
        <f aca="false">IF(E23="PASS",E25,0)</f>
        <v>0</v>
      </c>
      <c r="F26" s="48" t="n">
        <f aca="false">IF(F23="PASS",F25,0)</f>
        <v>0</v>
      </c>
      <c r="G26" s="48" t="n">
        <f aca="false">IF(G23="PASS",G25,0)</f>
        <v>0</v>
      </c>
      <c r="H26" s="48" t="n">
        <f aca="false">IF(H23="PASS",H25,0)</f>
        <v>0</v>
      </c>
      <c r="I26" s="48" t="n">
        <f aca="false">IF(I23="PASS",I25,0)</f>
        <v>0</v>
      </c>
      <c r="J26" s="48" t="n">
        <f aca="false">IF(J23="PASS",J25,0)</f>
        <v>0</v>
      </c>
      <c r="K26" s="48" t="n">
        <f aca="false">IF(K23="PASS",K25,0)</f>
        <v>535636.390939487</v>
      </c>
      <c r="L26" s="48" t="n">
        <f aca="false">IF(L23="PASS",L25,0)</f>
        <v>618405.601494225</v>
      </c>
      <c r="M26" s="48" t="n">
        <f aca="false">IF(M23="PASS",M25,0)</f>
        <v>703244.042312829</v>
      </c>
      <c r="N26" s="48" t="n">
        <f aca="false">IF(N23="PASS",N25,0)</f>
        <v>790203.444151901</v>
      </c>
      <c r="O26" s="48" t="n">
        <f aca="false">IF(O23="PASS",O25,0)</f>
        <v>879336.831036944</v>
      </c>
      <c r="P26" s="48" t="n">
        <f aca="false">IF(P23="PASS",P25,0)</f>
        <v>970698.55259412</v>
      </c>
      <c r="Q26" s="48" t="n">
        <f aca="false">IF(Q23="PASS",Q25,0)</f>
        <v>1064344.31719022</v>
      </c>
      <c r="R26" s="48" t="n">
        <f aca="false">IF(R23="PASS",R25,0)</f>
        <v>1160331.22590123</v>
      </c>
      <c r="S26" s="48" t="n">
        <f aca="false">IF(S23="PASS",S25,0)</f>
        <v>1258717.80733001</v>
      </c>
      <c r="T26" s="48" t="n">
        <f aca="false">IF(T23="PASS",T25,0)</f>
        <v>1359564.05329451</v>
      </c>
      <c r="U26" s="48" t="n">
        <f aca="false">IF(U23="PASS",U25,0)</f>
        <v>1462931.45540812</v>
      </c>
      <c r="V26" s="48" t="n">
        <f aca="false">IF(V23="PASS",V25,0)</f>
        <v>1568883.04257457</v>
      </c>
      <c r="W26" s="48" t="n">
        <f aca="false">IF(W23="PASS",W25,0)</f>
        <v>1677483.41942019</v>
      </c>
      <c r="X26" s="48" t="n">
        <f aca="false">IF(X23="PASS",X25,0)</f>
        <v>31512856.3208483</v>
      </c>
      <c r="Y26" s="48" t="n">
        <f aca="false">IF(Y23="PASS",Y25,0)</f>
        <v>32739991.2029844</v>
      </c>
      <c r="Z26" s="5"/>
      <c r="AA26" s="5"/>
      <c r="AB26" s="5"/>
      <c r="AC26" s="5"/>
      <c r="AD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43" t="s">
        <v>193</v>
      </c>
      <c r="C28" s="44" t="n">
        <v>0</v>
      </c>
      <c r="D28" s="44" t="n">
        <f aca="false">Fnd_SHL</f>
        <v>13208543.3496094</v>
      </c>
      <c r="E28" s="44" t="n">
        <f aca="false">D32</f>
        <v>11816290.2375268</v>
      </c>
      <c r="F28" s="44" t="n">
        <f aca="false">E32</f>
        <v>10284811.814236</v>
      </c>
      <c r="G28" s="44" t="n">
        <f aca="false">F32</f>
        <v>8600185.54861612</v>
      </c>
      <c r="H28" s="44" t="n">
        <f aca="false">G32</f>
        <v>6747096.65643423</v>
      </c>
      <c r="I28" s="44" t="n">
        <f aca="false">H32</f>
        <v>4708698.87503416</v>
      </c>
      <c r="J28" s="44" t="n">
        <f aca="false">I32</f>
        <v>2466461.31549409</v>
      </c>
      <c r="K28" s="44" t="n">
        <f aca="false">J32</f>
        <v>0</v>
      </c>
      <c r="L28" s="44" t="n">
        <f aca="false">K32</f>
        <v>0</v>
      </c>
      <c r="M28" s="44" t="n">
        <f aca="false">L32</f>
        <v>0</v>
      </c>
      <c r="N28" s="44" t="n">
        <f aca="false">M32</f>
        <v>0</v>
      </c>
      <c r="O28" s="44" t="n">
        <f aca="false">N32</f>
        <v>0</v>
      </c>
      <c r="P28" s="44" t="n">
        <f aca="false">O32</f>
        <v>0</v>
      </c>
      <c r="Q28" s="44" t="n">
        <f aca="false">P32</f>
        <v>0</v>
      </c>
      <c r="R28" s="44" t="n">
        <f aca="false">Q32</f>
        <v>0</v>
      </c>
      <c r="S28" s="44" t="n">
        <f aca="false">R32</f>
        <v>0</v>
      </c>
      <c r="T28" s="44" t="n">
        <f aca="false">S32</f>
        <v>0</v>
      </c>
      <c r="U28" s="44" t="n">
        <f aca="false">T32</f>
        <v>0</v>
      </c>
      <c r="V28" s="44" t="n">
        <f aca="false">U32</f>
        <v>0</v>
      </c>
      <c r="W28" s="44" t="n">
        <f aca="false">V32</f>
        <v>0</v>
      </c>
      <c r="X28" s="44" t="n">
        <f aca="false">W32</f>
        <v>0</v>
      </c>
      <c r="Y28" s="44" t="n">
        <f aca="false">X32</f>
        <v>0</v>
      </c>
      <c r="Z28" s="5"/>
      <c r="AA28" s="5"/>
      <c r="AB28" s="5"/>
      <c r="AC28" s="5"/>
      <c r="AD28" s="5"/>
    </row>
    <row r="29" customFormat="false" ht="15" hidden="false" customHeight="false" outlineLevel="0" collapsed="false">
      <c r="A29" s="5"/>
      <c r="B29" s="43" t="s">
        <v>194</v>
      </c>
      <c r="C29" s="44" t="n">
        <v>0</v>
      </c>
      <c r="D29" s="44" t="n">
        <f aca="false">IF(D28&gt;0,-PMT(SHL_Rate,SHL_Tenor,Fnd_SHL),0)</f>
        <v>2713107.44704349</v>
      </c>
      <c r="E29" s="44" t="n">
        <f aca="false">IF(E28&gt;0,-PMT(SHL_Rate,SHL_Tenor,Fnd_SHL),0)</f>
        <v>2713107.44704349</v>
      </c>
      <c r="F29" s="44" t="n">
        <f aca="false">IF(F28&gt;0,-PMT(SHL_Rate,SHL_Tenor,Fnd_SHL),0)</f>
        <v>2713107.44704349</v>
      </c>
      <c r="G29" s="44" t="n">
        <f aca="false">IF(G28&gt;0,-PMT(SHL_Rate,SHL_Tenor,Fnd_SHL),0)</f>
        <v>2713107.44704349</v>
      </c>
      <c r="H29" s="44" t="n">
        <f aca="false">IF(H28&gt;0,-PMT(SHL_Rate,SHL_Tenor,Fnd_SHL),0)</f>
        <v>2713107.44704349</v>
      </c>
      <c r="I29" s="44" t="n">
        <f aca="false">IF(I28&gt;0,-PMT(SHL_Rate,SHL_Tenor,Fnd_SHL),0)</f>
        <v>2713107.44704349</v>
      </c>
      <c r="J29" s="44" t="n">
        <f aca="false">IF(J28&gt;0,-PMT(SHL_Rate,SHL_Tenor,Fnd_SHL),0)</f>
        <v>2713107.44704349</v>
      </c>
      <c r="K29" s="44" t="n">
        <f aca="false">IF(K28&gt;0,-PMT(SHL_Rate,SHL_Tenor,Fnd_SHL),0)</f>
        <v>0</v>
      </c>
      <c r="L29" s="44" t="n">
        <f aca="false">IF(L28&gt;0,-PMT(SHL_Rate,SHL_Tenor,Fnd_SHL),0)</f>
        <v>0</v>
      </c>
      <c r="M29" s="44" t="n">
        <f aca="false">IF(M28&gt;0,-PMT(SHL_Rate,SHL_Tenor,Fnd_SHL),0)</f>
        <v>0</v>
      </c>
      <c r="N29" s="44" t="n">
        <f aca="false">IF(N28&gt;0,-PMT(SHL_Rate,SHL_Tenor,Fnd_SHL),0)</f>
        <v>0</v>
      </c>
      <c r="O29" s="44" t="n">
        <f aca="false">IF(O28&gt;0,-PMT(SHL_Rate,SHL_Tenor,Fnd_SHL),0)</f>
        <v>0</v>
      </c>
      <c r="P29" s="44" t="n">
        <f aca="false">IF(P28&gt;0,-PMT(SHL_Rate,SHL_Tenor,Fnd_SHL),0)</f>
        <v>0</v>
      </c>
      <c r="Q29" s="44" t="n">
        <f aca="false">IF(Q28&gt;0,-PMT(SHL_Rate,SHL_Tenor,Fnd_SHL),0)</f>
        <v>0</v>
      </c>
      <c r="R29" s="44" t="n">
        <f aca="false">IF(R28&gt;0,-PMT(SHL_Rate,SHL_Tenor,Fnd_SHL),0)</f>
        <v>0</v>
      </c>
      <c r="S29" s="44" t="n">
        <f aca="false">IF(S28&gt;0,-PMT(SHL_Rate,SHL_Tenor,Fnd_SHL),0)</f>
        <v>0</v>
      </c>
      <c r="T29" s="44" t="n">
        <f aca="false">IF(T28&gt;0,-PMT(SHL_Rate,SHL_Tenor,Fnd_SHL),0)</f>
        <v>0</v>
      </c>
      <c r="U29" s="44" t="n">
        <f aca="false">IF(U28&gt;0,-PMT(SHL_Rate,SHL_Tenor,Fnd_SHL),0)</f>
        <v>0</v>
      </c>
      <c r="V29" s="44" t="n">
        <f aca="false">IF(V28&gt;0,-PMT(SHL_Rate,SHL_Tenor,Fnd_SHL),0)</f>
        <v>0</v>
      </c>
      <c r="W29" s="44" t="n">
        <f aca="false">IF(W28&gt;0,-PMT(SHL_Rate,SHL_Tenor,Fnd_SHL),0)</f>
        <v>0</v>
      </c>
      <c r="X29" s="44" t="n">
        <f aca="false">IF(X28&gt;0,-PMT(SHL_Rate,SHL_Tenor,Fnd_SHL),0)</f>
        <v>0</v>
      </c>
      <c r="Y29" s="44" t="n">
        <f aca="false">IF(Y28&gt;0,-PMT(SHL_Rate,SHL_Tenor,Fnd_SHL),0)</f>
        <v>0</v>
      </c>
      <c r="Z29" s="5"/>
      <c r="AA29" s="5"/>
      <c r="AB29" s="5"/>
      <c r="AC29" s="5"/>
      <c r="AD29" s="5"/>
    </row>
    <row r="30" customFormat="false" ht="15" hidden="false" customHeight="false" outlineLevel="0" collapsed="false">
      <c r="A30" s="5"/>
      <c r="B30" s="43" t="s">
        <v>195</v>
      </c>
      <c r="C30" s="44" t="n">
        <v>0</v>
      </c>
      <c r="D30" s="44" t="n">
        <f aca="false">D28*SHL_Rate</f>
        <v>1320854.33496094</v>
      </c>
      <c r="E30" s="44" t="n">
        <f aca="false">E28*SHL_Rate</f>
        <v>1181629.02375268</v>
      </c>
      <c r="F30" s="44" t="n">
        <f aca="false">F28*SHL_Rate</f>
        <v>1028481.1814236</v>
      </c>
      <c r="G30" s="44" t="n">
        <f aca="false">G28*SHL_Rate</f>
        <v>860018.554861612</v>
      </c>
      <c r="H30" s="44" t="n">
        <f aca="false">H28*SHL_Rate</f>
        <v>674709.665643423</v>
      </c>
      <c r="I30" s="44" t="n">
        <f aca="false">I28*SHL_Rate</f>
        <v>470869.887503416</v>
      </c>
      <c r="J30" s="44" t="n">
        <f aca="false">J28*SHL_Rate</f>
        <v>246646.131549409</v>
      </c>
      <c r="K30" s="44" t="n">
        <f aca="false">K28*SHL_Rate</f>
        <v>0</v>
      </c>
      <c r="L30" s="44" t="n">
        <f aca="false">L28*SHL_Rate</f>
        <v>0</v>
      </c>
      <c r="M30" s="44" t="n">
        <f aca="false">M28*SHL_Rate</f>
        <v>0</v>
      </c>
      <c r="N30" s="44" t="n">
        <f aca="false">N28*SHL_Rate</f>
        <v>0</v>
      </c>
      <c r="O30" s="44" t="n">
        <f aca="false">O28*SHL_Rate</f>
        <v>0</v>
      </c>
      <c r="P30" s="44" t="n">
        <f aca="false">P28*SHL_Rate</f>
        <v>0</v>
      </c>
      <c r="Q30" s="44" t="n">
        <f aca="false">Q28*SHL_Rate</f>
        <v>0</v>
      </c>
      <c r="R30" s="44" t="n">
        <f aca="false">R28*SHL_Rate</f>
        <v>0</v>
      </c>
      <c r="S30" s="44" t="n">
        <f aca="false">S28*SHL_Rate</f>
        <v>0</v>
      </c>
      <c r="T30" s="44" t="n">
        <f aca="false">T28*SHL_Rate</f>
        <v>0</v>
      </c>
      <c r="U30" s="44" t="n">
        <f aca="false">U28*SHL_Rate</f>
        <v>0</v>
      </c>
      <c r="V30" s="44" t="n">
        <f aca="false">V28*SHL_Rate</f>
        <v>0</v>
      </c>
      <c r="W30" s="44" t="n">
        <f aca="false">W28*SHL_Rate</f>
        <v>0</v>
      </c>
      <c r="X30" s="44" t="n">
        <f aca="false">X28*SHL_Rate</f>
        <v>0</v>
      </c>
      <c r="Y30" s="44" t="n">
        <f aca="false">Y28*SHL_Rate</f>
        <v>0</v>
      </c>
      <c r="Z30" s="5"/>
      <c r="AA30" s="5"/>
      <c r="AB30" s="5"/>
      <c r="AC30" s="5"/>
      <c r="AD30" s="5"/>
    </row>
    <row r="31" customFormat="false" ht="15" hidden="false" customHeight="false" outlineLevel="0" collapsed="false">
      <c r="A31" s="5"/>
      <c r="B31" s="43" t="s">
        <v>196</v>
      </c>
      <c r="C31" s="44" t="n">
        <v>0</v>
      </c>
      <c r="D31" s="44" t="n">
        <f aca="false">D29-D30</f>
        <v>1392253.11208256</v>
      </c>
      <c r="E31" s="44" t="n">
        <f aca="false">E29-E30</f>
        <v>1531478.42329081</v>
      </c>
      <c r="F31" s="44" t="n">
        <f aca="false">F29-F30</f>
        <v>1684626.26561989</v>
      </c>
      <c r="G31" s="44" t="n">
        <f aca="false">G29-G30</f>
        <v>1853088.89218188</v>
      </c>
      <c r="H31" s="44" t="n">
        <f aca="false">H29-H30</f>
        <v>2038397.78140007</v>
      </c>
      <c r="I31" s="44" t="n">
        <f aca="false">I29-I30</f>
        <v>2242237.55954008</v>
      </c>
      <c r="J31" s="44" t="n">
        <f aca="false">J29-J30</f>
        <v>2466461.31549409</v>
      </c>
      <c r="K31" s="44" t="n">
        <f aca="false">K29-K30</f>
        <v>0</v>
      </c>
      <c r="L31" s="44" t="n">
        <f aca="false">L29-L30</f>
        <v>0</v>
      </c>
      <c r="M31" s="44" t="n">
        <f aca="false">M29-M30</f>
        <v>0</v>
      </c>
      <c r="N31" s="44" t="n">
        <f aca="false">N29-N30</f>
        <v>0</v>
      </c>
      <c r="O31" s="44" t="n">
        <f aca="false">O29-O30</f>
        <v>0</v>
      </c>
      <c r="P31" s="44" t="n">
        <f aca="false">P29-P30</f>
        <v>0</v>
      </c>
      <c r="Q31" s="44" t="n">
        <f aca="false">Q29-Q30</f>
        <v>0</v>
      </c>
      <c r="R31" s="44" t="n">
        <f aca="false">R29-R30</f>
        <v>0</v>
      </c>
      <c r="S31" s="44" t="n">
        <f aca="false">S29-S30</f>
        <v>0</v>
      </c>
      <c r="T31" s="44" t="n">
        <f aca="false">T29-T30</f>
        <v>0</v>
      </c>
      <c r="U31" s="44" t="n">
        <f aca="false">U29-U30</f>
        <v>0</v>
      </c>
      <c r="V31" s="44" t="n">
        <f aca="false">V29-V30</f>
        <v>0</v>
      </c>
      <c r="W31" s="44" t="n">
        <f aca="false">W29-W30</f>
        <v>0</v>
      </c>
      <c r="X31" s="44" t="n">
        <f aca="false">X29-X30</f>
        <v>0</v>
      </c>
      <c r="Y31" s="44" t="n">
        <f aca="false">Y29-Y30</f>
        <v>0</v>
      </c>
      <c r="Z31" s="5"/>
      <c r="AA31" s="5"/>
      <c r="AB31" s="5"/>
      <c r="AC31" s="5"/>
      <c r="AD31" s="5"/>
    </row>
    <row r="32" customFormat="false" ht="15" hidden="false" customHeight="false" outlineLevel="0" collapsed="false">
      <c r="A32" s="5"/>
      <c r="B32" s="47" t="s">
        <v>197</v>
      </c>
      <c r="C32" s="48" t="n">
        <v>0</v>
      </c>
      <c r="D32" s="48" t="n">
        <f aca="false">MAX(0,D28-D31)</f>
        <v>11816290.2375268</v>
      </c>
      <c r="E32" s="48" t="n">
        <f aca="false">MAX(0,E28-E31)</f>
        <v>10284811.814236</v>
      </c>
      <c r="F32" s="48" t="n">
        <f aca="false">MAX(0,F28-F31)</f>
        <v>8600185.54861612</v>
      </c>
      <c r="G32" s="48" t="n">
        <f aca="false">MAX(0,G28-G31)</f>
        <v>6747096.65643423</v>
      </c>
      <c r="H32" s="48" t="n">
        <f aca="false">MAX(0,H28-H31)</f>
        <v>4708698.87503416</v>
      </c>
      <c r="I32" s="48" t="n">
        <f aca="false">MAX(0,I28-I31)</f>
        <v>2466461.31549409</v>
      </c>
      <c r="J32" s="48" t="n">
        <f aca="false">MAX(0,J28-J31)</f>
        <v>0</v>
      </c>
      <c r="K32" s="48" t="n">
        <f aca="false">MAX(0,K28-K31)</f>
        <v>0</v>
      </c>
      <c r="L32" s="48" t="n">
        <f aca="false">MAX(0,L28-L31)</f>
        <v>0</v>
      </c>
      <c r="M32" s="48" t="n">
        <f aca="false">MAX(0,M28-M31)</f>
        <v>0</v>
      </c>
      <c r="N32" s="48" t="n">
        <f aca="false">MAX(0,N28-N31)</f>
        <v>0</v>
      </c>
      <c r="O32" s="48" t="n">
        <f aca="false">MAX(0,O28-O31)</f>
        <v>0</v>
      </c>
      <c r="P32" s="48" t="n">
        <f aca="false">MAX(0,P28-P31)</f>
        <v>0</v>
      </c>
      <c r="Q32" s="48" t="n">
        <f aca="false">MAX(0,Q28-Q31)</f>
        <v>0</v>
      </c>
      <c r="R32" s="48" t="n">
        <f aca="false">MAX(0,R28-R31)</f>
        <v>0</v>
      </c>
      <c r="S32" s="48" t="n">
        <f aca="false">MAX(0,S28-S31)</f>
        <v>0</v>
      </c>
      <c r="T32" s="48" t="n">
        <f aca="false">MAX(0,T28-T31)</f>
        <v>0</v>
      </c>
      <c r="U32" s="48" t="n">
        <f aca="false">MAX(0,U28-U31)</f>
        <v>0</v>
      </c>
      <c r="V32" s="48" t="n">
        <f aca="false">MAX(0,V28-V31)</f>
        <v>0</v>
      </c>
      <c r="W32" s="48" t="n">
        <f aca="false">MAX(0,W28-W31)</f>
        <v>0</v>
      </c>
      <c r="X32" s="48" t="n">
        <f aca="false">MAX(0,X28-X31)</f>
        <v>0</v>
      </c>
      <c r="Y32" s="48" t="n">
        <f aca="false">MAX(0,Y28-Y31)</f>
        <v>0</v>
      </c>
      <c r="Z32" s="5"/>
      <c r="AA32" s="5"/>
      <c r="AB32" s="5"/>
      <c r="AC32" s="5"/>
      <c r="AD3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25"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34</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198</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42" t="n">
        <v>0</v>
      </c>
      <c r="D4" s="42" t="n">
        <v>1</v>
      </c>
      <c r="E4" s="42" t="n">
        <v>2</v>
      </c>
      <c r="F4" s="42" t="n">
        <v>3</v>
      </c>
      <c r="G4" s="42" t="n">
        <v>4</v>
      </c>
      <c r="H4" s="42" t="n">
        <v>5</v>
      </c>
      <c r="I4" s="42" t="n">
        <v>6</v>
      </c>
      <c r="J4" s="42" t="n">
        <v>7</v>
      </c>
      <c r="K4" s="42" t="n">
        <v>8</v>
      </c>
      <c r="L4" s="42" t="n">
        <v>9</v>
      </c>
      <c r="M4" s="42" t="n">
        <v>10</v>
      </c>
      <c r="N4" s="42" t="n">
        <v>11</v>
      </c>
      <c r="O4" s="42" t="n">
        <v>12</v>
      </c>
      <c r="P4" s="42" t="n">
        <v>13</v>
      </c>
      <c r="Q4" s="42" t="n">
        <v>14</v>
      </c>
      <c r="R4" s="42" t="n">
        <v>15</v>
      </c>
      <c r="S4" s="42" t="n">
        <v>16</v>
      </c>
      <c r="T4" s="42" t="n">
        <v>17</v>
      </c>
      <c r="U4" s="42" t="n">
        <v>18</v>
      </c>
      <c r="V4" s="42" t="n">
        <v>19</v>
      </c>
      <c r="W4" s="42" t="n">
        <v>20</v>
      </c>
      <c r="X4" s="42" t="n">
        <v>21</v>
      </c>
      <c r="Y4" s="42" t="n">
        <v>22</v>
      </c>
      <c r="Z4" s="5"/>
      <c r="AA4" s="5"/>
      <c r="AB4" s="5"/>
      <c r="AC4" s="5"/>
      <c r="AD4" s="5"/>
    </row>
    <row r="5" customFormat="false" ht="15" hidden="false" customHeight="false" outlineLevel="0" collapsed="false">
      <c r="A5" s="5"/>
      <c r="B5" s="30" t="s">
        <v>199</v>
      </c>
      <c r="C5" s="14"/>
      <c r="D5" s="14"/>
      <c r="E5" s="14"/>
      <c r="F5" s="14"/>
      <c r="G5" s="14"/>
      <c r="H5" s="14"/>
      <c r="I5" s="14"/>
      <c r="J5" s="14"/>
      <c r="K5" s="14"/>
      <c r="L5" s="14"/>
      <c r="M5" s="14"/>
      <c r="N5" s="14"/>
      <c r="O5" s="14"/>
      <c r="P5" s="14"/>
      <c r="Q5" s="14"/>
      <c r="R5" s="14"/>
      <c r="S5" s="14"/>
      <c r="T5" s="14"/>
      <c r="U5" s="14"/>
      <c r="V5" s="14"/>
      <c r="W5" s="14"/>
      <c r="X5" s="14"/>
      <c r="Y5" s="14"/>
      <c r="Z5" s="5"/>
      <c r="AA5" s="5"/>
      <c r="AB5" s="5"/>
      <c r="AC5" s="5"/>
      <c r="AD5" s="5"/>
    </row>
    <row r="6" customFormat="false" ht="15" hidden="false" customHeight="false" outlineLevel="0" collapsed="false">
      <c r="A6" s="5"/>
      <c r="B6" s="36" t="s">
        <v>200</v>
      </c>
      <c r="C6" s="44" t="n">
        <f aca="false">-Con_Total_Cost</f>
        <v>-284920781.25</v>
      </c>
      <c r="D6" s="44" t="n">
        <f aca="false">Operations!D26</f>
        <v>20645770.3125</v>
      </c>
      <c r="E6" s="44" t="n">
        <f aca="false">Operations!E26</f>
        <v>21090684.375</v>
      </c>
      <c r="F6" s="44" t="n">
        <f aca="false">Operations!F26</f>
        <v>21546721.2890625</v>
      </c>
      <c r="G6" s="44" t="n">
        <f aca="false">Operations!G26</f>
        <v>22014159.1259766</v>
      </c>
      <c r="H6" s="44" t="n">
        <f aca="false">Operations!H26</f>
        <v>22493282.9088135</v>
      </c>
      <c r="I6" s="44" t="n">
        <f aca="false">Operations!I26</f>
        <v>22984384.7862213</v>
      </c>
      <c r="J6" s="44" t="n">
        <f aca="false">Operations!J26</f>
        <v>23487764.2105643</v>
      </c>
      <c r="K6" s="44" t="n">
        <f aca="false">Operations!K26</f>
        <v>24003728.1205159</v>
      </c>
      <c r="L6" s="44" t="n">
        <f aca="false">Operations!L26</f>
        <v>24532591.1282163</v>
      </c>
      <c r="M6" s="44" t="n">
        <f aca="false">Operations!M26</f>
        <v>25074675.7111092</v>
      </c>
      <c r="N6" s="44" t="n">
        <f aca="false">Operations!N26</f>
        <v>25630312.4085745</v>
      </c>
      <c r="O6" s="44" t="n">
        <f aca="false">Operations!O26</f>
        <v>26199840.0234763</v>
      </c>
      <c r="P6" s="44" t="n">
        <f aca="false">Operations!P26</f>
        <v>26783605.8287507</v>
      </c>
      <c r="Q6" s="44" t="n">
        <f aca="false">Operations!Q26</f>
        <v>27381965.779157</v>
      </c>
      <c r="R6" s="44" t="n">
        <f aca="false">Operations!R26</f>
        <v>27995284.7283234</v>
      </c>
      <c r="S6" s="44" t="n">
        <f aca="false">Operations!S26</f>
        <v>28623936.651219</v>
      </c>
      <c r="T6" s="44" t="n">
        <f aca="false">Operations!T26</f>
        <v>29268304.872187</v>
      </c>
      <c r="U6" s="44" t="n">
        <f aca="false">Operations!U26</f>
        <v>29928782.2986792</v>
      </c>
      <c r="V6" s="44" t="n">
        <f aca="false">Operations!V26</f>
        <v>30605771.6608336</v>
      </c>
      <c r="W6" s="44" t="n">
        <f aca="false">Operations!W26</f>
        <v>31299685.757042</v>
      </c>
      <c r="X6" s="44" t="n">
        <f aca="false">Operations!X26</f>
        <v>32010947.7056555</v>
      </c>
      <c r="Y6" s="44" t="n">
        <f aca="false">Operations!Y26</f>
        <v>32739991.2029844</v>
      </c>
      <c r="Z6" s="5"/>
      <c r="AA6" s="5"/>
      <c r="AB6" s="5"/>
      <c r="AC6" s="5"/>
      <c r="AD6" s="5"/>
    </row>
    <row r="7" customFormat="false" ht="15" hidden="false" customHeight="false" outlineLevel="0" collapsed="false">
      <c r="A7" s="5"/>
      <c r="B7" s="49" t="s">
        <v>201</v>
      </c>
      <c r="C7" s="44" t="n">
        <f aca="false">C8</f>
        <v>-44028477.8320313</v>
      </c>
      <c r="D7" s="44" t="n">
        <f aca="false">C7+D8</f>
        <v>-41315370.3849878</v>
      </c>
      <c r="E7" s="44" t="n">
        <f aca="false">D7+E8</f>
        <v>-38602262.9379443</v>
      </c>
      <c r="F7" s="44" t="n">
        <f aca="false">E7+F8</f>
        <v>-35889155.4909008</v>
      </c>
      <c r="G7" s="44" t="n">
        <f aca="false">F7+G8</f>
        <v>-33176048.0438573</v>
      </c>
      <c r="H7" s="44" t="n">
        <f aca="false">G7+H8</f>
        <v>-30462940.5968138</v>
      </c>
      <c r="I7" s="44" t="n">
        <f aca="false">H7+I8</f>
        <v>-27749833.1497703</v>
      </c>
      <c r="J7" s="44" t="n">
        <f aca="false">I7+J8</f>
        <v>-25036725.7027268</v>
      </c>
      <c r="K7" s="44" t="n">
        <f aca="false">J7+K8</f>
        <v>-24501089.3117873</v>
      </c>
      <c r="L7" s="44" t="n">
        <f aca="false">K7+L8</f>
        <v>-23882683.7102931</v>
      </c>
      <c r="M7" s="44" t="n">
        <f aca="false">L7+M8</f>
        <v>-23179439.6679803</v>
      </c>
      <c r="N7" s="44" t="n">
        <f aca="false">M7+N8</f>
        <v>-22389236.2238284</v>
      </c>
      <c r="O7" s="44" t="n">
        <f aca="false">N7+O8</f>
        <v>-21509899.3927914</v>
      </c>
      <c r="P7" s="44" t="n">
        <f aca="false">O7+P8</f>
        <v>-20539200.8401973</v>
      </c>
      <c r="Q7" s="44" t="n">
        <f aca="false">P7+Q8</f>
        <v>-19474856.5230071</v>
      </c>
      <c r="R7" s="44" t="n">
        <f aca="false">Q7+R8</f>
        <v>-18314525.2971059</v>
      </c>
      <c r="S7" s="44" t="n">
        <f aca="false">R7+S8</f>
        <v>-17055807.4897758</v>
      </c>
      <c r="T7" s="44" t="n">
        <f aca="false">S7+T8</f>
        <v>-15696243.4364813</v>
      </c>
      <c r="U7" s="44" t="n">
        <f aca="false">T7+U8</f>
        <v>-14233311.9810732</v>
      </c>
      <c r="V7" s="44" t="n">
        <f aca="false">U7+V8</f>
        <v>-12664428.9384986</v>
      </c>
      <c r="W7" s="44" t="n">
        <f aca="false">V7+W8</f>
        <v>-10986945.5190785</v>
      </c>
      <c r="X7" s="44" t="n">
        <f aca="false">W7+X8</f>
        <v>20525910.8017699</v>
      </c>
      <c r="Y7" s="44" t="n">
        <f aca="false">X7+Y8</f>
        <v>53265902.0047543</v>
      </c>
      <c r="Z7" s="5"/>
      <c r="AA7" s="5"/>
      <c r="AB7" s="5"/>
      <c r="AC7" s="5"/>
      <c r="AD7" s="5"/>
    </row>
    <row r="8" customFormat="false" ht="15" hidden="false" customHeight="false" outlineLevel="0" collapsed="false">
      <c r="A8" s="5"/>
      <c r="B8" s="36" t="s">
        <v>202</v>
      </c>
      <c r="C8" s="44" t="n">
        <f aca="false">-(Fnd_Ord_Equity+Fnd_SHL)</f>
        <v>-44028477.8320313</v>
      </c>
      <c r="D8" s="44" t="n">
        <f aca="false">Waterfall!D26+Waterfall!D31+Waterfall!D30</f>
        <v>2713107.44704349</v>
      </c>
      <c r="E8" s="44" t="n">
        <f aca="false">Waterfall!E26+Waterfall!E31+Waterfall!E30</f>
        <v>2713107.44704349</v>
      </c>
      <c r="F8" s="44" t="n">
        <f aca="false">Waterfall!F26+Waterfall!F31+Waterfall!F30</f>
        <v>2713107.44704349</v>
      </c>
      <c r="G8" s="44" t="n">
        <f aca="false">Waterfall!G26+Waterfall!G31+Waterfall!G30</f>
        <v>2713107.44704349</v>
      </c>
      <c r="H8" s="44" t="n">
        <f aca="false">Waterfall!H26+Waterfall!H31+Waterfall!H30</f>
        <v>2713107.44704349</v>
      </c>
      <c r="I8" s="44" t="n">
        <f aca="false">Waterfall!I26+Waterfall!I31+Waterfall!I30</f>
        <v>2713107.44704349</v>
      </c>
      <c r="J8" s="44" t="n">
        <f aca="false">Waterfall!J26+Waterfall!J31+Waterfall!J30</f>
        <v>2713107.44704349</v>
      </c>
      <c r="K8" s="44" t="n">
        <f aca="false">Waterfall!K26+Waterfall!K31+Waterfall!K30</f>
        <v>535636.390939487</v>
      </c>
      <c r="L8" s="44" t="n">
        <f aca="false">Waterfall!L26+Waterfall!L31+Waterfall!L30</f>
        <v>618405.601494225</v>
      </c>
      <c r="M8" s="44" t="n">
        <f aca="false">Waterfall!M26+Waterfall!M31+Waterfall!M30</f>
        <v>703244.042312829</v>
      </c>
      <c r="N8" s="44" t="n">
        <f aca="false">Waterfall!N26+Waterfall!N31+Waterfall!N30</f>
        <v>790203.444151901</v>
      </c>
      <c r="O8" s="44" t="n">
        <f aca="false">Waterfall!O26+Waterfall!O31+Waterfall!O30</f>
        <v>879336.831036944</v>
      </c>
      <c r="P8" s="44" t="n">
        <f aca="false">Waterfall!P26+Waterfall!P31+Waterfall!P30</f>
        <v>970698.55259412</v>
      </c>
      <c r="Q8" s="44" t="n">
        <f aca="false">Waterfall!Q26+Waterfall!Q31+Waterfall!Q30</f>
        <v>1064344.31719022</v>
      </c>
      <c r="R8" s="44" t="n">
        <f aca="false">Waterfall!R26+Waterfall!R31+Waterfall!R30</f>
        <v>1160331.22590123</v>
      </c>
      <c r="S8" s="44" t="n">
        <f aca="false">Waterfall!S26+Waterfall!S31+Waterfall!S30</f>
        <v>1258717.80733001</v>
      </c>
      <c r="T8" s="44" t="n">
        <f aca="false">Waterfall!T26+Waterfall!T31+Waterfall!T30</f>
        <v>1359564.05329451</v>
      </c>
      <c r="U8" s="44" t="n">
        <f aca="false">Waterfall!U26+Waterfall!U31+Waterfall!U30</f>
        <v>1462931.45540812</v>
      </c>
      <c r="V8" s="44" t="n">
        <f aca="false">Waterfall!V26+Waterfall!V31+Waterfall!V30</f>
        <v>1568883.04257457</v>
      </c>
      <c r="W8" s="44" t="n">
        <f aca="false">Waterfall!W26+Waterfall!W31+Waterfall!W30</f>
        <v>1677483.41942019</v>
      </c>
      <c r="X8" s="44" t="n">
        <f aca="false">Waterfall!X26+Waterfall!X31+Waterfall!X30</f>
        <v>31512856.3208483</v>
      </c>
      <c r="Y8" s="44" t="n">
        <f aca="false">Waterfall!Y26+Waterfall!Y31+Waterfall!Y30</f>
        <v>32739991.2029844</v>
      </c>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30" t="s">
        <v>203</v>
      </c>
      <c r="C11" s="14"/>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6" t="s">
        <v>204</v>
      </c>
      <c r="C12" s="60" t="n">
        <f aca="false">IRR(C6:Y6,0.08)</f>
        <v>0.0654573932073561</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9" t="s">
        <v>205</v>
      </c>
      <c r="C13" s="44" t="n">
        <f aca="false">NPV(Discount_Rate,D6:Y6)+C6</f>
        <v>-11601662.0082342</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30" t="s">
        <v>206</v>
      </c>
      <c r="C15" s="14"/>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207</v>
      </c>
      <c r="C16" s="60" t="n">
        <f aca="false">IRR(C8:Y8,0.12)</f>
        <v>0.0515924405872014</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208</v>
      </c>
      <c r="C17" s="61" t="n">
        <f aca="false">C19/C18</f>
        <v>2.20980566732204</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9" t="s">
        <v>209</v>
      </c>
      <c r="C18" s="62" t="n">
        <f aca="false">Fnd_Ord_Equity+Fnd_SHL</f>
        <v>44028477.8320313</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9" t="s">
        <v>210</v>
      </c>
      <c r="C19" s="62" t="n">
        <f aca="false">SUMIF(D8:Y8,"&gt;"&amp;0)</f>
        <v>97294379.8367855</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9" t="s">
        <v>211</v>
      </c>
      <c r="C20" s="63" t="n">
        <f aca="false">MATCH(TRUE(),D7:Y7&gt;0,0)</f>
        <v>21</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0" t="s">
        <v>212</v>
      </c>
      <c r="C21" s="64" t="n">
        <f aca="false">Ops_Years</f>
        <v>22</v>
      </c>
      <c r="D21" s="5"/>
      <c r="E21" s="5"/>
      <c r="F21" s="5"/>
      <c r="G21" s="5"/>
      <c r="H21" s="5"/>
      <c r="I21" s="5"/>
      <c r="J21" s="5"/>
      <c r="K21" s="5"/>
      <c r="L21" s="5"/>
      <c r="M21" s="5"/>
      <c r="N21" s="5"/>
      <c r="O21" s="5"/>
      <c r="P21" s="5"/>
      <c r="Q21" s="5"/>
      <c r="R21" s="5"/>
      <c r="S21" s="5"/>
      <c r="T21" s="5"/>
      <c r="U21" s="5"/>
      <c r="V21" s="5"/>
      <c r="W21" s="5"/>
      <c r="X21" s="5"/>
      <c r="Y21" s="5"/>
      <c r="Z21" s="5"/>
      <c r="AA21" s="5"/>
      <c r="AB21" s="5"/>
      <c r="AC21" s="5"/>
      <c r="AD2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2026-05-15T18:53:21Z</dcterms:created>
  <dc:creator>openpyxl</dc:creator>
  <dc:description/>
  <dc:language>en-GB</dc:language>
  <cp:lastModifiedBy/>
  <dcterms:modified xsi:type="dcterms:W3CDTF">2026-05-15T18:53:23Z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