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eployment" sheetId="3" state="visible" r:id="rId5"/>
    <sheet name="Asset_Cash_Flows" sheetId="4" state="visible" r:id="rId6"/>
    <sheet name="Capital_Calls" sheetId="5" state="visible" r:id="rId7"/>
    <sheet name="NAV" sheetId="6" state="visible" r:id="rId8"/>
    <sheet name="Waterfall" sheetId="7" state="visible" r:id="rId9"/>
    <sheet name="GP_Economics" sheetId="8" state="visible" r:id="rId10"/>
    <sheet name="Returns" sheetId="9" state="visible" r:id="rId11"/>
    <sheet name="Checks" sheetId="10" state="visible" r:id="rId12"/>
    <sheet name="Disclaimer" sheetId="11" state="visible" r:id="rId13"/>
  </sheets>
  <definedNames>
    <definedName function="false" hidden="false" name="Carry_Rate" vbProcedure="false">Assumptions!$C$18</definedName>
    <definedName function="false" hidden="false" name="CC_Fund_Size_Check" vbProcedure="false">Capital_Calls!$C$11</definedName>
    <definedName function="false" hidden="false" name="CC_LP_Call_Y1" vbProcedure="false">Capital_Calls!$C$14</definedName>
    <definedName function="false" hidden="false" name="CC_LP_Call_Y10" vbProcedure="false">Capital_Calls!$L$14</definedName>
    <definedName function="false" hidden="false" name="CC_LP_Call_Y11" vbProcedure="false">Capital_Calls!$M$14</definedName>
    <definedName function="false" hidden="false" name="CC_LP_Call_Y12" vbProcedure="false">Capital_Calls!$N$14</definedName>
    <definedName function="false" hidden="false" name="CC_LP_Call_Y2" vbProcedure="false">Capital_Calls!$D$14</definedName>
    <definedName function="false" hidden="false" name="CC_LP_Call_Y3" vbProcedure="false">Capital_Calls!$E$14</definedName>
    <definedName function="false" hidden="false" name="CC_LP_Call_Y4" vbProcedure="false">Capital_Calls!$F$14</definedName>
    <definedName function="false" hidden="false" name="CC_LP_Call_Y5" vbProcedure="false">Capital_Calls!$G$14</definedName>
    <definedName function="false" hidden="false" name="CC_LP_Call_Y6" vbProcedure="false">Capital_Calls!$H$14</definedName>
    <definedName function="false" hidden="false" name="CC_LP_Call_Y7" vbProcedure="false">Capital_Calls!$I$14</definedName>
    <definedName function="false" hidden="false" name="CC_LP_Call_Y8" vbProcedure="false">Capital_Calls!$J$14</definedName>
    <definedName function="false" hidden="false" name="CC_LP_Call_Y9" vbProcedure="false">Capital_Calls!$K$14</definedName>
    <definedName function="false" hidden="false" name="CC_LP_Cumul_Y1" vbProcedure="false">Capital_Calls!$C$15</definedName>
    <definedName function="false" hidden="false" name="CC_LP_Cumul_Y10" vbProcedure="false">Capital_Calls!$L$15</definedName>
    <definedName function="false" hidden="false" name="CC_LP_Cumul_Y11" vbProcedure="false">Capital_Calls!$M$15</definedName>
    <definedName function="false" hidden="false" name="CC_LP_Cumul_Y12" vbProcedure="false">Capital_Calls!$N$15</definedName>
    <definedName function="false" hidden="false" name="CC_LP_Cumul_Y2" vbProcedure="false">Capital_Calls!$D$15</definedName>
    <definedName function="false" hidden="false" name="CC_LP_Cumul_Y3" vbProcedure="false">Capital_Calls!$E$15</definedName>
    <definedName function="false" hidden="false" name="CC_LP_Cumul_Y4" vbProcedure="false">Capital_Calls!$F$15</definedName>
    <definedName function="false" hidden="false" name="CC_LP_Cumul_Y5" vbProcedure="false">Capital_Calls!$G$15</definedName>
    <definedName function="false" hidden="false" name="CC_LP_Cumul_Y6" vbProcedure="false">Capital_Calls!$H$15</definedName>
    <definedName function="false" hidden="false" name="CC_LP_Cumul_Y7" vbProcedure="false">Capital_Calls!$I$15</definedName>
    <definedName function="false" hidden="false" name="CC_LP_Cumul_Y8" vbProcedure="false">Capital_Calls!$J$15</definedName>
    <definedName function="false" hidden="false" name="CC_LP_Cumul_Y9" vbProcedure="false">Capital_Calls!$K$15</definedName>
    <definedName function="false" hidden="false" name="Dep_Pct_V1" vbProcedure="false">Assumptions!$C$27</definedName>
    <definedName function="false" hidden="false" name="Dep_Pct_V2" vbProcedure="false">Assumptions!$C$28</definedName>
    <definedName function="false" hidden="false" name="Dep_Pct_V3" vbProcedure="false">Assumptions!$C$29</definedName>
    <definedName function="false" hidden="false" name="Dep_Pct_V4" vbProcedure="false">Assumptions!$C$30</definedName>
    <definedName function="false" hidden="false" name="Dep_Pct_V5" vbProcedure="false">Assumptions!$C$31</definedName>
    <definedName function="false" hidden="false" name="DEP_V1_Y1" vbProcedure="false">Deployment!$C$5</definedName>
    <definedName function="false" hidden="false" name="DEP_V2_Y2" vbProcedure="false">Deployment!$D$6</definedName>
    <definedName function="false" hidden="false" name="DEP_V3_Y3" vbProcedure="false">Deployment!$E$7</definedName>
    <definedName function="false" hidden="false" name="DEP_V4_Y4" vbProcedure="false">Deployment!$F$8</definedName>
    <definedName function="false" hidden="false" name="DEP_V5_Y5" vbProcedure="false">Deployment!$G$9</definedName>
    <definedName function="false" hidden="false" name="Discount_Rate" vbProcedure="false">Assumptions!$C$23</definedName>
    <definedName function="false" hidden="false" name="Exit_MOIC" vbProcedure="false">Assumptions!$C$20</definedName>
    <definedName function="false" hidden="false" name="EXIT_TOTAL_Y10" vbProcedure="false">Deployment!$L$26</definedName>
    <definedName function="false" hidden="false" name="EXIT_TOTAL_Y8" vbProcedure="false">Deployment!$J$26</definedName>
    <definedName function="false" hidden="false" name="EXIT_TOTAL_Y9" vbProcedure="false">Deployment!$K$26</definedName>
    <definedName function="false" hidden="false" name="Fund_Exp_Rate" vbProcedure="false">Assumptions!$C$11</definedName>
    <definedName function="false" hidden="false" name="Fund_Size" vbProcedure="false">Assumptions!$C$7</definedName>
    <definedName function="false" hidden="false" name="GP_Coinvest_Pct" vbProcedure="false">Assumptions!$C$8</definedName>
    <definedName function="false" hidden="false" name="Hold_V1" vbProcedure="false">Assumptions!$C$35</definedName>
    <definedName function="false" hidden="false" name="Hold_V2" vbProcedure="false">Assumptions!$C$36</definedName>
    <definedName function="false" hidden="false" name="Hold_V3" vbProcedure="false">Assumptions!$C$37</definedName>
    <definedName function="false" hidden="false" name="Hold_V4" vbProcedure="false">Assumptions!$C$38</definedName>
    <definedName function="false" hidden="false" name="Hold_V5" vbProcedure="false">Assumptions!$C$39</definedName>
    <definedName function="false" hidden="false" name="Hurdle_Rate" vbProcedure="false">Assumptions!$C$17</definedName>
    <definedName function="false" hidden="false" name="Mgmt_Fee_Rate_Harv" vbProcedure="false">Assumptions!$C$10</definedName>
    <definedName function="false" hidden="false" name="Mgmt_Fee_Rate_Inv" vbProcedure="false">Assumptions!$C$9</definedName>
    <definedName function="false" hidden="false" name="NAV_Close_Y1" vbProcedure="false">NAV!$C$9</definedName>
    <definedName function="false" hidden="false" name="NAV_Close_Y10" vbProcedure="false">NAV!$L$9</definedName>
    <definedName function="false" hidden="false" name="NAV_Close_Y11" vbProcedure="false">NAV!$M$9</definedName>
    <definedName function="false" hidden="false" name="NAV_Close_Y12" vbProcedure="false">NAV!$N$9</definedName>
    <definedName function="false" hidden="false" name="NAV_Close_Y2" vbProcedure="false">NAV!$D$9</definedName>
    <definedName function="false" hidden="false" name="NAV_Close_Y3" vbProcedure="false">NAV!$E$9</definedName>
    <definedName function="false" hidden="false" name="NAV_Close_Y4" vbProcedure="false">NAV!$F$9</definedName>
    <definedName function="false" hidden="false" name="NAV_Close_Y5" vbProcedure="false">NAV!$G$9</definedName>
    <definedName function="false" hidden="false" name="NAV_Close_Y6" vbProcedure="false">NAV!$H$9</definedName>
    <definedName function="false" hidden="false" name="NAV_Close_Y7" vbProcedure="false">NAV!$I$9</definedName>
    <definedName function="false" hidden="false" name="NAV_Close_Y8" vbProcedure="false">NAV!$J$9</definedName>
    <definedName function="false" hidden="false" name="NAV_Close_Y9" vbProcedure="false">NAV!$K$9</definedName>
    <definedName function="false" hidden="false" name="Org_Cost_Rate" vbProcedure="false">Assumptions!$C$12</definedName>
    <definedName function="false" hidden="false" name="WF_GP_Carry_Y1" vbProcedure="false">Waterfall!$C$34</definedName>
    <definedName function="false" hidden="false" name="WF_GP_Carry_Y10" vbProcedure="false">Waterfall!$L$34</definedName>
    <definedName function="false" hidden="false" name="WF_GP_Carry_Y11" vbProcedure="false">Waterfall!$M$34</definedName>
    <definedName function="false" hidden="false" name="WF_GP_Carry_Y12" vbProcedure="false">Waterfall!$N$34</definedName>
    <definedName function="false" hidden="false" name="WF_GP_Carry_Y2" vbProcedure="false">Waterfall!$D$34</definedName>
    <definedName function="false" hidden="false" name="WF_GP_Carry_Y3" vbProcedure="false">Waterfall!$E$34</definedName>
    <definedName function="false" hidden="false" name="WF_GP_Carry_Y4" vbProcedure="false">Waterfall!$F$34</definedName>
    <definedName function="false" hidden="false" name="WF_GP_Carry_Y5" vbProcedure="false">Waterfall!$G$34</definedName>
    <definedName function="false" hidden="false" name="WF_GP_Carry_Y6" vbProcedure="false">Waterfall!$H$34</definedName>
    <definedName function="false" hidden="false" name="WF_GP_Carry_Y7" vbProcedure="false">Waterfall!$I$34</definedName>
    <definedName function="false" hidden="false" name="WF_GP_Carry_Y8" vbProcedure="false">Waterfall!$J$34</definedName>
    <definedName function="false" hidden="false" name="WF_GP_Carry_Y9" vbProcedure="false">Waterfall!$K$34</definedName>
    <definedName function="false" hidden="false" name="WF_LP_Cumul_Y1" vbProcedure="false">Waterfall!$C$35</definedName>
    <definedName function="false" hidden="false" name="WF_LP_Cumul_Y10" vbProcedure="false">Waterfall!$L$35</definedName>
    <definedName function="false" hidden="false" name="WF_LP_Cumul_Y11" vbProcedure="false">Waterfall!$M$35</definedName>
    <definedName function="false" hidden="false" name="WF_LP_Cumul_Y12" vbProcedure="false">Waterfall!$N$35</definedName>
    <definedName function="false" hidden="false" name="WF_LP_Cumul_Y2" vbProcedure="false">Waterfall!$D$35</definedName>
    <definedName function="false" hidden="false" name="WF_LP_Cumul_Y3" vbProcedure="false">Waterfall!$E$35</definedName>
    <definedName function="false" hidden="false" name="WF_LP_Cumul_Y4" vbProcedure="false">Waterfall!$F$35</definedName>
    <definedName function="false" hidden="false" name="WF_LP_Cumul_Y5" vbProcedure="false">Waterfall!$G$35</definedName>
    <definedName function="false" hidden="false" name="WF_LP_Cumul_Y6" vbProcedure="false">Waterfall!$H$35</definedName>
    <definedName function="false" hidden="false" name="WF_LP_Cumul_Y7" vbProcedure="false">Waterfall!$I$35</definedName>
    <definedName function="false" hidden="false" name="WF_LP_Cumul_Y8" vbProcedure="false">Waterfall!$J$35</definedName>
    <definedName function="false" hidden="false" name="WF_LP_Cumul_Y9" vbProcedure="false">Waterfall!$K$35</definedName>
    <definedName function="false" hidden="false" name="WF_LP_Dist_Y1" vbProcedure="false">Waterfall!$C$33</definedName>
    <definedName function="false" hidden="false" name="WF_LP_Dist_Y10" vbProcedure="false">Waterfall!$L$33</definedName>
    <definedName function="false" hidden="false" name="WF_LP_Dist_Y11" vbProcedure="false">Waterfall!$M$33</definedName>
    <definedName function="false" hidden="false" name="WF_LP_Dist_Y12" vbProcedure="false">Waterfall!$N$33</definedName>
    <definedName function="false" hidden="false" name="WF_LP_Dist_Y2" vbProcedure="false">Waterfall!$D$33</definedName>
    <definedName function="false" hidden="false" name="WF_LP_Dist_Y3" vbProcedure="false">Waterfall!$E$33</definedName>
    <definedName function="false" hidden="false" name="WF_LP_Dist_Y4" vbProcedure="false">Waterfall!$F$33</definedName>
    <definedName function="false" hidden="false" name="WF_LP_Dist_Y5" vbProcedure="false">Waterfall!$G$33</definedName>
    <definedName function="false" hidden="false" name="WF_LP_Dist_Y6" vbProcedure="false">Waterfall!$H$33</definedName>
    <definedName function="false" hidden="false" name="WF_LP_Dist_Y7" vbProcedure="false">Waterfall!$I$33</definedName>
    <definedName function="false" hidden="false" name="WF_LP_Dist_Y8" vbProcedure="false">Waterfall!$J$33</definedName>
    <definedName function="false" hidden="false" name="WF_LP_Dist_Y9" vbProcedure="false">Waterfall!$K$33</definedName>
    <definedName function="false" hidden="false" name="WF_Net_Avail_Y1" vbProcedure="false">Waterfall!$C$10</definedName>
    <definedName function="false" hidden="false" name="WF_Net_Avail_Y10" vbProcedure="false">Waterfall!$L$10</definedName>
    <definedName function="false" hidden="false" name="WF_Net_Avail_Y11" vbProcedure="false">Waterfall!$M$10</definedName>
    <definedName function="false" hidden="false" name="WF_Net_Avail_Y12" vbProcedure="false">Waterfall!$N$10</definedName>
    <definedName function="false" hidden="false" name="WF_Net_Avail_Y2" vbProcedure="false">Waterfall!$D$10</definedName>
    <definedName function="false" hidden="false" name="WF_Net_Avail_Y3" vbProcedure="false">Waterfall!$E$10</definedName>
    <definedName function="false" hidden="false" name="WF_Net_Avail_Y4" vbProcedure="false">Waterfall!$F$10</definedName>
    <definedName function="false" hidden="false" name="WF_Net_Avail_Y5" vbProcedure="false">Waterfall!$G$10</definedName>
    <definedName function="false" hidden="false" name="WF_Net_Avail_Y6" vbProcedure="false">Waterfall!$H$10</definedName>
    <definedName function="false" hidden="false" name="WF_Net_Avail_Y7" vbProcedure="false">Waterfall!$I$10</definedName>
    <definedName function="false" hidden="false" name="WF_Net_Avail_Y8" vbProcedure="false">Waterfall!$J$10</definedName>
    <definedName function="false" hidden="false" name="WF_Net_Avail_Y9" vbProcedure="false">Waterfall!$K$10</definedName>
    <definedName function="false" hidden="false" name="Yield_Growth" vbProcedure="false">Assumptions!$C$22</definedName>
    <definedName function="false" hidden="false" name="Yield_Ramp_Yr1" vbProcedure="false">Assumptions!$C$43</definedName>
    <definedName function="false" hidden="false" name="Yield_Ramp_Yr2" vbProcedure="false">Assumptions!$C$44</definedName>
    <definedName function="false" hidden="false" name="Yield_Stabilised" vbProcedure="false">Assumptions!$C$21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<sst xmlns="http://schemas.openxmlformats.org/spreadsheetml/2006/main" count="255" uniqueCount="228">
  <si>
    <t xml:space="preserve">Infrastructure Fund Model</t>
  </si>
  <si>
    <t xml:space="preserve">FINAMODEL.com</t>
  </si>
  <si>
    <t xml:space="preserve">Closed-End Fund · European Waterfall · 12-Year Projection</t>
  </si>
  <si>
    <t xml:space="preserve">Fund Size:</t>
  </si>
  <si>
    <t xml:space="preserve">GP Commitment:</t>
  </si>
  <si>
    <t xml:space="preserve">Hurdle Rate:</t>
  </si>
  <si>
    <t xml:space="preserve">Carry Rate:</t>
  </si>
  <si>
    <t xml:space="preserve">Sign Convention: Capital calls NEGATIVE from LP perspective. Distributions POSITIVE.</t>
  </si>
  <si>
    <t xml:space="preserve">Model date:</t>
  </si>
  <si>
    <t xml:space="preserve">About this model</t>
  </si>
  <si>
    <t xml:space="preserve">This fund-of-funds model projects cash flows and returns for a closed-end infrastructure fund (Â£2 billion size, 10-year investment period + 2-year harvest) by forecasting asset deployment, operating yields, exit proceeds, and calculating LP and GP returns under a whole-fund waterfall. Answer: what net IRR (10â12%), net MOIC (1.7â2.0x), and distributed income will LPs achieve after management fees and GP carried interest?
The workbook tracks five deployment vintages (Years 1â5, Â£500MâÂ£200M each), applies ramp-up yield factors (40â60% of stabilised rate in Years 1â2 of asset operation, 100% by Year 3), and assumes Â£1.85x exit MOIC on cost basis at vintage hold-period exit (typically 5â7 years). Management fees: 1.5% p.a. on committed capital (investment period), 1.25% on outstanding invested capital (harvest period). Fund expenses: 0.20% p.a. + Â£10M one-time org costs Year 1. Returns computed via whole-fund waterfall: return of capital (100% LP), preferred return (8% compound hurdle tranche-weighted), GP catch-up (100% to GP until GP receives 20% of total profits), residual (80% LP / 20% GP).
Used by LPs (pension funds, sovereign wealth, family offices) evaluating infrastructure fund commitments, GPs structuring new vehicles (Brookfield Infrastructure, Macquarie, Global Infrastructure Partners, KKR Infrastructure), and secondaries investors acquiring LP stakes. The model reveals fee drag impact: gross IRR 12â15% becomes net 10â12% after 1.5% management fee + 0.2% expenses over 10-year investment period. Lumpy realisation schedule (bunched exits in Years 8â10) creates J-curve: negative cash flow Years 1â6, large distributions Years 7â10. Benchmarks: infrastructure yields 5â9% p.a. on equity (lower than PE/VC 15â25%), compensated by lower risk, inflation linkage, and long duration matching liability profiles.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</si>
  <si>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</si>
  <si>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</si>
  <si>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</si>
  <si>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</si>
  <si>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</si>
  <si>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All model inputs — blue cells are editable</t>
  </si>
  <si>
    <t xml:space="preserve">Parameter</t>
  </si>
  <si>
    <t xml:space="preserve">Value</t>
  </si>
  <si>
    <t xml:space="preserve">Unit</t>
  </si>
  <si>
    <t xml:space="preserve">Notes</t>
  </si>
  <si>
    <t xml:space="preserve">Fund Economics</t>
  </si>
  <si>
    <t xml:space="preserve">Fund Size</t>
  </si>
  <si>
    <t xml:space="preserve">$ thousands</t>
  </si>
  <si>
    <t xml:space="preserve">Total committed capital</t>
  </si>
  <si>
    <t xml:space="preserve">GP Commitment %</t>
  </si>
  <si>
    <t xml:space="preserve">%</t>
  </si>
  <si>
    <t xml:space="preserve">GP commitment as % of Fund_Size</t>
  </si>
  <si>
    <t xml:space="preserve">Mgmt Fee (Inv. Period)</t>
  </si>
  <si>
    <t xml:space="preserve">% pa</t>
  </si>
  <si>
    <t xml:space="preserve">On committed capital, Years 1-5</t>
  </si>
  <si>
    <t xml:space="preserve">Mgmt Fee (Harvest Period)</t>
  </si>
  <si>
    <t xml:space="preserve">On invested capital, Years 6-12</t>
  </si>
  <si>
    <t xml:space="preserve">Fund Expenses</t>
  </si>
  <si>
    <t xml:space="preserve">Annual expenses on Fund_Size</t>
  </si>
  <si>
    <t xml:space="preserve">Organisational Costs</t>
  </si>
  <si>
    <t xml:space="preserve">Year 1 only, on Fund_Size</t>
  </si>
  <si>
    <t xml:space="preserve">Investment Period (Years)</t>
  </si>
  <si>
    <t xml:space="preserve">yrs</t>
  </si>
  <si>
    <t xml:space="preserve">Last year of new investments</t>
  </si>
  <si>
    <t xml:space="preserve">Waterfall Terms</t>
  </si>
  <si>
    <t xml:space="preserve">Hurdle Rate (Preferred Return)</t>
  </si>
  <si>
    <t xml:space="preserve">Compound annual preferred return</t>
  </si>
  <si>
    <t xml:space="preserve">Carried Interest Rate</t>
  </si>
  <si>
    <t xml:space="preserve">GP carried interest</t>
  </si>
  <si>
    <t xml:space="preserve">Catch-Up Rate</t>
  </si>
  <si>
    <t xml:space="preserve">100% = full catch-up</t>
  </si>
  <si>
    <t xml:space="preserve">Exit MOIC (Gross)</t>
  </si>
  <si>
    <t xml:space="preserve">x</t>
  </si>
  <si>
    <t xml:space="preserve">Gross exit multiple on invested equity</t>
  </si>
  <si>
    <t xml:space="preserve">Stabilised Yield</t>
  </si>
  <si>
    <t xml:space="preserve">Blended operating yield on equity</t>
  </si>
  <si>
    <t xml:space="preserve">Yield Growth Rate</t>
  </si>
  <si>
    <t xml:space="preserve">Annual yield escalation (CPI)</t>
  </si>
  <si>
    <t xml:space="preserve">Discount Rate (NPV)</t>
  </si>
  <si>
    <t xml:space="preserve">LP hurdle for NPV calculation</t>
  </si>
  <si>
    <t xml:space="preserve">Deployment Pacing (% of Fund_Size)</t>
  </si>
  <si>
    <t xml:space="preserve">V1 Deployment %</t>
  </si>
  <si>
    <t xml:space="preserve">Year 1</t>
  </si>
  <si>
    <t xml:space="preserve">V2 Deployment %</t>
  </si>
  <si>
    <t xml:space="preserve">Year 2</t>
  </si>
  <si>
    <t xml:space="preserve">V3 Deployment %</t>
  </si>
  <si>
    <t xml:space="preserve">Year 3</t>
  </si>
  <si>
    <t xml:space="preserve">V4 Deployment %</t>
  </si>
  <si>
    <t xml:space="preserve">Year 4</t>
  </si>
  <si>
    <t xml:space="preserve">V5 Deployment %</t>
  </si>
  <si>
    <t xml:space="preserve">Year 5</t>
  </si>
  <si>
    <t xml:space="preserve">Hold Periods by Vintage</t>
  </si>
  <si>
    <t xml:space="preserve">V1 Hold Period</t>
  </si>
  <si>
    <t xml:space="preserve">Deploys Y1, exits Y8</t>
  </si>
  <si>
    <t xml:space="preserve">V2 Hold Period</t>
  </si>
  <si>
    <t xml:space="preserve">Deploys Y2, exits Y9</t>
  </si>
  <si>
    <t xml:space="preserve">V3 Hold Period</t>
  </si>
  <si>
    <t xml:space="preserve">Deploys Y3, exits Y10</t>
  </si>
  <si>
    <t xml:space="preserve">V4 Hold Period</t>
  </si>
  <si>
    <t xml:space="preserve">Deploys Y4, exits Y10</t>
  </si>
  <si>
    <t xml:space="preserve">V5 Hold Period</t>
  </si>
  <si>
    <t xml:space="preserve">Deploys Y5, exits Y10</t>
  </si>
  <si>
    <t xml:space="preserve">Yield Ramp Factors</t>
  </si>
  <si>
    <t xml:space="preserve">Yield Ramp Year 1</t>
  </si>
  <si>
    <t xml:space="preserve">50% of stabilised in Year 1 of operations</t>
  </si>
  <si>
    <t xml:space="preserve">Yield Ramp Year 2</t>
  </si>
  <si>
    <t xml:space="preserve">75% of stabilised in Year 2 of operations</t>
  </si>
  <si>
    <t xml:space="preserve">Deployment</t>
  </si>
  <si>
    <t xml:space="preserve">Capital deployed, cost basis, exit proceeds by vintage</t>
  </si>
  <si>
    <t xml:space="preserve">V1 Deployed</t>
  </si>
  <si>
    <t xml:space="preserve">V2 Deployed</t>
  </si>
  <si>
    <t xml:space="preserve">V3 Deployed</t>
  </si>
  <si>
    <t xml:space="preserve">V4 Deployed</t>
  </si>
  <si>
    <t xml:space="preserve">V5 Deployed</t>
  </si>
  <si>
    <t xml:space="preserve">Total Deployed</t>
  </si>
  <si>
    <t xml:space="preserve">Section A — Gross Capital Deployed</t>
  </si>
  <si>
    <t xml:space="preserve">V1 Cost Basis</t>
  </si>
  <si>
    <t xml:space="preserve">V2 Cost Basis</t>
  </si>
  <si>
    <t xml:space="preserve">V3 Cost Basis</t>
  </si>
  <si>
    <t xml:space="preserve">V4 Cost Basis</t>
  </si>
  <si>
    <t xml:space="preserve">V5 Cost Basis</t>
  </si>
  <si>
    <t xml:space="preserve">Total Cost Basis</t>
  </si>
  <si>
    <t xml:space="preserve">Section B — Cost Basis Outstanding</t>
  </si>
  <si>
    <t xml:space="preserve">V1 Exit Proceeds</t>
  </si>
  <si>
    <t xml:space="preserve">V2 Exit Proceeds</t>
  </si>
  <si>
    <t xml:space="preserve">V3 Exit Proceeds</t>
  </si>
  <si>
    <t xml:space="preserve">V4 Exit Proceeds</t>
  </si>
  <si>
    <t xml:space="preserve">V5 Exit Proceeds</t>
  </si>
  <si>
    <t xml:space="preserve">Total Exit Proceeds</t>
  </si>
  <si>
    <t xml:space="preserve">Section C — Exit Proceeds</t>
  </si>
  <si>
    <t xml:space="preserve">V1 Realised Gain</t>
  </si>
  <si>
    <t xml:space="preserve">V2 Realised Gain</t>
  </si>
  <si>
    <t xml:space="preserve">V3 Realised Gain</t>
  </si>
  <si>
    <t xml:space="preserve">V4 Realised Gain</t>
  </si>
  <si>
    <t xml:space="preserve">V5 Realised Gain</t>
  </si>
  <si>
    <t xml:space="preserve">Total Realised Gain</t>
  </si>
  <si>
    <t xml:space="preserve">Section D — Realised Gain</t>
  </si>
  <si>
    <t xml:space="preserve">Asset Cash Flows</t>
  </si>
  <si>
    <t xml:space="preserve">Operating cash yield by vintage, applying ramp-in and CPI growth</t>
  </si>
  <si>
    <t xml:space="preserve">Year</t>
  </si>
  <si>
    <t xml:space="preserve">V1 Asset Yield</t>
  </si>
  <si>
    <t xml:space="preserve">V2 Asset Yield</t>
  </si>
  <si>
    <t xml:space="preserve">V3 Asset Yield</t>
  </si>
  <si>
    <t xml:space="preserve">V4 Asset Yield</t>
  </si>
  <si>
    <t xml:space="preserve">V5 Asset Yield</t>
  </si>
  <si>
    <t xml:space="preserve">Total Asset Yield</t>
  </si>
  <si>
    <t xml:space="preserve">Capital Calls</t>
  </si>
  <si>
    <t xml:space="preserve">Drawdowns with hard cap; GP and LP split</t>
  </si>
  <si>
    <t xml:space="preserve">Mgmt Fee</t>
  </si>
  <si>
    <t xml:space="preserve">Investment Need</t>
  </si>
  <si>
    <t xml:space="preserve">Gross Call Target</t>
  </si>
  <si>
    <t xml:space="preserve">Uncalled Capital</t>
  </si>
  <si>
    <t xml:space="preserve">Actual Call (Total)</t>
  </si>
  <si>
    <t xml:space="preserve">Cumulative Called</t>
  </si>
  <si>
    <t xml:space="preserve">GP / LP Split</t>
  </si>
  <si>
    <t xml:space="preserve">GP Capital Call</t>
  </si>
  <si>
    <t xml:space="preserve">LP Capital Call</t>
  </si>
  <si>
    <t xml:space="preserve">LP Cumulative Called</t>
  </si>
  <si>
    <t xml:space="preserve">GP Cumulative Called</t>
  </si>
  <si>
    <t xml:space="preserve">NAV Roll-Forward</t>
  </si>
  <si>
    <t xml:space="preserve">Net Asset Value: direct fair value of active vintages; appreciation is the roll-forward plug</t>
  </si>
  <si>
    <t xml:space="preserve">Opening NAV</t>
  </si>
  <si>
    <t xml:space="preserve">Deployments (at cost)</t>
  </si>
  <si>
    <t xml:space="preserve">Realisations at Fair Value</t>
  </si>
  <si>
    <t xml:space="preserve">Unrealised Appreciation (plug)</t>
  </si>
  <si>
    <t xml:space="preserve">Closing NAV (direct fair value)</t>
  </si>
  <si>
    <t xml:space="preserve">Waterfall</t>
  </si>
  <si>
    <t xml:space="preserve">European whole-fund: RoC → Preferred Return → Catch-Up → Residual 80/20</t>
  </si>
  <si>
    <t xml:space="preserve">Asset Yield</t>
  </si>
  <si>
    <t xml:space="preserve">Exit Proceeds</t>
  </si>
  <si>
    <t xml:space="preserve">Gross Distributions</t>
  </si>
  <si>
    <t xml:space="preserve">Less: Mgmt Fee</t>
  </si>
  <si>
    <t xml:space="preserve">Less: Fund Expenses</t>
  </si>
  <si>
    <t xml:space="preserve">Net Dist Available</t>
  </si>
  <si>
    <t xml:space="preserve">Cumul Net Dist Available</t>
  </si>
  <si>
    <t xml:space="preserve">Tier 1 — Return of Capital</t>
  </si>
  <si>
    <t xml:space="preserve">T1 Threshold (LP Cumul Called)</t>
  </si>
  <si>
    <t xml:space="preserve">T1 Cum Allocated</t>
  </si>
  <si>
    <t xml:space="preserve">T1 Periodic (RoC)</t>
  </si>
  <si>
    <t xml:space="preserve">Tier 2 — Preferred Return (Tranche-Weighted Compound Hurdle)</t>
  </si>
  <si>
    <t xml:space="preserve">T2 Threshold (Tranche-Weighted Pref)</t>
  </si>
  <si>
    <t xml:space="preserve">T2 Cum Allocated</t>
  </si>
  <si>
    <t xml:space="preserve">T2 Periodic (Pref Return)</t>
  </si>
  <si>
    <t xml:space="preserve">Tier 3 — GP Catch-Up</t>
  </si>
  <si>
    <t xml:space="preserve">T3 Threshold (Catch-Up)</t>
  </si>
  <si>
    <t xml:space="preserve">T3 Cum Allocated</t>
  </si>
  <si>
    <t xml:space="preserve">T3 Periodic (Catch-Up)</t>
  </si>
  <si>
    <t xml:space="preserve">Tier 4 — Residual 80/20 Split</t>
  </si>
  <si>
    <t xml:space="preserve">T4 Cum Allocated (Residual)</t>
  </si>
  <si>
    <t xml:space="preserve">T4 Periodic (Residual)</t>
  </si>
  <si>
    <t xml:space="preserve">LP and GP Totals</t>
  </si>
  <si>
    <t xml:space="preserve">LP Distributions</t>
  </si>
  <si>
    <t xml:space="preserve">GP Carry (Waterfall)</t>
  </si>
  <si>
    <t xml:space="preserve">LP Cumul Distributions</t>
  </si>
  <si>
    <t xml:space="preserve">GP Cumul Carry</t>
  </si>
  <si>
    <t xml:space="preserve">GP Economics</t>
  </si>
  <si>
    <t xml:space="preserve">Management fees, carried interest, GP co-invest return</t>
  </si>
  <si>
    <t xml:space="preserve">Mgmt Fee Income</t>
  </si>
  <si>
    <t xml:space="preserve">Carried Interest</t>
  </si>
  <si>
    <t xml:space="preserve">GP Co-Invest Call</t>
  </si>
  <si>
    <t xml:space="preserve">GP Co-Invest Dist</t>
  </si>
  <si>
    <t xml:space="preserve">GP Co-Invest Net</t>
  </si>
  <si>
    <t xml:space="preserve">GP Summary</t>
  </si>
  <si>
    <t xml:space="preserve">GP Total Income</t>
  </si>
  <si>
    <t xml:space="preserve">GP Net Cash Flow</t>
  </si>
  <si>
    <t xml:space="preserve">Returns</t>
  </si>
  <si>
    <t xml:space="preserve">LP IRR, NPV, MOIC, DPI, RVPI, TVPI; Gross IRR; J-curve</t>
  </si>
  <si>
    <t xml:space="preserve">LP Net Cash Flow</t>
  </si>
  <si>
    <t xml:space="preserve">LP Cumul Net CF</t>
  </si>
  <si>
    <t xml:space="preserve">LP Performance Metrics (single-cell, column C)</t>
  </si>
  <si>
    <t xml:space="preserve">LP Net IRR</t>
  </si>
  <si>
    <t xml:space="preserve">LP NPV</t>
  </si>
  <si>
    <t xml:space="preserve">LP Net MOIC</t>
  </si>
  <si>
    <t xml:space="preserve">Gross IRR</t>
  </si>
  <si>
    <t xml:space="preserve">Gross MOIC</t>
  </si>
  <si>
    <t xml:space="preserve">Fund Gross CF</t>
  </si>
  <si>
    <t xml:space="preserve">Per-Period Metrics</t>
  </si>
  <si>
    <t xml:space="preserve">DPI</t>
  </si>
  <si>
    <t xml:space="preserve">RVPI</t>
  </si>
  <si>
    <t xml:space="preserve">TVPI</t>
  </si>
  <si>
    <t xml:space="preserve">Model Checks</t>
  </si>
  <si>
    <t xml:space="preserve">9 non-tautological validation checks — all must PASS</t>
  </si>
  <si>
    <t xml:space="preserve">Check</t>
  </si>
  <si>
    <t xml:space="preserve">Result</t>
  </si>
  <si>
    <t xml:space="preserve">Status</t>
  </si>
  <si>
    <t xml:space="preserve">Calls &lt;= Fund Size</t>
  </si>
  <si>
    <t xml:space="preserve">LP Dist + GP Carry = Positive Net Cash Available</t>
  </si>
  <si>
    <t xml:space="preserve">Closing NAV &gt;= 0 all years</t>
  </si>
  <si>
    <t xml:space="preserve">IRR stream has sign change</t>
  </si>
  <si>
    <t xml:space="preserve">TVPI = DPI + RVPI (Year 12)</t>
  </si>
  <si>
    <t xml:space="preserve">Net IRR &lt; Gross IRR</t>
  </si>
  <si>
    <t xml:space="preserve">T2 pref met before T3 catch-up activates</t>
  </si>
  <si>
    <t xml:space="preserve">Waterfall yield = Asset cash flows (reconciliation)</t>
  </si>
  <si>
    <t xml:space="preserve">GP Co-Invest Y1 &lt;= LP Dist Y1 (no over-attribution)</t>
  </si>
  <si>
    <t xml:space="preserve">All Checks Pass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</si>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</sst>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dd\ mmm\ yyyy"/>
    <numFmt numFmtId="168" formatCode="0"/>
    <numFmt numFmtId="169" formatCode="0.00\x"/>
  </numFmts>
  <fonts count="25">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name val="Arial"/>
      <family val="0"/>
      <charset val="1"/>
    </font>
    <font>
      <i val="true"/>
      <sz val="10"/>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0"/>
      <color theme="3"/>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rgb="FFFFF2CC"/>
        <bgColor rgb="FFFCE4D6"/>
      </patternFill>
    </fill>
    <fill>
      <patternFill patternType="solid">
        <fgColor theme="3" tint="0.8"/>
        <bgColor rgb="FFD6E4F0"/>
      </patternFill>
    </fill>
    <fill>
      <patternFill patternType="solid">
        <fgColor rgb="FF1F4E79"/>
        <bgColor rgb="FF1F497D"/>
      </patternFill>
    </fill>
    <fill>
      <patternFill patternType="solid">
        <fgColor rgb="FFF2F2F2"/>
        <bgColor rgb="FFFFFFFF"/>
      </patternFill>
    </fill>
  </fills>
  <borders count="3">
    <border diagonalUp="false" diagonalDown="false">
      <left/>
      <right/>
      <top/>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5" fontId="19" fillId="4" borderId="0" xfId="0" applyFont="true" applyBorder="false" applyAlignment="true" applyProtection="false">
      <alignment horizontal="right" vertical="center" textRotation="0" wrapText="false" indent="0" shrinkToFit="false"/>
      <protection locked="true" hidden="false"/>
    </xf>
    <xf numFmtId="166" fontId="19" fillId="4" borderId="0" xfId="0" applyFont="true" applyBorder="false" applyAlignment="true" applyProtection="false">
      <alignment horizontal="right" vertical="center" textRotation="0" wrapText="false" indent="0" shrinkToFit="false"/>
      <protection locked="true" hidden="false"/>
    </xf>
    <xf numFmtId="168" fontId="19" fillId="4" borderId="0" xfId="0" applyFont="true" applyBorder="false" applyAlignment="true" applyProtection="false">
      <alignment horizontal="right" vertical="center" textRotation="0" wrapText="false" indent="0" shrinkToFit="false"/>
      <protection locked="true" hidden="false"/>
    </xf>
    <xf numFmtId="169" fontId="19" fillId="4" borderId="0" xfId="0" applyFont="true" applyBorder="false" applyAlignment="true" applyProtection="false">
      <alignment horizontal="right" vertical="center" textRotation="0" wrapText="false" indent="0" shrinkToFit="false"/>
      <protection locked="true" hidden="false"/>
    </xf>
    <xf numFmtId="168" fontId="10" fillId="2" borderId="0" xfId="0" applyFont="true" applyBorder="false" applyAlignment="true" applyProtection="false">
      <alignment horizontal="center" vertical="center" textRotation="0" wrapText="false" indent="0" shrinkToFit="false"/>
      <protection locked="true" hidden="false"/>
    </xf>
    <xf numFmtId="165" fontId="10" fillId="0" borderId="1" xfId="0" applyFont="true" applyBorder="true" applyAlignment="true" applyProtection="false">
      <alignment horizontal="right" vertical="center" textRotation="0" wrapText="false" indent="0" shrinkToFit="false"/>
      <protection locked="true" hidden="false"/>
    </xf>
    <xf numFmtId="164" fontId="10" fillId="5" borderId="0" xfId="0" applyFont="true" applyBorder="false" applyAlignment="true" applyProtection="false">
      <alignment horizontal="left" vertical="center" textRotation="0" wrapText="false" indent="0" shrinkToFit="false"/>
      <protection locked="true" hidden="false"/>
    </xf>
    <xf numFmtId="168" fontId="10" fillId="5" borderId="0" xfId="0" applyFont="true" applyBorder="false" applyAlignment="true" applyProtection="false">
      <alignment horizontal="center" vertical="center"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9" fontId="10" fillId="0" borderId="0" xfId="0" applyFont="true" applyBorder="false" applyAlignment="true" applyProtection="false">
      <alignment horizontal="right" vertical="center" textRotation="0" wrapText="false" indent="0" shrinkToFit="false"/>
      <protection locked="true" hidden="false"/>
    </xf>
    <xf numFmtId="169" fontId="11"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4" fillId="0" borderId="2" xfId="0" applyFont="true" applyBorder="tru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4" fillId="7" borderId="0" xfId="0" applyFont="true" applyBorder="false" applyAlignment="true" applyProtection="false">
      <alignment horizontal="left" vertical="top" textRotation="0" wrapText="tru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B0F0"/>
      <rgbColor rgb="FFF2F2F2"/>
      <rgbColor rgb="FFD6E4BC"/>
      <rgbColor rgb="FFFCE4D6"/>
      <rgbColor rgb="FF99CCFF"/>
      <rgbColor rgb="FFFF99CC"/>
      <rgbColor rgb="FFCC99FF"/>
      <rgbColor rgb="FFFFD966"/>
      <rgbColor rgb="FF3366FF"/>
      <rgbColor rgb="FF33CCCC"/>
      <rgbColor rgb="FF99CC00"/>
      <rgbColor rgb="FFFFCC00"/>
      <rgbColor rgb="FFFF9900"/>
      <rgbColor rgb="FFFF6600"/>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20"/>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8" t="n">
        <f aca="false">Assumptions!$C$7</f>
        <v>2000000</v>
      </c>
    </row>
    <row r="6" customFormat="false" ht="15" hidden="false" customHeight="false" outlineLevel="0" collapsed="false">
      <c r="A6" s="6"/>
      <c r="B6" s="7" t="s">
        <v>4</v>
      </c>
      <c r="C6" s="9" t="n">
        <f aca="false">Assumptions!$C$8</f>
        <v>0.02</v>
      </c>
    </row>
    <row r="7" customFormat="false" ht="15" hidden="false" customHeight="false" outlineLevel="0" collapsed="false">
      <c r="A7" s="6"/>
      <c r="B7" s="7" t="s">
        <v>5</v>
      </c>
      <c r="C7" s="9" t="n">
        <f aca="false">Assumptions!$C$17</f>
        <v>0.08</v>
      </c>
    </row>
    <row r="8" customFormat="false" ht="15" hidden="false" customHeight="false" outlineLevel="0" collapsed="false">
      <c r="A8" s="6"/>
      <c r="B8" s="7" t="s">
        <v>6</v>
      </c>
      <c r="C8" s="9" t="n">
        <f aca="false">Assumptions!$C$18</f>
        <v>0.2</v>
      </c>
    </row>
    <row r="9" customFormat="false" ht="15" hidden="false" customHeight="false" outlineLevel="0" collapsed="false">
      <c r="A9" s="6"/>
      <c r="B9" s="6"/>
      <c r="C9" s="6"/>
    </row>
    <row r="10" customFormat="false" ht="15" hidden="false" customHeight="false" outlineLevel="0" collapsed="false">
      <c r="A10" s="6"/>
      <c r="B10" s="10" t="s">
        <v>7</v>
      </c>
      <c r="C10" s="6"/>
    </row>
    <row r="11" customFormat="false" ht="15" hidden="false" customHeight="false" outlineLevel="0" collapsed="false">
      <c r="A11" s="6"/>
      <c r="B11" s="6"/>
      <c r="C11" s="6"/>
    </row>
    <row r="12" customFormat="false" ht="15" hidden="false" customHeight="false" outlineLevel="0" collapsed="false">
      <c r="A12" s="6"/>
      <c r="B12" s="7" t="s">
        <v>8</v>
      </c>
      <c r="C12" s="11" t="n">
        <f aca="true">TODAY()</f>
        <v>46157</v>
      </c>
    </row>
    <row r="15" customFormat="false" ht="19.5" hidden="false" customHeight="true" outlineLevel="0" collapsed="false">
      <c r="B15" s="12" t="s">
        <v>9</v>
      </c>
      <c r="C15" s="13"/>
      <c r="D15" s="13"/>
      <c r="E15" s="13"/>
      <c r="F15" s="13"/>
      <c r="G15" s="13"/>
    </row>
    <row r="16" customFormat="false" ht="258.75" hidden="false" customHeight="true" outlineLevel="0" collapsed="false">
      <c r="B16" s="14" t="s">
        <v>10</v>
      </c>
      <c r="C16" s="14"/>
      <c r="D16" s="14"/>
      <c r="E16" s="14"/>
      <c r="F16" s="14"/>
      <c r="G16" s="14"/>
    </row>
    <row r="18" customFormat="false" ht="19.5" hidden="false" customHeight="true" outlineLevel="0" collapsed="false">
      <c r="B18" s="12" t="s">
        <v>11</v>
      </c>
      <c r="C18" s="13"/>
      <c r="D18" s="13"/>
      <c r="E18" s="13"/>
      <c r="F18" s="13"/>
      <c r="G18" s="13"/>
    </row>
    <row r="19" customFormat="false" ht="57" hidden="false" customHeight="true" outlineLevel="0" collapsed="false">
      <c r="B19" s="14" t="s">
        <v>12</v>
      </c>
      <c r="C19" s="14"/>
      <c r="D19" s="14"/>
      <c r="E19" s="14"/>
      <c r="F19" s="14"/>
      <c r="G19" s="14"/>
    </row>
    <row r="20" customFormat="false" ht="15" hidden="false" customHeight="false" outlineLevel="0" collapsed="false">
      <c r="B20" s="15" t="s">
        <v>13</v>
      </c>
      <c r="C20" s="15"/>
      <c r="D20" s="15"/>
      <c r="E20" s="15"/>
      <c r="F20" s="15"/>
      <c r="G20" s="15"/>
    </row>
    <row r="21" customFormat="false" ht="15" hidden="false" customHeight="false" outlineLevel="0" collapsed="false">
      <c r="B21" s="16" t="s">
        <v>14</v>
      </c>
    </row>
  </sheetData>
  <mergeCells count="3">
    <mergeCell ref="B16:G16"/>
    <mergeCell ref="B19:G19"/>
    <mergeCell ref="B20:G20"/>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50"/>
    <col collapsed="false" customWidth="true" hidden="false" outlineLevel="0" max="3" min="3" style="0" width="14"/>
    <col collapsed="false" customWidth="true" hidden="false" outlineLevel="0" max="4" min="4" style="0" width="1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196</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197</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7" t="s">
        <v>198</v>
      </c>
      <c r="C4" s="17" t="s">
        <v>199</v>
      </c>
      <c r="D4" s="17" t="s">
        <v>200</v>
      </c>
    </row>
    <row r="5" customFormat="false" ht="15" hidden="false" customHeight="false" outlineLevel="0" collapsed="false">
      <c r="A5" s="6"/>
      <c r="B5" s="19" t="s">
        <v>201</v>
      </c>
      <c r="C5" s="32" t="n">
        <f aca="false">SUM(Capital_Calls!C10:N10)&lt;=Fund_Size</f>
        <v>1</v>
      </c>
      <c r="D5" s="33" t="str">
        <f aca="false">IF(C5,"PASS","FAIL")</f>
        <v>PASS</v>
      </c>
    </row>
    <row r="6" customFormat="false" ht="15" hidden="false" customHeight="false" outlineLevel="0" collapsed="false">
      <c r="A6" s="6"/>
      <c r="B6" s="19" t="s">
        <v>202</v>
      </c>
      <c r="C6" s="32" t="n">
        <f aca="false">ROUND(SUM(Waterfall!C33:N33)+SUM(Waterfall!C34:N34)-SUMIF(Waterfall!C10:N10,"&gt;0",Waterfall!C10:N10),0)=0</f>
        <v>1</v>
      </c>
      <c r="D6" s="33" t="str">
        <f aca="false">IF(C6,"PASS","FAIL")</f>
        <v>PASS</v>
      </c>
    </row>
    <row r="7" customFormat="false" ht="15" hidden="false" customHeight="false" outlineLevel="0" collapsed="false">
      <c r="A7" s="6"/>
      <c r="B7" s="19" t="s">
        <v>203</v>
      </c>
      <c r="C7" s="32" t="n">
        <f aca="false">MIN(NAV!C9:NAV9)&gt;=0</f>
        <v>1</v>
      </c>
      <c r="D7" s="33" t="str">
        <f aca="false">IF(C7,"PASS","FAIL")</f>
        <v>PASS</v>
      </c>
    </row>
    <row r="8" customFormat="false" ht="15" hidden="false" customHeight="false" outlineLevel="0" collapsed="false">
      <c r="A8" s="6"/>
      <c r="B8" s="19" t="s">
        <v>204</v>
      </c>
      <c r="C8" s="32" t="n">
        <f aca="false">AND(MIN(Returns!C5:N5)&lt;0,MAX(Returns!C5:N5)&gt;0)</f>
        <v>1</v>
      </c>
      <c r="D8" s="33" t="str">
        <f aca="false">IF(C8,"PASS","FAIL")</f>
        <v>PASS</v>
      </c>
    </row>
    <row r="9" customFormat="false" ht="15" hidden="false" customHeight="false" outlineLevel="0" collapsed="false">
      <c r="A9" s="6"/>
      <c r="B9" s="19" t="s">
        <v>205</v>
      </c>
      <c r="C9" s="32" t="n">
        <f aca="false">ROUND(Returns!N20-Returns!N18-Returns!N19,4)=0</f>
        <v>1</v>
      </c>
      <c r="D9" s="33" t="str">
        <f aca="false">IF(C9,"PASS","FAIL")</f>
        <v>PASS</v>
      </c>
    </row>
    <row r="10" customFormat="false" ht="15" hidden="false" customHeight="false" outlineLevel="0" collapsed="false">
      <c r="A10" s="6"/>
      <c r="B10" s="19" t="s">
        <v>206</v>
      </c>
      <c r="C10" s="32" t="n">
        <f aca="false">IFERROR(Returns!C9&lt;Returns!C13,FALSE())</f>
        <v>1</v>
      </c>
      <c r="D10" s="33" t="str">
        <f aca="false">IF(C10,"PASS","FAIL")</f>
        <v>PASS</v>
      </c>
    </row>
    <row r="11" customFormat="false" ht="15" hidden="false" customHeight="false" outlineLevel="0" collapsed="false">
      <c r="A11" s="6"/>
      <c r="B11" s="19" t="s">
        <v>207</v>
      </c>
      <c r="C11" s="32" t="n">
        <f aca="false">OR(MAX(0,Waterfall!N25)=0,Waterfall!N20&gt;=Waterfall!N15)</f>
        <v>1</v>
      </c>
      <c r="D11" s="33" t="str">
        <f aca="false">IF(C11,"PASS","FAIL")</f>
        <v>PASS</v>
      </c>
    </row>
    <row r="12" customFormat="false" ht="15" hidden="false" customHeight="false" outlineLevel="0" collapsed="false">
      <c r="A12" s="6"/>
      <c r="B12" s="19" t="s">
        <v>208</v>
      </c>
      <c r="C12" s="32" t="n">
        <f aca="false">ROUND(SUM(Waterfall!C5:N5)-SUM(Asset_Cash_Flows!C10:N10),0)=0</f>
        <v>1</v>
      </c>
      <c r="D12" s="33" t="str">
        <f aca="false">IF(C12,"PASS","FAIL")</f>
        <v>PASS</v>
      </c>
    </row>
    <row r="13" customFormat="false" ht="15" hidden="false" customHeight="false" outlineLevel="0" collapsed="false">
      <c r="A13" s="6"/>
      <c r="B13" s="19" t="s">
        <v>209</v>
      </c>
      <c r="C13" s="32" t="n">
        <f aca="false">ABS(GP_Economics!C8)&lt;=ABS(Waterfall!C33)</f>
        <v>1</v>
      </c>
      <c r="D13" s="33" t="str">
        <f aca="false">IF(C13,"PASS","FAIL")</f>
        <v>PASS</v>
      </c>
    </row>
    <row r="14" customFormat="false" ht="15" hidden="false" customHeight="false" outlineLevel="0" collapsed="false">
      <c r="A14" s="6"/>
      <c r="B14" s="6"/>
      <c r="C14" s="6"/>
      <c r="D14" s="6"/>
    </row>
    <row r="15" customFormat="false" ht="15" hidden="false" customHeight="false" outlineLevel="0" collapsed="false">
      <c r="A15" s="6"/>
      <c r="B15" s="6"/>
      <c r="C15" s="6"/>
      <c r="D15" s="6"/>
    </row>
    <row r="16" customFormat="false" ht="15" hidden="false" customHeight="false" outlineLevel="0" collapsed="false">
      <c r="A16" s="6"/>
      <c r="B16" s="7" t="s">
        <v>210</v>
      </c>
      <c r="C16" s="34" t="b">
        <f aca="false">COUNTIF(D5:D13,"PASS")=9</f>
        <v>1</v>
      </c>
      <c r="D16" s="33" t="str">
        <f aca="false">IF(C16,"PASS","FAIL")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5" t="s">
        <v>211</v>
      </c>
    </row>
    <row r="3" customFormat="false" ht="3.75" hidden="false" customHeight="true" outlineLevel="0" collapsed="false">
      <c r="B3" s="36"/>
    </row>
    <row r="5" customFormat="false" ht="19.5" hidden="false" customHeight="true" outlineLevel="0" collapsed="false">
      <c r="B5" s="37" t="s">
        <v>212</v>
      </c>
    </row>
    <row r="6" customFormat="false" ht="48" hidden="false" customHeight="true" outlineLevel="0" collapsed="false">
      <c r="B6" s="38" t="s">
        <v>213</v>
      </c>
    </row>
    <row r="8" customFormat="false" ht="19.5" hidden="false" customHeight="true" outlineLevel="0" collapsed="false">
      <c r="B8" s="37" t="s">
        <v>214</v>
      </c>
    </row>
    <row r="9" customFormat="false" ht="61.5" hidden="false" customHeight="true" outlineLevel="0" collapsed="false">
      <c r="B9" s="38" t="s">
        <v>215</v>
      </c>
    </row>
    <row r="11" customFormat="false" ht="19.5" hidden="false" customHeight="true" outlineLevel="0" collapsed="false">
      <c r="B11" s="37" t="s">
        <v>216</v>
      </c>
    </row>
    <row r="12" customFormat="false" ht="75.75" hidden="false" customHeight="true" outlineLevel="0" collapsed="false">
      <c r="B12" s="38" t="s">
        <v>217</v>
      </c>
    </row>
    <row r="14" customFormat="false" ht="19.5" hidden="false" customHeight="true" outlineLevel="0" collapsed="false">
      <c r="B14" s="37" t="s">
        <v>218</v>
      </c>
    </row>
    <row r="15" customFormat="false" ht="61.5" hidden="false" customHeight="true" outlineLevel="0" collapsed="false">
      <c r="B15" s="38" t="s">
        <v>219</v>
      </c>
    </row>
    <row r="17" customFormat="false" ht="19.5" hidden="false" customHeight="true" outlineLevel="0" collapsed="false">
      <c r="B17" s="37" t="s">
        <v>220</v>
      </c>
    </row>
    <row r="18" customFormat="false" ht="33.75" hidden="false" customHeight="true" outlineLevel="0" collapsed="false">
      <c r="B18" s="38" t="s">
        <v>221</v>
      </c>
    </row>
    <row r="20" customFormat="false" ht="19.5" hidden="false" customHeight="true" outlineLevel="0" collapsed="false">
      <c r="B20" s="37" t="s">
        <v>222</v>
      </c>
    </row>
    <row r="21" customFormat="false" ht="33.75" hidden="false" customHeight="true" outlineLevel="0" collapsed="false">
      <c r="B21" s="38" t="s">
        <v>223</v>
      </c>
    </row>
    <row r="23" customFormat="false" ht="21.75" hidden="false" customHeight="true" outlineLevel="0" collapsed="false">
      <c r="B23" s="39" t="s">
        <v>224</v>
      </c>
    </row>
    <row r="25" customFormat="false" ht="18" hidden="false" customHeight="true" outlineLevel="0" collapsed="false">
      <c r="B25" s="40" t="s">
        <v>225</v>
      </c>
    </row>
    <row r="26" customFormat="false" ht="201.75" hidden="false" customHeight="true" outlineLevel="0" collapsed="false">
      <c r="B26" s="41" t="s">
        <v>226</v>
      </c>
    </row>
    <row r="28" customFormat="false" ht="18" hidden="false" customHeight="true" outlineLevel="0" collapsed="false">
      <c r="B28" s="42" t="s">
        <v>227</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D966"/>
    <pageSetUpPr fitToPage="false"/>
  </sheetPr>
  <dimension ref="A1:AD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8"/>
    <col collapsed="false" customWidth="true" hidden="false" outlineLevel="0" max="4" min="4" style="0" width="12"/>
    <col collapsed="false" customWidth="true" hidden="false" outlineLevel="0" max="5" min="5" style="0" width="38"/>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7" t="s">
        <v>17</v>
      </c>
      <c r="C4" s="17" t="s">
        <v>18</v>
      </c>
      <c r="D4" s="17" t="s">
        <v>19</v>
      </c>
      <c r="E4" s="17" t="s">
        <v>20</v>
      </c>
    </row>
    <row r="5" customFormat="false" ht="15" hidden="false" customHeight="false" outlineLevel="0" collapsed="false">
      <c r="A5" s="6"/>
      <c r="B5" s="6"/>
      <c r="C5" s="6"/>
      <c r="D5" s="6"/>
      <c r="E5" s="6"/>
    </row>
    <row r="6" customFormat="false" ht="15" hidden="false" customHeight="false" outlineLevel="0" collapsed="false">
      <c r="A6" s="6"/>
      <c r="B6" s="17" t="s">
        <v>21</v>
      </c>
      <c r="C6" s="18"/>
      <c r="D6" s="18"/>
      <c r="E6" s="18"/>
    </row>
    <row r="7" customFormat="false" ht="15" hidden="false" customHeight="false" outlineLevel="0" collapsed="false">
      <c r="A7" s="6"/>
      <c r="B7" s="19" t="s">
        <v>22</v>
      </c>
      <c r="C7" s="20" t="n">
        <v>2000000</v>
      </c>
      <c r="D7" s="19" t="s">
        <v>23</v>
      </c>
      <c r="E7" s="19" t="s">
        <v>24</v>
      </c>
    </row>
    <row r="8" customFormat="false" ht="15" hidden="false" customHeight="false" outlineLevel="0" collapsed="false">
      <c r="A8" s="6"/>
      <c r="B8" s="19" t="s">
        <v>25</v>
      </c>
      <c r="C8" s="21" t="n">
        <v>0.02</v>
      </c>
      <c r="D8" s="19" t="s">
        <v>26</v>
      </c>
      <c r="E8" s="19" t="s">
        <v>27</v>
      </c>
    </row>
    <row r="9" customFormat="false" ht="15" hidden="false" customHeight="false" outlineLevel="0" collapsed="false">
      <c r="A9" s="6"/>
      <c r="B9" s="19" t="s">
        <v>28</v>
      </c>
      <c r="C9" s="21" t="n">
        <v>0.015</v>
      </c>
      <c r="D9" s="19" t="s">
        <v>29</v>
      </c>
      <c r="E9" s="19" t="s">
        <v>30</v>
      </c>
    </row>
    <row r="10" customFormat="false" ht="15" hidden="false" customHeight="false" outlineLevel="0" collapsed="false">
      <c r="A10" s="6"/>
      <c r="B10" s="19" t="s">
        <v>31</v>
      </c>
      <c r="C10" s="21" t="n">
        <v>0.0125</v>
      </c>
      <c r="D10" s="19" t="s">
        <v>29</v>
      </c>
      <c r="E10" s="19" t="s">
        <v>32</v>
      </c>
    </row>
    <row r="11" customFormat="false" ht="15" hidden="false" customHeight="false" outlineLevel="0" collapsed="false">
      <c r="A11" s="6"/>
      <c r="B11" s="19" t="s">
        <v>33</v>
      </c>
      <c r="C11" s="21" t="n">
        <v>0.002</v>
      </c>
      <c r="D11" s="19" t="s">
        <v>29</v>
      </c>
      <c r="E11" s="19" t="s">
        <v>34</v>
      </c>
    </row>
    <row r="12" customFormat="false" ht="15" hidden="false" customHeight="false" outlineLevel="0" collapsed="false">
      <c r="A12" s="6"/>
      <c r="B12" s="19" t="s">
        <v>35</v>
      </c>
      <c r="C12" s="21" t="n">
        <v>0.005</v>
      </c>
      <c r="D12" s="19" t="s">
        <v>26</v>
      </c>
      <c r="E12" s="19" t="s">
        <v>36</v>
      </c>
    </row>
    <row r="13" customFormat="false" ht="15" hidden="false" customHeight="false" outlineLevel="0" collapsed="false">
      <c r="A13" s="6"/>
      <c r="B13" s="19" t="s">
        <v>37</v>
      </c>
      <c r="C13" s="22" t="n">
        <v>5</v>
      </c>
      <c r="D13" s="19" t="s">
        <v>38</v>
      </c>
      <c r="E13" s="19" t="s">
        <v>39</v>
      </c>
    </row>
    <row r="14" customFormat="false" ht="15" hidden="false" customHeight="false" outlineLevel="0" collapsed="false">
      <c r="A14" s="6"/>
      <c r="B14" s="17" t="s">
        <v>40</v>
      </c>
      <c r="C14" s="18"/>
      <c r="D14" s="18"/>
      <c r="E14" s="18"/>
    </row>
    <row r="15" customFormat="false" ht="15" hidden="false" customHeight="false" outlineLevel="0" collapsed="false">
      <c r="A15" s="6"/>
      <c r="B15" s="6"/>
      <c r="C15" s="6"/>
      <c r="D15" s="6"/>
      <c r="E15" s="6"/>
    </row>
    <row r="16" customFormat="false" ht="15" hidden="false" customHeight="false" outlineLevel="0" collapsed="false">
      <c r="A16" s="6"/>
      <c r="B16" s="6"/>
      <c r="C16" s="6"/>
      <c r="D16" s="6"/>
      <c r="E16" s="6"/>
    </row>
    <row r="17" customFormat="false" ht="15" hidden="false" customHeight="false" outlineLevel="0" collapsed="false">
      <c r="A17" s="6"/>
      <c r="B17" s="19" t="s">
        <v>41</v>
      </c>
      <c r="C17" s="21" t="n">
        <v>0.08</v>
      </c>
      <c r="D17" s="19" t="s">
        <v>26</v>
      </c>
      <c r="E17" s="19" t="s">
        <v>42</v>
      </c>
    </row>
    <row r="18" customFormat="false" ht="15" hidden="false" customHeight="false" outlineLevel="0" collapsed="false">
      <c r="A18" s="6"/>
      <c r="B18" s="19" t="s">
        <v>43</v>
      </c>
      <c r="C18" s="21" t="n">
        <v>0.2</v>
      </c>
      <c r="D18" s="19" t="s">
        <v>26</v>
      </c>
      <c r="E18" s="19" t="s">
        <v>44</v>
      </c>
    </row>
    <row r="19" customFormat="false" ht="15" hidden="false" customHeight="false" outlineLevel="0" collapsed="false">
      <c r="A19" s="6"/>
      <c r="B19" s="19" t="s">
        <v>45</v>
      </c>
      <c r="C19" s="21" t="n">
        <v>1</v>
      </c>
      <c r="D19" s="19" t="s">
        <v>26</v>
      </c>
      <c r="E19" s="19" t="s">
        <v>46</v>
      </c>
    </row>
    <row r="20" customFormat="false" ht="15" hidden="false" customHeight="false" outlineLevel="0" collapsed="false">
      <c r="A20" s="6"/>
      <c r="B20" s="19" t="s">
        <v>47</v>
      </c>
      <c r="C20" s="23" t="n">
        <v>1.85</v>
      </c>
      <c r="D20" s="19" t="s">
        <v>48</v>
      </c>
      <c r="E20" s="19" t="s">
        <v>49</v>
      </c>
    </row>
    <row r="21" customFormat="false" ht="15" hidden="false" customHeight="false" outlineLevel="0" collapsed="false">
      <c r="A21" s="6"/>
      <c r="B21" s="19" t="s">
        <v>50</v>
      </c>
      <c r="C21" s="21" t="n">
        <v>0.07</v>
      </c>
      <c r="D21" s="19" t="s">
        <v>29</v>
      </c>
      <c r="E21" s="19" t="s">
        <v>51</v>
      </c>
    </row>
    <row r="22" customFormat="false" ht="15" hidden="false" customHeight="false" outlineLevel="0" collapsed="false">
      <c r="A22" s="6"/>
      <c r="B22" s="19" t="s">
        <v>52</v>
      </c>
      <c r="C22" s="21" t="n">
        <v>0.025</v>
      </c>
      <c r="D22" s="19" t="s">
        <v>29</v>
      </c>
      <c r="E22" s="19" t="s">
        <v>53</v>
      </c>
    </row>
    <row r="23" customFormat="false" ht="15" hidden="false" customHeight="false" outlineLevel="0" collapsed="false">
      <c r="A23" s="6"/>
      <c r="B23" s="19" t="s">
        <v>54</v>
      </c>
      <c r="C23" s="21" t="n">
        <v>0.1</v>
      </c>
      <c r="D23" s="19" t="s">
        <v>26</v>
      </c>
      <c r="E23" s="19" t="s">
        <v>55</v>
      </c>
    </row>
    <row r="24" customFormat="false" ht="15" hidden="false" customHeight="false" outlineLevel="0" collapsed="false">
      <c r="A24" s="6"/>
      <c r="B24" s="17" t="s">
        <v>56</v>
      </c>
      <c r="C24" s="18"/>
      <c r="D24" s="18"/>
      <c r="E24" s="18"/>
    </row>
    <row r="25" customFormat="false" ht="15" hidden="false" customHeight="false" outlineLevel="0" collapsed="false">
      <c r="A25" s="6"/>
      <c r="B25" s="6"/>
      <c r="C25" s="6"/>
      <c r="D25" s="6"/>
      <c r="E25" s="6"/>
    </row>
    <row r="26" customFormat="false" ht="15" hidden="false" customHeight="false" outlineLevel="0" collapsed="false">
      <c r="A26" s="6"/>
      <c r="B26" s="6"/>
      <c r="C26" s="6"/>
      <c r="D26" s="6"/>
      <c r="E26" s="6"/>
    </row>
    <row r="27" customFormat="false" ht="15" hidden="false" customHeight="false" outlineLevel="0" collapsed="false">
      <c r="A27" s="6"/>
      <c r="B27" s="19" t="s">
        <v>57</v>
      </c>
      <c r="C27" s="21" t="n">
        <v>0.25</v>
      </c>
      <c r="D27" s="19" t="s">
        <v>26</v>
      </c>
      <c r="E27" s="19" t="s">
        <v>58</v>
      </c>
    </row>
    <row r="28" customFormat="false" ht="15" hidden="false" customHeight="false" outlineLevel="0" collapsed="false">
      <c r="A28" s="6"/>
      <c r="B28" s="19" t="s">
        <v>59</v>
      </c>
      <c r="C28" s="21" t="n">
        <v>0.25</v>
      </c>
      <c r="D28" s="19" t="s">
        <v>26</v>
      </c>
      <c r="E28" s="19" t="s">
        <v>60</v>
      </c>
    </row>
    <row r="29" customFormat="false" ht="15" hidden="false" customHeight="false" outlineLevel="0" collapsed="false">
      <c r="A29" s="6"/>
      <c r="B29" s="19" t="s">
        <v>61</v>
      </c>
      <c r="C29" s="21" t="n">
        <v>0.2</v>
      </c>
      <c r="D29" s="19" t="s">
        <v>26</v>
      </c>
      <c r="E29" s="19" t="s">
        <v>62</v>
      </c>
    </row>
    <row r="30" customFormat="false" ht="15" hidden="false" customHeight="false" outlineLevel="0" collapsed="false">
      <c r="A30" s="6"/>
      <c r="B30" s="19" t="s">
        <v>63</v>
      </c>
      <c r="C30" s="21" t="n">
        <v>0.15</v>
      </c>
      <c r="D30" s="19" t="s">
        <v>26</v>
      </c>
      <c r="E30" s="19" t="s">
        <v>64</v>
      </c>
    </row>
    <row r="31" customFormat="false" ht="15" hidden="false" customHeight="false" outlineLevel="0" collapsed="false">
      <c r="A31" s="6"/>
      <c r="B31" s="19" t="s">
        <v>65</v>
      </c>
      <c r="C31" s="21" t="n">
        <v>0.1</v>
      </c>
      <c r="D31" s="19" t="s">
        <v>26</v>
      </c>
      <c r="E31" s="19" t="s">
        <v>66</v>
      </c>
    </row>
    <row r="32" customFormat="false" ht="15" hidden="false" customHeight="false" outlineLevel="0" collapsed="false">
      <c r="A32" s="6"/>
      <c r="B32" s="17" t="s">
        <v>67</v>
      </c>
      <c r="C32" s="18"/>
      <c r="D32" s="18"/>
      <c r="E32" s="18"/>
    </row>
    <row r="33" customFormat="false" ht="15" hidden="false" customHeight="false" outlineLevel="0" collapsed="false">
      <c r="A33" s="6"/>
      <c r="B33" s="6"/>
      <c r="C33" s="6"/>
      <c r="D33" s="6"/>
      <c r="E33" s="6"/>
    </row>
    <row r="34" customFormat="false" ht="15" hidden="false" customHeight="false" outlineLevel="0" collapsed="false">
      <c r="A34" s="6"/>
      <c r="B34" s="6"/>
      <c r="C34" s="6"/>
      <c r="D34" s="6"/>
      <c r="E34" s="6"/>
    </row>
    <row r="35" customFormat="false" ht="15" hidden="false" customHeight="false" outlineLevel="0" collapsed="false">
      <c r="A35" s="6"/>
      <c r="B35" s="19" t="s">
        <v>68</v>
      </c>
      <c r="C35" s="22" t="n">
        <v>7</v>
      </c>
      <c r="D35" s="19" t="s">
        <v>38</v>
      </c>
      <c r="E35" s="19" t="s">
        <v>69</v>
      </c>
    </row>
    <row r="36" customFormat="false" ht="15" hidden="false" customHeight="false" outlineLevel="0" collapsed="false">
      <c r="A36" s="6"/>
      <c r="B36" s="19" t="s">
        <v>70</v>
      </c>
      <c r="C36" s="22" t="n">
        <v>7</v>
      </c>
      <c r="D36" s="19" t="s">
        <v>38</v>
      </c>
      <c r="E36" s="19" t="s">
        <v>71</v>
      </c>
    </row>
    <row r="37" customFormat="false" ht="15" hidden="false" customHeight="false" outlineLevel="0" collapsed="false">
      <c r="A37" s="6"/>
      <c r="B37" s="19" t="s">
        <v>72</v>
      </c>
      <c r="C37" s="22" t="n">
        <v>7</v>
      </c>
      <c r="D37" s="19" t="s">
        <v>38</v>
      </c>
      <c r="E37" s="19" t="s">
        <v>73</v>
      </c>
    </row>
    <row r="38" customFormat="false" ht="15" hidden="false" customHeight="false" outlineLevel="0" collapsed="false">
      <c r="A38" s="6"/>
      <c r="B38" s="19" t="s">
        <v>74</v>
      </c>
      <c r="C38" s="22" t="n">
        <v>6</v>
      </c>
      <c r="D38" s="19" t="s">
        <v>38</v>
      </c>
      <c r="E38" s="19" t="s">
        <v>75</v>
      </c>
    </row>
    <row r="39" customFormat="false" ht="15" hidden="false" customHeight="false" outlineLevel="0" collapsed="false">
      <c r="A39" s="6"/>
      <c r="B39" s="19" t="s">
        <v>76</v>
      </c>
      <c r="C39" s="22" t="n">
        <v>5</v>
      </c>
      <c r="D39" s="19" t="s">
        <v>38</v>
      </c>
      <c r="E39" s="19" t="s">
        <v>77</v>
      </c>
    </row>
    <row r="40" customFormat="false" ht="15" hidden="false" customHeight="false" outlineLevel="0" collapsed="false">
      <c r="A40" s="6"/>
      <c r="B40" s="17" t="s">
        <v>78</v>
      </c>
      <c r="C40" s="18"/>
      <c r="D40" s="18"/>
      <c r="E40" s="18"/>
    </row>
    <row r="41" customFormat="false" ht="15" hidden="false" customHeight="false" outlineLevel="0" collapsed="false">
      <c r="A41" s="6"/>
      <c r="B41" s="6"/>
      <c r="C41" s="6"/>
      <c r="D41" s="6"/>
      <c r="E41" s="6"/>
    </row>
    <row r="42" customFormat="false" ht="15" hidden="false" customHeight="false" outlineLevel="0" collapsed="false">
      <c r="A42" s="6"/>
      <c r="B42" s="6"/>
      <c r="C42" s="6"/>
      <c r="D42" s="6"/>
      <c r="E42" s="6"/>
    </row>
    <row r="43" customFormat="false" ht="15" hidden="false" customHeight="false" outlineLevel="0" collapsed="false">
      <c r="A43" s="6"/>
      <c r="B43" s="19" t="s">
        <v>79</v>
      </c>
      <c r="C43" s="23" t="n">
        <v>0.5</v>
      </c>
      <c r="D43" s="19" t="s">
        <v>48</v>
      </c>
      <c r="E43" s="19" t="s">
        <v>80</v>
      </c>
    </row>
    <row r="44" customFormat="false" ht="15" hidden="false" customHeight="false" outlineLevel="0" collapsed="false">
      <c r="A44" s="6"/>
      <c r="B44" s="19" t="s">
        <v>81</v>
      </c>
      <c r="C44" s="23" t="n">
        <v>0.75</v>
      </c>
      <c r="D44" s="19" t="s">
        <v>48</v>
      </c>
      <c r="E44" s="19" t="s">
        <v>82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6E4BC"/>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4" min="3" style="0" width="13"/>
  </cols>
  <sheetData>
    <row r="1" customFormat="false" ht="15" hidden="false" customHeight="false" outlineLevel="0" collapsed="false">
      <c r="A1" s="1"/>
      <c r="B1" s="1"/>
      <c r="C1" s="1"/>
      <c r="D1" s="1"/>
      <c r="E1" s="1"/>
      <c r="F1" s="1"/>
      <c r="G1" s="1"/>
      <c r="H1" s="1"/>
      <c r="I1" s="1"/>
      <c r="J1" s="1"/>
      <c r="K1" s="1"/>
      <c r="L1" s="1"/>
      <c r="M1" s="1"/>
      <c r="N1" s="1"/>
      <c r="O1" s="2"/>
      <c r="P1" s="2"/>
      <c r="Q1" s="2"/>
      <c r="R1" s="2"/>
      <c r="S1" s="2"/>
      <c r="T1" s="2"/>
      <c r="U1" s="2"/>
      <c r="V1" s="2"/>
      <c r="W1" s="2"/>
      <c r="X1" s="2"/>
      <c r="Y1" s="2"/>
      <c r="Z1" s="2"/>
      <c r="AA1" s="2"/>
      <c r="AB1" s="2"/>
      <c r="AC1" s="2"/>
      <c r="AD1" s="2"/>
    </row>
    <row r="2" customFormat="false" ht="21.75" hidden="false" customHeight="true" outlineLevel="0" collapsed="false">
      <c r="A2" s="1"/>
      <c r="B2" s="3" t="s">
        <v>83</v>
      </c>
      <c r="C2" s="1"/>
      <c r="D2" s="1"/>
      <c r="E2" s="1"/>
      <c r="F2" s="1"/>
      <c r="G2" s="1"/>
      <c r="H2" s="1"/>
      <c r="I2" s="1"/>
      <c r="J2" s="1"/>
      <c r="K2" s="1"/>
      <c r="L2" s="1"/>
      <c r="M2" s="1"/>
      <c r="N2" s="1"/>
      <c r="O2" s="2"/>
      <c r="P2" s="2"/>
      <c r="Q2" s="2"/>
      <c r="R2" s="2"/>
      <c r="S2" s="2"/>
      <c r="T2" s="2"/>
      <c r="U2" s="2"/>
      <c r="V2" s="2"/>
      <c r="W2" s="2"/>
      <c r="X2" s="2"/>
      <c r="Y2" s="2"/>
      <c r="Z2" s="2"/>
      <c r="AA2" s="2"/>
      <c r="AB2" s="2"/>
      <c r="AC2" s="2"/>
      <c r="AD2" s="2"/>
    </row>
    <row r="3" customFormat="false" ht="15" hidden="false" customHeight="false" outlineLevel="0" collapsed="false">
      <c r="A3" s="1"/>
      <c r="B3" s="5" t="s">
        <v>84</v>
      </c>
      <c r="C3" s="1"/>
      <c r="D3" s="1"/>
      <c r="E3" s="1"/>
      <c r="F3" s="1"/>
      <c r="G3" s="1"/>
      <c r="H3" s="1"/>
      <c r="I3" s="1"/>
      <c r="J3" s="1"/>
      <c r="K3" s="1"/>
      <c r="L3" s="1"/>
      <c r="M3" s="1"/>
      <c r="N3" s="1"/>
      <c r="O3" s="2"/>
      <c r="P3" s="2"/>
      <c r="Q3" s="2"/>
      <c r="R3" s="2"/>
      <c r="S3" s="2"/>
      <c r="T3" s="2"/>
      <c r="U3" s="2"/>
      <c r="V3" s="2"/>
      <c r="W3" s="2"/>
      <c r="X3" s="2"/>
      <c r="Y3" s="2"/>
      <c r="Z3" s="2"/>
      <c r="AA3" s="2"/>
      <c r="AB3" s="2"/>
      <c r="AC3" s="2"/>
      <c r="AD3" s="2"/>
    </row>
    <row r="4" customFormat="false" ht="15" hidden="false" customHeight="false" outlineLevel="0" collapsed="false">
      <c r="A4" s="6"/>
      <c r="B4" s="17"/>
      <c r="C4" s="24" t="n">
        <v>1</v>
      </c>
      <c r="D4" s="24" t="n">
        <v>2</v>
      </c>
      <c r="E4" s="24" t="n">
        <v>3</v>
      </c>
      <c r="F4" s="24" t="n">
        <v>4</v>
      </c>
      <c r="G4" s="24" t="n">
        <v>5</v>
      </c>
      <c r="H4" s="24" t="n">
        <v>6</v>
      </c>
      <c r="I4" s="24" t="n">
        <v>7</v>
      </c>
      <c r="J4" s="24" t="n">
        <v>8</v>
      </c>
      <c r="K4" s="24" t="n">
        <v>9</v>
      </c>
      <c r="L4" s="24" t="n">
        <v>10</v>
      </c>
      <c r="M4" s="24" t="n">
        <v>11</v>
      </c>
      <c r="N4" s="24" t="n">
        <v>12</v>
      </c>
    </row>
    <row r="5" customFormat="false" ht="15" hidden="false" customHeight="false" outlineLevel="0" collapsed="false">
      <c r="A5" s="6"/>
      <c r="B5" s="19" t="s">
        <v>85</v>
      </c>
      <c r="C5" s="8" t="n">
        <f aca="false">Fund_Size*Dep_Pct_V1</f>
        <v>500000</v>
      </c>
      <c r="D5" s="8" t="n">
        <f aca="false">0</f>
        <v>0</v>
      </c>
      <c r="E5" s="8" t="n">
        <f aca="false">0</f>
        <v>0</v>
      </c>
      <c r="F5" s="8" t="n">
        <f aca="false">0</f>
        <v>0</v>
      </c>
      <c r="G5" s="8" t="n">
        <f aca="false">0</f>
        <v>0</v>
      </c>
      <c r="H5" s="8" t="n">
        <f aca="false">0</f>
        <v>0</v>
      </c>
      <c r="I5" s="8" t="n">
        <f aca="false">0</f>
        <v>0</v>
      </c>
      <c r="J5" s="8" t="n">
        <f aca="false">0</f>
        <v>0</v>
      </c>
      <c r="K5" s="8" t="n">
        <f aca="false">0</f>
        <v>0</v>
      </c>
      <c r="L5" s="8" t="n">
        <f aca="false">0</f>
        <v>0</v>
      </c>
      <c r="M5" s="8" t="n">
        <f aca="false">0</f>
        <v>0</v>
      </c>
      <c r="N5" s="8" t="n">
        <f aca="false">0</f>
        <v>0</v>
      </c>
    </row>
    <row r="6" customFormat="false" ht="15" hidden="false" customHeight="false" outlineLevel="0" collapsed="false">
      <c r="A6" s="6"/>
      <c r="B6" s="19" t="s">
        <v>86</v>
      </c>
      <c r="C6" s="8" t="n">
        <f aca="false">0</f>
        <v>0</v>
      </c>
      <c r="D6" s="8" t="n">
        <f aca="false">Fund_Size*Dep_Pct_V2</f>
        <v>500000</v>
      </c>
      <c r="E6" s="8" t="n">
        <f aca="false">0</f>
        <v>0</v>
      </c>
      <c r="F6" s="8" t="n">
        <f aca="false">0</f>
        <v>0</v>
      </c>
      <c r="G6" s="8" t="n">
        <f aca="false">0</f>
        <v>0</v>
      </c>
      <c r="H6" s="8" t="n">
        <f aca="false">0</f>
        <v>0</v>
      </c>
      <c r="I6" s="8" t="n">
        <f aca="false">0</f>
        <v>0</v>
      </c>
      <c r="J6" s="8" t="n">
        <f aca="false">0</f>
        <v>0</v>
      </c>
      <c r="K6" s="8" t="n">
        <f aca="false">0</f>
        <v>0</v>
      </c>
      <c r="L6" s="8" t="n">
        <f aca="false">0</f>
        <v>0</v>
      </c>
      <c r="M6" s="8" t="n">
        <f aca="false">0</f>
        <v>0</v>
      </c>
      <c r="N6" s="8" t="n">
        <f aca="false">0</f>
        <v>0</v>
      </c>
    </row>
    <row r="7" customFormat="false" ht="15" hidden="false" customHeight="false" outlineLevel="0" collapsed="false">
      <c r="A7" s="6"/>
      <c r="B7" s="19" t="s">
        <v>87</v>
      </c>
      <c r="C7" s="8" t="n">
        <f aca="false">0</f>
        <v>0</v>
      </c>
      <c r="D7" s="8" t="n">
        <f aca="false">0</f>
        <v>0</v>
      </c>
      <c r="E7" s="8" t="n">
        <f aca="false">Fund_Size*Dep_Pct_V3</f>
        <v>400000</v>
      </c>
      <c r="F7" s="8" t="n">
        <f aca="false">0</f>
        <v>0</v>
      </c>
      <c r="G7" s="8" t="n">
        <f aca="false">0</f>
        <v>0</v>
      </c>
      <c r="H7" s="8" t="n">
        <f aca="false">0</f>
        <v>0</v>
      </c>
      <c r="I7" s="8" t="n">
        <f aca="false">0</f>
        <v>0</v>
      </c>
      <c r="J7" s="8" t="n">
        <f aca="false">0</f>
        <v>0</v>
      </c>
      <c r="K7" s="8" t="n">
        <f aca="false">0</f>
        <v>0</v>
      </c>
      <c r="L7" s="8" t="n">
        <f aca="false">0</f>
        <v>0</v>
      </c>
      <c r="M7" s="8" t="n">
        <f aca="false">0</f>
        <v>0</v>
      </c>
      <c r="N7" s="8" t="n">
        <f aca="false">0</f>
        <v>0</v>
      </c>
    </row>
    <row r="8" customFormat="false" ht="15" hidden="false" customHeight="false" outlineLevel="0" collapsed="false">
      <c r="A8" s="6"/>
      <c r="B8" s="19" t="s">
        <v>88</v>
      </c>
      <c r="C8" s="8" t="n">
        <f aca="false">0</f>
        <v>0</v>
      </c>
      <c r="D8" s="8" t="n">
        <f aca="false">0</f>
        <v>0</v>
      </c>
      <c r="E8" s="8" t="n">
        <f aca="false">0</f>
        <v>0</v>
      </c>
      <c r="F8" s="8" t="n">
        <f aca="false">Fund_Size*Dep_Pct_V4</f>
        <v>300000</v>
      </c>
      <c r="G8" s="8" t="n">
        <f aca="false">0</f>
        <v>0</v>
      </c>
      <c r="H8" s="8" t="n">
        <f aca="false">0</f>
        <v>0</v>
      </c>
      <c r="I8" s="8" t="n">
        <f aca="false">0</f>
        <v>0</v>
      </c>
      <c r="J8" s="8" t="n">
        <f aca="false">0</f>
        <v>0</v>
      </c>
      <c r="K8" s="8" t="n">
        <f aca="false">0</f>
        <v>0</v>
      </c>
      <c r="L8" s="8" t="n">
        <f aca="false">0</f>
        <v>0</v>
      </c>
      <c r="M8" s="8" t="n">
        <f aca="false">0</f>
        <v>0</v>
      </c>
      <c r="N8" s="8" t="n">
        <f aca="false">0</f>
        <v>0</v>
      </c>
    </row>
    <row r="9" customFormat="false" ht="15" hidden="false" customHeight="false" outlineLevel="0" collapsed="false">
      <c r="A9" s="6"/>
      <c r="B9" s="19" t="s">
        <v>89</v>
      </c>
      <c r="C9" s="8" t="n">
        <f aca="false">0</f>
        <v>0</v>
      </c>
      <c r="D9" s="8" t="n">
        <f aca="false">0</f>
        <v>0</v>
      </c>
      <c r="E9" s="8" t="n">
        <f aca="false">0</f>
        <v>0</v>
      </c>
      <c r="F9" s="8" t="n">
        <f aca="false">0</f>
        <v>0</v>
      </c>
      <c r="G9" s="8" t="n">
        <f aca="false">Fund_Size*Dep_Pct_V5</f>
        <v>200000</v>
      </c>
      <c r="H9" s="8" t="n">
        <f aca="false">0</f>
        <v>0</v>
      </c>
      <c r="I9" s="8" t="n">
        <f aca="false">0</f>
        <v>0</v>
      </c>
      <c r="J9" s="8" t="n">
        <f aca="false">0</f>
        <v>0</v>
      </c>
      <c r="K9" s="8" t="n">
        <f aca="false">0</f>
        <v>0</v>
      </c>
      <c r="L9" s="8" t="n">
        <f aca="false">0</f>
        <v>0</v>
      </c>
      <c r="M9" s="8" t="n">
        <f aca="false">0</f>
        <v>0</v>
      </c>
      <c r="N9" s="8" t="n">
        <f aca="false">0</f>
        <v>0</v>
      </c>
    </row>
    <row r="10" customFormat="false" ht="15" hidden="false" customHeight="false" outlineLevel="0" collapsed="false">
      <c r="A10" s="6"/>
      <c r="B10" s="7" t="s">
        <v>90</v>
      </c>
      <c r="C10" s="25" t="n">
        <f aca="false">SUM(C5:C9)</f>
        <v>500000</v>
      </c>
      <c r="D10" s="25" t="n">
        <f aca="false">SUM(D5:D9)</f>
        <v>500000</v>
      </c>
      <c r="E10" s="25" t="n">
        <f aca="false">SUM(E5:E9)</f>
        <v>400000</v>
      </c>
      <c r="F10" s="25" t="n">
        <f aca="false">SUM(F5:F9)</f>
        <v>300000</v>
      </c>
      <c r="G10" s="25" t="n">
        <f aca="false">SUM(G5:G9)</f>
        <v>200000</v>
      </c>
      <c r="H10" s="25" t="n">
        <f aca="false">SUM(H5:H9)</f>
        <v>0</v>
      </c>
      <c r="I10" s="25" t="n">
        <f aca="false">SUM(I5:I9)</f>
        <v>0</v>
      </c>
      <c r="J10" s="25" t="n">
        <f aca="false">SUM(J5:J9)</f>
        <v>0</v>
      </c>
      <c r="K10" s="25" t="n">
        <f aca="false">SUM(K5:K9)</f>
        <v>0</v>
      </c>
      <c r="L10" s="25" t="n">
        <f aca="false">SUM(L5:L9)</f>
        <v>0</v>
      </c>
      <c r="M10" s="25" t="n">
        <f aca="false">SUM(M5:M9)</f>
        <v>0</v>
      </c>
      <c r="N10" s="25" t="n">
        <f aca="false">SUM(N5:N9)</f>
        <v>0</v>
      </c>
    </row>
    <row r="11" customFormat="false" ht="15" hidden="false" customHeight="false" outlineLevel="0" collapsed="false">
      <c r="A11" s="6"/>
      <c r="B11" s="17" t="s">
        <v>91</v>
      </c>
      <c r="C11" s="18"/>
      <c r="D11" s="18"/>
      <c r="E11" s="18"/>
      <c r="F11" s="18"/>
      <c r="G11" s="18"/>
      <c r="H11" s="18"/>
      <c r="I11" s="18"/>
      <c r="J11" s="18"/>
      <c r="K11" s="18"/>
      <c r="L11" s="18"/>
      <c r="M11" s="18"/>
      <c r="N11" s="18"/>
    </row>
    <row r="12" customFormat="false" ht="15" hidden="false" customHeight="false" outlineLevel="0" collapsed="false">
      <c r="A12" s="6"/>
      <c r="B12" s="6"/>
      <c r="C12" s="6"/>
      <c r="D12" s="6"/>
      <c r="E12" s="6"/>
      <c r="F12" s="6"/>
      <c r="G12" s="6"/>
      <c r="H12" s="6"/>
      <c r="I12" s="6"/>
      <c r="J12" s="6"/>
      <c r="K12" s="6"/>
      <c r="L12" s="6"/>
      <c r="M12" s="6"/>
      <c r="N12" s="6"/>
    </row>
    <row r="13" customFormat="false" ht="15" hidden="false" customHeight="false" outlineLevel="0" collapsed="false">
      <c r="A13" s="6"/>
      <c r="B13" s="19" t="s">
        <v>92</v>
      </c>
      <c r="C13" s="8" t="n">
        <f aca="false">Fund_Size*Dep_Pct_V1</f>
        <v>500000</v>
      </c>
      <c r="D13" s="8" t="n">
        <f aca="false">Fund_Size*Dep_Pct_V1</f>
        <v>500000</v>
      </c>
      <c r="E13" s="8" t="n">
        <f aca="false">Fund_Size*Dep_Pct_V1</f>
        <v>500000</v>
      </c>
      <c r="F13" s="8" t="n">
        <f aca="false">Fund_Size*Dep_Pct_V1</f>
        <v>500000</v>
      </c>
      <c r="G13" s="8" t="n">
        <f aca="false">Fund_Size*Dep_Pct_V1</f>
        <v>500000</v>
      </c>
      <c r="H13" s="8" t="n">
        <f aca="false">Fund_Size*Dep_Pct_V1</f>
        <v>500000</v>
      </c>
      <c r="I13" s="8" t="n">
        <f aca="false">Fund_Size*Dep_Pct_V1</f>
        <v>500000</v>
      </c>
      <c r="J13" s="8" t="n">
        <f aca="false">0</f>
        <v>0</v>
      </c>
      <c r="K13" s="8" t="n">
        <f aca="false">0</f>
        <v>0</v>
      </c>
      <c r="L13" s="8" t="n">
        <f aca="false">0</f>
        <v>0</v>
      </c>
      <c r="M13" s="8" t="n">
        <f aca="false">0</f>
        <v>0</v>
      </c>
      <c r="N13" s="8" t="n">
        <f aca="false">0</f>
        <v>0</v>
      </c>
    </row>
    <row r="14" customFormat="false" ht="15" hidden="false" customHeight="false" outlineLevel="0" collapsed="false">
      <c r="A14" s="6"/>
      <c r="B14" s="19" t="s">
        <v>93</v>
      </c>
      <c r="C14" s="8" t="n">
        <f aca="false">0</f>
        <v>0</v>
      </c>
      <c r="D14" s="8" t="n">
        <f aca="false">Fund_Size*Dep_Pct_V2</f>
        <v>500000</v>
      </c>
      <c r="E14" s="8" t="n">
        <f aca="false">Fund_Size*Dep_Pct_V2</f>
        <v>500000</v>
      </c>
      <c r="F14" s="8" t="n">
        <f aca="false">Fund_Size*Dep_Pct_V2</f>
        <v>500000</v>
      </c>
      <c r="G14" s="8" t="n">
        <f aca="false">Fund_Size*Dep_Pct_V2</f>
        <v>500000</v>
      </c>
      <c r="H14" s="8" t="n">
        <f aca="false">Fund_Size*Dep_Pct_V2</f>
        <v>500000</v>
      </c>
      <c r="I14" s="8" t="n">
        <f aca="false">Fund_Size*Dep_Pct_V2</f>
        <v>500000</v>
      </c>
      <c r="J14" s="8" t="n">
        <f aca="false">Fund_Size*Dep_Pct_V2</f>
        <v>500000</v>
      </c>
      <c r="K14" s="8" t="n">
        <f aca="false">0</f>
        <v>0</v>
      </c>
      <c r="L14" s="8" t="n">
        <f aca="false">0</f>
        <v>0</v>
      </c>
      <c r="M14" s="8" t="n">
        <f aca="false">0</f>
        <v>0</v>
      </c>
      <c r="N14" s="8" t="n">
        <f aca="false">0</f>
        <v>0</v>
      </c>
    </row>
    <row r="15" customFormat="false" ht="15" hidden="false" customHeight="false" outlineLevel="0" collapsed="false">
      <c r="A15" s="6"/>
      <c r="B15" s="19" t="s">
        <v>94</v>
      </c>
      <c r="C15" s="8" t="n">
        <f aca="false">0</f>
        <v>0</v>
      </c>
      <c r="D15" s="8" t="n">
        <f aca="false">0</f>
        <v>0</v>
      </c>
      <c r="E15" s="8" t="n">
        <f aca="false">Fund_Size*Dep_Pct_V3</f>
        <v>400000</v>
      </c>
      <c r="F15" s="8" t="n">
        <f aca="false">Fund_Size*Dep_Pct_V3</f>
        <v>400000</v>
      </c>
      <c r="G15" s="8" t="n">
        <f aca="false">Fund_Size*Dep_Pct_V3</f>
        <v>400000</v>
      </c>
      <c r="H15" s="8" t="n">
        <f aca="false">Fund_Size*Dep_Pct_V3</f>
        <v>400000</v>
      </c>
      <c r="I15" s="8" t="n">
        <f aca="false">Fund_Size*Dep_Pct_V3</f>
        <v>400000</v>
      </c>
      <c r="J15" s="8" t="n">
        <f aca="false">Fund_Size*Dep_Pct_V3</f>
        <v>400000</v>
      </c>
      <c r="K15" s="8" t="n">
        <f aca="false">Fund_Size*Dep_Pct_V3</f>
        <v>400000</v>
      </c>
      <c r="L15" s="8" t="n">
        <f aca="false">0</f>
        <v>0</v>
      </c>
      <c r="M15" s="8" t="n">
        <f aca="false">0</f>
        <v>0</v>
      </c>
      <c r="N15" s="8" t="n">
        <f aca="false">0</f>
        <v>0</v>
      </c>
    </row>
    <row r="16" customFormat="false" ht="15" hidden="false" customHeight="false" outlineLevel="0" collapsed="false">
      <c r="A16" s="6"/>
      <c r="B16" s="19" t="s">
        <v>95</v>
      </c>
      <c r="C16" s="8" t="n">
        <f aca="false">0</f>
        <v>0</v>
      </c>
      <c r="D16" s="8" t="n">
        <f aca="false">0</f>
        <v>0</v>
      </c>
      <c r="E16" s="8" t="n">
        <f aca="false">0</f>
        <v>0</v>
      </c>
      <c r="F16" s="8" t="n">
        <f aca="false">Fund_Size*Dep_Pct_V4</f>
        <v>300000</v>
      </c>
      <c r="G16" s="8" t="n">
        <f aca="false">Fund_Size*Dep_Pct_V4</f>
        <v>300000</v>
      </c>
      <c r="H16" s="8" t="n">
        <f aca="false">Fund_Size*Dep_Pct_V4</f>
        <v>300000</v>
      </c>
      <c r="I16" s="8" t="n">
        <f aca="false">Fund_Size*Dep_Pct_V4</f>
        <v>300000</v>
      </c>
      <c r="J16" s="8" t="n">
        <f aca="false">Fund_Size*Dep_Pct_V4</f>
        <v>300000</v>
      </c>
      <c r="K16" s="8" t="n">
        <f aca="false">Fund_Size*Dep_Pct_V4</f>
        <v>300000</v>
      </c>
      <c r="L16" s="8" t="n">
        <f aca="false">0</f>
        <v>0</v>
      </c>
      <c r="M16" s="8" t="n">
        <f aca="false">0</f>
        <v>0</v>
      </c>
      <c r="N16" s="8" t="n">
        <f aca="false">0</f>
        <v>0</v>
      </c>
    </row>
    <row r="17" customFormat="false" ht="15" hidden="false" customHeight="false" outlineLevel="0" collapsed="false">
      <c r="A17" s="6"/>
      <c r="B17" s="19" t="s">
        <v>96</v>
      </c>
      <c r="C17" s="8" t="n">
        <f aca="false">0</f>
        <v>0</v>
      </c>
      <c r="D17" s="8" t="n">
        <f aca="false">0</f>
        <v>0</v>
      </c>
      <c r="E17" s="8" t="n">
        <f aca="false">0</f>
        <v>0</v>
      </c>
      <c r="F17" s="8" t="n">
        <f aca="false">0</f>
        <v>0</v>
      </c>
      <c r="G17" s="8" t="n">
        <f aca="false">Fund_Size*Dep_Pct_V5</f>
        <v>200000</v>
      </c>
      <c r="H17" s="8" t="n">
        <f aca="false">Fund_Size*Dep_Pct_V5</f>
        <v>200000</v>
      </c>
      <c r="I17" s="8" t="n">
        <f aca="false">Fund_Size*Dep_Pct_V5</f>
        <v>200000</v>
      </c>
      <c r="J17" s="8" t="n">
        <f aca="false">Fund_Size*Dep_Pct_V5</f>
        <v>200000</v>
      </c>
      <c r="K17" s="8" t="n">
        <f aca="false">Fund_Size*Dep_Pct_V5</f>
        <v>200000</v>
      </c>
      <c r="L17" s="8" t="n">
        <f aca="false">0</f>
        <v>0</v>
      </c>
      <c r="M17" s="8" t="n">
        <f aca="false">0</f>
        <v>0</v>
      </c>
      <c r="N17" s="8" t="n">
        <f aca="false">0</f>
        <v>0</v>
      </c>
    </row>
    <row r="18" customFormat="false" ht="15" hidden="false" customHeight="false" outlineLevel="0" collapsed="false">
      <c r="A18" s="6"/>
      <c r="B18" s="7" t="s">
        <v>97</v>
      </c>
      <c r="C18" s="25" t="n">
        <f aca="false">SUM(C13:C17)</f>
        <v>500000</v>
      </c>
      <c r="D18" s="25" t="n">
        <f aca="false">SUM(D13:D17)</f>
        <v>1000000</v>
      </c>
      <c r="E18" s="25" t="n">
        <f aca="false">SUM(E13:E17)</f>
        <v>1400000</v>
      </c>
      <c r="F18" s="25" t="n">
        <f aca="false">SUM(F13:F17)</f>
        <v>1700000</v>
      </c>
      <c r="G18" s="25" t="n">
        <f aca="false">SUM(G13:G17)</f>
        <v>1900000</v>
      </c>
      <c r="H18" s="25" t="n">
        <f aca="false">SUM(H13:H17)</f>
        <v>1900000</v>
      </c>
      <c r="I18" s="25" t="n">
        <f aca="false">SUM(I13:I17)</f>
        <v>1900000</v>
      </c>
      <c r="J18" s="25" t="n">
        <f aca="false">SUM(J13:J17)</f>
        <v>1400000</v>
      </c>
      <c r="K18" s="25" t="n">
        <f aca="false">SUM(K13:K17)</f>
        <v>900000</v>
      </c>
      <c r="L18" s="25" t="n">
        <f aca="false">SUM(L13:L17)</f>
        <v>0</v>
      </c>
      <c r="M18" s="25" t="n">
        <f aca="false">SUM(M13:M17)</f>
        <v>0</v>
      </c>
      <c r="N18" s="25" t="n">
        <f aca="false">SUM(N13:N17)</f>
        <v>0</v>
      </c>
    </row>
    <row r="19" customFormat="false" ht="15" hidden="false" customHeight="false" outlineLevel="0" collapsed="false">
      <c r="A19" s="6"/>
      <c r="B19" s="17" t="s">
        <v>98</v>
      </c>
      <c r="C19" s="18"/>
      <c r="D19" s="18"/>
      <c r="E19" s="18"/>
      <c r="F19" s="18"/>
      <c r="G19" s="18"/>
      <c r="H19" s="18"/>
      <c r="I19" s="18"/>
      <c r="J19" s="18"/>
      <c r="K19" s="18"/>
      <c r="L19" s="18"/>
      <c r="M19" s="18"/>
      <c r="N19" s="18"/>
    </row>
    <row r="20" customFormat="false" ht="15" hidden="false" customHeight="false" outlineLevel="0" collapsed="false">
      <c r="A20" s="6"/>
      <c r="B20" s="6"/>
      <c r="C20" s="6"/>
      <c r="D20" s="6"/>
      <c r="E20" s="6"/>
      <c r="F20" s="6"/>
      <c r="G20" s="6"/>
      <c r="H20" s="6"/>
      <c r="I20" s="6"/>
      <c r="J20" s="6"/>
      <c r="K20" s="6"/>
      <c r="L20" s="6"/>
      <c r="M20" s="6"/>
      <c r="N20" s="6"/>
    </row>
    <row r="21" customFormat="false" ht="15" hidden="false" customHeight="false" outlineLevel="0" collapsed="false">
      <c r="A21" s="6"/>
      <c r="B21" s="19" t="s">
        <v>99</v>
      </c>
      <c r="C21" s="8" t="n">
        <f aca="false">0</f>
        <v>0</v>
      </c>
      <c r="D21" s="8" t="n">
        <f aca="false">0</f>
        <v>0</v>
      </c>
      <c r="E21" s="8" t="n">
        <f aca="false">0</f>
        <v>0</v>
      </c>
      <c r="F21" s="8" t="n">
        <f aca="false">0</f>
        <v>0</v>
      </c>
      <c r="G21" s="8" t="n">
        <f aca="false">0</f>
        <v>0</v>
      </c>
      <c r="H21" s="8" t="n">
        <f aca="false">0</f>
        <v>0</v>
      </c>
      <c r="I21" s="8" t="n">
        <f aca="false">0</f>
        <v>0</v>
      </c>
      <c r="J21" s="8" t="n">
        <f aca="false">Fund_Size*Dep_Pct_V1*Exit_MOIC</f>
        <v>925000</v>
      </c>
      <c r="K21" s="8" t="n">
        <f aca="false">0</f>
        <v>0</v>
      </c>
      <c r="L21" s="8" t="n">
        <f aca="false">0</f>
        <v>0</v>
      </c>
      <c r="M21" s="8" t="n">
        <f aca="false">0</f>
        <v>0</v>
      </c>
      <c r="N21" s="8" t="n">
        <f aca="false">0</f>
        <v>0</v>
      </c>
    </row>
    <row r="22" customFormat="false" ht="15" hidden="false" customHeight="false" outlineLevel="0" collapsed="false">
      <c r="A22" s="6"/>
      <c r="B22" s="19" t="s">
        <v>100</v>
      </c>
      <c r="C22" s="8" t="n">
        <f aca="false">0</f>
        <v>0</v>
      </c>
      <c r="D22" s="8" t="n">
        <f aca="false">0</f>
        <v>0</v>
      </c>
      <c r="E22" s="8" t="n">
        <f aca="false">0</f>
        <v>0</v>
      </c>
      <c r="F22" s="8" t="n">
        <f aca="false">0</f>
        <v>0</v>
      </c>
      <c r="G22" s="8" t="n">
        <f aca="false">0</f>
        <v>0</v>
      </c>
      <c r="H22" s="8" t="n">
        <f aca="false">0</f>
        <v>0</v>
      </c>
      <c r="I22" s="8" t="n">
        <f aca="false">0</f>
        <v>0</v>
      </c>
      <c r="J22" s="8" t="n">
        <f aca="false">0</f>
        <v>0</v>
      </c>
      <c r="K22" s="8" t="n">
        <f aca="false">Fund_Size*Dep_Pct_V2*Exit_MOIC</f>
        <v>925000</v>
      </c>
      <c r="L22" s="8" t="n">
        <f aca="false">0</f>
        <v>0</v>
      </c>
      <c r="M22" s="8" t="n">
        <f aca="false">0</f>
        <v>0</v>
      </c>
      <c r="N22" s="8" t="n">
        <f aca="false">0</f>
        <v>0</v>
      </c>
    </row>
    <row r="23" customFormat="false" ht="15" hidden="false" customHeight="false" outlineLevel="0" collapsed="false">
      <c r="A23" s="6"/>
      <c r="B23" s="19" t="s">
        <v>101</v>
      </c>
      <c r="C23" s="8" t="n">
        <f aca="false">0</f>
        <v>0</v>
      </c>
      <c r="D23" s="8" t="n">
        <f aca="false">0</f>
        <v>0</v>
      </c>
      <c r="E23" s="8" t="n">
        <f aca="false">0</f>
        <v>0</v>
      </c>
      <c r="F23" s="8" t="n">
        <f aca="false">0</f>
        <v>0</v>
      </c>
      <c r="G23" s="8" t="n">
        <f aca="false">0</f>
        <v>0</v>
      </c>
      <c r="H23" s="8" t="n">
        <f aca="false">0</f>
        <v>0</v>
      </c>
      <c r="I23" s="8" t="n">
        <f aca="false">0</f>
        <v>0</v>
      </c>
      <c r="J23" s="8" t="n">
        <f aca="false">0</f>
        <v>0</v>
      </c>
      <c r="K23" s="8" t="n">
        <f aca="false">0</f>
        <v>0</v>
      </c>
      <c r="L23" s="8" t="n">
        <f aca="false">Fund_Size*Dep_Pct_V3*Exit_MOIC</f>
        <v>740000</v>
      </c>
      <c r="M23" s="8" t="n">
        <f aca="false">0</f>
        <v>0</v>
      </c>
      <c r="N23" s="8" t="n">
        <f aca="false">0</f>
        <v>0</v>
      </c>
    </row>
    <row r="24" customFormat="false" ht="15" hidden="false" customHeight="false" outlineLevel="0" collapsed="false">
      <c r="A24" s="6"/>
      <c r="B24" s="19" t="s">
        <v>102</v>
      </c>
      <c r="C24" s="8" t="n">
        <f aca="false">0</f>
        <v>0</v>
      </c>
      <c r="D24" s="8" t="n">
        <f aca="false">0</f>
        <v>0</v>
      </c>
      <c r="E24" s="8" t="n">
        <f aca="false">0</f>
        <v>0</v>
      </c>
      <c r="F24" s="8" t="n">
        <f aca="false">0</f>
        <v>0</v>
      </c>
      <c r="G24" s="8" t="n">
        <f aca="false">0</f>
        <v>0</v>
      </c>
      <c r="H24" s="8" t="n">
        <f aca="false">0</f>
        <v>0</v>
      </c>
      <c r="I24" s="8" t="n">
        <f aca="false">0</f>
        <v>0</v>
      </c>
      <c r="J24" s="8" t="n">
        <f aca="false">0</f>
        <v>0</v>
      </c>
      <c r="K24" s="8" t="n">
        <f aca="false">0</f>
        <v>0</v>
      </c>
      <c r="L24" s="8" t="n">
        <f aca="false">Fund_Size*Dep_Pct_V4*Exit_MOIC</f>
        <v>555000</v>
      </c>
      <c r="M24" s="8" t="n">
        <f aca="false">0</f>
        <v>0</v>
      </c>
      <c r="N24" s="8" t="n">
        <f aca="false">0</f>
        <v>0</v>
      </c>
    </row>
    <row r="25" customFormat="false" ht="15" hidden="false" customHeight="false" outlineLevel="0" collapsed="false">
      <c r="A25" s="6"/>
      <c r="B25" s="19" t="s">
        <v>103</v>
      </c>
      <c r="C25" s="8" t="n">
        <f aca="false">0</f>
        <v>0</v>
      </c>
      <c r="D25" s="8" t="n">
        <f aca="false">0</f>
        <v>0</v>
      </c>
      <c r="E25" s="8" t="n">
        <f aca="false">0</f>
        <v>0</v>
      </c>
      <c r="F25" s="8" t="n">
        <f aca="false">0</f>
        <v>0</v>
      </c>
      <c r="G25" s="8" t="n">
        <f aca="false">0</f>
        <v>0</v>
      </c>
      <c r="H25" s="8" t="n">
        <f aca="false">0</f>
        <v>0</v>
      </c>
      <c r="I25" s="8" t="n">
        <f aca="false">0</f>
        <v>0</v>
      </c>
      <c r="J25" s="8" t="n">
        <f aca="false">0</f>
        <v>0</v>
      </c>
      <c r="K25" s="8" t="n">
        <f aca="false">0</f>
        <v>0</v>
      </c>
      <c r="L25" s="8" t="n">
        <f aca="false">Fund_Size*Dep_Pct_V5*Exit_MOIC</f>
        <v>370000</v>
      </c>
      <c r="M25" s="8" t="n">
        <f aca="false">0</f>
        <v>0</v>
      </c>
      <c r="N25" s="8" t="n">
        <f aca="false">0</f>
        <v>0</v>
      </c>
    </row>
    <row r="26" customFormat="false" ht="15" hidden="false" customHeight="false" outlineLevel="0" collapsed="false">
      <c r="A26" s="6"/>
      <c r="B26" s="7" t="s">
        <v>104</v>
      </c>
      <c r="C26" s="25" t="n">
        <f aca="false">SUM(C21:C25)</f>
        <v>0</v>
      </c>
      <c r="D26" s="25" t="n">
        <f aca="false">SUM(D21:D25)</f>
        <v>0</v>
      </c>
      <c r="E26" s="25" t="n">
        <f aca="false">SUM(E21:E25)</f>
        <v>0</v>
      </c>
      <c r="F26" s="25" t="n">
        <f aca="false">SUM(F21:F25)</f>
        <v>0</v>
      </c>
      <c r="G26" s="25" t="n">
        <f aca="false">SUM(G21:G25)</f>
        <v>0</v>
      </c>
      <c r="H26" s="25" t="n">
        <f aca="false">SUM(H21:H25)</f>
        <v>0</v>
      </c>
      <c r="I26" s="25" t="n">
        <f aca="false">SUM(I21:I25)</f>
        <v>0</v>
      </c>
      <c r="J26" s="25" t="n">
        <f aca="false">SUM(J21:J25)</f>
        <v>925000</v>
      </c>
      <c r="K26" s="25" t="n">
        <f aca="false">SUM(K21:K25)</f>
        <v>925000</v>
      </c>
      <c r="L26" s="25" t="n">
        <f aca="false">SUM(L21:L25)</f>
        <v>1665000</v>
      </c>
      <c r="M26" s="25" t="n">
        <f aca="false">SUM(M21:M25)</f>
        <v>0</v>
      </c>
      <c r="N26" s="25" t="n">
        <f aca="false">SUM(N21:N25)</f>
        <v>0</v>
      </c>
    </row>
    <row r="27" customFormat="false" ht="15" hidden="false" customHeight="false" outlineLevel="0" collapsed="false">
      <c r="A27" s="6"/>
      <c r="B27" s="17" t="s">
        <v>105</v>
      </c>
      <c r="C27" s="18"/>
      <c r="D27" s="18"/>
      <c r="E27" s="18"/>
      <c r="F27" s="18"/>
      <c r="G27" s="18"/>
      <c r="H27" s="18"/>
      <c r="I27" s="18"/>
      <c r="J27" s="18"/>
      <c r="K27" s="18"/>
      <c r="L27" s="18"/>
      <c r="M27" s="18"/>
      <c r="N27" s="18"/>
    </row>
    <row r="28" customFormat="false" ht="15" hidden="false" customHeight="false" outlineLevel="0" collapsed="false">
      <c r="A28" s="6"/>
      <c r="B28" s="6"/>
      <c r="C28" s="6"/>
      <c r="D28" s="6"/>
      <c r="E28" s="6"/>
      <c r="F28" s="6"/>
      <c r="G28" s="6"/>
      <c r="H28" s="6"/>
      <c r="I28" s="6"/>
      <c r="J28" s="6"/>
      <c r="K28" s="6"/>
      <c r="L28" s="6"/>
      <c r="M28" s="6"/>
      <c r="N28" s="6"/>
    </row>
    <row r="29" customFormat="false" ht="15" hidden="false" customHeight="false" outlineLevel="0" collapsed="false">
      <c r="A29" s="6"/>
      <c r="B29" s="19" t="s">
        <v>106</v>
      </c>
      <c r="C29" s="8" t="n">
        <f aca="false">0</f>
        <v>0</v>
      </c>
      <c r="D29" s="8" t="n">
        <f aca="false">0</f>
        <v>0</v>
      </c>
      <c r="E29" s="8" t="n">
        <f aca="false">0</f>
        <v>0</v>
      </c>
      <c r="F29" s="8" t="n">
        <f aca="false">0</f>
        <v>0</v>
      </c>
      <c r="G29" s="8" t="n">
        <f aca="false">0</f>
        <v>0</v>
      </c>
      <c r="H29" s="8" t="n">
        <f aca="false">0</f>
        <v>0</v>
      </c>
      <c r="I29" s="8" t="n">
        <f aca="false">0</f>
        <v>0</v>
      </c>
      <c r="J29" s="8" t="n">
        <f aca="false">J21-Fund_Size*Dep_Pct_V1</f>
        <v>425000</v>
      </c>
      <c r="K29" s="8" t="n">
        <f aca="false">0</f>
        <v>0</v>
      </c>
      <c r="L29" s="8" t="n">
        <f aca="false">0</f>
        <v>0</v>
      </c>
      <c r="M29" s="8" t="n">
        <f aca="false">0</f>
        <v>0</v>
      </c>
      <c r="N29" s="8" t="n">
        <f aca="false">0</f>
        <v>0</v>
      </c>
    </row>
    <row r="30" customFormat="false" ht="15" hidden="false" customHeight="false" outlineLevel="0" collapsed="false">
      <c r="A30" s="6"/>
      <c r="B30" s="19" t="s">
        <v>107</v>
      </c>
      <c r="C30" s="8" t="n">
        <f aca="false">0</f>
        <v>0</v>
      </c>
      <c r="D30" s="8" t="n">
        <f aca="false">0</f>
        <v>0</v>
      </c>
      <c r="E30" s="8" t="n">
        <f aca="false">0</f>
        <v>0</v>
      </c>
      <c r="F30" s="8" t="n">
        <f aca="false">0</f>
        <v>0</v>
      </c>
      <c r="G30" s="8" t="n">
        <f aca="false">0</f>
        <v>0</v>
      </c>
      <c r="H30" s="8" t="n">
        <f aca="false">0</f>
        <v>0</v>
      </c>
      <c r="I30" s="8" t="n">
        <f aca="false">0</f>
        <v>0</v>
      </c>
      <c r="J30" s="8" t="n">
        <f aca="false">0</f>
        <v>0</v>
      </c>
      <c r="K30" s="8" t="n">
        <f aca="false">K22-Fund_Size*Dep_Pct_V2</f>
        <v>425000</v>
      </c>
      <c r="L30" s="8" t="n">
        <f aca="false">0</f>
        <v>0</v>
      </c>
      <c r="M30" s="8" t="n">
        <f aca="false">0</f>
        <v>0</v>
      </c>
      <c r="N30" s="8" t="n">
        <f aca="false">0</f>
        <v>0</v>
      </c>
    </row>
    <row r="31" customFormat="false" ht="15" hidden="false" customHeight="false" outlineLevel="0" collapsed="false">
      <c r="A31" s="6"/>
      <c r="B31" s="19" t="s">
        <v>108</v>
      </c>
      <c r="C31" s="8" t="n">
        <f aca="false">0</f>
        <v>0</v>
      </c>
      <c r="D31" s="8" t="n">
        <f aca="false">0</f>
        <v>0</v>
      </c>
      <c r="E31" s="8" t="n">
        <f aca="false">0</f>
        <v>0</v>
      </c>
      <c r="F31" s="8" t="n">
        <f aca="false">0</f>
        <v>0</v>
      </c>
      <c r="G31" s="8" t="n">
        <f aca="false">0</f>
        <v>0</v>
      </c>
      <c r="H31" s="8" t="n">
        <f aca="false">0</f>
        <v>0</v>
      </c>
      <c r="I31" s="8" t="n">
        <f aca="false">0</f>
        <v>0</v>
      </c>
      <c r="J31" s="8" t="n">
        <f aca="false">0</f>
        <v>0</v>
      </c>
      <c r="K31" s="8" t="n">
        <f aca="false">0</f>
        <v>0</v>
      </c>
      <c r="L31" s="8" t="n">
        <f aca="false">L23-Fund_Size*Dep_Pct_V3</f>
        <v>340000</v>
      </c>
      <c r="M31" s="8" t="n">
        <f aca="false">0</f>
        <v>0</v>
      </c>
      <c r="N31" s="8" t="n">
        <f aca="false">0</f>
        <v>0</v>
      </c>
    </row>
    <row r="32" customFormat="false" ht="15" hidden="false" customHeight="false" outlineLevel="0" collapsed="false">
      <c r="A32" s="6"/>
      <c r="B32" s="19" t="s">
        <v>109</v>
      </c>
      <c r="C32" s="8" t="n">
        <f aca="false">0</f>
        <v>0</v>
      </c>
      <c r="D32" s="8" t="n">
        <f aca="false">0</f>
        <v>0</v>
      </c>
      <c r="E32" s="8" t="n">
        <f aca="false">0</f>
        <v>0</v>
      </c>
      <c r="F32" s="8" t="n">
        <f aca="false">0</f>
        <v>0</v>
      </c>
      <c r="G32" s="8" t="n">
        <f aca="false">0</f>
        <v>0</v>
      </c>
      <c r="H32" s="8" t="n">
        <f aca="false">0</f>
        <v>0</v>
      </c>
      <c r="I32" s="8" t="n">
        <f aca="false">0</f>
        <v>0</v>
      </c>
      <c r="J32" s="8" t="n">
        <f aca="false">0</f>
        <v>0</v>
      </c>
      <c r="K32" s="8" t="n">
        <f aca="false">0</f>
        <v>0</v>
      </c>
      <c r="L32" s="8" t="n">
        <f aca="false">L24-Fund_Size*Dep_Pct_V4</f>
        <v>255000</v>
      </c>
      <c r="M32" s="8" t="n">
        <f aca="false">0</f>
        <v>0</v>
      </c>
      <c r="N32" s="8" t="n">
        <f aca="false">0</f>
        <v>0</v>
      </c>
    </row>
    <row r="33" customFormat="false" ht="15" hidden="false" customHeight="false" outlineLevel="0" collapsed="false">
      <c r="A33" s="6"/>
      <c r="B33" s="19" t="s">
        <v>110</v>
      </c>
      <c r="C33" s="8" t="n">
        <f aca="false">0</f>
        <v>0</v>
      </c>
      <c r="D33" s="8" t="n">
        <f aca="false">0</f>
        <v>0</v>
      </c>
      <c r="E33" s="8" t="n">
        <f aca="false">0</f>
        <v>0</v>
      </c>
      <c r="F33" s="8" t="n">
        <f aca="false">0</f>
        <v>0</v>
      </c>
      <c r="G33" s="8" t="n">
        <f aca="false">0</f>
        <v>0</v>
      </c>
      <c r="H33" s="8" t="n">
        <f aca="false">0</f>
        <v>0</v>
      </c>
      <c r="I33" s="8" t="n">
        <f aca="false">0</f>
        <v>0</v>
      </c>
      <c r="J33" s="8" t="n">
        <f aca="false">0</f>
        <v>0</v>
      </c>
      <c r="K33" s="8" t="n">
        <f aca="false">0</f>
        <v>0</v>
      </c>
      <c r="L33" s="8" t="n">
        <f aca="false">L25-Fund_Size*Dep_Pct_V5</f>
        <v>170000</v>
      </c>
      <c r="M33" s="8" t="n">
        <f aca="false">0</f>
        <v>0</v>
      </c>
      <c r="N33" s="8" t="n">
        <f aca="false">0</f>
        <v>0</v>
      </c>
    </row>
    <row r="34" customFormat="false" ht="15" hidden="false" customHeight="false" outlineLevel="0" collapsed="false">
      <c r="A34" s="6"/>
      <c r="B34" s="7" t="s">
        <v>111</v>
      </c>
      <c r="C34" s="25" t="n">
        <f aca="false">SUM(C29:C33)</f>
        <v>0</v>
      </c>
      <c r="D34" s="25" t="n">
        <f aca="false">SUM(D29:D33)</f>
        <v>0</v>
      </c>
      <c r="E34" s="25" t="n">
        <f aca="false">SUM(E29:E33)</f>
        <v>0</v>
      </c>
      <c r="F34" s="25" t="n">
        <f aca="false">SUM(F29:F33)</f>
        <v>0</v>
      </c>
      <c r="G34" s="25" t="n">
        <f aca="false">SUM(G29:G33)</f>
        <v>0</v>
      </c>
      <c r="H34" s="25" t="n">
        <f aca="false">SUM(H29:H33)</f>
        <v>0</v>
      </c>
      <c r="I34" s="25" t="n">
        <f aca="false">SUM(I29:I33)</f>
        <v>0</v>
      </c>
      <c r="J34" s="25" t="n">
        <f aca="false">SUM(J29:J33)</f>
        <v>425000</v>
      </c>
      <c r="K34" s="25" t="n">
        <f aca="false">SUM(K29:K33)</f>
        <v>425000</v>
      </c>
      <c r="L34" s="25" t="n">
        <f aca="false">SUM(L29:L33)</f>
        <v>765000</v>
      </c>
      <c r="M34" s="25" t="n">
        <f aca="false">SUM(M29:M33)</f>
        <v>0</v>
      </c>
      <c r="N34" s="25" t="n">
        <f aca="false">SUM(N29:N33)</f>
        <v>0</v>
      </c>
    </row>
    <row r="35" customFormat="false" ht="15" hidden="false" customHeight="false" outlineLevel="0" collapsed="false">
      <c r="A35" s="6"/>
      <c r="B35" s="17" t="s">
        <v>112</v>
      </c>
      <c r="C35" s="18"/>
      <c r="D35" s="18"/>
      <c r="E35" s="18"/>
      <c r="F35" s="18"/>
      <c r="G35" s="18"/>
      <c r="H35" s="18"/>
      <c r="I35" s="18"/>
      <c r="J35" s="18"/>
      <c r="K35" s="18"/>
      <c r="L35" s="18"/>
      <c r="M35" s="18"/>
      <c r="N35" s="18"/>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6E4BC"/>
    <pageSetUpPr fitToPage="false"/>
  </sheetPr>
  <dimension ref="A1:A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4" min="3" style="0" width="13"/>
  </cols>
  <sheetData>
    <row r="1" customFormat="false" ht="15" hidden="false" customHeight="false" outlineLevel="0" collapsed="false">
      <c r="A1" s="1"/>
      <c r="B1" s="1"/>
      <c r="C1" s="1"/>
      <c r="D1" s="1"/>
      <c r="E1" s="1"/>
      <c r="F1" s="1"/>
      <c r="G1" s="1"/>
      <c r="H1" s="1"/>
      <c r="I1" s="1"/>
      <c r="J1" s="1"/>
      <c r="K1" s="1"/>
      <c r="L1" s="1"/>
      <c r="M1" s="1"/>
      <c r="N1" s="1"/>
      <c r="O1" s="2"/>
      <c r="P1" s="2"/>
      <c r="Q1" s="2"/>
      <c r="R1" s="2"/>
      <c r="S1" s="2"/>
      <c r="T1" s="2"/>
      <c r="U1" s="2"/>
      <c r="V1" s="2"/>
      <c r="W1" s="2"/>
      <c r="X1" s="2"/>
      <c r="Y1" s="2"/>
      <c r="Z1" s="2"/>
      <c r="AA1" s="2"/>
      <c r="AB1" s="2"/>
      <c r="AC1" s="2"/>
      <c r="AD1" s="2"/>
    </row>
    <row r="2" customFormat="false" ht="21.75" hidden="false" customHeight="true" outlineLevel="0" collapsed="false">
      <c r="A2" s="1"/>
      <c r="B2" s="3" t="s">
        <v>113</v>
      </c>
      <c r="C2" s="1"/>
      <c r="D2" s="1"/>
      <c r="E2" s="1"/>
      <c r="F2" s="1"/>
      <c r="G2" s="1"/>
      <c r="H2" s="1"/>
      <c r="I2" s="1"/>
      <c r="J2" s="1"/>
      <c r="K2" s="1"/>
      <c r="L2" s="1"/>
      <c r="M2" s="1"/>
      <c r="N2" s="1"/>
      <c r="O2" s="2"/>
      <c r="P2" s="2"/>
      <c r="Q2" s="2"/>
      <c r="R2" s="2"/>
      <c r="S2" s="2"/>
      <c r="T2" s="2"/>
      <c r="U2" s="2"/>
      <c r="V2" s="2"/>
      <c r="W2" s="2"/>
      <c r="X2" s="2"/>
      <c r="Y2" s="2"/>
      <c r="Z2" s="2"/>
      <c r="AA2" s="2"/>
      <c r="AB2" s="2"/>
      <c r="AC2" s="2"/>
      <c r="AD2" s="2"/>
    </row>
    <row r="3" customFormat="false" ht="15" hidden="false" customHeight="false" outlineLevel="0" collapsed="false">
      <c r="A3" s="1"/>
      <c r="B3" s="5" t="s">
        <v>114</v>
      </c>
      <c r="C3" s="1"/>
      <c r="D3" s="1"/>
      <c r="E3" s="1"/>
      <c r="F3" s="1"/>
      <c r="G3" s="1"/>
      <c r="H3" s="1"/>
      <c r="I3" s="1"/>
      <c r="J3" s="1"/>
      <c r="K3" s="1"/>
      <c r="L3" s="1"/>
      <c r="M3" s="1"/>
      <c r="N3" s="1"/>
      <c r="O3" s="2"/>
      <c r="P3" s="2"/>
      <c r="Q3" s="2"/>
      <c r="R3" s="2"/>
      <c r="S3" s="2"/>
      <c r="T3" s="2"/>
      <c r="U3" s="2"/>
      <c r="V3" s="2"/>
      <c r="W3" s="2"/>
      <c r="X3" s="2"/>
      <c r="Y3" s="2"/>
      <c r="Z3" s="2"/>
      <c r="AA3" s="2"/>
      <c r="AB3" s="2"/>
      <c r="AC3" s="2"/>
      <c r="AD3" s="2"/>
    </row>
    <row r="4" customFormat="false" ht="15" hidden="false" customHeight="false" outlineLevel="0" collapsed="false">
      <c r="A4" s="6"/>
      <c r="B4" s="26" t="s">
        <v>115</v>
      </c>
      <c r="C4" s="27" t="n">
        <v>1</v>
      </c>
      <c r="D4" s="27" t="n">
        <v>2</v>
      </c>
      <c r="E4" s="27" t="n">
        <v>3</v>
      </c>
      <c r="F4" s="27" t="n">
        <v>4</v>
      </c>
      <c r="G4" s="27" t="n">
        <v>5</v>
      </c>
      <c r="H4" s="27" t="n">
        <v>6</v>
      </c>
      <c r="I4" s="27" t="n">
        <v>7</v>
      </c>
      <c r="J4" s="27" t="n">
        <v>8</v>
      </c>
      <c r="K4" s="27" t="n">
        <v>9</v>
      </c>
      <c r="L4" s="27" t="n">
        <v>10</v>
      </c>
      <c r="M4" s="27" t="n">
        <v>11</v>
      </c>
      <c r="N4" s="27" t="n">
        <v>12</v>
      </c>
    </row>
    <row r="5" customFormat="false" ht="15" hidden="false" customHeight="false" outlineLevel="0" collapsed="false">
      <c r="A5" s="6"/>
      <c r="B5" s="19" t="s">
        <v>116</v>
      </c>
      <c r="C5" s="8" t="n">
        <f aca="false">0</f>
        <v>0</v>
      </c>
      <c r="D5" s="8" t="n">
        <f aca="false">Deployment!D13*Yield_Stabilised*Yield_Ramp_Yr1*(1+Yield_Growth)^(2-1)</f>
        <v>17937.5</v>
      </c>
      <c r="E5" s="8" t="n">
        <f aca="false">Deployment!E13*Yield_Stabilised*Yield_Ramp_Yr2*(1+Yield_Growth)^(3-1)</f>
        <v>27578.90625</v>
      </c>
      <c r="F5" s="8" t="n">
        <f aca="false">Deployment!F13*Yield_Stabilised*(1+Yield_Growth)^(4-1)</f>
        <v>37691.171875</v>
      </c>
      <c r="G5" s="8" t="n">
        <f aca="false">Deployment!G13*Yield_Stabilised*(1+Yield_Growth)^(5-1)</f>
        <v>38633.451171875</v>
      </c>
      <c r="H5" s="8" t="n">
        <f aca="false">Deployment!H13*Yield_Stabilised*(1+Yield_Growth)^(6-1)</f>
        <v>39599.2874511719</v>
      </c>
      <c r="I5" s="8" t="n">
        <f aca="false">Deployment!I13*Yield_Stabilised*(1+Yield_Growth)^(7-1)</f>
        <v>40589.2696374512</v>
      </c>
      <c r="J5" s="8" t="n">
        <f aca="false">0</f>
        <v>0</v>
      </c>
      <c r="K5" s="8" t="n">
        <f aca="false">0</f>
        <v>0</v>
      </c>
      <c r="L5" s="8" t="n">
        <f aca="false">0</f>
        <v>0</v>
      </c>
      <c r="M5" s="8" t="n">
        <f aca="false">0</f>
        <v>0</v>
      </c>
      <c r="N5" s="8" t="n">
        <f aca="false">0</f>
        <v>0</v>
      </c>
    </row>
    <row r="6" customFormat="false" ht="15" hidden="false" customHeight="false" outlineLevel="0" collapsed="false">
      <c r="A6" s="6"/>
      <c r="B6" s="19" t="s">
        <v>117</v>
      </c>
      <c r="C6" s="8" t="n">
        <f aca="false">0</f>
        <v>0</v>
      </c>
      <c r="D6" s="8" t="n">
        <f aca="false">0</f>
        <v>0</v>
      </c>
      <c r="E6" s="8" t="n">
        <f aca="false">Deployment!E14*Yield_Stabilised*Yield_Ramp_Yr1*(1+Yield_Growth)^(3-1)</f>
        <v>18385.9375</v>
      </c>
      <c r="F6" s="8" t="n">
        <f aca="false">Deployment!F14*Yield_Stabilised*Yield_Ramp_Yr2*(1+Yield_Growth)^(4-1)</f>
        <v>28268.37890625</v>
      </c>
      <c r="G6" s="8" t="n">
        <f aca="false">Deployment!G14*Yield_Stabilised*(1+Yield_Growth)^(5-1)</f>
        <v>38633.451171875</v>
      </c>
      <c r="H6" s="8" t="n">
        <f aca="false">Deployment!H14*Yield_Stabilised*(1+Yield_Growth)^(6-1)</f>
        <v>39599.2874511719</v>
      </c>
      <c r="I6" s="8" t="n">
        <f aca="false">Deployment!I14*Yield_Stabilised*(1+Yield_Growth)^(7-1)</f>
        <v>40589.2696374512</v>
      </c>
      <c r="J6" s="8" t="n">
        <f aca="false">Deployment!J14*Yield_Stabilised*(1+Yield_Growth)^(8-1)</f>
        <v>41604.0013783874</v>
      </c>
      <c r="K6" s="8" t="n">
        <f aca="false">0</f>
        <v>0</v>
      </c>
      <c r="L6" s="8" t="n">
        <f aca="false">0</f>
        <v>0</v>
      </c>
      <c r="M6" s="8" t="n">
        <f aca="false">0</f>
        <v>0</v>
      </c>
      <c r="N6" s="8" t="n">
        <f aca="false">0</f>
        <v>0</v>
      </c>
    </row>
    <row r="7" customFormat="false" ht="15" hidden="false" customHeight="false" outlineLevel="0" collapsed="false">
      <c r="A7" s="6"/>
      <c r="B7" s="19" t="s">
        <v>118</v>
      </c>
      <c r="C7" s="8" t="n">
        <f aca="false">0</f>
        <v>0</v>
      </c>
      <c r="D7" s="8" t="n">
        <f aca="false">0</f>
        <v>0</v>
      </c>
      <c r="E7" s="8" t="n">
        <f aca="false">0</f>
        <v>0</v>
      </c>
      <c r="F7" s="8" t="n">
        <f aca="false">Deployment!F15*Yield_Stabilised*Yield_Ramp_Yr1*(1+Yield_Growth)^(4-1)</f>
        <v>15076.46875</v>
      </c>
      <c r="G7" s="8" t="n">
        <f aca="false">Deployment!G15*Yield_Stabilised*Yield_Ramp_Yr2*(1+Yield_Growth)^(5-1)</f>
        <v>23180.070703125</v>
      </c>
      <c r="H7" s="8" t="n">
        <f aca="false">Deployment!H15*Yield_Stabilised*(1+Yield_Growth)^(6-1)</f>
        <v>31679.4299609375</v>
      </c>
      <c r="I7" s="8" t="n">
        <f aca="false">Deployment!I15*Yield_Stabilised*(1+Yield_Growth)^(7-1)</f>
        <v>32471.4157099609</v>
      </c>
      <c r="J7" s="8" t="n">
        <f aca="false">Deployment!J15*Yield_Stabilised*(1+Yield_Growth)^(8-1)</f>
        <v>33283.20110271</v>
      </c>
      <c r="K7" s="8" t="n">
        <f aca="false">Deployment!K15*Yield_Stabilised*(1+Yield_Growth)^(9-1)</f>
        <v>34115.2811302777</v>
      </c>
      <c r="L7" s="8" t="n">
        <f aca="false">0</f>
        <v>0</v>
      </c>
      <c r="M7" s="8" t="n">
        <f aca="false">0</f>
        <v>0</v>
      </c>
      <c r="N7" s="8" t="n">
        <f aca="false">0</f>
        <v>0</v>
      </c>
    </row>
    <row r="8" customFormat="false" ht="15" hidden="false" customHeight="false" outlineLevel="0" collapsed="false">
      <c r="A8" s="6"/>
      <c r="B8" s="19" t="s">
        <v>119</v>
      </c>
      <c r="C8" s="8" t="n">
        <f aca="false">0</f>
        <v>0</v>
      </c>
      <c r="D8" s="8" t="n">
        <f aca="false">0</f>
        <v>0</v>
      </c>
      <c r="E8" s="8" t="n">
        <f aca="false">0</f>
        <v>0</v>
      </c>
      <c r="F8" s="8" t="n">
        <f aca="false">0</f>
        <v>0</v>
      </c>
      <c r="G8" s="8" t="n">
        <f aca="false">Deployment!G16*Yield_Stabilised*Yield_Ramp_Yr1*(1+Yield_Growth)^(5-1)</f>
        <v>11590.0353515625</v>
      </c>
      <c r="H8" s="8" t="n">
        <f aca="false">Deployment!H16*Yield_Stabilised*Yield_Ramp_Yr2*(1+Yield_Growth)^(6-1)</f>
        <v>17819.6793530273</v>
      </c>
      <c r="I8" s="8" t="n">
        <f aca="false">Deployment!I16*Yield_Stabilised*(1+Yield_Growth)^(7-1)</f>
        <v>24353.5617824707</v>
      </c>
      <c r="J8" s="8" t="n">
        <f aca="false">Deployment!J16*Yield_Stabilised*(1+Yield_Growth)^(8-1)</f>
        <v>24962.4008270325</v>
      </c>
      <c r="K8" s="8" t="n">
        <f aca="false">Deployment!K16*Yield_Stabilised*(1+Yield_Growth)^(9-1)</f>
        <v>25586.4608477083</v>
      </c>
      <c r="L8" s="8" t="n">
        <f aca="false">0</f>
        <v>0</v>
      </c>
      <c r="M8" s="8" t="n">
        <f aca="false">0</f>
        <v>0</v>
      </c>
      <c r="N8" s="8" t="n">
        <f aca="false">0</f>
        <v>0</v>
      </c>
    </row>
    <row r="9" customFormat="false" ht="15" hidden="false" customHeight="false" outlineLevel="0" collapsed="false">
      <c r="A9" s="6"/>
      <c r="B9" s="19" t="s">
        <v>120</v>
      </c>
      <c r="C9" s="8" t="n">
        <f aca="false">0</f>
        <v>0</v>
      </c>
      <c r="D9" s="8" t="n">
        <f aca="false">0</f>
        <v>0</v>
      </c>
      <c r="E9" s="8" t="n">
        <f aca="false">0</f>
        <v>0</v>
      </c>
      <c r="F9" s="8" t="n">
        <f aca="false">0</f>
        <v>0</v>
      </c>
      <c r="G9" s="8" t="n">
        <f aca="false">0</f>
        <v>0</v>
      </c>
      <c r="H9" s="8" t="n">
        <f aca="false">Deployment!H17*Yield_Stabilised*Yield_Ramp_Yr1*(1+Yield_Growth)^(6-1)</f>
        <v>7919.85749023437</v>
      </c>
      <c r="I9" s="8" t="n">
        <f aca="false">Deployment!I17*Yield_Stabilised*Yield_Ramp_Yr2*(1+Yield_Growth)^(7-1)</f>
        <v>12176.7808912353</v>
      </c>
      <c r="J9" s="8" t="n">
        <f aca="false">Deployment!J17*Yield_Stabilised*(1+Yield_Growth)^(8-1)</f>
        <v>16641.600551355</v>
      </c>
      <c r="K9" s="8" t="n">
        <f aca="false">Deployment!K17*Yield_Stabilised*(1+Yield_Growth)^(9-1)</f>
        <v>17057.6405651388</v>
      </c>
      <c r="L9" s="8" t="n">
        <f aca="false">0</f>
        <v>0</v>
      </c>
      <c r="M9" s="8" t="n">
        <f aca="false">0</f>
        <v>0</v>
      </c>
      <c r="N9" s="8" t="n">
        <f aca="false">0</f>
        <v>0</v>
      </c>
    </row>
    <row r="10" customFormat="false" ht="15" hidden="false" customHeight="false" outlineLevel="0" collapsed="false">
      <c r="A10" s="6"/>
      <c r="B10" s="7" t="s">
        <v>121</v>
      </c>
      <c r="C10" s="25" t="n">
        <f aca="false">SUM(C5:C9)</f>
        <v>0</v>
      </c>
      <c r="D10" s="25" t="n">
        <f aca="false">SUM(D5:D9)</f>
        <v>17937.5</v>
      </c>
      <c r="E10" s="25" t="n">
        <f aca="false">SUM(E5:E9)</f>
        <v>45964.84375</v>
      </c>
      <c r="F10" s="25" t="n">
        <f aca="false">SUM(F5:F9)</f>
        <v>81036.01953125</v>
      </c>
      <c r="G10" s="25" t="n">
        <f aca="false">SUM(G5:G9)</f>
        <v>112037.008398437</v>
      </c>
      <c r="H10" s="25" t="n">
        <f aca="false">SUM(H5:H9)</f>
        <v>136617.541706543</v>
      </c>
      <c r="I10" s="25" t="n">
        <f aca="false">SUM(I5:I9)</f>
        <v>150180.297658569</v>
      </c>
      <c r="J10" s="25" t="n">
        <f aca="false">SUM(J5:J9)</f>
        <v>116491.203859485</v>
      </c>
      <c r="K10" s="25" t="n">
        <f aca="false">SUM(K5:K9)</f>
        <v>76759.3825431248</v>
      </c>
      <c r="L10" s="25" t="n">
        <f aca="false">SUM(L5:L9)</f>
        <v>0</v>
      </c>
      <c r="M10" s="25" t="n">
        <f aca="false">SUM(M5:M9)</f>
        <v>0</v>
      </c>
      <c r="N10" s="25" t="n">
        <f aca="false">SUM(N5:N9)</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CE4D6"/>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4" min="3" style="0" width="13"/>
  </cols>
  <sheetData>
    <row r="1" customFormat="false" ht="15" hidden="false" customHeight="false" outlineLevel="0" collapsed="false">
      <c r="A1" s="1"/>
      <c r="B1" s="1"/>
      <c r="C1" s="1"/>
      <c r="D1" s="1"/>
      <c r="E1" s="1"/>
      <c r="F1" s="1"/>
      <c r="G1" s="1"/>
      <c r="H1" s="1"/>
      <c r="I1" s="1"/>
      <c r="J1" s="1"/>
      <c r="K1" s="1"/>
      <c r="L1" s="1"/>
      <c r="M1" s="1"/>
      <c r="N1" s="1"/>
      <c r="O1" s="2"/>
      <c r="P1" s="2"/>
      <c r="Q1" s="2"/>
      <c r="R1" s="2"/>
      <c r="S1" s="2"/>
      <c r="T1" s="2"/>
      <c r="U1" s="2"/>
      <c r="V1" s="2"/>
      <c r="W1" s="2"/>
      <c r="X1" s="2"/>
      <c r="Y1" s="2"/>
      <c r="Z1" s="2"/>
      <c r="AA1" s="2"/>
      <c r="AB1" s="2"/>
      <c r="AC1" s="2"/>
      <c r="AD1" s="2"/>
    </row>
    <row r="2" customFormat="false" ht="21.75" hidden="false" customHeight="true" outlineLevel="0" collapsed="false">
      <c r="A2" s="1"/>
      <c r="B2" s="3" t="s">
        <v>122</v>
      </c>
      <c r="C2" s="1"/>
      <c r="D2" s="1"/>
      <c r="E2" s="1"/>
      <c r="F2" s="1"/>
      <c r="G2" s="1"/>
      <c r="H2" s="1"/>
      <c r="I2" s="1"/>
      <c r="J2" s="1"/>
      <c r="K2" s="1"/>
      <c r="L2" s="1"/>
      <c r="M2" s="1"/>
      <c r="N2" s="1"/>
      <c r="O2" s="2"/>
      <c r="P2" s="2"/>
      <c r="Q2" s="2"/>
      <c r="R2" s="2"/>
      <c r="S2" s="2"/>
      <c r="T2" s="2"/>
      <c r="U2" s="2"/>
      <c r="V2" s="2"/>
      <c r="W2" s="2"/>
      <c r="X2" s="2"/>
      <c r="Y2" s="2"/>
      <c r="Z2" s="2"/>
      <c r="AA2" s="2"/>
      <c r="AB2" s="2"/>
      <c r="AC2" s="2"/>
      <c r="AD2" s="2"/>
    </row>
    <row r="3" customFormat="false" ht="15" hidden="false" customHeight="false" outlineLevel="0" collapsed="false">
      <c r="A3" s="1"/>
      <c r="B3" s="5" t="s">
        <v>123</v>
      </c>
      <c r="C3" s="1"/>
      <c r="D3" s="1"/>
      <c r="E3" s="1"/>
      <c r="F3" s="1"/>
      <c r="G3" s="1"/>
      <c r="H3" s="1"/>
      <c r="I3" s="1"/>
      <c r="J3" s="1"/>
      <c r="K3" s="1"/>
      <c r="L3" s="1"/>
      <c r="M3" s="1"/>
      <c r="N3" s="1"/>
      <c r="O3" s="2"/>
      <c r="P3" s="2"/>
      <c r="Q3" s="2"/>
      <c r="R3" s="2"/>
      <c r="S3" s="2"/>
      <c r="T3" s="2"/>
      <c r="U3" s="2"/>
      <c r="V3" s="2"/>
      <c r="W3" s="2"/>
      <c r="X3" s="2"/>
      <c r="Y3" s="2"/>
      <c r="Z3" s="2"/>
      <c r="AA3" s="2"/>
      <c r="AB3" s="2"/>
      <c r="AC3" s="2"/>
      <c r="AD3" s="2"/>
    </row>
    <row r="4" customFormat="false" ht="15" hidden="false" customHeight="false" outlineLevel="0" collapsed="false">
      <c r="A4" s="6"/>
      <c r="B4" s="26" t="s">
        <v>115</v>
      </c>
      <c r="C4" s="27" t="n">
        <v>1</v>
      </c>
      <c r="D4" s="27" t="n">
        <v>2</v>
      </c>
      <c r="E4" s="27" t="n">
        <v>3</v>
      </c>
      <c r="F4" s="27" t="n">
        <v>4</v>
      </c>
      <c r="G4" s="27" t="n">
        <v>5</v>
      </c>
      <c r="H4" s="27" t="n">
        <v>6</v>
      </c>
      <c r="I4" s="27" t="n">
        <v>7</v>
      </c>
      <c r="J4" s="27" t="n">
        <v>8</v>
      </c>
      <c r="K4" s="27" t="n">
        <v>9</v>
      </c>
      <c r="L4" s="27" t="n">
        <v>10</v>
      </c>
      <c r="M4" s="27" t="n">
        <v>11</v>
      </c>
      <c r="N4" s="27" t="n">
        <v>12</v>
      </c>
    </row>
    <row r="5" customFormat="false" ht="15" hidden="false" customHeight="false" outlineLevel="0" collapsed="false">
      <c r="A5" s="6"/>
      <c r="B5" s="19" t="s">
        <v>124</v>
      </c>
      <c r="C5" s="8" t="n">
        <f aca="false">Fund_Size*Mgmt_Fee_Rate_Inv</f>
        <v>30000</v>
      </c>
      <c r="D5" s="8" t="n">
        <f aca="false">Fund_Size*Mgmt_Fee_Rate_Inv</f>
        <v>30000</v>
      </c>
      <c r="E5" s="8" t="n">
        <f aca="false">Fund_Size*Mgmt_Fee_Rate_Inv</f>
        <v>30000</v>
      </c>
      <c r="F5" s="8" t="n">
        <f aca="false">Fund_Size*Mgmt_Fee_Rate_Inv</f>
        <v>30000</v>
      </c>
      <c r="G5" s="8" t="n">
        <f aca="false">Fund_Size*Mgmt_Fee_Rate_Inv</f>
        <v>30000</v>
      </c>
      <c r="H5" s="8" t="n">
        <f aca="false">Deployment!H18*Mgmt_Fee_Rate_Harv</f>
        <v>23750</v>
      </c>
      <c r="I5" s="8" t="n">
        <f aca="false">Deployment!I18*Mgmt_Fee_Rate_Harv</f>
        <v>23750</v>
      </c>
      <c r="J5" s="8" t="n">
        <f aca="false">Deployment!J18*Mgmt_Fee_Rate_Harv</f>
        <v>17500</v>
      </c>
      <c r="K5" s="8" t="n">
        <f aca="false">Deployment!K18*Mgmt_Fee_Rate_Harv</f>
        <v>11250</v>
      </c>
      <c r="L5" s="8" t="n">
        <f aca="false">Deployment!L18*Mgmt_Fee_Rate_Harv</f>
        <v>0</v>
      </c>
      <c r="M5" s="8" t="n">
        <f aca="false">Deployment!M18*Mgmt_Fee_Rate_Harv</f>
        <v>0</v>
      </c>
      <c r="N5" s="8" t="n">
        <f aca="false">Deployment!N18*Mgmt_Fee_Rate_Harv</f>
        <v>0</v>
      </c>
    </row>
    <row r="6" customFormat="false" ht="15" hidden="false" customHeight="false" outlineLevel="0" collapsed="false">
      <c r="A6" s="6"/>
      <c r="B6" s="19" t="s">
        <v>33</v>
      </c>
      <c r="C6" s="8" t="n">
        <f aca="false">Fund_Size*Fund_Exp_Rate+Fund_Size*Org_Cost_Rate</f>
        <v>14000</v>
      </c>
      <c r="D6" s="8" t="n">
        <f aca="false">Fund_Size*Fund_Exp_Rate</f>
        <v>4000</v>
      </c>
      <c r="E6" s="8" t="n">
        <f aca="false">Fund_Size*Fund_Exp_Rate</f>
        <v>4000</v>
      </c>
      <c r="F6" s="8" t="n">
        <f aca="false">Fund_Size*Fund_Exp_Rate</f>
        <v>4000</v>
      </c>
      <c r="G6" s="8" t="n">
        <f aca="false">Fund_Size*Fund_Exp_Rate</f>
        <v>4000</v>
      </c>
      <c r="H6" s="8" t="n">
        <f aca="false">Fund_Size*Fund_Exp_Rate</f>
        <v>4000</v>
      </c>
      <c r="I6" s="8" t="n">
        <f aca="false">Fund_Size*Fund_Exp_Rate</f>
        <v>4000</v>
      </c>
      <c r="J6" s="8" t="n">
        <f aca="false">Fund_Size*Fund_Exp_Rate</f>
        <v>4000</v>
      </c>
      <c r="K6" s="8" t="n">
        <f aca="false">Fund_Size*Fund_Exp_Rate</f>
        <v>4000</v>
      </c>
      <c r="L6" s="8" t="n">
        <f aca="false">Fund_Size*Fund_Exp_Rate</f>
        <v>4000</v>
      </c>
      <c r="M6" s="8" t="n">
        <f aca="false">Fund_Size*Fund_Exp_Rate</f>
        <v>4000</v>
      </c>
      <c r="N6" s="8" t="n">
        <f aca="false">Fund_Size*Fund_Exp_Rate</f>
        <v>4000</v>
      </c>
    </row>
    <row r="7" customFormat="false" ht="15" hidden="false" customHeight="false" outlineLevel="0" collapsed="false">
      <c r="A7" s="6"/>
      <c r="B7" s="19" t="s">
        <v>125</v>
      </c>
      <c r="C7" s="8" t="n">
        <f aca="false">Deployment!C10</f>
        <v>500000</v>
      </c>
      <c r="D7" s="8" t="n">
        <f aca="false">Deployment!D10</f>
        <v>500000</v>
      </c>
      <c r="E7" s="8" t="n">
        <f aca="false">Deployment!E10</f>
        <v>400000</v>
      </c>
      <c r="F7" s="8" t="n">
        <f aca="false">Deployment!F10</f>
        <v>300000</v>
      </c>
      <c r="G7" s="8" t="n">
        <f aca="false">Deployment!G10</f>
        <v>200000</v>
      </c>
      <c r="H7" s="8" t="n">
        <f aca="false">Deployment!H10</f>
        <v>0</v>
      </c>
      <c r="I7" s="8" t="n">
        <f aca="false">Deployment!I10</f>
        <v>0</v>
      </c>
      <c r="J7" s="8" t="n">
        <f aca="false">Deployment!J10</f>
        <v>0</v>
      </c>
      <c r="K7" s="8" t="n">
        <f aca="false">Deployment!K10</f>
        <v>0</v>
      </c>
      <c r="L7" s="8" t="n">
        <f aca="false">Deployment!L10</f>
        <v>0</v>
      </c>
      <c r="M7" s="8" t="n">
        <f aca="false">Deployment!M10</f>
        <v>0</v>
      </c>
      <c r="N7" s="8" t="n">
        <f aca="false">Deployment!N10</f>
        <v>0</v>
      </c>
    </row>
    <row r="8" customFormat="false" ht="15" hidden="false" customHeight="false" outlineLevel="0" collapsed="false">
      <c r="A8" s="6"/>
      <c r="B8" s="19" t="s">
        <v>126</v>
      </c>
      <c r="C8" s="8" t="n">
        <f aca="false">C7+C5+C6</f>
        <v>544000</v>
      </c>
      <c r="D8" s="8" t="n">
        <f aca="false">D7+D5+D6</f>
        <v>534000</v>
      </c>
      <c r="E8" s="8" t="n">
        <f aca="false">E7+E5+E6</f>
        <v>434000</v>
      </c>
      <c r="F8" s="8" t="n">
        <f aca="false">F7+F5+F6</f>
        <v>334000</v>
      </c>
      <c r="G8" s="8" t="n">
        <f aca="false">G7+G5+G6</f>
        <v>234000</v>
      </c>
      <c r="H8" s="8" t="n">
        <f aca="false">H7+H5+H6</f>
        <v>27750</v>
      </c>
      <c r="I8" s="8" t="n">
        <f aca="false">I7+I5+I6</f>
        <v>27750</v>
      </c>
      <c r="J8" s="8" t="n">
        <f aca="false">J7+J5+J6</f>
        <v>21500</v>
      </c>
      <c r="K8" s="8" t="n">
        <f aca="false">K7+K5+K6</f>
        <v>15250</v>
      </c>
      <c r="L8" s="8" t="n">
        <f aca="false">L7+L5+L6</f>
        <v>4000</v>
      </c>
      <c r="M8" s="8" t="n">
        <f aca="false">M7+M5+M6</f>
        <v>4000</v>
      </c>
      <c r="N8" s="8" t="n">
        <f aca="false">N7+N5+N6</f>
        <v>4000</v>
      </c>
    </row>
    <row r="9" customFormat="false" ht="15" hidden="false" customHeight="false" outlineLevel="0" collapsed="false">
      <c r="A9" s="6"/>
      <c r="B9" s="19" t="s">
        <v>127</v>
      </c>
      <c r="C9" s="8" t="n">
        <f aca="false">Fund_Size</f>
        <v>2000000</v>
      </c>
      <c r="D9" s="8" t="n">
        <f aca="false">Fund_Size-C11</f>
        <v>1456000</v>
      </c>
      <c r="E9" s="8" t="n">
        <f aca="false">Fund_Size-D11</f>
        <v>922000</v>
      </c>
      <c r="F9" s="8" t="n">
        <f aca="false">Fund_Size-E11</f>
        <v>488000</v>
      </c>
      <c r="G9" s="8" t="n">
        <f aca="false">Fund_Size-F11</f>
        <v>154000</v>
      </c>
      <c r="H9" s="8" t="n">
        <f aca="false">Fund_Size-G11</f>
        <v>0</v>
      </c>
      <c r="I9" s="8" t="n">
        <f aca="false">Fund_Size-H11</f>
        <v>0</v>
      </c>
      <c r="J9" s="8" t="n">
        <f aca="false">Fund_Size-I11</f>
        <v>0</v>
      </c>
      <c r="K9" s="8" t="n">
        <f aca="false">Fund_Size-J11</f>
        <v>0</v>
      </c>
      <c r="L9" s="8" t="n">
        <f aca="false">Fund_Size-K11</f>
        <v>0</v>
      </c>
      <c r="M9" s="8" t="n">
        <f aca="false">Fund_Size-L11</f>
        <v>0</v>
      </c>
      <c r="N9" s="8" t="n">
        <f aca="false">Fund_Size-M11</f>
        <v>0</v>
      </c>
    </row>
    <row r="10" customFormat="false" ht="15" hidden="false" customHeight="false" outlineLevel="0" collapsed="false">
      <c r="A10" s="6"/>
      <c r="B10" s="7" t="s">
        <v>128</v>
      </c>
      <c r="C10" s="28" t="n">
        <f aca="false">MIN(C8,MAX(0,C9))</f>
        <v>544000</v>
      </c>
      <c r="D10" s="28" t="n">
        <f aca="false">MIN(D8,MAX(0,D9))</f>
        <v>534000</v>
      </c>
      <c r="E10" s="28" t="n">
        <f aca="false">MIN(E8,MAX(0,E9))</f>
        <v>434000</v>
      </c>
      <c r="F10" s="28" t="n">
        <f aca="false">MIN(F8,MAX(0,F9))</f>
        <v>334000</v>
      </c>
      <c r="G10" s="28" t="n">
        <f aca="false">MIN(G8,MAX(0,G9))</f>
        <v>154000</v>
      </c>
      <c r="H10" s="28" t="n">
        <f aca="false">MIN(H8,MAX(0,H9))</f>
        <v>0</v>
      </c>
      <c r="I10" s="28" t="n">
        <f aca="false">MIN(I8,MAX(0,I9))</f>
        <v>0</v>
      </c>
      <c r="J10" s="28" t="n">
        <f aca="false">MIN(J8,MAX(0,J9))</f>
        <v>0</v>
      </c>
      <c r="K10" s="28" t="n">
        <f aca="false">MIN(K8,MAX(0,K9))</f>
        <v>0</v>
      </c>
      <c r="L10" s="28" t="n">
        <f aca="false">MIN(L8,MAX(0,L9))</f>
        <v>0</v>
      </c>
      <c r="M10" s="28" t="n">
        <f aca="false">MIN(M8,MAX(0,M9))</f>
        <v>0</v>
      </c>
      <c r="N10" s="28" t="n">
        <f aca="false">MIN(N8,MAX(0,N9))</f>
        <v>0</v>
      </c>
    </row>
    <row r="11" customFormat="false" ht="15" hidden="false" customHeight="false" outlineLevel="0" collapsed="false">
      <c r="A11" s="6"/>
      <c r="B11" s="7" t="s">
        <v>129</v>
      </c>
      <c r="C11" s="8" t="n">
        <f aca="false">C10</f>
        <v>544000</v>
      </c>
      <c r="D11" s="8" t="n">
        <f aca="false">C11+D10</f>
        <v>1078000</v>
      </c>
      <c r="E11" s="8" t="n">
        <f aca="false">D11+E10</f>
        <v>1512000</v>
      </c>
      <c r="F11" s="8" t="n">
        <f aca="false">E11+F10</f>
        <v>1846000</v>
      </c>
      <c r="G11" s="8" t="n">
        <f aca="false">F11+G10</f>
        <v>2000000</v>
      </c>
      <c r="H11" s="8" t="n">
        <f aca="false">G11+H10</f>
        <v>2000000</v>
      </c>
      <c r="I11" s="8" t="n">
        <f aca="false">H11+I10</f>
        <v>2000000</v>
      </c>
      <c r="J11" s="8" t="n">
        <f aca="false">I11+J10</f>
        <v>2000000</v>
      </c>
      <c r="K11" s="8" t="n">
        <f aca="false">J11+K10</f>
        <v>2000000</v>
      </c>
      <c r="L11" s="8" t="n">
        <f aca="false">K11+L10</f>
        <v>2000000</v>
      </c>
      <c r="M11" s="8" t="n">
        <f aca="false">L11+M10</f>
        <v>2000000</v>
      </c>
      <c r="N11" s="8" t="n">
        <f aca="false">M11+N10</f>
        <v>2000000</v>
      </c>
    </row>
    <row r="12" customFormat="false" ht="15" hidden="false" customHeight="false" outlineLevel="0" collapsed="false">
      <c r="A12" s="6"/>
      <c r="B12" s="17" t="s">
        <v>130</v>
      </c>
      <c r="C12" s="18"/>
      <c r="D12" s="18"/>
      <c r="E12" s="18"/>
      <c r="F12" s="18"/>
      <c r="G12" s="18"/>
      <c r="H12" s="18"/>
      <c r="I12" s="18"/>
      <c r="J12" s="18"/>
      <c r="K12" s="18"/>
      <c r="L12" s="18"/>
      <c r="M12" s="18"/>
      <c r="N12" s="18"/>
    </row>
    <row r="13" customFormat="false" ht="15" hidden="false" customHeight="false" outlineLevel="0" collapsed="false">
      <c r="A13" s="6"/>
      <c r="B13" s="19" t="s">
        <v>131</v>
      </c>
      <c r="C13" s="8" t="n">
        <f aca="false">C10*GP_Coinvest_Pct</f>
        <v>10880</v>
      </c>
      <c r="D13" s="8" t="n">
        <f aca="false">D10*GP_Coinvest_Pct</f>
        <v>10680</v>
      </c>
      <c r="E13" s="8" t="n">
        <f aca="false">E10*GP_Coinvest_Pct</f>
        <v>8680</v>
      </c>
      <c r="F13" s="8" t="n">
        <f aca="false">F10*GP_Coinvest_Pct</f>
        <v>6680</v>
      </c>
      <c r="G13" s="8" t="n">
        <f aca="false">G10*GP_Coinvest_Pct</f>
        <v>3080</v>
      </c>
      <c r="H13" s="8" t="n">
        <f aca="false">H10*GP_Coinvest_Pct</f>
        <v>0</v>
      </c>
      <c r="I13" s="8" t="n">
        <f aca="false">I10*GP_Coinvest_Pct</f>
        <v>0</v>
      </c>
      <c r="J13" s="8" t="n">
        <f aca="false">J10*GP_Coinvest_Pct</f>
        <v>0</v>
      </c>
      <c r="K13" s="8" t="n">
        <f aca="false">K10*GP_Coinvest_Pct</f>
        <v>0</v>
      </c>
      <c r="L13" s="8" t="n">
        <f aca="false">L10*GP_Coinvest_Pct</f>
        <v>0</v>
      </c>
      <c r="M13" s="8" t="n">
        <f aca="false">M10*GP_Coinvest_Pct</f>
        <v>0</v>
      </c>
      <c r="N13" s="8" t="n">
        <f aca="false">N10*GP_Coinvest_Pct</f>
        <v>0</v>
      </c>
    </row>
    <row r="14" customFormat="false" ht="15" hidden="false" customHeight="false" outlineLevel="0" collapsed="false">
      <c r="A14" s="6"/>
      <c r="B14" s="19" t="s">
        <v>132</v>
      </c>
      <c r="C14" s="8" t="n">
        <f aca="false">C10*(1-GP_Coinvest_Pct)</f>
        <v>533120</v>
      </c>
      <c r="D14" s="8" t="n">
        <f aca="false">D10*(1-GP_Coinvest_Pct)</f>
        <v>523320</v>
      </c>
      <c r="E14" s="8" t="n">
        <f aca="false">E10*(1-GP_Coinvest_Pct)</f>
        <v>425320</v>
      </c>
      <c r="F14" s="8" t="n">
        <f aca="false">F10*(1-GP_Coinvest_Pct)</f>
        <v>327320</v>
      </c>
      <c r="G14" s="8" t="n">
        <f aca="false">G10*(1-GP_Coinvest_Pct)</f>
        <v>150920</v>
      </c>
      <c r="H14" s="8" t="n">
        <f aca="false">H10*(1-GP_Coinvest_Pct)</f>
        <v>0</v>
      </c>
      <c r="I14" s="8" t="n">
        <f aca="false">I10*(1-GP_Coinvest_Pct)</f>
        <v>0</v>
      </c>
      <c r="J14" s="8" t="n">
        <f aca="false">J10*(1-GP_Coinvest_Pct)</f>
        <v>0</v>
      </c>
      <c r="K14" s="8" t="n">
        <f aca="false">K10*(1-GP_Coinvest_Pct)</f>
        <v>0</v>
      </c>
      <c r="L14" s="8" t="n">
        <f aca="false">L10*(1-GP_Coinvest_Pct)</f>
        <v>0</v>
      </c>
      <c r="M14" s="8" t="n">
        <f aca="false">M10*(1-GP_Coinvest_Pct)</f>
        <v>0</v>
      </c>
      <c r="N14" s="8" t="n">
        <f aca="false">N10*(1-GP_Coinvest_Pct)</f>
        <v>0</v>
      </c>
    </row>
    <row r="15" customFormat="false" ht="15" hidden="false" customHeight="false" outlineLevel="0" collapsed="false">
      <c r="A15" s="6"/>
      <c r="B15" s="7" t="s">
        <v>133</v>
      </c>
      <c r="C15" s="28" t="n">
        <f aca="false">C14</f>
        <v>533120</v>
      </c>
      <c r="D15" s="28" t="n">
        <f aca="false">C15+D14</f>
        <v>1056440</v>
      </c>
      <c r="E15" s="28" t="n">
        <f aca="false">D15+E14</f>
        <v>1481760</v>
      </c>
      <c r="F15" s="28" t="n">
        <f aca="false">E15+F14</f>
        <v>1809080</v>
      </c>
      <c r="G15" s="28" t="n">
        <f aca="false">F15+G14</f>
        <v>1960000</v>
      </c>
      <c r="H15" s="28" t="n">
        <f aca="false">G15+H14</f>
        <v>1960000</v>
      </c>
      <c r="I15" s="28" t="n">
        <f aca="false">H15+I14</f>
        <v>1960000</v>
      </c>
      <c r="J15" s="28" t="n">
        <f aca="false">I15+J14</f>
        <v>1960000</v>
      </c>
      <c r="K15" s="28" t="n">
        <f aca="false">J15+K14</f>
        <v>1960000</v>
      </c>
      <c r="L15" s="28" t="n">
        <f aca="false">K15+L14</f>
        <v>1960000</v>
      </c>
      <c r="M15" s="28" t="n">
        <f aca="false">L15+M14</f>
        <v>1960000</v>
      </c>
      <c r="N15" s="28" t="n">
        <f aca="false">M15+N14</f>
        <v>1960000</v>
      </c>
    </row>
    <row r="16" customFormat="false" ht="15" hidden="false" customHeight="false" outlineLevel="0" collapsed="false">
      <c r="A16" s="6"/>
      <c r="B16" s="7" t="s">
        <v>134</v>
      </c>
      <c r="C16" s="8" t="n">
        <f aca="false">C13</f>
        <v>10880</v>
      </c>
      <c r="D16" s="8" t="n">
        <f aca="false">C16+D13</f>
        <v>21560</v>
      </c>
      <c r="E16" s="8" t="n">
        <f aca="false">D16+E13</f>
        <v>30240</v>
      </c>
      <c r="F16" s="8" t="n">
        <f aca="false">E16+F13</f>
        <v>36920</v>
      </c>
      <c r="G16" s="8" t="n">
        <f aca="false">F16+G13</f>
        <v>40000</v>
      </c>
      <c r="H16" s="8" t="n">
        <f aca="false">G16+H13</f>
        <v>40000</v>
      </c>
      <c r="I16" s="8" t="n">
        <f aca="false">H16+I13</f>
        <v>40000</v>
      </c>
      <c r="J16" s="8" t="n">
        <f aca="false">I16+J13</f>
        <v>40000</v>
      </c>
      <c r="K16" s="8" t="n">
        <f aca="false">J16+K13</f>
        <v>40000</v>
      </c>
      <c r="L16" s="8" t="n">
        <f aca="false">K16+L13</f>
        <v>40000</v>
      </c>
      <c r="M16" s="8" t="n">
        <f aca="false">L16+M13</f>
        <v>40000</v>
      </c>
      <c r="N16" s="8" t="n">
        <f aca="false">M16+N13</f>
        <v>40000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6E4BC"/>
    <pageSetUpPr fitToPage="false"/>
  </sheetPr>
  <dimension ref="A1:AD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4" min="3" style="0" width="13"/>
  </cols>
  <sheetData>
    <row r="1" customFormat="false" ht="15" hidden="false" customHeight="false" outlineLevel="0" collapsed="false">
      <c r="A1" s="1"/>
      <c r="B1" s="1"/>
      <c r="C1" s="1"/>
      <c r="D1" s="1"/>
      <c r="E1" s="1"/>
      <c r="F1" s="1"/>
      <c r="G1" s="1"/>
      <c r="H1" s="1"/>
      <c r="I1" s="1"/>
      <c r="J1" s="1"/>
      <c r="K1" s="1"/>
      <c r="L1" s="1"/>
      <c r="M1" s="1"/>
      <c r="N1" s="1"/>
      <c r="O1" s="2"/>
      <c r="P1" s="2"/>
      <c r="Q1" s="2"/>
      <c r="R1" s="2"/>
      <c r="S1" s="2"/>
      <c r="T1" s="2"/>
      <c r="U1" s="2"/>
      <c r="V1" s="2"/>
      <c r="W1" s="2"/>
      <c r="X1" s="2"/>
      <c r="Y1" s="2"/>
      <c r="Z1" s="2"/>
      <c r="AA1" s="2"/>
      <c r="AB1" s="2"/>
      <c r="AC1" s="2"/>
      <c r="AD1" s="2"/>
    </row>
    <row r="2" customFormat="false" ht="21.75" hidden="false" customHeight="true" outlineLevel="0" collapsed="false">
      <c r="A2" s="1"/>
      <c r="B2" s="3" t="s">
        <v>135</v>
      </c>
      <c r="C2" s="1"/>
      <c r="D2" s="1"/>
      <c r="E2" s="1"/>
      <c r="F2" s="1"/>
      <c r="G2" s="1"/>
      <c r="H2" s="1"/>
      <c r="I2" s="1"/>
      <c r="J2" s="1"/>
      <c r="K2" s="1"/>
      <c r="L2" s="1"/>
      <c r="M2" s="1"/>
      <c r="N2" s="1"/>
      <c r="O2" s="2"/>
      <c r="P2" s="2"/>
      <c r="Q2" s="2"/>
      <c r="R2" s="2"/>
      <c r="S2" s="2"/>
      <c r="T2" s="2"/>
      <c r="U2" s="2"/>
      <c r="V2" s="2"/>
      <c r="W2" s="2"/>
      <c r="X2" s="2"/>
      <c r="Y2" s="2"/>
      <c r="Z2" s="2"/>
      <c r="AA2" s="2"/>
      <c r="AB2" s="2"/>
      <c r="AC2" s="2"/>
      <c r="AD2" s="2"/>
    </row>
    <row r="3" customFormat="false" ht="15" hidden="false" customHeight="false" outlineLevel="0" collapsed="false">
      <c r="A3" s="1"/>
      <c r="B3" s="5" t="s">
        <v>136</v>
      </c>
      <c r="C3" s="1"/>
      <c r="D3" s="1"/>
      <c r="E3" s="1"/>
      <c r="F3" s="1"/>
      <c r="G3" s="1"/>
      <c r="H3" s="1"/>
      <c r="I3" s="1"/>
      <c r="J3" s="1"/>
      <c r="K3" s="1"/>
      <c r="L3" s="1"/>
      <c r="M3" s="1"/>
      <c r="N3" s="1"/>
      <c r="O3" s="2"/>
      <c r="P3" s="2"/>
      <c r="Q3" s="2"/>
      <c r="R3" s="2"/>
      <c r="S3" s="2"/>
      <c r="T3" s="2"/>
      <c r="U3" s="2"/>
      <c r="V3" s="2"/>
      <c r="W3" s="2"/>
      <c r="X3" s="2"/>
      <c r="Y3" s="2"/>
      <c r="Z3" s="2"/>
      <c r="AA3" s="2"/>
      <c r="AB3" s="2"/>
      <c r="AC3" s="2"/>
      <c r="AD3" s="2"/>
    </row>
    <row r="4" customFormat="false" ht="15" hidden="false" customHeight="false" outlineLevel="0" collapsed="false">
      <c r="A4" s="6"/>
      <c r="B4" s="26" t="s">
        <v>115</v>
      </c>
      <c r="C4" s="27" t="n">
        <v>1</v>
      </c>
      <c r="D4" s="27" t="n">
        <v>2</v>
      </c>
      <c r="E4" s="27" t="n">
        <v>3</v>
      </c>
      <c r="F4" s="27" t="n">
        <v>4</v>
      </c>
      <c r="G4" s="27" t="n">
        <v>5</v>
      </c>
      <c r="H4" s="27" t="n">
        <v>6</v>
      </c>
      <c r="I4" s="27" t="n">
        <v>7</v>
      </c>
      <c r="J4" s="27" t="n">
        <v>8</v>
      </c>
      <c r="K4" s="27" t="n">
        <v>9</v>
      </c>
      <c r="L4" s="27" t="n">
        <v>10</v>
      </c>
      <c r="M4" s="27" t="n">
        <v>11</v>
      </c>
      <c r="N4" s="27" t="n">
        <v>12</v>
      </c>
    </row>
    <row r="5" customFormat="false" ht="15" hidden="false" customHeight="false" outlineLevel="0" collapsed="false">
      <c r="A5" s="6"/>
      <c r="B5" s="19" t="s">
        <v>137</v>
      </c>
      <c r="C5" s="8" t="n">
        <f aca="false">0</f>
        <v>0</v>
      </c>
      <c r="D5" s="8" t="n">
        <f aca="false">C9</f>
        <v>500000</v>
      </c>
      <c r="E5" s="8" t="n">
        <f aca="false">D9</f>
        <v>1060714.28571429</v>
      </c>
      <c r="F5" s="8" t="n">
        <f aca="false">E9</f>
        <v>1582142.85714286</v>
      </c>
      <c r="G5" s="8" t="n">
        <f aca="false">F9</f>
        <v>2052142.85714286</v>
      </c>
      <c r="H5" s="8" t="n">
        <f aca="false">G9</f>
        <v>2464642.85714286</v>
      </c>
      <c r="I5" s="8" t="n">
        <f aca="false">H9</f>
        <v>2711142.85714286</v>
      </c>
      <c r="J5" s="8" t="n">
        <f aca="false">I9</f>
        <v>2957642.85714286</v>
      </c>
      <c r="K5" s="8" t="n">
        <f aca="false">J9</f>
        <v>2279142.85714286</v>
      </c>
      <c r="L5" s="8" t="n">
        <f aca="false">K9</f>
        <v>1539928.57142857</v>
      </c>
      <c r="M5" s="8" t="n">
        <f aca="false">L9</f>
        <v>0</v>
      </c>
      <c r="N5" s="8" t="n">
        <f aca="false">M9</f>
        <v>0</v>
      </c>
    </row>
    <row r="6" customFormat="false" ht="15" hidden="false" customHeight="false" outlineLevel="0" collapsed="false">
      <c r="A6" s="6"/>
      <c r="B6" s="19" t="s">
        <v>138</v>
      </c>
      <c r="C6" s="8" t="n">
        <f aca="false">Deployment!C10</f>
        <v>500000</v>
      </c>
      <c r="D6" s="8" t="n">
        <f aca="false">Deployment!D10</f>
        <v>500000</v>
      </c>
      <c r="E6" s="8" t="n">
        <f aca="false">Deployment!E10</f>
        <v>400000</v>
      </c>
      <c r="F6" s="8" t="n">
        <f aca="false">Deployment!F10</f>
        <v>300000</v>
      </c>
      <c r="G6" s="8" t="n">
        <f aca="false">Deployment!G10</f>
        <v>200000</v>
      </c>
      <c r="H6" s="8" t="n">
        <f aca="false">Deployment!H10</f>
        <v>0</v>
      </c>
      <c r="I6" s="8" t="n">
        <f aca="false">Deployment!I10</f>
        <v>0</v>
      </c>
      <c r="J6" s="8" t="n">
        <f aca="false">Deployment!J10</f>
        <v>0</v>
      </c>
      <c r="K6" s="8" t="n">
        <f aca="false">Deployment!K10</f>
        <v>0</v>
      </c>
      <c r="L6" s="8" t="n">
        <f aca="false">Deployment!L10</f>
        <v>0</v>
      </c>
      <c r="M6" s="8" t="n">
        <f aca="false">Deployment!M10</f>
        <v>0</v>
      </c>
      <c r="N6" s="8" t="n">
        <f aca="false">Deployment!N10</f>
        <v>0</v>
      </c>
    </row>
    <row r="7" customFormat="false" ht="15" hidden="false" customHeight="false" outlineLevel="0" collapsed="false">
      <c r="A7" s="6"/>
      <c r="B7" s="19" t="s">
        <v>139</v>
      </c>
      <c r="C7" s="8" t="n">
        <f aca="false">0</f>
        <v>0</v>
      </c>
      <c r="D7" s="8" t="n">
        <f aca="false">0</f>
        <v>0</v>
      </c>
      <c r="E7" s="8" t="n">
        <f aca="false">0</f>
        <v>0</v>
      </c>
      <c r="F7" s="8" t="n">
        <f aca="false">0</f>
        <v>0</v>
      </c>
      <c r="G7" s="8" t="n">
        <f aca="false">0</f>
        <v>0</v>
      </c>
      <c r="H7" s="8" t="n">
        <f aca="false">0</f>
        <v>0</v>
      </c>
      <c r="I7" s="8" t="n">
        <f aca="false">0</f>
        <v>0</v>
      </c>
      <c r="J7" s="8" t="n">
        <f aca="false">-(Fund_Size*Dep_Pct_V1*Exit_MOIC)</f>
        <v>-925000</v>
      </c>
      <c r="K7" s="8" t="n">
        <f aca="false">-(Fund_Size*Dep_Pct_V2*Exit_MOIC)</f>
        <v>-925000</v>
      </c>
      <c r="L7" s="8" t="n">
        <f aca="false">-(Fund_Size*Dep_Pct_V3*Exit_MOIC+Fund_Size*Dep_Pct_V4*Exit_MOIC+Fund_Size*Dep_Pct_V5*Exit_MOIC)</f>
        <v>-1665000</v>
      </c>
      <c r="M7" s="8" t="n">
        <f aca="false">0</f>
        <v>0</v>
      </c>
      <c r="N7" s="8" t="n">
        <f aca="false">0</f>
        <v>0</v>
      </c>
    </row>
    <row r="8" customFormat="false" ht="15" hidden="false" customHeight="false" outlineLevel="0" collapsed="false">
      <c r="A8" s="6"/>
      <c r="B8" s="19" t="s">
        <v>140</v>
      </c>
      <c r="C8" s="8" t="n">
        <f aca="false">C9-C5-C6-C7</f>
        <v>0</v>
      </c>
      <c r="D8" s="8" t="n">
        <f aca="false">D9-D5-D6-D7</f>
        <v>60714.2857142857</v>
      </c>
      <c r="E8" s="8" t="n">
        <f aca="false">E9-E5-E6-E7</f>
        <v>121428.571428572</v>
      </c>
      <c r="F8" s="8" t="n">
        <f aca="false">F9-F5-F6-F7</f>
        <v>170000</v>
      </c>
      <c r="G8" s="8" t="n">
        <f aca="false">G9-G5-G6-G7</f>
        <v>212500</v>
      </c>
      <c r="H8" s="8" t="n">
        <f aca="false">H9-H5-H6-H7</f>
        <v>246500</v>
      </c>
      <c r="I8" s="8" t="n">
        <f aca="false">I9-I5-I6-I7</f>
        <v>246500</v>
      </c>
      <c r="J8" s="8" t="n">
        <f aca="false">J9-J5-J6-J7</f>
        <v>246500</v>
      </c>
      <c r="K8" s="8" t="n">
        <f aca="false">K9-K5-K6-K7</f>
        <v>185785.714285714</v>
      </c>
      <c r="L8" s="8" t="n">
        <f aca="false">L9-L5-L6-L7</f>
        <v>125071.428571428</v>
      </c>
      <c r="M8" s="8" t="n">
        <f aca="false">M9-M5-M6-M7</f>
        <v>0</v>
      </c>
      <c r="N8" s="8" t="n">
        <f aca="false">N9-N5-N6-N7</f>
        <v>0</v>
      </c>
    </row>
    <row r="9" customFormat="false" ht="15" hidden="false" customHeight="false" outlineLevel="0" collapsed="false">
      <c r="A9" s="6"/>
      <c r="B9" s="7" t="s">
        <v>141</v>
      </c>
      <c r="C9" s="25" t="n">
        <f aca="false">Deployment!C13</f>
        <v>500000</v>
      </c>
      <c r="D9" s="25" t="n">
        <f aca="false">Deployment!D13*(1+(Exit_MOIC-1)*(1/7))+Deployment!D14</f>
        <v>1060714.28571429</v>
      </c>
      <c r="E9" s="25" t="n">
        <f aca="false">Deployment!E13*(1+(Exit_MOIC-1)*(2/7))+Deployment!E14*(1+(Exit_MOIC-1)*(1/7))+Deployment!E15</f>
        <v>1582142.85714286</v>
      </c>
      <c r="F9" s="25" t="n">
        <f aca="false">Deployment!F13*(1+(Exit_MOIC-1)*(3/7))+Deployment!F14*(1+(Exit_MOIC-1)*(2/7))+Deployment!F15*(1+(Exit_MOIC-1)*(1/7))+Deployment!F16</f>
        <v>2052142.85714286</v>
      </c>
      <c r="G9" s="25" t="n">
        <f aca="false">Deployment!G13*(1+(Exit_MOIC-1)*(4/7))+Deployment!G14*(1+(Exit_MOIC-1)*(3/7))+Deployment!G15*(1+(Exit_MOIC-1)*(2/7))+Deployment!G16*(1+(Exit_MOIC-1)*(1/6))+Deployment!G17</f>
        <v>2464642.85714286</v>
      </c>
      <c r="H9" s="25" t="n">
        <f aca="false">Deployment!H13*(1+(Exit_MOIC-1)*(5/7))+Deployment!H14*(1+(Exit_MOIC-1)*(4/7))+Deployment!H15*(1+(Exit_MOIC-1)*(3/7))+Deployment!H16*(1+(Exit_MOIC-1)*(2/6))+Deployment!H17*(1+(Exit_MOIC-1)*(1/5))</f>
        <v>2711142.85714286</v>
      </c>
      <c r="I9" s="25" t="n">
        <f aca="false">Deployment!I13*(1+(Exit_MOIC-1)*(6/7))+Deployment!I14*(1+(Exit_MOIC-1)*(5/7))+Deployment!I15*(1+(Exit_MOIC-1)*(4/7))+Deployment!I16*(1+(Exit_MOIC-1)*(3/6))+Deployment!I17*(1+(Exit_MOIC-1)*(2/5))</f>
        <v>2957642.85714286</v>
      </c>
      <c r="J9" s="25" t="n">
        <f aca="false">Deployment!J14*(1+(Exit_MOIC-1)*(6/7))+Deployment!J15*(1+(Exit_MOIC-1)*(5/7))+Deployment!J16*(1+(Exit_MOIC-1)*(4/6))+Deployment!J17*(1+(Exit_MOIC-1)*(3/5))</f>
        <v>2279142.85714286</v>
      </c>
      <c r="K9" s="25" t="n">
        <f aca="false">Deployment!K15*(1+(Exit_MOIC-1)*(6/7))+Deployment!K16*(1+(Exit_MOIC-1)*(5/6))+Deployment!K17*(1+(Exit_MOIC-1)*(4/5))</f>
        <v>1539928.57142857</v>
      </c>
      <c r="L9" s="25" t="n">
        <f aca="false">0</f>
        <v>0</v>
      </c>
      <c r="M9" s="25" t="n">
        <f aca="false">0</f>
        <v>0</v>
      </c>
      <c r="N9" s="25" t="n">
        <f aca="false">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4" min="3" style="0" width="13"/>
  </cols>
  <sheetData>
    <row r="1" customFormat="false" ht="15" hidden="false" customHeight="false" outlineLevel="0" collapsed="false">
      <c r="A1" s="1"/>
      <c r="B1" s="1"/>
      <c r="C1" s="1"/>
      <c r="D1" s="1"/>
      <c r="E1" s="1"/>
      <c r="F1" s="1"/>
      <c r="G1" s="1"/>
      <c r="H1" s="1"/>
      <c r="I1" s="1"/>
      <c r="J1" s="1"/>
      <c r="K1" s="1"/>
      <c r="L1" s="1"/>
      <c r="M1" s="1"/>
      <c r="N1" s="1"/>
      <c r="O1" s="2"/>
      <c r="P1" s="2"/>
      <c r="Q1" s="2"/>
      <c r="R1" s="2"/>
      <c r="S1" s="2"/>
      <c r="T1" s="2"/>
      <c r="U1" s="2"/>
      <c r="V1" s="2"/>
      <c r="W1" s="2"/>
      <c r="X1" s="2"/>
      <c r="Y1" s="2"/>
      <c r="Z1" s="2"/>
      <c r="AA1" s="2"/>
      <c r="AB1" s="2"/>
      <c r="AC1" s="2"/>
      <c r="AD1" s="2"/>
    </row>
    <row r="2" customFormat="false" ht="21.75" hidden="false" customHeight="true" outlineLevel="0" collapsed="false">
      <c r="A2" s="1"/>
      <c r="B2" s="3" t="s">
        <v>142</v>
      </c>
      <c r="C2" s="1"/>
      <c r="D2" s="1"/>
      <c r="E2" s="1"/>
      <c r="F2" s="1"/>
      <c r="G2" s="1"/>
      <c r="H2" s="1"/>
      <c r="I2" s="1"/>
      <c r="J2" s="1"/>
      <c r="K2" s="1"/>
      <c r="L2" s="1"/>
      <c r="M2" s="1"/>
      <c r="N2" s="1"/>
      <c r="O2" s="2"/>
      <c r="P2" s="2"/>
      <c r="Q2" s="2"/>
      <c r="R2" s="2"/>
      <c r="S2" s="2"/>
      <c r="T2" s="2"/>
      <c r="U2" s="2"/>
      <c r="V2" s="2"/>
      <c r="W2" s="2"/>
      <c r="X2" s="2"/>
      <c r="Y2" s="2"/>
      <c r="Z2" s="2"/>
      <c r="AA2" s="2"/>
      <c r="AB2" s="2"/>
      <c r="AC2" s="2"/>
      <c r="AD2" s="2"/>
    </row>
    <row r="3" customFormat="false" ht="15" hidden="false" customHeight="false" outlineLevel="0" collapsed="false">
      <c r="A3" s="1"/>
      <c r="B3" s="5" t="s">
        <v>143</v>
      </c>
      <c r="C3" s="1"/>
      <c r="D3" s="1"/>
      <c r="E3" s="1"/>
      <c r="F3" s="1"/>
      <c r="G3" s="1"/>
      <c r="H3" s="1"/>
      <c r="I3" s="1"/>
      <c r="J3" s="1"/>
      <c r="K3" s="1"/>
      <c r="L3" s="1"/>
      <c r="M3" s="1"/>
      <c r="N3" s="1"/>
      <c r="O3" s="2"/>
      <c r="P3" s="2"/>
      <c r="Q3" s="2"/>
      <c r="R3" s="2"/>
      <c r="S3" s="2"/>
      <c r="T3" s="2"/>
      <c r="U3" s="2"/>
      <c r="V3" s="2"/>
      <c r="W3" s="2"/>
      <c r="X3" s="2"/>
      <c r="Y3" s="2"/>
      <c r="Z3" s="2"/>
      <c r="AA3" s="2"/>
      <c r="AB3" s="2"/>
      <c r="AC3" s="2"/>
      <c r="AD3" s="2"/>
    </row>
    <row r="4" customFormat="false" ht="15" hidden="false" customHeight="false" outlineLevel="0" collapsed="false">
      <c r="A4" s="6"/>
      <c r="B4" s="26" t="s">
        <v>115</v>
      </c>
      <c r="C4" s="27" t="n">
        <v>1</v>
      </c>
      <c r="D4" s="27" t="n">
        <v>2</v>
      </c>
      <c r="E4" s="27" t="n">
        <v>3</v>
      </c>
      <c r="F4" s="27" t="n">
        <v>4</v>
      </c>
      <c r="G4" s="27" t="n">
        <v>5</v>
      </c>
      <c r="H4" s="27" t="n">
        <v>6</v>
      </c>
      <c r="I4" s="27" t="n">
        <v>7</v>
      </c>
      <c r="J4" s="27" t="n">
        <v>8</v>
      </c>
      <c r="K4" s="27" t="n">
        <v>9</v>
      </c>
      <c r="L4" s="27" t="n">
        <v>10</v>
      </c>
      <c r="M4" s="27" t="n">
        <v>11</v>
      </c>
      <c r="N4" s="27" t="n">
        <v>12</v>
      </c>
    </row>
    <row r="5" customFormat="false" ht="15" hidden="false" customHeight="false" outlineLevel="0" collapsed="false">
      <c r="A5" s="6"/>
      <c r="B5" s="19" t="s">
        <v>144</v>
      </c>
      <c r="C5" s="8" t="n">
        <f aca="false">Asset_Cash_Flows!C10</f>
        <v>0</v>
      </c>
      <c r="D5" s="8" t="n">
        <f aca="false">Asset_Cash_Flows!D10</f>
        <v>17937.5</v>
      </c>
      <c r="E5" s="8" t="n">
        <f aca="false">Asset_Cash_Flows!E10</f>
        <v>45964.84375</v>
      </c>
      <c r="F5" s="8" t="n">
        <f aca="false">Asset_Cash_Flows!F10</f>
        <v>81036.01953125</v>
      </c>
      <c r="G5" s="8" t="n">
        <f aca="false">Asset_Cash_Flows!G10</f>
        <v>112037.008398437</v>
      </c>
      <c r="H5" s="8" t="n">
        <f aca="false">Asset_Cash_Flows!H10</f>
        <v>136617.541706543</v>
      </c>
      <c r="I5" s="8" t="n">
        <f aca="false">Asset_Cash_Flows!I10</f>
        <v>150180.297658569</v>
      </c>
      <c r="J5" s="8" t="n">
        <f aca="false">Asset_Cash_Flows!J10</f>
        <v>116491.203859485</v>
      </c>
      <c r="K5" s="8" t="n">
        <f aca="false">Asset_Cash_Flows!K10</f>
        <v>76759.3825431248</v>
      </c>
      <c r="L5" s="8" t="n">
        <f aca="false">Asset_Cash_Flows!L10</f>
        <v>0</v>
      </c>
      <c r="M5" s="8" t="n">
        <f aca="false">Asset_Cash_Flows!M10</f>
        <v>0</v>
      </c>
      <c r="N5" s="8" t="n">
        <f aca="false">Asset_Cash_Flows!N10</f>
        <v>0</v>
      </c>
    </row>
    <row r="6" customFormat="false" ht="15" hidden="false" customHeight="false" outlineLevel="0" collapsed="false">
      <c r="A6" s="6"/>
      <c r="B6" s="19" t="s">
        <v>145</v>
      </c>
      <c r="C6" s="8" t="n">
        <f aca="false">Deployment!C26</f>
        <v>0</v>
      </c>
      <c r="D6" s="8" t="n">
        <f aca="false">Deployment!D26</f>
        <v>0</v>
      </c>
      <c r="E6" s="8" t="n">
        <f aca="false">Deployment!E26</f>
        <v>0</v>
      </c>
      <c r="F6" s="8" t="n">
        <f aca="false">Deployment!F26</f>
        <v>0</v>
      </c>
      <c r="G6" s="8" t="n">
        <f aca="false">Deployment!G26</f>
        <v>0</v>
      </c>
      <c r="H6" s="8" t="n">
        <f aca="false">Deployment!H26</f>
        <v>0</v>
      </c>
      <c r="I6" s="8" t="n">
        <f aca="false">Deployment!I26</f>
        <v>0</v>
      </c>
      <c r="J6" s="8" t="n">
        <f aca="false">Deployment!J26</f>
        <v>925000</v>
      </c>
      <c r="K6" s="8" t="n">
        <f aca="false">Deployment!K26</f>
        <v>925000</v>
      </c>
      <c r="L6" s="8" t="n">
        <f aca="false">Deployment!L26</f>
        <v>1665000</v>
      </c>
      <c r="M6" s="8" t="n">
        <f aca="false">Deployment!M26</f>
        <v>0</v>
      </c>
      <c r="N6" s="8" t="n">
        <f aca="false">Deployment!N26</f>
        <v>0</v>
      </c>
    </row>
    <row r="7" customFormat="false" ht="15" hidden="false" customHeight="false" outlineLevel="0" collapsed="false">
      <c r="A7" s="6"/>
      <c r="B7" s="19" t="s">
        <v>146</v>
      </c>
      <c r="C7" s="8" t="n">
        <f aca="false">C5+C6</f>
        <v>0</v>
      </c>
      <c r="D7" s="8" t="n">
        <f aca="false">D5+D6</f>
        <v>17937.5</v>
      </c>
      <c r="E7" s="8" t="n">
        <f aca="false">E5+E6</f>
        <v>45964.84375</v>
      </c>
      <c r="F7" s="8" t="n">
        <f aca="false">F5+F6</f>
        <v>81036.01953125</v>
      </c>
      <c r="G7" s="8" t="n">
        <f aca="false">G5+G6</f>
        <v>112037.008398437</v>
      </c>
      <c r="H7" s="8" t="n">
        <f aca="false">H5+H6</f>
        <v>136617.541706543</v>
      </c>
      <c r="I7" s="8" t="n">
        <f aca="false">I5+I6</f>
        <v>150180.297658569</v>
      </c>
      <c r="J7" s="8" t="n">
        <f aca="false">J5+J6</f>
        <v>1041491.20385948</v>
      </c>
      <c r="K7" s="8" t="n">
        <f aca="false">K5+K6</f>
        <v>1001759.38254312</v>
      </c>
      <c r="L7" s="8" t="n">
        <f aca="false">L5+L6</f>
        <v>1665000</v>
      </c>
      <c r="M7" s="8" t="n">
        <f aca="false">M5+M6</f>
        <v>0</v>
      </c>
      <c r="N7" s="8" t="n">
        <f aca="false">N5+N6</f>
        <v>0</v>
      </c>
    </row>
    <row r="8" customFormat="false" ht="15" hidden="false" customHeight="false" outlineLevel="0" collapsed="false">
      <c r="A8" s="6"/>
      <c r="B8" s="19" t="s">
        <v>147</v>
      </c>
      <c r="C8" s="8" t="n">
        <f aca="false">-Capital_Calls!C5</f>
        <v>-30000</v>
      </c>
      <c r="D8" s="8" t="n">
        <f aca="false">-Capital_Calls!D5</f>
        <v>-30000</v>
      </c>
      <c r="E8" s="8" t="n">
        <f aca="false">-Capital_Calls!E5</f>
        <v>-30000</v>
      </c>
      <c r="F8" s="8" t="n">
        <f aca="false">-Capital_Calls!F5</f>
        <v>-30000</v>
      </c>
      <c r="G8" s="8" t="n">
        <f aca="false">-Capital_Calls!G5</f>
        <v>-30000</v>
      </c>
      <c r="H8" s="8" t="n">
        <f aca="false">-Capital_Calls!H5</f>
        <v>-23750</v>
      </c>
      <c r="I8" s="8" t="n">
        <f aca="false">-Capital_Calls!I5</f>
        <v>-23750</v>
      </c>
      <c r="J8" s="8" t="n">
        <f aca="false">-Capital_Calls!J5</f>
        <v>-17500</v>
      </c>
      <c r="K8" s="8" t="n">
        <f aca="false">-Capital_Calls!K5</f>
        <v>-11250</v>
      </c>
      <c r="L8" s="8" t="n">
        <f aca="false">-Capital_Calls!L5</f>
        <v>-0</v>
      </c>
      <c r="M8" s="8" t="n">
        <f aca="false">-Capital_Calls!M5</f>
        <v>-0</v>
      </c>
      <c r="N8" s="8" t="n">
        <f aca="false">-Capital_Calls!N5</f>
        <v>-0</v>
      </c>
    </row>
    <row r="9" customFormat="false" ht="15" hidden="false" customHeight="false" outlineLevel="0" collapsed="false">
      <c r="A9" s="6"/>
      <c r="B9" s="19" t="s">
        <v>148</v>
      </c>
      <c r="C9" s="8" t="n">
        <f aca="false">-Capital_Calls!C6</f>
        <v>-14000</v>
      </c>
      <c r="D9" s="8" t="n">
        <f aca="false">-Capital_Calls!D6</f>
        <v>-4000</v>
      </c>
      <c r="E9" s="8" t="n">
        <f aca="false">-Capital_Calls!E6</f>
        <v>-4000</v>
      </c>
      <c r="F9" s="8" t="n">
        <f aca="false">-Capital_Calls!F6</f>
        <v>-4000</v>
      </c>
      <c r="G9" s="8" t="n">
        <f aca="false">-Capital_Calls!G6</f>
        <v>-4000</v>
      </c>
      <c r="H9" s="8" t="n">
        <f aca="false">-Capital_Calls!H6</f>
        <v>-4000</v>
      </c>
      <c r="I9" s="8" t="n">
        <f aca="false">-Capital_Calls!I6</f>
        <v>-4000</v>
      </c>
      <c r="J9" s="8" t="n">
        <f aca="false">-Capital_Calls!J6</f>
        <v>-4000</v>
      </c>
      <c r="K9" s="8" t="n">
        <f aca="false">-Capital_Calls!K6</f>
        <v>-4000</v>
      </c>
      <c r="L9" s="8" t="n">
        <f aca="false">-Capital_Calls!L6</f>
        <v>-4000</v>
      </c>
      <c r="M9" s="8" t="n">
        <f aca="false">-Capital_Calls!M6</f>
        <v>-4000</v>
      </c>
      <c r="N9" s="8" t="n">
        <f aca="false">-Capital_Calls!N6</f>
        <v>-4000</v>
      </c>
    </row>
    <row r="10" customFormat="false" ht="15" hidden="false" customHeight="false" outlineLevel="0" collapsed="false">
      <c r="A10" s="6"/>
      <c r="B10" s="7" t="s">
        <v>149</v>
      </c>
      <c r="C10" s="28" t="n">
        <f aca="false">C7+C8+C9</f>
        <v>-44000</v>
      </c>
      <c r="D10" s="28" t="n">
        <f aca="false">D7+D8+D9</f>
        <v>-16062.5</v>
      </c>
      <c r="E10" s="28" t="n">
        <f aca="false">E7+E8+E9</f>
        <v>11964.84375</v>
      </c>
      <c r="F10" s="28" t="n">
        <f aca="false">F7+F8+F9</f>
        <v>47036.01953125</v>
      </c>
      <c r="G10" s="28" t="n">
        <f aca="false">G7+G8+G9</f>
        <v>78037.0083984375</v>
      </c>
      <c r="H10" s="28" t="n">
        <f aca="false">H7+H8+H9</f>
        <v>108867.541706543</v>
      </c>
      <c r="I10" s="28" t="n">
        <f aca="false">I7+I8+I9</f>
        <v>122430.297658569</v>
      </c>
      <c r="J10" s="28" t="n">
        <f aca="false">J7+J8+J9</f>
        <v>1019991.20385948</v>
      </c>
      <c r="K10" s="28" t="n">
        <f aca="false">K7+K8+K9</f>
        <v>986509.382543125</v>
      </c>
      <c r="L10" s="28" t="n">
        <f aca="false">L7+L8+L9</f>
        <v>1661000</v>
      </c>
      <c r="M10" s="28" t="n">
        <f aca="false">M7+M8+M9</f>
        <v>-4000</v>
      </c>
      <c r="N10" s="28" t="n">
        <f aca="false">N7+N8+N9</f>
        <v>-4000</v>
      </c>
    </row>
    <row r="11" customFormat="false" ht="15" hidden="false" customHeight="false" outlineLevel="0" collapsed="false">
      <c r="A11" s="6"/>
      <c r="B11" s="19" t="s">
        <v>150</v>
      </c>
      <c r="C11" s="8" t="n">
        <f aca="false">C10</f>
        <v>-44000</v>
      </c>
      <c r="D11" s="8" t="n">
        <f aca="false">C11+D10</f>
        <v>-60062.5</v>
      </c>
      <c r="E11" s="8" t="n">
        <f aca="false">D11+E10</f>
        <v>-48097.65625</v>
      </c>
      <c r="F11" s="8" t="n">
        <f aca="false">E11+F10</f>
        <v>-1061.63671875003</v>
      </c>
      <c r="G11" s="8" t="n">
        <f aca="false">F11+G10</f>
        <v>76975.3716796874</v>
      </c>
      <c r="H11" s="8" t="n">
        <f aca="false">G11+H10</f>
        <v>185842.91338623</v>
      </c>
      <c r="I11" s="8" t="n">
        <f aca="false">H11+I10</f>
        <v>308273.2110448</v>
      </c>
      <c r="J11" s="8" t="n">
        <f aca="false">I11+J10</f>
        <v>1328264.41490428</v>
      </c>
      <c r="K11" s="8" t="n">
        <f aca="false">J11+K10</f>
        <v>2314773.79744741</v>
      </c>
      <c r="L11" s="8" t="n">
        <f aca="false">K11+L10</f>
        <v>3975773.79744741</v>
      </c>
      <c r="M11" s="8" t="n">
        <f aca="false">L11+M10</f>
        <v>3971773.79744741</v>
      </c>
      <c r="N11" s="8" t="n">
        <f aca="false">M11+N10</f>
        <v>3967773.79744741</v>
      </c>
    </row>
    <row r="12" customFormat="false" ht="15" hidden="false" customHeight="false" outlineLevel="0" collapsed="false">
      <c r="A12" s="6"/>
      <c r="B12" s="17" t="s">
        <v>151</v>
      </c>
      <c r="C12" s="18"/>
      <c r="D12" s="18"/>
      <c r="E12" s="18"/>
      <c r="F12" s="18"/>
      <c r="G12" s="18"/>
      <c r="H12" s="18"/>
      <c r="I12" s="18"/>
      <c r="J12" s="18"/>
      <c r="K12" s="18"/>
      <c r="L12" s="18"/>
      <c r="M12" s="18"/>
      <c r="N12" s="18"/>
    </row>
    <row r="13" customFormat="false" ht="15" hidden="false" customHeight="false" outlineLevel="0" collapsed="false">
      <c r="A13" s="6"/>
      <c r="B13" s="6"/>
      <c r="C13" s="6"/>
      <c r="D13" s="6"/>
      <c r="E13" s="6"/>
      <c r="F13" s="6"/>
      <c r="G13" s="6"/>
      <c r="H13" s="6"/>
      <c r="I13" s="6"/>
      <c r="J13" s="6"/>
      <c r="K13" s="6"/>
      <c r="L13" s="6"/>
      <c r="M13" s="6"/>
      <c r="N13" s="6"/>
    </row>
    <row r="14" customFormat="false" ht="15" hidden="false" customHeight="false" outlineLevel="0" collapsed="false">
      <c r="A14" s="6"/>
      <c r="B14" s="19" t="s">
        <v>152</v>
      </c>
      <c r="C14" s="8" t="n">
        <f aca="false">Capital_Calls!C15</f>
        <v>533120</v>
      </c>
      <c r="D14" s="8" t="n">
        <f aca="false">Capital_Calls!D15</f>
        <v>1056440</v>
      </c>
      <c r="E14" s="8" t="n">
        <f aca="false">Capital_Calls!E15</f>
        <v>1481760</v>
      </c>
      <c r="F14" s="8" t="n">
        <f aca="false">Capital_Calls!F15</f>
        <v>1809080</v>
      </c>
      <c r="G14" s="8" t="n">
        <f aca="false">Capital_Calls!G15</f>
        <v>1960000</v>
      </c>
      <c r="H14" s="8" t="n">
        <f aca="false">Capital_Calls!H15</f>
        <v>1960000</v>
      </c>
      <c r="I14" s="8" t="n">
        <f aca="false">Capital_Calls!I15</f>
        <v>1960000</v>
      </c>
      <c r="J14" s="8" t="n">
        <f aca="false">Capital_Calls!J15</f>
        <v>1960000</v>
      </c>
      <c r="K14" s="8" t="n">
        <f aca="false">Capital_Calls!K15</f>
        <v>1960000</v>
      </c>
      <c r="L14" s="8" t="n">
        <f aca="false">Capital_Calls!L15</f>
        <v>1960000</v>
      </c>
      <c r="M14" s="8" t="n">
        <f aca="false">Capital_Calls!M15</f>
        <v>1960000</v>
      </c>
      <c r="N14" s="8" t="n">
        <f aca="false">Capital_Calls!N15</f>
        <v>1960000</v>
      </c>
    </row>
    <row r="15" customFormat="false" ht="15" hidden="false" customHeight="false" outlineLevel="0" collapsed="false">
      <c r="A15" s="6"/>
      <c r="B15" s="19" t="s">
        <v>153</v>
      </c>
      <c r="C15" s="8" t="n">
        <f aca="false">MIN(C11,C14)</f>
        <v>-44000</v>
      </c>
      <c r="D15" s="8" t="n">
        <f aca="false">MIN(D11,D14)</f>
        <v>-60062.5</v>
      </c>
      <c r="E15" s="8" t="n">
        <f aca="false">MIN(E11,E14)</f>
        <v>-48097.65625</v>
      </c>
      <c r="F15" s="8" t="n">
        <f aca="false">MIN(F11,F14)</f>
        <v>-1061.63671875003</v>
      </c>
      <c r="G15" s="8" t="n">
        <f aca="false">MIN(G11,G14)</f>
        <v>76975.3716796874</v>
      </c>
      <c r="H15" s="8" t="n">
        <f aca="false">MIN(H11,H14)</f>
        <v>185842.91338623</v>
      </c>
      <c r="I15" s="8" t="n">
        <f aca="false">MIN(I11,I14)</f>
        <v>308273.2110448</v>
      </c>
      <c r="J15" s="8" t="n">
        <f aca="false">MIN(J11,J14)</f>
        <v>1328264.41490428</v>
      </c>
      <c r="K15" s="8" t="n">
        <f aca="false">MIN(K11,K14)</f>
        <v>1960000</v>
      </c>
      <c r="L15" s="8" t="n">
        <f aca="false">MIN(L11,L14)</f>
        <v>1960000</v>
      </c>
      <c r="M15" s="8" t="n">
        <f aca="false">MIN(M11,M14)</f>
        <v>1960000</v>
      </c>
      <c r="N15" s="8" t="n">
        <f aca="false">MIN(N11,N14)</f>
        <v>1960000</v>
      </c>
    </row>
    <row r="16" customFormat="false" ht="15" hidden="false" customHeight="false" outlineLevel="0" collapsed="false">
      <c r="A16" s="6"/>
      <c r="B16" s="19" t="s">
        <v>154</v>
      </c>
      <c r="C16" s="8" t="n">
        <f aca="false">C15</f>
        <v>-44000</v>
      </c>
      <c r="D16" s="8" t="n">
        <f aca="false">MAX(0,D15-C15)</f>
        <v>0</v>
      </c>
      <c r="E16" s="8" t="n">
        <f aca="false">MAX(0,E15-D15)</f>
        <v>11964.84375</v>
      </c>
      <c r="F16" s="8" t="n">
        <f aca="false">MAX(0,F15-E15)</f>
        <v>47036.01953125</v>
      </c>
      <c r="G16" s="8" t="n">
        <f aca="false">MAX(0,G15-F15)</f>
        <v>78037.0083984375</v>
      </c>
      <c r="H16" s="8" t="n">
        <f aca="false">MAX(0,H15-G15)</f>
        <v>108867.541706543</v>
      </c>
      <c r="I16" s="8" t="n">
        <f aca="false">MAX(0,I15-H15)</f>
        <v>122430.297658569</v>
      </c>
      <c r="J16" s="8" t="n">
        <f aca="false">MAX(0,J15-I15)</f>
        <v>1019991.20385948</v>
      </c>
      <c r="K16" s="8" t="n">
        <f aca="false">MAX(0,K15-J15)</f>
        <v>631735.585095716</v>
      </c>
      <c r="L16" s="8" t="n">
        <f aca="false">MAX(0,L15-K15)</f>
        <v>0</v>
      </c>
      <c r="M16" s="8" t="n">
        <f aca="false">MAX(0,M15-L15)</f>
        <v>0</v>
      </c>
      <c r="N16" s="8" t="n">
        <f aca="false">MAX(0,N15-M15)</f>
        <v>0</v>
      </c>
    </row>
    <row r="17" customFormat="false" ht="15" hidden="false" customHeight="false" outlineLevel="0" collapsed="false">
      <c r="A17" s="6"/>
      <c r="B17" s="17" t="s">
        <v>155</v>
      </c>
      <c r="C17" s="18"/>
      <c r="D17" s="18"/>
      <c r="E17" s="18"/>
      <c r="F17" s="18"/>
      <c r="G17" s="18"/>
      <c r="H17" s="18"/>
      <c r="I17" s="18"/>
      <c r="J17" s="18"/>
      <c r="K17" s="18"/>
      <c r="L17" s="18"/>
      <c r="M17" s="18"/>
      <c r="N17" s="18"/>
    </row>
    <row r="18" customFormat="false" ht="15" hidden="false" customHeight="false" outlineLevel="0" collapsed="false">
      <c r="A18" s="6"/>
      <c r="B18" s="6"/>
      <c r="C18" s="6"/>
      <c r="D18" s="6"/>
      <c r="E18" s="6"/>
      <c r="F18" s="6"/>
      <c r="G18" s="6"/>
      <c r="H18" s="6"/>
      <c r="I18" s="6"/>
      <c r="J18" s="6"/>
      <c r="K18" s="6"/>
      <c r="L18" s="6"/>
      <c r="M18" s="6"/>
      <c r="N18" s="6"/>
    </row>
    <row r="19" customFormat="false" ht="15" hidden="false" customHeight="false" outlineLevel="0" collapsed="false">
      <c r="A19" s="6"/>
      <c r="B19" s="19" t="s">
        <v>156</v>
      </c>
      <c r="C19" s="8" t="n">
        <f aca="false">IFERROR(C14+Capital_Calls!C14*((1+Hurdle_Rate)^0.5-1),0)</f>
        <v>554034.555918672</v>
      </c>
      <c r="D19" s="8" t="n">
        <f aca="false">IFERROR(D14+Capital_Calls!C14*((1+Hurdle_Rate)^1.5-1)+Capital_Calls!D14*((1+Hurdle_Rate)^0.5-1),0)</f>
        <v>1142207.41756233</v>
      </c>
      <c r="E19" s="8" t="n">
        <f aca="false">IFERROR(E14+Capital_Calls!C14*((1+Hurdle_Rate)^2.5-1)+Capital_Calls!D14*((1+Hurdle_Rate)^1.5-1)+Capital_Calls!E14*((1+Hurdle_Rate)^0.5-1),0)</f>
        <v>1675589.52065244</v>
      </c>
      <c r="F19" s="8" t="n">
        <f aca="false">IFERROR(F14+Capital_Calls!C14*((1+Hurdle_Rate)^3.5-1)+Capital_Calls!D14*((1+Hurdle_Rate)^2.5-1)+Capital_Calls!E14*((1+Hurdle_Rate)^1.5-1)+Capital_Calls!F14*((1+Hurdle_Rate)^0.5-1),0)</f>
        <v>2149797.6045047</v>
      </c>
      <c r="G19" s="8" t="n">
        <f aca="false">IFERROR(G14+Capital_Calls!C14*((1+Hurdle_Rate)^4.5-1)+Capital_Calls!D14*((1+Hurdle_Rate)^3.5-1)+Capital_Calls!E14*((1+Hurdle_Rate)^2.5-1)+Capital_Calls!F14*((1+Hurdle_Rate)^1.5-1)+Capital_Calls!G14*((1+Hurdle_Rate)^0.5-1),0)</f>
        <v>2478622.07759205</v>
      </c>
      <c r="H19" s="8" t="n">
        <f aca="false">IFERROR(H14+Capital_Calls!C14*((1+Hurdle_Rate)^5.5-1)+Capital_Calls!D14*((1+Hurdle_Rate)^4.5-1)+Capital_Calls!E14*((1+Hurdle_Rate)^3.5-1)+Capital_Calls!F14*((1+Hurdle_Rate)^2.5-1)+Capital_Calls!G14*((1+Hurdle_Rate)^1.5-1)+Capital_Calls!H14*((1+Hurdle_Rate)^0.5-1),0)</f>
        <v>2676911.84379942</v>
      </c>
      <c r="I19" s="8" t="n">
        <f aca="false">IFERROR(I14+Capital_Calls!C14*((1+Hurdle_Rate)^6.5-1)+Capital_Calls!D14*((1+Hurdle_Rate)^5.5-1)+Capital_Calls!E14*((1+Hurdle_Rate)^4.5-1)+Capital_Calls!F14*((1+Hurdle_Rate)^3.5-1)+Capital_Calls!G14*((1+Hurdle_Rate)^2.5-1)+Capital_Calls!H14*((1+Hurdle_Rate)^1.5-1)+Capital_Calls!I14*((1+Hurdle_Rate)^0.5-1),0)</f>
        <v>2891064.79130337</v>
      </c>
      <c r="J19" s="8" t="n">
        <f aca="false">IFERROR(J14+Capital_Calls!C14*((1+Hurdle_Rate)^7.5-1)+Capital_Calls!D14*((1+Hurdle_Rate)^6.5-1)+Capital_Calls!E14*((1+Hurdle_Rate)^5.5-1)+Capital_Calls!F14*((1+Hurdle_Rate)^4.5-1)+Capital_Calls!G14*((1+Hurdle_Rate)^3.5-1)+Capital_Calls!H14*((1+Hurdle_Rate)^2.5-1)+Capital_Calls!I14*((1+Hurdle_Rate)^1.5-1)+Capital_Calls!J14*((1+Hurdle_Rate)^0.5-1),0)</f>
        <v>3122349.97460764</v>
      </c>
      <c r="K19" s="8" t="n">
        <f aca="false">IFERROR(K14+Capital_Calls!C14*((1+Hurdle_Rate)^8.5-1)+Capital_Calls!D14*((1+Hurdle_Rate)^7.5-1)+Capital_Calls!E14*((1+Hurdle_Rate)^6.5-1)+Capital_Calls!F14*((1+Hurdle_Rate)^5.5-1)+Capital_Calls!G14*((1+Hurdle_Rate)^4.5-1)+Capital_Calls!H14*((1+Hurdle_Rate)^3.5-1)+Capital_Calls!I14*((1+Hurdle_Rate)^2.5-1)+Capital_Calls!J14*((1+Hurdle_Rate)^1.5-1)+Capital_Calls!K14*((1+Hurdle_Rate)^0.5-1),0)</f>
        <v>3372137.97257625</v>
      </c>
      <c r="L19" s="8" t="n">
        <f aca="false">IFERROR(L14+Capital_Calls!C14*((1+Hurdle_Rate)^9.5-1)+Capital_Calls!D14*((1+Hurdle_Rate)^8.5-1)+Capital_Calls!E14*((1+Hurdle_Rate)^7.5-1)+Capital_Calls!F14*((1+Hurdle_Rate)^6.5-1)+Capital_Calls!G14*((1+Hurdle_Rate)^5.5-1)+Capital_Calls!H14*((1+Hurdle_Rate)^4.5-1)+Capital_Calls!I14*((1+Hurdle_Rate)^3.5-1)+Capital_Calls!J14*((1+Hurdle_Rate)^2.5-1)+Capital_Calls!K14*((1+Hurdle_Rate)^1.5-1)+Capital_Calls!L14*((1+Hurdle_Rate)^0.5-1),0)</f>
        <v>3641909.01038235</v>
      </c>
      <c r="M19" s="8" t="n">
        <f aca="false">IFERROR(M14+Capital_Calls!C14*((1+Hurdle_Rate)^10.5-1)+Capital_Calls!D14*((1+Hurdle_Rate)^9.5-1)+Capital_Calls!E14*((1+Hurdle_Rate)^8.5-1)+Capital_Calls!F14*((1+Hurdle_Rate)^7.5-1)+Capital_Calls!G14*((1+Hurdle_Rate)^6.5-1)+Capital_Calls!H14*((1+Hurdle_Rate)^5.5-1)+Capital_Calls!I14*((1+Hurdle_Rate)^4.5-1)+Capital_Calls!J14*((1+Hurdle_Rate)^3.5-1)+Capital_Calls!K14*((1+Hurdle_Rate)^2.5-1)+Capital_Calls!L14*((1+Hurdle_Rate)^1.5-1)+Capital_Calls!M14*((1+Hurdle_Rate)^0.5-1),0)</f>
        <v>3933261.73121294</v>
      </c>
      <c r="N19" s="8" t="n">
        <f aca="false">IFERROR(N14+Capital_Calls!C14*((1+Hurdle_Rate)^11.5-1)+Capital_Calls!D14*((1+Hurdle_Rate)^10.5-1)+Capital_Calls!E14*((1+Hurdle_Rate)^9.5-1)+Capital_Calls!F14*((1+Hurdle_Rate)^8.5-1)+Capital_Calls!G14*((1+Hurdle_Rate)^7.5-1)+Capital_Calls!H14*((1+Hurdle_Rate)^6.5-1)+Capital_Calls!I14*((1+Hurdle_Rate)^5.5-1)+Capital_Calls!J14*((1+Hurdle_Rate)^4.5-1)+Capital_Calls!K14*((1+Hurdle_Rate)^3.5-1)+Capital_Calls!L14*((1+Hurdle_Rate)^2.5-1)+Capital_Calls!M14*((1+Hurdle_Rate)^1.5-1)+Capital_Calls!N14*((1+Hurdle_Rate)^0.5-1),0)</f>
        <v>4247922.66970997</v>
      </c>
    </row>
    <row r="20" customFormat="false" ht="15" hidden="false" customHeight="false" outlineLevel="0" collapsed="false">
      <c r="A20" s="6"/>
      <c r="B20" s="19" t="s">
        <v>157</v>
      </c>
      <c r="C20" s="8" t="n">
        <f aca="false">MAX(0,MIN(C11,C19)-C15)</f>
        <v>0</v>
      </c>
      <c r="D20" s="8" t="n">
        <f aca="false">MAX(0,MIN(D11,D19)-D15)</f>
        <v>0</v>
      </c>
      <c r="E20" s="8" t="n">
        <f aca="false">MAX(0,MIN(E11,E19)-E15)</f>
        <v>0</v>
      </c>
      <c r="F20" s="8" t="n">
        <f aca="false">MAX(0,MIN(F11,F19)-F15)</f>
        <v>0</v>
      </c>
      <c r="G20" s="8" t="n">
        <f aca="false">MAX(0,MIN(G11,G19)-G15)</f>
        <v>0</v>
      </c>
      <c r="H20" s="8" t="n">
        <f aca="false">MAX(0,MIN(H11,H19)-H15)</f>
        <v>0</v>
      </c>
      <c r="I20" s="8" t="n">
        <f aca="false">MAX(0,MIN(I11,I19)-I15)</f>
        <v>0</v>
      </c>
      <c r="J20" s="8" t="n">
        <f aca="false">MAX(0,MIN(J11,J19)-J15)</f>
        <v>0</v>
      </c>
      <c r="K20" s="8" t="n">
        <f aca="false">MAX(0,MIN(K11,K19)-K15)</f>
        <v>354773.797447409</v>
      </c>
      <c r="L20" s="8" t="n">
        <f aca="false">MAX(0,MIN(L11,L19)-L15)</f>
        <v>1681909.01038235</v>
      </c>
      <c r="M20" s="8" t="n">
        <f aca="false">MAX(0,MIN(M11,M19)-M15)</f>
        <v>1973261.73121294</v>
      </c>
      <c r="N20" s="8" t="n">
        <f aca="false">MAX(0,MIN(N11,N19)-N15)</f>
        <v>2007773.79744741</v>
      </c>
    </row>
    <row r="21" customFormat="false" ht="15" hidden="false" customHeight="false" outlineLevel="0" collapsed="false">
      <c r="A21" s="6"/>
      <c r="B21" s="19" t="s">
        <v>158</v>
      </c>
      <c r="C21" s="8" t="n">
        <f aca="false">C20</f>
        <v>0</v>
      </c>
      <c r="D21" s="8" t="n">
        <f aca="false">MAX(0,D20-C20)</f>
        <v>0</v>
      </c>
      <c r="E21" s="8" t="n">
        <f aca="false">MAX(0,E20-D20)</f>
        <v>0</v>
      </c>
      <c r="F21" s="8" t="n">
        <f aca="false">MAX(0,F20-E20)</f>
        <v>0</v>
      </c>
      <c r="G21" s="8" t="n">
        <f aca="false">MAX(0,G20-F20)</f>
        <v>0</v>
      </c>
      <c r="H21" s="8" t="n">
        <f aca="false">MAX(0,H20-G20)</f>
        <v>0</v>
      </c>
      <c r="I21" s="8" t="n">
        <f aca="false">MAX(0,I20-H20)</f>
        <v>0</v>
      </c>
      <c r="J21" s="8" t="n">
        <f aca="false">MAX(0,J20-I20)</f>
        <v>0</v>
      </c>
      <c r="K21" s="8" t="n">
        <f aca="false">MAX(0,K20-J20)</f>
        <v>354773.797447409</v>
      </c>
      <c r="L21" s="8" t="n">
        <f aca="false">MAX(0,L20-K20)</f>
        <v>1327135.21293494</v>
      </c>
      <c r="M21" s="8" t="n">
        <f aca="false">MAX(0,M20-L20)</f>
        <v>291352.720830589</v>
      </c>
      <c r="N21" s="8" t="n">
        <f aca="false">MAX(0,N20-M20)</f>
        <v>34512.0662344703</v>
      </c>
    </row>
    <row r="22" customFormat="false" ht="15" hidden="false" customHeight="false" outlineLevel="0" collapsed="false">
      <c r="A22" s="6"/>
      <c r="B22" s="17" t="s">
        <v>159</v>
      </c>
      <c r="C22" s="18"/>
      <c r="D22" s="18"/>
      <c r="E22" s="18"/>
      <c r="F22" s="18"/>
      <c r="G22" s="18"/>
      <c r="H22" s="18"/>
      <c r="I22" s="18"/>
      <c r="J22" s="18"/>
      <c r="K22" s="18"/>
      <c r="L22" s="18"/>
      <c r="M22" s="18"/>
      <c r="N22" s="18"/>
    </row>
    <row r="23" customFormat="false" ht="15" hidden="false" customHeight="false" outlineLevel="0" collapsed="false">
      <c r="A23" s="6"/>
      <c r="B23" s="6"/>
      <c r="C23" s="6"/>
      <c r="D23" s="6"/>
      <c r="E23" s="6"/>
      <c r="F23" s="6"/>
      <c r="G23" s="6"/>
      <c r="H23" s="6"/>
      <c r="I23" s="6"/>
      <c r="J23" s="6"/>
      <c r="K23" s="6"/>
      <c r="L23" s="6"/>
      <c r="M23" s="6"/>
      <c r="N23" s="6"/>
    </row>
    <row r="24" customFormat="false" ht="15" hidden="false" customHeight="false" outlineLevel="0" collapsed="false">
      <c r="A24" s="6"/>
      <c r="B24" s="19" t="s">
        <v>160</v>
      </c>
      <c r="C24" s="8" t="n">
        <f aca="false">C19+(C15+C20)*Carry_Rate/(1-Carry_Rate)</f>
        <v>543034.555918672</v>
      </c>
      <c r="D24" s="8" t="n">
        <f aca="false">D19+(D15+D20)*Carry_Rate/(1-Carry_Rate)</f>
        <v>1127191.79256233</v>
      </c>
      <c r="E24" s="8" t="n">
        <f aca="false">E19+(E15+E20)*Carry_Rate/(1-Carry_Rate)</f>
        <v>1663565.10658994</v>
      </c>
      <c r="F24" s="8" t="n">
        <f aca="false">F19+(F15+F20)*Carry_Rate/(1-Carry_Rate)</f>
        <v>2149532.19532501</v>
      </c>
      <c r="G24" s="8" t="n">
        <f aca="false">G19+(G15+G20)*Carry_Rate/(1-Carry_Rate)</f>
        <v>2497865.92051197</v>
      </c>
      <c r="H24" s="8" t="n">
        <f aca="false">H19+(H15+H20)*Carry_Rate/(1-Carry_Rate)</f>
        <v>2723372.57214597</v>
      </c>
      <c r="I24" s="8" t="n">
        <f aca="false">I19+(I15+I20)*Carry_Rate/(1-Carry_Rate)</f>
        <v>2968133.09406457</v>
      </c>
      <c r="J24" s="8" t="n">
        <f aca="false">J19+(J15+J20)*Carry_Rate/(1-Carry_Rate)</f>
        <v>3454416.07833371</v>
      </c>
      <c r="K24" s="8" t="n">
        <f aca="false">K19+(K15+K20)*Carry_Rate/(1-Carry_Rate)</f>
        <v>3950831.4219381</v>
      </c>
      <c r="L24" s="8" t="n">
        <f aca="false">L19+(L15+L20)*Carry_Rate/(1-Carry_Rate)</f>
        <v>4552386.26297794</v>
      </c>
      <c r="M24" s="8" t="n">
        <f aca="false">M19+(M15+M20)*Carry_Rate/(1-Carry_Rate)</f>
        <v>4916577.16401617</v>
      </c>
      <c r="N24" s="8" t="n">
        <f aca="false">N19+(N15+N20)*Carry_Rate/(1-Carry_Rate)</f>
        <v>5239866.11907183</v>
      </c>
    </row>
    <row r="25" customFormat="false" ht="15" hidden="false" customHeight="false" outlineLevel="0" collapsed="false">
      <c r="A25" s="6"/>
      <c r="B25" s="19" t="s">
        <v>161</v>
      </c>
      <c r="C25" s="8" t="n">
        <f aca="false">MAX(0,MIN(C11,C24)-C15-C20)</f>
        <v>0</v>
      </c>
      <c r="D25" s="8" t="n">
        <f aca="false">MAX(0,MIN(D11,D24)-D15-D20)</f>
        <v>0</v>
      </c>
      <c r="E25" s="8" t="n">
        <f aca="false">MAX(0,MIN(E11,E24)-E15-E20)</f>
        <v>0</v>
      </c>
      <c r="F25" s="8" t="n">
        <f aca="false">MAX(0,MIN(F11,F24)-F15-F20)</f>
        <v>0</v>
      </c>
      <c r="G25" s="8" t="n">
        <f aca="false">MAX(0,MIN(G11,G24)-G15-G20)</f>
        <v>0</v>
      </c>
      <c r="H25" s="8" t="n">
        <f aca="false">MAX(0,MIN(H11,H24)-H15-H20)</f>
        <v>0</v>
      </c>
      <c r="I25" s="8" t="n">
        <f aca="false">MAX(0,MIN(I11,I24)-I15-I20)</f>
        <v>0</v>
      </c>
      <c r="J25" s="8" t="n">
        <f aca="false">MAX(0,MIN(J11,J24)-J15-J20)</f>
        <v>0</v>
      </c>
      <c r="K25" s="8" t="n">
        <f aca="false">MAX(0,MIN(K11,K24)-K15-K20)</f>
        <v>0</v>
      </c>
      <c r="L25" s="8" t="n">
        <f aca="false">MAX(0,MIN(L11,L24)-L15-L20)</f>
        <v>333864.787065059</v>
      </c>
      <c r="M25" s="8" t="n">
        <f aca="false">MAX(0,MIN(M11,M24)-M15-M20)</f>
        <v>38512.0662344703</v>
      </c>
      <c r="N25" s="8" t="n">
        <f aca="false">MAX(0,MIN(N11,N24)-N15-N20)</f>
        <v>0</v>
      </c>
    </row>
    <row r="26" customFormat="false" ht="15" hidden="false" customHeight="false" outlineLevel="0" collapsed="false">
      <c r="A26" s="6"/>
      <c r="B26" s="19" t="s">
        <v>162</v>
      </c>
      <c r="C26" s="8" t="n">
        <f aca="false">C25</f>
        <v>0</v>
      </c>
      <c r="D26" s="8" t="n">
        <f aca="false">MAX(0,D25-C25)</f>
        <v>0</v>
      </c>
      <c r="E26" s="8" t="n">
        <f aca="false">MAX(0,E25-D25)</f>
        <v>0</v>
      </c>
      <c r="F26" s="8" t="n">
        <f aca="false">MAX(0,F25-E25)</f>
        <v>0</v>
      </c>
      <c r="G26" s="8" t="n">
        <f aca="false">MAX(0,G25-F25)</f>
        <v>0</v>
      </c>
      <c r="H26" s="8" t="n">
        <f aca="false">MAX(0,H25-G25)</f>
        <v>0</v>
      </c>
      <c r="I26" s="8" t="n">
        <f aca="false">MAX(0,I25-H25)</f>
        <v>0</v>
      </c>
      <c r="J26" s="8" t="n">
        <f aca="false">MAX(0,J25-I25)</f>
        <v>0</v>
      </c>
      <c r="K26" s="8" t="n">
        <f aca="false">MAX(0,K25-J25)</f>
        <v>0</v>
      </c>
      <c r="L26" s="8" t="n">
        <f aca="false">MAX(0,L25-K25)</f>
        <v>333864.787065059</v>
      </c>
      <c r="M26" s="8" t="n">
        <f aca="false">MAX(0,M25-L25)</f>
        <v>0</v>
      </c>
      <c r="N26" s="8" t="n">
        <f aca="false">MAX(0,N25-M25)</f>
        <v>0</v>
      </c>
    </row>
    <row r="27" customFormat="false" ht="15" hidden="false" customHeight="false" outlineLevel="0" collapsed="false">
      <c r="A27" s="6"/>
      <c r="B27" s="17" t="s">
        <v>163</v>
      </c>
      <c r="C27" s="18"/>
      <c r="D27" s="18"/>
      <c r="E27" s="18"/>
      <c r="F27" s="18"/>
      <c r="G27" s="18"/>
      <c r="H27" s="18"/>
      <c r="I27" s="18"/>
      <c r="J27" s="18"/>
      <c r="K27" s="18"/>
      <c r="L27" s="18"/>
      <c r="M27" s="18"/>
      <c r="N27" s="18"/>
    </row>
    <row r="28" customFormat="false" ht="15" hidden="false" customHeight="false" outlineLevel="0" collapsed="false">
      <c r="A28" s="6"/>
      <c r="B28" s="6"/>
      <c r="C28" s="6"/>
      <c r="D28" s="6"/>
      <c r="E28" s="6"/>
      <c r="F28" s="6"/>
      <c r="G28" s="6"/>
      <c r="H28" s="6"/>
      <c r="I28" s="6"/>
      <c r="J28" s="6"/>
      <c r="K28" s="6"/>
      <c r="L28" s="6"/>
      <c r="M28" s="6"/>
      <c r="N28" s="6"/>
    </row>
    <row r="29" customFormat="false" ht="15" hidden="false" customHeight="false" outlineLevel="0" collapsed="false">
      <c r="A29" s="6"/>
      <c r="B29" s="19" t="s">
        <v>164</v>
      </c>
      <c r="C29" s="8" t="n">
        <f aca="false">MAX(0,C11-C15-C20-C25)</f>
        <v>0</v>
      </c>
      <c r="D29" s="8" t="n">
        <f aca="false">MAX(0,D11-D15-D20-D25)</f>
        <v>0</v>
      </c>
      <c r="E29" s="8" t="n">
        <f aca="false">MAX(0,E11-E15-E20-E25)</f>
        <v>0</v>
      </c>
      <c r="F29" s="8" t="n">
        <f aca="false">MAX(0,F11-F15-F20-F25)</f>
        <v>0</v>
      </c>
      <c r="G29" s="8" t="n">
        <f aca="false">MAX(0,G11-G15-G20-G25)</f>
        <v>0</v>
      </c>
      <c r="H29" s="8" t="n">
        <f aca="false">MAX(0,H11-H15-H20-H25)</f>
        <v>0</v>
      </c>
      <c r="I29" s="8" t="n">
        <f aca="false">MAX(0,I11-I15-I20-I25)</f>
        <v>0</v>
      </c>
      <c r="J29" s="8" t="n">
        <f aca="false">MAX(0,J11-J15-J20-J25)</f>
        <v>0</v>
      </c>
      <c r="K29" s="8" t="n">
        <f aca="false">MAX(0,K11-K15-K20-K25)</f>
        <v>0</v>
      </c>
      <c r="L29" s="8" t="n">
        <f aca="false">MAX(0,L11-L15-L20-L25)</f>
        <v>0</v>
      </c>
      <c r="M29" s="8" t="n">
        <f aca="false">MAX(0,M11-M15-M20-M25)</f>
        <v>0</v>
      </c>
      <c r="N29" s="8" t="n">
        <f aca="false">MAX(0,N11-N15-N20-N25)</f>
        <v>0</v>
      </c>
    </row>
    <row r="30" customFormat="false" ht="15" hidden="false" customHeight="false" outlineLevel="0" collapsed="false">
      <c r="A30" s="6"/>
      <c r="B30" s="19" t="s">
        <v>165</v>
      </c>
      <c r="C30" s="8" t="n">
        <f aca="false">C29</f>
        <v>0</v>
      </c>
      <c r="D30" s="8" t="n">
        <f aca="false">MAX(0,D29-C29)</f>
        <v>0</v>
      </c>
      <c r="E30" s="8" t="n">
        <f aca="false">MAX(0,E29-D29)</f>
        <v>0</v>
      </c>
      <c r="F30" s="8" t="n">
        <f aca="false">MAX(0,F29-E29)</f>
        <v>0</v>
      </c>
      <c r="G30" s="8" t="n">
        <f aca="false">MAX(0,G29-F29)</f>
        <v>0</v>
      </c>
      <c r="H30" s="8" t="n">
        <f aca="false">MAX(0,H29-G29)</f>
        <v>0</v>
      </c>
      <c r="I30" s="8" t="n">
        <f aca="false">MAX(0,I29-H29)</f>
        <v>0</v>
      </c>
      <c r="J30" s="8" t="n">
        <f aca="false">MAX(0,J29-I29)</f>
        <v>0</v>
      </c>
      <c r="K30" s="8" t="n">
        <f aca="false">MAX(0,K29-J29)</f>
        <v>0</v>
      </c>
      <c r="L30" s="8" t="n">
        <f aca="false">MAX(0,L29-K29)</f>
        <v>0</v>
      </c>
      <c r="M30" s="8" t="n">
        <f aca="false">MAX(0,M29-L29)</f>
        <v>0</v>
      </c>
      <c r="N30" s="8" t="n">
        <f aca="false">MAX(0,N29-M29)</f>
        <v>0</v>
      </c>
    </row>
    <row r="31" customFormat="false" ht="15" hidden="false" customHeight="false" outlineLevel="0" collapsed="false">
      <c r="A31" s="6"/>
      <c r="B31" s="17" t="s">
        <v>166</v>
      </c>
      <c r="C31" s="18"/>
      <c r="D31" s="18"/>
      <c r="E31" s="18"/>
      <c r="F31" s="18"/>
      <c r="G31" s="18"/>
      <c r="H31" s="18"/>
      <c r="I31" s="18"/>
      <c r="J31" s="18"/>
      <c r="K31" s="18"/>
      <c r="L31" s="18"/>
      <c r="M31" s="18"/>
      <c r="N31" s="18"/>
    </row>
    <row r="32" customFormat="false" ht="15" hidden="false" customHeight="false" outlineLevel="0" collapsed="false">
      <c r="A32" s="6"/>
      <c r="B32" s="6"/>
      <c r="C32" s="6"/>
      <c r="D32" s="6"/>
      <c r="E32" s="6"/>
      <c r="F32" s="6"/>
      <c r="G32" s="6"/>
      <c r="H32" s="6"/>
      <c r="I32" s="6"/>
      <c r="J32" s="6"/>
      <c r="K32" s="6"/>
      <c r="L32" s="6"/>
      <c r="M32" s="6"/>
      <c r="N32" s="6"/>
    </row>
    <row r="33" customFormat="false" ht="15" hidden="false" customHeight="false" outlineLevel="0" collapsed="false">
      <c r="A33" s="6"/>
      <c r="B33" s="7" t="s">
        <v>167</v>
      </c>
      <c r="C33" s="28" t="n">
        <f aca="false">IF(C10&lt;=0,0,C16+C21+(1-Carry_Rate)*C30)</f>
        <v>0</v>
      </c>
      <c r="D33" s="28" t="n">
        <f aca="false">IF(D10&lt;=0,0,D16+D21+(1-Carry_Rate)*D30)</f>
        <v>0</v>
      </c>
      <c r="E33" s="28" t="n">
        <f aca="false">IF(E10&lt;=0,0,E16+E21+(1-Carry_Rate)*E30)</f>
        <v>11964.84375</v>
      </c>
      <c r="F33" s="28" t="n">
        <f aca="false">IF(F10&lt;=0,0,F16+F21+(1-Carry_Rate)*F30)</f>
        <v>47036.01953125</v>
      </c>
      <c r="G33" s="28" t="n">
        <f aca="false">IF(G10&lt;=0,0,G16+G21+(1-Carry_Rate)*G30)</f>
        <v>78037.0083984375</v>
      </c>
      <c r="H33" s="28" t="n">
        <f aca="false">IF(H10&lt;=0,0,H16+H21+(1-Carry_Rate)*H30)</f>
        <v>108867.541706543</v>
      </c>
      <c r="I33" s="28" t="n">
        <f aca="false">IF(I10&lt;=0,0,I16+I21+(1-Carry_Rate)*I30)</f>
        <v>122430.297658569</v>
      </c>
      <c r="J33" s="28" t="n">
        <f aca="false">IF(J10&lt;=0,0,J16+J21+(1-Carry_Rate)*J30)</f>
        <v>1019991.20385948</v>
      </c>
      <c r="K33" s="28" t="n">
        <f aca="false">IF(K10&lt;=0,0,K16+K21+(1-Carry_Rate)*K30)</f>
        <v>986509.382543125</v>
      </c>
      <c r="L33" s="28" t="n">
        <f aca="false">IF(L10&lt;=0,0,L16+L21+(1-Carry_Rate)*L30)</f>
        <v>1327135.21293494</v>
      </c>
      <c r="M33" s="28" t="n">
        <f aca="false">IF(M10&lt;=0,0,M16+M21+(1-Carry_Rate)*M30)</f>
        <v>0</v>
      </c>
      <c r="N33" s="28" t="n">
        <f aca="false">IF(N10&lt;=0,0,N16+N21+(1-Carry_Rate)*N30)</f>
        <v>0</v>
      </c>
    </row>
    <row r="34" customFormat="false" ht="15" hidden="false" customHeight="false" outlineLevel="0" collapsed="false">
      <c r="A34" s="6"/>
      <c r="B34" s="7" t="s">
        <v>168</v>
      </c>
      <c r="C34" s="8" t="n">
        <f aca="false">IF(C10&lt;=0,0,C26+Carry_Rate*C30)</f>
        <v>0</v>
      </c>
      <c r="D34" s="8" t="n">
        <f aca="false">IF(D10&lt;=0,0,D26+Carry_Rate*D30)</f>
        <v>0</v>
      </c>
      <c r="E34" s="8" t="n">
        <f aca="false">IF(E10&lt;=0,0,E26+Carry_Rate*E30)</f>
        <v>0</v>
      </c>
      <c r="F34" s="8" t="n">
        <f aca="false">IF(F10&lt;=0,0,F26+Carry_Rate*F30)</f>
        <v>0</v>
      </c>
      <c r="G34" s="8" t="n">
        <f aca="false">IF(G10&lt;=0,0,G26+Carry_Rate*G30)</f>
        <v>0</v>
      </c>
      <c r="H34" s="8" t="n">
        <f aca="false">IF(H10&lt;=0,0,H26+Carry_Rate*H30)</f>
        <v>0</v>
      </c>
      <c r="I34" s="8" t="n">
        <f aca="false">IF(I10&lt;=0,0,I26+Carry_Rate*I30)</f>
        <v>0</v>
      </c>
      <c r="J34" s="8" t="n">
        <f aca="false">IF(J10&lt;=0,0,J26+Carry_Rate*J30)</f>
        <v>0</v>
      </c>
      <c r="K34" s="8" t="n">
        <f aca="false">IF(K10&lt;=0,0,K26+Carry_Rate*K30)</f>
        <v>0</v>
      </c>
      <c r="L34" s="8" t="n">
        <f aca="false">IF(L10&lt;=0,0,L26+Carry_Rate*L30)</f>
        <v>333864.787065059</v>
      </c>
      <c r="M34" s="8" t="n">
        <f aca="false">IF(M10&lt;=0,0,M26+Carry_Rate*M30)</f>
        <v>0</v>
      </c>
      <c r="N34" s="8" t="n">
        <f aca="false">IF(N10&lt;=0,0,N26+Carry_Rate*N30)</f>
        <v>0</v>
      </c>
    </row>
    <row r="35" customFormat="false" ht="15" hidden="false" customHeight="false" outlineLevel="0" collapsed="false">
      <c r="A35" s="6"/>
      <c r="B35" s="7" t="s">
        <v>169</v>
      </c>
      <c r="C35" s="28" t="n">
        <f aca="false">C33</f>
        <v>0</v>
      </c>
      <c r="D35" s="28" t="n">
        <f aca="false">C35+D33</f>
        <v>0</v>
      </c>
      <c r="E35" s="28" t="n">
        <f aca="false">D35+E33</f>
        <v>11964.84375</v>
      </c>
      <c r="F35" s="28" t="n">
        <f aca="false">E35+F33</f>
        <v>59000.86328125</v>
      </c>
      <c r="G35" s="28" t="n">
        <f aca="false">F35+G33</f>
        <v>137037.871679687</v>
      </c>
      <c r="H35" s="28" t="n">
        <f aca="false">G35+H33</f>
        <v>245905.41338623</v>
      </c>
      <c r="I35" s="28" t="n">
        <f aca="false">H35+I33</f>
        <v>368335.7110448</v>
      </c>
      <c r="J35" s="28" t="n">
        <f aca="false">I35+J33</f>
        <v>1388326.91490428</v>
      </c>
      <c r="K35" s="28" t="n">
        <f aca="false">J35+K33</f>
        <v>2374836.29744741</v>
      </c>
      <c r="L35" s="28" t="n">
        <f aca="false">K35+L33</f>
        <v>3701971.51038235</v>
      </c>
      <c r="M35" s="28" t="n">
        <f aca="false">L35+M33</f>
        <v>3701971.51038235</v>
      </c>
      <c r="N35" s="28" t="n">
        <f aca="false">M35+N33</f>
        <v>3701971.51038235</v>
      </c>
    </row>
    <row r="36" customFormat="false" ht="15" hidden="false" customHeight="false" outlineLevel="0" collapsed="false">
      <c r="A36" s="6"/>
      <c r="B36" s="19" t="s">
        <v>170</v>
      </c>
      <c r="C36" s="8" t="n">
        <f aca="false">C34</f>
        <v>0</v>
      </c>
      <c r="D36" s="8" t="n">
        <f aca="false">C36+D34</f>
        <v>0</v>
      </c>
      <c r="E36" s="8" t="n">
        <f aca="false">D36+E34</f>
        <v>0</v>
      </c>
      <c r="F36" s="8" t="n">
        <f aca="false">E36+F34</f>
        <v>0</v>
      </c>
      <c r="G36" s="8" t="n">
        <f aca="false">F36+G34</f>
        <v>0</v>
      </c>
      <c r="H36" s="8" t="n">
        <f aca="false">G36+H34</f>
        <v>0</v>
      </c>
      <c r="I36" s="8" t="n">
        <f aca="false">H36+I34</f>
        <v>0</v>
      </c>
      <c r="J36" s="8" t="n">
        <f aca="false">I36+J34</f>
        <v>0</v>
      </c>
      <c r="K36" s="8" t="n">
        <f aca="false">J36+K34</f>
        <v>0</v>
      </c>
      <c r="L36" s="8" t="n">
        <f aca="false">K36+L34</f>
        <v>333864.787065059</v>
      </c>
      <c r="M36" s="8" t="n">
        <f aca="false">L36+M34</f>
        <v>333864.787065059</v>
      </c>
      <c r="N36" s="8" t="n">
        <f aca="false">M36+N34</f>
        <v>333864.787065059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2CC"/>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4" min="3" style="0" width="13"/>
  </cols>
  <sheetData>
    <row r="1" customFormat="false" ht="15" hidden="false" customHeight="false" outlineLevel="0" collapsed="false">
      <c r="A1" s="1"/>
      <c r="B1" s="1"/>
      <c r="C1" s="1"/>
      <c r="D1" s="1"/>
      <c r="E1" s="1"/>
      <c r="F1" s="1"/>
      <c r="G1" s="1"/>
      <c r="H1" s="1"/>
      <c r="I1" s="1"/>
      <c r="J1" s="1"/>
      <c r="K1" s="1"/>
      <c r="L1" s="1"/>
      <c r="M1" s="1"/>
      <c r="N1" s="1"/>
      <c r="O1" s="2"/>
      <c r="P1" s="2"/>
      <c r="Q1" s="2"/>
      <c r="R1" s="2"/>
      <c r="S1" s="2"/>
      <c r="T1" s="2"/>
      <c r="U1" s="2"/>
      <c r="V1" s="2"/>
      <c r="W1" s="2"/>
      <c r="X1" s="2"/>
      <c r="Y1" s="2"/>
      <c r="Z1" s="2"/>
      <c r="AA1" s="2"/>
      <c r="AB1" s="2"/>
      <c r="AC1" s="2"/>
      <c r="AD1" s="2"/>
    </row>
    <row r="2" customFormat="false" ht="21.75" hidden="false" customHeight="true" outlineLevel="0" collapsed="false">
      <c r="A2" s="1"/>
      <c r="B2" s="3" t="s">
        <v>171</v>
      </c>
      <c r="C2" s="1"/>
      <c r="D2" s="1"/>
      <c r="E2" s="1"/>
      <c r="F2" s="1"/>
      <c r="G2" s="1"/>
      <c r="H2" s="1"/>
      <c r="I2" s="1"/>
      <c r="J2" s="1"/>
      <c r="K2" s="1"/>
      <c r="L2" s="1"/>
      <c r="M2" s="1"/>
      <c r="N2" s="1"/>
      <c r="O2" s="2"/>
      <c r="P2" s="2"/>
      <c r="Q2" s="2"/>
      <c r="R2" s="2"/>
      <c r="S2" s="2"/>
      <c r="T2" s="2"/>
      <c r="U2" s="2"/>
      <c r="V2" s="2"/>
      <c r="W2" s="2"/>
      <c r="X2" s="2"/>
      <c r="Y2" s="2"/>
      <c r="Z2" s="2"/>
      <c r="AA2" s="2"/>
      <c r="AB2" s="2"/>
      <c r="AC2" s="2"/>
      <c r="AD2" s="2"/>
    </row>
    <row r="3" customFormat="false" ht="15" hidden="false" customHeight="false" outlineLevel="0" collapsed="false">
      <c r="A3" s="1"/>
      <c r="B3" s="5" t="s">
        <v>172</v>
      </c>
      <c r="C3" s="1"/>
      <c r="D3" s="1"/>
      <c r="E3" s="1"/>
      <c r="F3" s="1"/>
      <c r="G3" s="1"/>
      <c r="H3" s="1"/>
      <c r="I3" s="1"/>
      <c r="J3" s="1"/>
      <c r="K3" s="1"/>
      <c r="L3" s="1"/>
      <c r="M3" s="1"/>
      <c r="N3" s="1"/>
      <c r="O3" s="2"/>
      <c r="P3" s="2"/>
      <c r="Q3" s="2"/>
      <c r="R3" s="2"/>
      <c r="S3" s="2"/>
      <c r="T3" s="2"/>
      <c r="U3" s="2"/>
      <c r="V3" s="2"/>
      <c r="W3" s="2"/>
      <c r="X3" s="2"/>
      <c r="Y3" s="2"/>
      <c r="Z3" s="2"/>
      <c r="AA3" s="2"/>
      <c r="AB3" s="2"/>
      <c r="AC3" s="2"/>
      <c r="AD3" s="2"/>
    </row>
    <row r="4" customFormat="false" ht="15" hidden="false" customHeight="false" outlineLevel="0" collapsed="false">
      <c r="A4" s="6"/>
      <c r="B4" s="26" t="s">
        <v>115</v>
      </c>
      <c r="C4" s="27" t="n">
        <v>1</v>
      </c>
      <c r="D4" s="27" t="n">
        <v>2</v>
      </c>
      <c r="E4" s="27" t="n">
        <v>3</v>
      </c>
      <c r="F4" s="27" t="n">
        <v>4</v>
      </c>
      <c r="G4" s="27" t="n">
        <v>5</v>
      </c>
      <c r="H4" s="27" t="n">
        <v>6</v>
      </c>
      <c r="I4" s="27" t="n">
        <v>7</v>
      </c>
      <c r="J4" s="27" t="n">
        <v>8</v>
      </c>
      <c r="K4" s="27" t="n">
        <v>9</v>
      </c>
      <c r="L4" s="27" t="n">
        <v>10</v>
      </c>
      <c r="M4" s="27" t="n">
        <v>11</v>
      </c>
      <c r="N4" s="27" t="n">
        <v>12</v>
      </c>
    </row>
    <row r="5" customFormat="false" ht="15" hidden="false" customHeight="false" outlineLevel="0" collapsed="false">
      <c r="A5" s="6"/>
      <c r="B5" s="19" t="s">
        <v>173</v>
      </c>
      <c r="C5" s="8" t="n">
        <f aca="false">Capital_Calls!C5</f>
        <v>30000</v>
      </c>
      <c r="D5" s="8" t="n">
        <f aca="false">Capital_Calls!D5</f>
        <v>30000</v>
      </c>
      <c r="E5" s="8" t="n">
        <f aca="false">Capital_Calls!E5</f>
        <v>30000</v>
      </c>
      <c r="F5" s="8" t="n">
        <f aca="false">Capital_Calls!F5</f>
        <v>30000</v>
      </c>
      <c r="G5" s="8" t="n">
        <f aca="false">Capital_Calls!G5</f>
        <v>30000</v>
      </c>
      <c r="H5" s="8" t="n">
        <f aca="false">Capital_Calls!H5</f>
        <v>23750</v>
      </c>
      <c r="I5" s="8" t="n">
        <f aca="false">Capital_Calls!I5</f>
        <v>23750</v>
      </c>
      <c r="J5" s="8" t="n">
        <f aca="false">Capital_Calls!J5</f>
        <v>17500</v>
      </c>
      <c r="K5" s="8" t="n">
        <f aca="false">Capital_Calls!K5</f>
        <v>11250</v>
      </c>
      <c r="L5" s="8" t="n">
        <f aca="false">Capital_Calls!L5</f>
        <v>0</v>
      </c>
      <c r="M5" s="8" t="n">
        <f aca="false">Capital_Calls!M5</f>
        <v>0</v>
      </c>
      <c r="N5" s="8" t="n">
        <f aca="false">Capital_Calls!N5</f>
        <v>0</v>
      </c>
    </row>
    <row r="6" customFormat="false" ht="15" hidden="false" customHeight="false" outlineLevel="0" collapsed="false">
      <c r="A6" s="6"/>
      <c r="B6" s="19" t="s">
        <v>174</v>
      </c>
      <c r="C6" s="8" t="n">
        <f aca="false">Waterfall!C34</f>
        <v>0</v>
      </c>
      <c r="D6" s="8" t="n">
        <f aca="false">Waterfall!D34</f>
        <v>0</v>
      </c>
      <c r="E6" s="8" t="n">
        <f aca="false">Waterfall!E34</f>
        <v>0</v>
      </c>
      <c r="F6" s="8" t="n">
        <f aca="false">Waterfall!F34</f>
        <v>0</v>
      </c>
      <c r="G6" s="8" t="n">
        <f aca="false">Waterfall!G34</f>
        <v>0</v>
      </c>
      <c r="H6" s="8" t="n">
        <f aca="false">Waterfall!H34</f>
        <v>0</v>
      </c>
      <c r="I6" s="8" t="n">
        <f aca="false">Waterfall!I34</f>
        <v>0</v>
      </c>
      <c r="J6" s="8" t="n">
        <f aca="false">Waterfall!J34</f>
        <v>0</v>
      </c>
      <c r="K6" s="8" t="n">
        <f aca="false">Waterfall!K34</f>
        <v>0</v>
      </c>
      <c r="L6" s="8" t="n">
        <f aca="false">Waterfall!L34</f>
        <v>333864.787065059</v>
      </c>
      <c r="M6" s="8" t="n">
        <f aca="false">Waterfall!M34</f>
        <v>0</v>
      </c>
      <c r="N6" s="8" t="n">
        <f aca="false">Waterfall!N34</f>
        <v>0</v>
      </c>
    </row>
    <row r="7" customFormat="false" ht="15" hidden="false" customHeight="false" outlineLevel="0" collapsed="false">
      <c r="A7" s="6"/>
      <c r="B7" s="19" t="s">
        <v>175</v>
      </c>
      <c r="C7" s="8" t="n">
        <f aca="false">-Capital_Calls!C13</f>
        <v>-10880</v>
      </c>
      <c r="D7" s="8" t="n">
        <f aca="false">-Capital_Calls!D13</f>
        <v>-10680</v>
      </c>
      <c r="E7" s="8" t="n">
        <f aca="false">-Capital_Calls!E13</f>
        <v>-8680</v>
      </c>
      <c r="F7" s="8" t="n">
        <f aca="false">-Capital_Calls!F13</f>
        <v>-6680</v>
      </c>
      <c r="G7" s="8" t="n">
        <f aca="false">-Capital_Calls!G13</f>
        <v>-3080</v>
      </c>
      <c r="H7" s="8" t="n">
        <f aca="false">-Capital_Calls!H13</f>
        <v>-0</v>
      </c>
      <c r="I7" s="8" t="n">
        <f aca="false">-Capital_Calls!I13</f>
        <v>-0</v>
      </c>
      <c r="J7" s="8" t="n">
        <f aca="false">-Capital_Calls!J13</f>
        <v>-0</v>
      </c>
      <c r="K7" s="8" t="n">
        <f aca="false">-Capital_Calls!K13</f>
        <v>-0</v>
      </c>
      <c r="L7" s="8" t="n">
        <f aca="false">-Capital_Calls!L13</f>
        <v>-0</v>
      </c>
      <c r="M7" s="8" t="n">
        <f aca="false">-Capital_Calls!M13</f>
        <v>-0</v>
      </c>
      <c r="N7" s="8" t="n">
        <f aca="false">-Capital_Calls!N13</f>
        <v>-0</v>
      </c>
    </row>
    <row r="8" customFormat="false" ht="15" hidden="false" customHeight="false" outlineLevel="0" collapsed="false">
      <c r="A8" s="6"/>
      <c r="B8" s="19" t="s">
        <v>176</v>
      </c>
      <c r="C8" s="8" t="n">
        <f aca="false">Waterfall!C35*GP_Coinvest_Pct</f>
        <v>0</v>
      </c>
      <c r="D8" s="8" t="n">
        <f aca="false">(Waterfall!D35-Waterfall!C35)*GP_Coinvest_Pct</f>
        <v>0</v>
      </c>
      <c r="E8" s="8" t="n">
        <f aca="false">(Waterfall!E35-Waterfall!D35)*GP_Coinvest_Pct</f>
        <v>239.296875</v>
      </c>
      <c r="F8" s="8" t="n">
        <f aca="false">(Waterfall!F35-Waterfall!E35)*GP_Coinvest_Pct</f>
        <v>940.720390625</v>
      </c>
      <c r="G8" s="8" t="n">
        <f aca="false">(Waterfall!G35-Waterfall!F35)*GP_Coinvest_Pct</f>
        <v>1560.74016796875</v>
      </c>
      <c r="H8" s="8" t="n">
        <f aca="false">(Waterfall!H35-Waterfall!G35)*GP_Coinvest_Pct</f>
        <v>2177.35083413086</v>
      </c>
      <c r="I8" s="8" t="n">
        <f aca="false">(Waterfall!I35-Waterfall!H35)*GP_Coinvest_Pct</f>
        <v>2448.60595317139</v>
      </c>
      <c r="J8" s="8" t="n">
        <f aca="false">(Waterfall!J35-Waterfall!I35)*GP_Coinvest_Pct</f>
        <v>20399.8240771897</v>
      </c>
      <c r="K8" s="8" t="n">
        <f aca="false">(Waterfall!K35-Waterfall!J35)*GP_Coinvest_Pct</f>
        <v>19730.1876508625</v>
      </c>
      <c r="L8" s="8" t="n">
        <f aca="false">(Waterfall!L35-Waterfall!K35)*GP_Coinvest_Pct</f>
        <v>26542.7042586988</v>
      </c>
      <c r="M8" s="8" t="n">
        <f aca="false">(Waterfall!M35-Waterfall!L35)*GP_Coinvest_Pct</f>
        <v>0</v>
      </c>
      <c r="N8" s="8" t="n">
        <f aca="false">(Waterfall!N35-Waterfall!M35)*GP_Coinvest_Pct</f>
        <v>0</v>
      </c>
    </row>
    <row r="9" customFormat="false" ht="15" hidden="false" customHeight="false" outlineLevel="0" collapsed="false">
      <c r="A9" s="6"/>
      <c r="B9" s="7" t="s">
        <v>177</v>
      </c>
      <c r="C9" s="28" t="n">
        <f aca="false">C7+C8</f>
        <v>-10880</v>
      </c>
      <c r="D9" s="28" t="n">
        <f aca="false">D7+D8</f>
        <v>-10680</v>
      </c>
      <c r="E9" s="28" t="n">
        <f aca="false">E7+E8</f>
        <v>-8440.703125</v>
      </c>
      <c r="F9" s="28" t="n">
        <f aca="false">F7+F8</f>
        <v>-5739.279609375</v>
      </c>
      <c r="G9" s="28" t="n">
        <f aca="false">G7+G8</f>
        <v>-1519.25983203125</v>
      </c>
      <c r="H9" s="28" t="n">
        <f aca="false">H7+H8</f>
        <v>2177.35083413086</v>
      </c>
      <c r="I9" s="28" t="n">
        <f aca="false">I7+I8</f>
        <v>2448.60595317139</v>
      </c>
      <c r="J9" s="28" t="n">
        <f aca="false">J7+J8</f>
        <v>20399.8240771897</v>
      </c>
      <c r="K9" s="28" t="n">
        <f aca="false">K7+K8</f>
        <v>19730.1876508625</v>
      </c>
      <c r="L9" s="28" t="n">
        <f aca="false">L7+L8</f>
        <v>26542.7042586988</v>
      </c>
      <c r="M9" s="28" t="n">
        <f aca="false">M7+M8</f>
        <v>0</v>
      </c>
      <c r="N9" s="28" t="n">
        <f aca="false">N7+N8</f>
        <v>0</v>
      </c>
    </row>
    <row r="10" customFormat="false" ht="15" hidden="false" customHeight="false" outlineLevel="0" collapsed="false">
      <c r="A10" s="6"/>
      <c r="B10" s="17" t="s">
        <v>178</v>
      </c>
      <c r="C10" s="18"/>
      <c r="D10" s="18"/>
      <c r="E10" s="18"/>
      <c r="F10" s="18"/>
      <c r="G10" s="18"/>
      <c r="H10" s="18"/>
      <c r="I10" s="18"/>
      <c r="J10" s="18"/>
      <c r="K10" s="18"/>
      <c r="L10" s="18"/>
      <c r="M10" s="18"/>
      <c r="N10" s="18"/>
    </row>
    <row r="11" customFormat="false" ht="15" hidden="false" customHeight="false" outlineLevel="0" collapsed="false">
      <c r="A11" s="6"/>
      <c r="B11" s="7" t="s">
        <v>179</v>
      </c>
      <c r="C11" s="28" t="n">
        <f aca="false">C5+C6+C8</f>
        <v>30000</v>
      </c>
      <c r="D11" s="28" t="n">
        <f aca="false">D5+D6+D8</f>
        <v>30000</v>
      </c>
      <c r="E11" s="28" t="n">
        <f aca="false">E5+E6+E8</f>
        <v>30239.296875</v>
      </c>
      <c r="F11" s="28" t="n">
        <f aca="false">F5+F6+F8</f>
        <v>30940.720390625</v>
      </c>
      <c r="G11" s="28" t="n">
        <f aca="false">G5+G6+G8</f>
        <v>31560.7401679688</v>
      </c>
      <c r="H11" s="28" t="n">
        <f aca="false">H5+H6+H8</f>
        <v>25927.3508341309</v>
      </c>
      <c r="I11" s="28" t="n">
        <f aca="false">I5+I6+I8</f>
        <v>26198.6059531714</v>
      </c>
      <c r="J11" s="28" t="n">
        <f aca="false">J5+J6+J8</f>
        <v>37899.8240771897</v>
      </c>
      <c r="K11" s="28" t="n">
        <f aca="false">K5+K6+K8</f>
        <v>30980.1876508625</v>
      </c>
      <c r="L11" s="28" t="n">
        <f aca="false">L5+L6+L8</f>
        <v>360407.491323758</v>
      </c>
      <c r="M11" s="28" t="n">
        <f aca="false">M5+M6+M8</f>
        <v>0</v>
      </c>
      <c r="N11" s="28" t="n">
        <f aca="false">N5+N6+N8</f>
        <v>0</v>
      </c>
    </row>
    <row r="12" customFormat="false" ht="15" hidden="false" customHeight="false" outlineLevel="0" collapsed="false">
      <c r="A12" s="6"/>
      <c r="B12" s="7" t="s">
        <v>180</v>
      </c>
      <c r="C12" s="8" t="n">
        <f aca="false">C6+C7+C8</f>
        <v>-10880</v>
      </c>
      <c r="D12" s="8" t="n">
        <f aca="false">D6+D7+D8</f>
        <v>-10680</v>
      </c>
      <c r="E12" s="8" t="n">
        <f aca="false">E6+E7+E8</f>
        <v>-8440.703125</v>
      </c>
      <c r="F12" s="8" t="n">
        <f aca="false">F6+F7+F8</f>
        <v>-5739.279609375</v>
      </c>
      <c r="G12" s="8" t="n">
        <f aca="false">G6+G7+G8</f>
        <v>-1519.25983203125</v>
      </c>
      <c r="H12" s="8" t="n">
        <f aca="false">H6+H7+H8</f>
        <v>2177.35083413086</v>
      </c>
      <c r="I12" s="8" t="n">
        <f aca="false">I6+I7+I8</f>
        <v>2448.60595317139</v>
      </c>
      <c r="J12" s="8" t="n">
        <f aca="false">J6+J7+J8</f>
        <v>20399.8240771897</v>
      </c>
      <c r="K12" s="8" t="n">
        <f aca="false">K6+K7+K8</f>
        <v>19730.1876508625</v>
      </c>
      <c r="L12" s="8" t="n">
        <f aca="false">L6+L7+L8</f>
        <v>360407.491323758</v>
      </c>
      <c r="M12" s="8" t="n">
        <f aca="false">M6+M7+M8</f>
        <v>0</v>
      </c>
      <c r="N12" s="8" t="n">
        <f aca="false">N6+N7+N8</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4" min="3" style="0" width="13"/>
  </cols>
  <sheetData>
    <row r="1" customFormat="false" ht="15" hidden="false" customHeight="false" outlineLevel="0" collapsed="false">
      <c r="A1" s="1"/>
      <c r="B1" s="1"/>
      <c r="C1" s="1"/>
      <c r="D1" s="1"/>
      <c r="E1" s="1"/>
      <c r="F1" s="1"/>
      <c r="G1" s="1"/>
      <c r="H1" s="1"/>
      <c r="I1" s="1"/>
      <c r="J1" s="1"/>
      <c r="K1" s="1"/>
      <c r="L1" s="1"/>
      <c r="M1" s="1"/>
      <c r="N1" s="1"/>
      <c r="O1" s="2"/>
      <c r="P1" s="2"/>
      <c r="Q1" s="2"/>
      <c r="R1" s="2"/>
      <c r="S1" s="2"/>
      <c r="T1" s="2"/>
      <c r="U1" s="2"/>
      <c r="V1" s="2"/>
      <c r="W1" s="2"/>
      <c r="X1" s="2"/>
      <c r="Y1" s="2"/>
      <c r="Z1" s="2"/>
      <c r="AA1" s="2"/>
      <c r="AB1" s="2"/>
      <c r="AC1" s="2"/>
      <c r="AD1" s="2"/>
    </row>
    <row r="2" customFormat="false" ht="21.75" hidden="false" customHeight="true" outlineLevel="0" collapsed="false">
      <c r="A2" s="1"/>
      <c r="B2" s="3" t="s">
        <v>181</v>
      </c>
      <c r="C2" s="1"/>
      <c r="D2" s="1"/>
      <c r="E2" s="1"/>
      <c r="F2" s="1"/>
      <c r="G2" s="1"/>
      <c r="H2" s="1"/>
      <c r="I2" s="1"/>
      <c r="J2" s="1"/>
      <c r="K2" s="1"/>
      <c r="L2" s="1"/>
      <c r="M2" s="1"/>
      <c r="N2" s="1"/>
      <c r="O2" s="2"/>
      <c r="P2" s="2"/>
      <c r="Q2" s="2"/>
      <c r="R2" s="2"/>
      <c r="S2" s="2"/>
      <c r="T2" s="2"/>
      <c r="U2" s="2"/>
      <c r="V2" s="2"/>
      <c r="W2" s="2"/>
      <c r="X2" s="2"/>
      <c r="Y2" s="2"/>
      <c r="Z2" s="2"/>
      <c r="AA2" s="2"/>
      <c r="AB2" s="2"/>
      <c r="AC2" s="2"/>
      <c r="AD2" s="2"/>
    </row>
    <row r="3" customFormat="false" ht="15" hidden="false" customHeight="false" outlineLevel="0" collapsed="false">
      <c r="A3" s="1"/>
      <c r="B3" s="5" t="s">
        <v>182</v>
      </c>
      <c r="C3" s="1"/>
      <c r="D3" s="1"/>
      <c r="E3" s="1"/>
      <c r="F3" s="1"/>
      <c r="G3" s="1"/>
      <c r="H3" s="1"/>
      <c r="I3" s="1"/>
      <c r="J3" s="1"/>
      <c r="K3" s="1"/>
      <c r="L3" s="1"/>
      <c r="M3" s="1"/>
      <c r="N3" s="1"/>
      <c r="O3" s="2"/>
      <c r="P3" s="2"/>
      <c r="Q3" s="2"/>
      <c r="R3" s="2"/>
      <c r="S3" s="2"/>
      <c r="T3" s="2"/>
      <c r="U3" s="2"/>
      <c r="V3" s="2"/>
      <c r="W3" s="2"/>
      <c r="X3" s="2"/>
      <c r="Y3" s="2"/>
      <c r="Z3" s="2"/>
      <c r="AA3" s="2"/>
      <c r="AB3" s="2"/>
      <c r="AC3" s="2"/>
      <c r="AD3" s="2"/>
    </row>
    <row r="4" customFormat="false" ht="15" hidden="false" customHeight="false" outlineLevel="0" collapsed="false">
      <c r="A4" s="6"/>
      <c r="B4" s="26" t="s">
        <v>115</v>
      </c>
      <c r="C4" s="27" t="n">
        <v>1</v>
      </c>
      <c r="D4" s="27" t="n">
        <v>2</v>
      </c>
      <c r="E4" s="27" t="n">
        <v>3</v>
      </c>
      <c r="F4" s="27" t="n">
        <v>4</v>
      </c>
      <c r="G4" s="27" t="n">
        <v>5</v>
      </c>
      <c r="H4" s="27" t="n">
        <v>6</v>
      </c>
      <c r="I4" s="27" t="n">
        <v>7</v>
      </c>
      <c r="J4" s="27" t="n">
        <v>8</v>
      </c>
      <c r="K4" s="27" t="n">
        <v>9</v>
      </c>
      <c r="L4" s="27" t="n">
        <v>10</v>
      </c>
      <c r="M4" s="27" t="n">
        <v>11</v>
      </c>
      <c r="N4" s="27" t="n">
        <v>12</v>
      </c>
    </row>
    <row r="5" customFormat="false" ht="15" hidden="false" customHeight="false" outlineLevel="0" collapsed="false">
      <c r="A5" s="6"/>
      <c r="B5" s="19" t="s">
        <v>183</v>
      </c>
      <c r="C5" s="8" t="n">
        <f aca="false">-Capital_Calls!C14+Waterfall!C33</f>
        <v>-533120</v>
      </c>
      <c r="D5" s="8" t="n">
        <f aca="false">-Capital_Calls!D14+Waterfall!D33</f>
        <v>-523320</v>
      </c>
      <c r="E5" s="8" t="n">
        <f aca="false">-Capital_Calls!E14+Waterfall!E33</f>
        <v>-413355.15625</v>
      </c>
      <c r="F5" s="8" t="n">
        <f aca="false">-Capital_Calls!F14+Waterfall!F33</f>
        <v>-280283.98046875</v>
      </c>
      <c r="G5" s="8" t="n">
        <f aca="false">-Capital_Calls!G14+Waterfall!G33</f>
        <v>-72882.9916015625</v>
      </c>
      <c r="H5" s="8" t="n">
        <f aca="false">-Capital_Calls!H14+Waterfall!H33</f>
        <v>108867.541706543</v>
      </c>
      <c r="I5" s="8" t="n">
        <f aca="false">-Capital_Calls!I14+Waterfall!I33</f>
        <v>122430.297658569</v>
      </c>
      <c r="J5" s="8" t="n">
        <f aca="false">-Capital_Calls!J14+Waterfall!J33</f>
        <v>1019991.20385948</v>
      </c>
      <c r="K5" s="8" t="n">
        <f aca="false">-Capital_Calls!K14+Waterfall!K33</f>
        <v>986509.382543125</v>
      </c>
      <c r="L5" s="8" t="n">
        <f aca="false">-Capital_Calls!L14+Waterfall!L33</f>
        <v>1327135.21293494</v>
      </c>
      <c r="M5" s="8" t="n">
        <f aca="false">-Capital_Calls!M14+Waterfall!M33</f>
        <v>0</v>
      </c>
      <c r="N5" s="8" t="n">
        <f aca="false">-Capital_Calls!N14+Waterfall!N33</f>
        <v>0</v>
      </c>
    </row>
    <row r="6" customFormat="false" ht="15" hidden="false" customHeight="false" outlineLevel="0" collapsed="false">
      <c r="A6" s="6"/>
      <c r="B6" s="19" t="s">
        <v>184</v>
      </c>
      <c r="C6" s="8" t="n">
        <f aca="false">C5</f>
        <v>-533120</v>
      </c>
      <c r="D6" s="8" t="n">
        <f aca="false">C6+D5</f>
        <v>-1056440</v>
      </c>
      <c r="E6" s="8" t="n">
        <f aca="false">D6+E5</f>
        <v>-1469795.15625</v>
      </c>
      <c r="F6" s="8" t="n">
        <f aca="false">E6+F5</f>
        <v>-1750079.13671875</v>
      </c>
      <c r="G6" s="8" t="n">
        <f aca="false">F6+G5</f>
        <v>-1822962.12832031</v>
      </c>
      <c r="H6" s="8" t="n">
        <f aca="false">G6+H5</f>
        <v>-1714094.58661377</v>
      </c>
      <c r="I6" s="8" t="n">
        <f aca="false">H6+I5</f>
        <v>-1591664.2889552</v>
      </c>
      <c r="J6" s="8" t="n">
        <f aca="false">I6+J5</f>
        <v>-571673.085095716</v>
      </c>
      <c r="K6" s="8" t="n">
        <f aca="false">J6+K5</f>
        <v>414836.297447409</v>
      </c>
      <c r="L6" s="8" t="n">
        <f aca="false">K6+L5</f>
        <v>1741971.51038235</v>
      </c>
      <c r="M6" s="8" t="n">
        <f aca="false">L6+M5</f>
        <v>1741971.51038235</v>
      </c>
      <c r="N6" s="8" t="n">
        <f aca="false">M6+N5</f>
        <v>1741971.51038235</v>
      </c>
    </row>
    <row r="7" customFormat="false" ht="15" hidden="false" customHeight="false" outlineLevel="0" collapsed="false">
      <c r="A7" s="6"/>
      <c r="B7" s="17" t="s">
        <v>185</v>
      </c>
      <c r="C7" s="18"/>
      <c r="D7" s="18"/>
      <c r="E7" s="18"/>
      <c r="F7" s="18"/>
      <c r="G7" s="18"/>
      <c r="H7" s="18"/>
      <c r="I7" s="18"/>
      <c r="J7" s="18"/>
      <c r="K7" s="18"/>
      <c r="L7" s="18"/>
      <c r="M7" s="18"/>
      <c r="N7" s="18"/>
    </row>
    <row r="8" customFormat="false" ht="15" hidden="false" customHeight="false" outlineLevel="0" collapsed="false">
      <c r="A8" s="6"/>
      <c r="B8" s="6"/>
      <c r="C8" s="6"/>
      <c r="D8" s="6"/>
      <c r="E8" s="6"/>
      <c r="F8" s="6"/>
      <c r="G8" s="6"/>
      <c r="H8" s="6"/>
      <c r="I8" s="6"/>
      <c r="J8" s="6"/>
      <c r="K8" s="6"/>
      <c r="L8" s="6"/>
      <c r="M8" s="6"/>
      <c r="N8" s="6"/>
    </row>
    <row r="9" customFormat="false" ht="15" hidden="false" customHeight="false" outlineLevel="0" collapsed="false">
      <c r="A9" s="6"/>
      <c r="B9" s="19" t="s">
        <v>186</v>
      </c>
      <c r="C9" s="29" t="n">
        <f aca="false">IFERROR(IRR(C5:N5),NA())</f>
        <v>0.107360519425396</v>
      </c>
      <c r="D9" s="6"/>
      <c r="E9" s="6"/>
      <c r="F9" s="6"/>
      <c r="G9" s="6"/>
      <c r="H9" s="6"/>
      <c r="I9" s="6"/>
      <c r="J9" s="6"/>
      <c r="K9" s="6"/>
      <c r="L9" s="6"/>
      <c r="M9" s="6"/>
      <c r="N9" s="6"/>
    </row>
    <row r="10" customFormat="false" ht="15" hidden="false" customHeight="false" outlineLevel="0" collapsed="false">
      <c r="A10" s="6"/>
      <c r="B10" s="19" t="s">
        <v>187</v>
      </c>
      <c r="C10" s="28" t="n">
        <f aca="false">C5+NPV(Discount_Rate,D5:N5)</f>
        <v>72329.5936925681</v>
      </c>
      <c r="D10" s="6"/>
      <c r="E10" s="6"/>
      <c r="F10" s="6"/>
      <c r="G10" s="6"/>
      <c r="H10" s="6"/>
      <c r="I10" s="6"/>
      <c r="J10" s="6"/>
      <c r="K10" s="6"/>
      <c r="L10" s="6"/>
      <c r="M10" s="6"/>
      <c r="N10" s="6"/>
    </row>
    <row r="11" customFormat="false" ht="15" hidden="false" customHeight="false" outlineLevel="0" collapsed="false">
      <c r="A11" s="6"/>
      <c r="B11" s="19" t="s">
        <v>188</v>
      </c>
      <c r="C11" s="30" t="n">
        <f aca="false">IFERROR(SUM(Waterfall!C33:N33)/SUM(Capital_Calls!C14:N14),NA())</f>
        <v>1.88876097468487</v>
      </c>
      <c r="D11" s="6"/>
      <c r="E11" s="6"/>
      <c r="F11" s="6"/>
      <c r="G11" s="6"/>
      <c r="H11" s="6"/>
      <c r="I11" s="6"/>
      <c r="J11" s="6"/>
      <c r="K11" s="6"/>
      <c r="L11" s="6"/>
      <c r="M11" s="6"/>
      <c r="N11" s="6"/>
    </row>
    <row r="12" customFormat="false" ht="15" hidden="false" customHeight="false" outlineLevel="0" collapsed="false">
      <c r="A12" s="6"/>
      <c r="B12" s="6"/>
      <c r="C12" s="6"/>
      <c r="D12" s="6"/>
      <c r="E12" s="6"/>
      <c r="F12" s="6"/>
      <c r="G12" s="6"/>
      <c r="H12" s="6"/>
      <c r="I12" s="6"/>
      <c r="J12" s="6"/>
      <c r="K12" s="6"/>
      <c r="L12" s="6"/>
      <c r="M12" s="6"/>
      <c r="N12" s="6"/>
    </row>
    <row r="13" customFormat="false" ht="15" hidden="false" customHeight="false" outlineLevel="0" collapsed="false">
      <c r="A13" s="6"/>
      <c r="B13" s="19" t="s">
        <v>189</v>
      </c>
      <c r="C13" s="9" t="n">
        <f aca="false">IFERROR(IRR(C15:N15),NA())</f>
        <v>0.142876469543477</v>
      </c>
      <c r="D13" s="6"/>
      <c r="E13" s="6"/>
      <c r="F13" s="6"/>
      <c r="G13" s="6"/>
      <c r="H13" s="6"/>
      <c r="I13" s="6"/>
      <c r="J13" s="6"/>
      <c r="K13" s="6"/>
      <c r="L13" s="6"/>
      <c r="M13" s="6"/>
      <c r="N13" s="6"/>
    </row>
    <row r="14" customFormat="false" ht="15" hidden="false" customHeight="false" outlineLevel="0" collapsed="false">
      <c r="A14" s="6"/>
      <c r="B14" s="19" t="s">
        <v>190</v>
      </c>
      <c r="C14" s="31" t="n">
        <f aca="false">SUM(Deployment!C26:N26)/SUM(Deployment!C10:N10)</f>
        <v>1.85</v>
      </c>
      <c r="D14" s="6"/>
      <c r="E14" s="6"/>
      <c r="F14" s="6"/>
      <c r="G14" s="6"/>
      <c r="H14" s="6"/>
      <c r="I14" s="6"/>
      <c r="J14" s="6"/>
      <c r="K14" s="6"/>
      <c r="L14" s="6"/>
      <c r="M14" s="6"/>
      <c r="N14" s="6"/>
    </row>
    <row r="15" customFormat="false" ht="15" hidden="false" customHeight="false" outlineLevel="0" collapsed="false">
      <c r="A15" s="6"/>
      <c r="B15" s="19" t="s">
        <v>191</v>
      </c>
      <c r="C15" s="8" t="n">
        <f aca="false">Asset_Cash_Flows!C10+Deployment!C26-Deployment!C10</f>
        <v>-500000</v>
      </c>
      <c r="D15" s="8" t="n">
        <f aca="false">Asset_Cash_Flows!D10+Deployment!D26-Deployment!D10</f>
        <v>-482062.5</v>
      </c>
      <c r="E15" s="8" t="n">
        <f aca="false">Asset_Cash_Flows!E10+Deployment!E26-Deployment!E10</f>
        <v>-354035.15625</v>
      </c>
      <c r="F15" s="8" t="n">
        <f aca="false">Asset_Cash_Flows!F10+Deployment!F26-Deployment!F10</f>
        <v>-218963.98046875</v>
      </c>
      <c r="G15" s="8" t="n">
        <f aca="false">Asset_Cash_Flows!G10+Deployment!G26-Deployment!G10</f>
        <v>-87962.9916015625</v>
      </c>
      <c r="H15" s="8" t="n">
        <f aca="false">Asset_Cash_Flows!H10+Deployment!H26-Deployment!H10</f>
        <v>136617.541706543</v>
      </c>
      <c r="I15" s="8" t="n">
        <f aca="false">Asset_Cash_Flows!I10+Deployment!I26-Deployment!I10</f>
        <v>150180.297658569</v>
      </c>
      <c r="J15" s="8" t="n">
        <f aca="false">Asset_Cash_Flows!J10+Deployment!J26-Deployment!J10</f>
        <v>1041491.20385948</v>
      </c>
      <c r="K15" s="8" t="n">
        <f aca="false">Asset_Cash_Flows!K10+Deployment!K26-Deployment!K10</f>
        <v>1001759.38254312</v>
      </c>
      <c r="L15" s="8" t="n">
        <f aca="false">Asset_Cash_Flows!L10+Deployment!L26-Deployment!L10</f>
        <v>1665000</v>
      </c>
      <c r="M15" s="8" t="n">
        <f aca="false">Asset_Cash_Flows!M10+Deployment!M26-Deployment!M10</f>
        <v>0</v>
      </c>
      <c r="N15" s="8" t="n">
        <f aca="false">Asset_Cash_Flows!N10+Deployment!N26-Deployment!N10</f>
        <v>0</v>
      </c>
    </row>
    <row r="16" customFormat="false" ht="15" hidden="false" customHeight="false" outlineLevel="0" collapsed="false">
      <c r="A16" s="6"/>
      <c r="B16" s="17" t="s">
        <v>192</v>
      </c>
      <c r="C16" s="18"/>
      <c r="D16" s="18"/>
      <c r="E16" s="18"/>
      <c r="F16" s="18"/>
      <c r="G16" s="18"/>
      <c r="H16" s="18"/>
      <c r="I16" s="18"/>
      <c r="J16" s="18"/>
      <c r="K16" s="18"/>
      <c r="L16" s="18"/>
      <c r="M16" s="18"/>
      <c r="N16" s="18"/>
    </row>
    <row r="17" customFormat="false" ht="15" hidden="false" customHeight="false" outlineLevel="0" collapsed="false">
      <c r="A17" s="6"/>
      <c r="B17" s="6"/>
      <c r="C17" s="6"/>
      <c r="D17" s="6"/>
      <c r="E17" s="6"/>
      <c r="F17" s="6"/>
      <c r="G17" s="6"/>
      <c r="H17" s="6"/>
      <c r="I17" s="6"/>
      <c r="J17" s="6"/>
      <c r="K17" s="6"/>
      <c r="L17" s="6"/>
      <c r="M17" s="6"/>
      <c r="N17" s="6"/>
    </row>
    <row r="18" customFormat="false" ht="15" hidden="false" customHeight="false" outlineLevel="0" collapsed="false">
      <c r="A18" s="6"/>
      <c r="B18" s="19" t="s">
        <v>193</v>
      </c>
      <c r="C18" s="31" t="n">
        <f aca="false">IFERROR(Waterfall!C35/Capital_Calls!C15,0)</f>
        <v>0</v>
      </c>
      <c r="D18" s="31" t="n">
        <f aca="false">IFERROR(Waterfall!D35/Capital_Calls!D15,0)</f>
        <v>0</v>
      </c>
      <c r="E18" s="31" t="n">
        <f aca="false">IFERROR(Waterfall!E35/Capital_Calls!E15,0)</f>
        <v>0.00807475147797214</v>
      </c>
      <c r="F18" s="31" t="n">
        <f aca="false">IFERROR(Waterfall!F35/Capital_Calls!F15,0)</f>
        <v>0.0326137391830378</v>
      </c>
      <c r="G18" s="31" t="n">
        <f aca="false">IFERROR(Waterfall!G35/Capital_Calls!G15,0)</f>
        <v>0.0699172814692283</v>
      </c>
      <c r="H18" s="31" t="n">
        <f aca="false">IFERROR(Waterfall!H35/Capital_Calls!H15,0)</f>
        <v>0.12546194560522</v>
      </c>
      <c r="I18" s="31" t="n">
        <f aca="false">IFERROR(Waterfall!I35/Capital_Calls!I15,0)</f>
        <v>0.187926383186122</v>
      </c>
      <c r="J18" s="31" t="n">
        <f aca="false">IFERROR(Waterfall!J35/Capital_Calls!J15,0)</f>
        <v>0.708330058624635</v>
      </c>
      <c r="K18" s="31" t="n">
        <f aca="false">IFERROR(Waterfall!K35/Capital_Calls!K15,0)</f>
        <v>1.21165117216705</v>
      </c>
      <c r="L18" s="31" t="n">
        <f aca="false">IFERROR(Waterfall!L35/Capital_Calls!L15,0)</f>
        <v>1.88876097468487</v>
      </c>
      <c r="M18" s="31" t="n">
        <f aca="false">IFERROR(Waterfall!M35/Capital_Calls!M15,0)</f>
        <v>1.88876097468487</v>
      </c>
      <c r="N18" s="31" t="n">
        <f aca="false">IFERROR(Waterfall!N35/Capital_Calls!N15,0)</f>
        <v>1.88876097468487</v>
      </c>
    </row>
    <row r="19" customFormat="false" ht="15" hidden="false" customHeight="false" outlineLevel="0" collapsed="false">
      <c r="A19" s="6"/>
      <c r="B19" s="19" t="s">
        <v>194</v>
      </c>
      <c r="C19" s="31" t="n">
        <f aca="false">IFERROR(NAV!C9/Capital_Calls!C15,0)</f>
        <v>0.937875150060024</v>
      </c>
      <c r="D19" s="31" t="n">
        <f aca="false">IFERROR(NAV!D9/Capital_Calls!D15,0)</f>
        <v>1.0040459332421</v>
      </c>
      <c r="E19" s="31" t="n">
        <f aca="false">IFERROR(NAV!E9/Capital_Calls!E15,0)</f>
        <v>1.06774569238126</v>
      </c>
      <c r="F19" s="31" t="n">
        <f aca="false">IFERROR(NAV!F9/Capital_Calls!F15,0)</f>
        <v>1.13435716338849</v>
      </c>
      <c r="G19" s="31" t="n">
        <f aca="false">IFERROR(NAV!G9/Capital_Calls!G15,0)</f>
        <v>1.25747084548105</v>
      </c>
      <c r="H19" s="31" t="n">
        <f aca="false">IFERROR(NAV!H9/Capital_Calls!H15,0)</f>
        <v>1.3832361516035</v>
      </c>
      <c r="I19" s="31" t="n">
        <f aca="false">IFERROR(NAV!I9/Capital_Calls!I15,0)</f>
        <v>1.50900145772595</v>
      </c>
      <c r="J19" s="31" t="n">
        <f aca="false">IFERROR(NAV!J9/Capital_Calls!J15,0)</f>
        <v>1.16282798833819</v>
      </c>
      <c r="K19" s="31" t="n">
        <f aca="false">IFERROR(NAV!K9/Capital_Calls!K15,0)</f>
        <v>0.785677842565598</v>
      </c>
      <c r="L19" s="31" t="n">
        <f aca="false">IFERROR(NAV!L9/Capital_Calls!L15,0)</f>
        <v>0</v>
      </c>
      <c r="M19" s="31" t="n">
        <f aca="false">IFERROR(NAV!M9/Capital_Calls!M15,0)</f>
        <v>0</v>
      </c>
      <c r="N19" s="31" t="n">
        <f aca="false">IFERROR(NAV!N9/Capital_Calls!N15,0)</f>
        <v>0</v>
      </c>
    </row>
    <row r="20" customFormat="false" ht="15" hidden="false" customHeight="false" outlineLevel="0" collapsed="false">
      <c r="A20" s="6"/>
      <c r="B20" s="19" t="s">
        <v>195</v>
      </c>
      <c r="C20" s="31" t="n">
        <f aca="false">C18+C19</f>
        <v>0.937875150060024</v>
      </c>
      <c r="D20" s="31" t="n">
        <f aca="false">D18+D19</f>
        <v>1.0040459332421</v>
      </c>
      <c r="E20" s="31" t="n">
        <f aca="false">E18+E19</f>
        <v>1.07582044385923</v>
      </c>
      <c r="F20" s="31" t="n">
        <f aca="false">F18+F19</f>
        <v>1.16697090257153</v>
      </c>
      <c r="G20" s="31" t="n">
        <f aca="false">G18+G19</f>
        <v>1.32738812695028</v>
      </c>
      <c r="H20" s="31" t="n">
        <f aca="false">H18+H19</f>
        <v>1.50869809720872</v>
      </c>
      <c r="I20" s="31" t="n">
        <f aca="false">I18+I19</f>
        <v>1.69692784091207</v>
      </c>
      <c r="J20" s="31" t="n">
        <f aca="false">J18+J19</f>
        <v>1.87115804696283</v>
      </c>
      <c r="K20" s="31" t="n">
        <f aca="false">K18+K19</f>
        <v>1.99732901473264</v>
      </c>
      <c r="L20" s="31" t="n">
        <f aca="false">L18+L19</f>
        <v>1.88876097468487</v>
      </c>
      <c r="M20" s="31" t="n">
        <f aca="false">M18+M19</f>
        <v>1.88876097468487</v>
      </c>
      <c r="N20" s="31" t="n">
        <f aca="false">N18+N19</f>
        <v>1.88876097468487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2026-05-15T18:53:23Z</dcterms:created>
  <dc:creator>openpyxl</dc:creator>
  <dc:description/>
  <dc:language>en-GB</dc:language>
  <cp:lastModifiedBy/>
  <dcterms:modified xsi:type="dcterms:W3CDTF">2026-05-15T18:53:23Z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