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Premium_Build" sheetId="3" state="visible" r:id="rId5"/>
    <sheet name="Claims_Reserves" sheetId="4" state="visible" r:id="rId6"/>
    <sheet name="UW_Expenses" sheetId="5" state="visible" r:id="rId7"/>
    <sheet name="Income_Statement" sheetId="6" state="visible" r:id="rId8"/>
    <sheet name="Investments" sheetId="7" state="visible" r:id="rId9"/>
    <sheet name="Balance_Sheet" sheetId="8" state="visible" r:id="rId10"/>
    <sheet name="Cash_Flow" sheetId="9" state="visible" r:id="rId11"/>
    <sheet name="Capital_Adequacy" sheetId="10" state="visible" r:id="rId12"/>
    <sheet name="Checks" sheetId="11" state="visible" r:id="rId13"/>
    <sheet name="Disclaimer" sheetId="12" state="visible" r:id="rId14"/>
  </sheets>
  <definedNames>
    <definedName function="false" hidden="false" name="Bond_Yield" vbProcedure="false">Assumptions!$C$18</definedName>
    <definedName function="false" hidden="false" name="BS_Cash" vbProcedure="false">Balance_Sheet!$C$7</definedName>
    <definedName function="false" hidden="false" name="BS_RE" vbProcedure="false">Balance_Sheet!$C$22</definedName>
    <definedName function="false" hidden="false" name="BS_Total_Assets" vbProcedure="false">Balance_Sheet!$C$13</definedName>
    <definedName function="false" hidden="false" name="BS_Total_Equity" vbProcedure="false">Balance_Sheet!$C$23</definedName>
    <definedName function="false" hidden="false" name="BS_Total_LE" vbProcedure="false">Balance_Sheet!$C$24</definedName>
    <definedName function="false" hidden="false" name="CapEx_Rate" vbProcedure="false">Assumptions!$C$28</definedName>
    <definedName function="false" hidden="false" name="CA_Dividends" vbProcedure="false">Capital_Adequacy!$C$20</definedName>
    <definedName function="false" hidden="false" name="CA_Dividend_Capacity" vbProcedure="false">Capital_Adequacy!$C$19</definedName>
    <definedName function="false" hidden="false" name="Cession_Rate" vbProcedure="false">Assumptions!$C$10</definedName>
    <definedName function="false" hidden="false" name="CF_Closing" vbProcedure="false">Cash_Flow!$C$27</definedName>
    <definedName function="false" hidden="false" name="Commission_Rate" vbProcedure="false">Assumptions!$C$14</definedName>
    <definedName function="false" hidden="false" name="CR_Net_Incurred" vbProcedure="false">Claims_Reserves!$C$9</definedName>
    <definedName function="false" hidden="false" name="CR_Paid_Claims" vbProcedure="false">Claims_Reserves!$C$14</definedName>
    <definedName function="false" hidden="false" name="CR_Reserve_Close" vbProcedure="false">Claims_Reserves!$C$13</definedName>
    <definedName function="false" hidden="false" name="DAC_Opening" vbProcedure="false">Assumptions!$C$31</definedName>
    <definedName function="false" hidden="false" name="Debt_Principal" vbProcedure="false">Assumptions!$C$23</definedName>
    <definedName function="false" hidden="false" name="Debt_Rate" vbProcedure="false">Assumptions!$C$22</definedName>
    <definedName function="false" hidden="false" name="Debt_Tenor" vbProcedure="false">Assumptions!$C$24</definedName>
    <definedName function="false" hidden="false" name="Dividend_Payout_Rate" vbProcedure="false">Assumptions!$C$37</definedName>
    <definedName function="false" hidden="false" name="DS_Closing" vbProcedure="false">Income_Statement!$C$37</definedName>
    <definedName function="false" hidden="false" name="DS_Opening" vbProcedure="false">Income_Statement!$C$35</definedName>
    <definedName function="false" hidden="false" name="DS_Repayment" vbProcedure="false">Income_Statement!$C$36</definedName>
    <definedName function="false" hidden="false" name="Equity_Alloc_Pct" vbProcedure="false">Assumptions!$C$17</definedName>
    <definedName function="false" hidden="false" name="Equity_Premium_Over_Bond_Yield" vbProcedure="false">Assumptions!$C$19</definedName>
    <definedName function="false" hidden="false" name="GWP_Base" vbProcedure="false">Assumptions!$C$8</definedName>
    <definedName function="false" hidden="false" name="GWP_Growth_Rate" vbProcedure="false">Assumptions!$C$9</definedName>
    <definedName function="false" hidden="false" name="Invested_Assets_Opening" vbProcedure="false">Assumptions!$C$34</definedName>
    <definedName function="false" hidden="false" name="Investment_Yield" vbProcedure="false">Assumptions!$C$16</definedName>
    <definedName function="false" hidden="false" name="INV_Assets_Close" vbProcedure="false">Investments!$C$8</definedName>
    <definedName function="false" hidden="false" name="INV_Income" vbProcedure="false">Investments!$C$10</definedName>
    <definedName function="false" hidden="false" name="INV_Realised" vbProcedure="false">Investments!$C$11</definedName>
    <definedName function="false" hidden="false" name="IS_Capex" vbProcedure="false">Income_Statement!$C$28</definedName>
    <definedName function="false" hidden="false" name="IS_Depreciation" vbProcedure="false">Income_Statement!$C$29</definedName>
    <definedName function="false" hidden="false" name="IS_Dividends" vbProcedure="false">Income_Statement!$C$54</definedName>
    <definedName function="false" hidden="false" name="IS_Interest" vbProcedure="false">Income_Statement!$C$38</definedName>
    <definedName function="false" hidden="false" name="IS_Net_Income" vbProcedure="false">Income_Statement!$C$52</definedName>
    <definedName function="false" hidden="false" name="IS_Net_PPE_Close" vbProcedure="false">Income_Statement!$C$30</definedName>
    <definedName function="false" hidden="false" name="Loss_Ratio" vbProcedure="false">Assumptions!$C$12</definedName>
    <definedName function="false" hidden="false" name="Loss_Reserve_Ratio" vbProcedure="false">Assumptions!$C$13</definedName>
    <definedName function="false" hidden="false" name="Model_Start_Year" vbProcedure="false">Assumptions!$C$7</definedName>
    <definedName function="false" hidden="false" name="NOL_Opening" vbProcedure="false">Assumptions!$C$40</definedName>
    <definedName function="false" hidden="false" name="Opening_Net_PPE" vbProcedure="false">Assumptions!$C$30</definedName>
    <definedName function="false" hidden="false" name="Open_Loss_Reserve" vbProcedure="false">Assumptions!$C$35</definedName>
    <definedName function="false" hidden="false" name="Open_Ret_Earnings" vbProcedure="false">Assumptions!$C$32</definedName>
    <definedName function="false" hidden="false" name="Open_UPR" vbProcedure="false">Assumptions!$C$36</definedName>
    <definedName function="false" hidden="false" name="Other_Income_Rate" vbProcedure="false">Assumptions!$C$21</definedName>
    <definedName function="false" hidden="false" name="Other_UW_Rate" vbProcedure="false">Assumptions!$C$15</definedName>
    <definedName function="false" hidden="false" name="Payables_Days" vbProcedure="false">Assumptions!$C$27</definedName>
    <definedName function="false" hidden="false" name="PB_Ceded_NEP" vbProcedure="false">Premium_Build!$C$17</definedName>
    <definedName function="false" hidden="false" name="PB_Ceded_Premium" vbProcedure="false">Premium_Build!$C$8</definedName>
    <definedName function="false" hidden="false" name="PB_GWP" vbProcedure="false">Premium_Build!$C$7</definedName>
    <definedName function="false" hidden="false" name="PB_NEP" vbProcedure="false">Premium_Build!$C$14</definedName>
    <definedName function="false" hidden="false" name="PB_NWP" vbProcedure="false">Premium_Build!$C$9</definedName>
    <definedName function="false" hidden="false" name="PPE_Depr_Rate" vbProcedure="false">Assumptions!$C$29</definedName>
    <definedName function="false" hidden="false" name="Premium_DSO" vbProcedure="false">Assumptions!$C$26</definedName>
    <definedName function="false" hidden="false" name="Realised_Gain_Pct" vbProcedure="false">Assumptions!$C$20</definedName>
    <definedName function="false" hidden="false" name="Regulatory_PS_Limit" vbProcedure="false">Assumptions!$C$39</definedName>
    <definedName function="false" hidden="false" name="Share_Capital" vbProcedure="false">Assumptions!$C$33</definedName>
    <definedName function="false" hidden="false" name="Target_PS_Ratio" vbProcedure="false">Assumptions!$C$38</definedName>
    <definedName function="false" hidden="false" name="Tax_Rate" vbProcedure="false">Assumptions!$C$25</definedName>
    <definedName function="false" hidden="false" name="UPR_Rate" vbProcedure="false">Assumptions!$C$11</definedName>
    <definedName function="false" hidden="false" name="UW_DAC_Amort" vbProcedure="false">UW_Expenses!$C$10</definedName>
    <definedName function="false" hidden="false" name="UW_DAC_Close" vbProcedure="false">UW_Expenses!$C$11</definedName>
    <definedName function="false" hidden="false" name="UW_Gross_Commission" vbProcedure="false">UW_Expenses!$C$14</definedName>
    <definedName function="false" hidden="false" name="UW_Net_Commission" vbProcedure="false">UW_Expenses!$C$16</definedName>
    <definedName function="false" hidden="false" name="UW_Other_UW" vbProcedure="false">UW_Expenses!$C$17</definedName>
    <definedName function="false" hidden="false" name="UW_Total_UW" vbProcedure="false">UW_Expenses!$C$18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<sst xmlns="http://schemas.openxmlformats.org/spreadsheetml/2006/main" count="313" uniqueCount="267">
  <si>
    <t xml:space="preserve">Insurance Portfolio Model</t>
  </si>
  <si>
    <t xml:space="preserve">FINAMODEL.com</t>
  </si>
  <si>
    <t xml:space="preserve">Property &amp; Casualty | 5-Year Projection</t>
  </si>
  <si>
    <t xml:space="preserve">Company:</t>
  </si>
  <si>
    <t xml:space="preserve">Model Date:</t>
  </si>
  <si>
    <t xml:space="preserve">Prepared By:</t>
  </si>
  <si>
    <t xml:space="preserve">About this model</t>
  </si>
  <si>
    <t xml:space="preserve">This portfolio model manages insurance investment holdings by matching asset duration to liability duration, forecasting investment income, and stress-testing credit and interest rate risk. Build asset allocation across fixed income (government, corporate, MBS), equities, and alternatives; apply duration constraints; and calculate return sensitivity to spread widening, default scenarios, and rate changes.
The workbook tracks fixed income holdings by maturity and credit rating, calculates portfolio duration (weighted average time to cash flow), applies duration matching to liability duration (insurers must match long-duration liabilities with assets). Credit risk: default probability assumptions by rating (AAA 0.1%, BBB 1â2%, BB 5â10%), loss-given-default (typically 40â60%), and expected loss by holding. Dividend and interest income forecasts on known coupons and yields. Mark-to-market sensitivity: 1% parallel rate shift impacts portfolio value by duration Ã 1% (e.g., 5-year duration portfolio loses 5% value if rates rise 100 bps).
Used by insurance CFOs, asset liability managers (ALM), and portfolio managers ensuring compliance with prudential ratios (Solvency II in Europe, NAIC in US). The model reveals concentration risk and illiquidity drag: if liabilities are 8-year duration but 30% of assets are 2-year, reinvestment risk persists. Credit spread compression (tightening) benefits mark-to-market but reduces prospective yield. Benchmarks: insurance portfolios typically 60â80% fixed income, 10â20% equities, 10% alternatives; duration matched within Â±1 year to liability duration.</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</si>
  <si>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</si>
  <si>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</si>
  <si>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</si>
  <si>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</si>
  <si>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</si>
  <si>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Model Inputs — All drivers</t>
  </si>
  <si>
    <t xml:space="preserve">Parameter</t>
  </si>
  <si>
    <t xml:space="preserve">Value</t>
  </si>
  <si>
    <t xml:space="preserve">Unit</t>
  </si>
  <si>
    <t xml:space="preserve">Notes</t>
  </si>
  <si>
    <t xml:space="preserve">Scenario Toggle (reserved)</t>
  </si>
  <si>
    <t xml:space="preserve">Projection Period</t>
  </si>
  <si>
    <t xml:space="preserve">Premium Drivers</t>
  </si>
  <si>
    <t xml:space="preserve">year</t>
  </si>
  <si>
    <t xml:space="preserve">First projection year</t>
  </si>
  <si>
    <t xml:space="preserve">GWP Base</t>
  </si>
  <si>
    <t xml:space="preserve">$</t>
  </si>
  <si>
    <t xml:space="preserve">Year 0 gross written premium</t>
  </si>
  <si>
    <t xml:space="preserve">GWP Growth Rate</t>
  </si>
  <si>
    <t xml:space="preserve">%</t>
  </si>
  <si>
    <t xml:space="preserve">Hard market: 6% pa</t>
  </si>
  <si>
    <t xml:space="preserve">Cession Rate</t>
  </si>
  <si>
    <t xml:space="preserve">RI quota share + XL</t>
  </si>
  <si>
    <t xml:space="preserve">Loss Drivers</t>
  </si>
  <si>
    <t xml:space="preserve">45% of NWP unearned at year-end</t>
  </si>
  <si>
    <t xml:space="preserve">Loss Ratio</t>
  </si>
  <si>
    <t xml:space="preserve">Net incurred / NEP</t>
  </si>
  <si>
    <t xml:space="preserve">Expense Drivers</t>
  </si>
  <si>
    <t xml:space="preserve">Closing reserve / NEP</t>
  </si>
  <si>
    <t xml:space="preserve">Commission Rate</t>
  </si>
  <si>
    <t xml:space="preserve">Broker commission on NWP</t>
  </si>
  <si>
    <t xml:space="preserve">Investment Drivers</t>
  </si>
  <si>
    <t xml:space="preserve">Other UW expenses / NEP</t>
  </si>
  <si>
    <t xml:space="preserve">Investment Yield</t>
  </si>
  <si>
    <t xml:space="preserve">Pre-computed blended yield</t>
  </si>
  <si>
    <t xml:space="preserve">Equity Alloc Pct</t>
  </si>
  <si>
    <t xml:space="preserve">% of portfolio in equities</t>
  </si>
  <si>
    <t xml:space="preserve">Bond Yield</t>
  </si>
  <si>
    <t xml:space="preserve">Fixed income yield (2026)</t>
  </si>
  <si>
    <t xml:space="preserve">Equity Premium Over Bond</t>
  </si>
  <si>
    <t xml:space="preserve">Equity excess return over bonds</t>
  </si>
  <si>
    <t xml:space="preserve">Realised Gain Pct</t>
  </si>
  <si>
    <t xml:space="preserve">Realised gains / invested assets</t>
  </si>
  <si>
    <t xml:space="preserve">Debt</t>
  </si>
  <si>
    <t xml:space="preserve">Fees / other / NEP</t>
  </si>
  <si>
    <t xml:space="preserve">Debt Rate</t>
  </si>
  <si>
    <t xml:space="preserve">Interest rate on term loan</t>
  </si>
  <si>
    <t xml:space="preserve">Debt Principal</t>
  </si>
  <si>
    <t xml:space="preserve">Initial term loan drawdown</t>
  </si>
  <si>
    <t xml:space="preserve">Tax &amp; Working Capital</t>
  </si>
  <si>
    <t xml:space="preserve">years</t>
  </si>
  <si>
    <t xml:space="preserve">Repayment tenor</t>
  </si>
  <si>
    <t xml:space="preserve">Tax Rate</t>
  </si>
  <si>
    <t xml:space="preserve">US federal corporate tax</t>
  </si>
  <si>
    <t xml:space="preserve">Premium DSO</t>
  </si>
  <si>
    <t xml:space="preserve">days</t>
  </si>
  <si>
    <t xml:space="preserve">Receivable collection days</t>
  </si>
  <si>
    <t xml:space="preserve">CapEx &amp; PP&amp;E</t>
  </si>
  <si>
    <t xml:space="preserve">RI payable days</t>
  </si>
  <si>
    <t xml:space="preserve">CapEx Rate</t>
  </si>
  <si>
    <t xml:space="preserve">CapEx / NEP</t>
  </si>
  <si>
    <t xml:space="preserve">PPE Depr Rate</t>
  </si>
  <si>
    <t xml:space="preserve">Straight-line depr on opening PP&amp;E</t>
  </si>
  <si>
    <t xml:space="preserve">Opening Balances</t>
  </si>
  <si>
    <t xml:space="preserve">Net PP&amp;E at start</t>
  </si>
  <si>
    <t xml:space="preserve">DAC Opening</t>
  </si>
  <si>
    <t xml:space="preserve">Opening DAC balance</t>
  </si>
  <si>
    <t xml:space="preserve">Open Ret Earnings</t>
  </si>
  <si>
    <t xml:space="preserve">Opening retained earnings</t>
  </si>
  <si>
    <t xml:space="preserve">Share Capital</t>
  </si>
  <si>
    <t xml:space="preserve">Paid-in capital (constant)</t>
  </si>
  <si>
    <t xml:space="preserve">Invested Assets Opening</t>
  </si>
  <si>
    <t xml:space="preserve">Opening invested asset base</t>
  </si>
  <si>
    <t xml:space="preserve">Open Loss Reserve</t>
  </si>
  <si>
    <t xml:space="preserve">Opening loss reserve balance</t>
  </si>
  <si>
    <t xml:space="preserve">Dividends &amp; Capital Adequacy</t>
  </si>
  <si>
    <t xml:space="preserve">Opening UPR balance</t>
  </si>
  <si>
    <t xml:space="preserve">Dividend Payout Rate</t>
  </si>
  <si>
    <t xml:space="preserve">Constrained by regulatory capital; reduced from 50% to 10%</t>
  </si>
  <si>
    <t xml:space="preserve">Target PS Ratio</t>
  </si>
  <si>
    <t xml:space="preserve">x</t>
  </si>
  <si>
    <t xml:space="preserve">Internal target PS leverage</t>
  </si>
  <si>
    <t xml:space="preserve">Regulatory PS Limit</t>
  </si>
  <si>
    <t xml:space="preserve">Hard regulatory ceiling — NAMED</t>
  </si>
  <si>
    <t xml:space="preserve">NOL Opening</t>
  </si>
  <si>
    <t xml:space="preserve">Pre-existing tax losses</t>
  </si>
  <si>
    <t xml:space="preserve">Premium Build</t>
  </si>
  <si>
    <t xml:space="preserve">Gross / Ceded / Net Written &amp; Earned Premium</t>
  </si>
  <si>
    <t xml:space="preserve">Written Premium</t>
  </si>
  <si>
    <t xml:space="preserve">Gross Written Premium</t>
  </si>
  <si>
    <t xml:space="preserve">Ceded Premium</t>
  </si>
  <si>
    <t xml:space="preserve">Net Written Premium</t>
  </si>
  <si>
    <t xml:space="preserve">Earned Premium Roll-Forward</t>
  </si>
  <si>
    <t xml:space="preserve">Opening UPR</t>
  </si>
  <si>
    <t xml:space="preserve">Closing UPR</t>
  </si>
  <si>
    <t xml:space="preserve">Change in UPR</t>
  </si>
  <si>
    <t xml:space="preserve">Net Earned Premium</t>
  </si>
  <si>
    <t xml:space="preserve">Memo: Earned Premium Splits</t>
  </si>
  <si>
    <t xml:space="preserve">Gross NEP (memo)</t>
  </si>
  <si>
    <t xml:space="preserve">Ceded NEP</t>
  </si>
  <si>
    <t xml:space="preserve">Claims &amp; Reserves</t>
  </si>
  <si>
    <t xml:space="preserve">Incurred Losses and Reserve Roll-Forward</t>
  </si>
  <si>
    <t xml:space="preserve">Incurred Loss Schedule</t>
  </si>
  <si>
    <t xml:space="preserve">Gross Incurred Losses</t>
  </si>
  <si>
    <t xml:space="preserve">RI Recoverable (credit)</t>
  </si>
  <si>
    <t xml:space="preserve">Net Incurred Losses</t>
  </si>
  <si>
    <t xml:space="preserve">Reserve Roll-Forward</t>
  </si>
  <si>
    <t xml:space="preserve">Opening Reserve</t>
  </si>
  <si>
    <t xml:space="preserve">Net Incurred (roll)</t>
  </si>
  <si>
    <t xml:space="preserve">Closing Reserve</t>
  </si>
  <si>
    <t xml:space="preserve">Paid Claims (derived)</t>
  </si>
  <si>
    <t xml:space="preserve">UW Expenses</t>
  </si>
  <si>
    <t xml:space="preserve">DAC Roll-Forward and Underwriting Expense Waterfall</t>
  </si>
  <si>
    <t xml:space="preserve">Section A: DAC Roll-Forward</t>
  </si>
  <si>
    <t xml:space="preserve">Opening DAC</t>
  </si>
  <si>
    <t xml:space="preserve">Additions</t>
  </si>
  <si>
    <t xml:space="preserve">Target Closing DAC</t>
  </si>
  <si>
    <t xml:space="preserve">DAC Amortisation</t>
  </si>
  <si>
    <t xml:space="preserve">Closing DAC</t>
  </si>
  <si>
    <t xml:space="preserve">Section B: UW Expense Waterfall</t>
  </si>
  <si>
    <t xml:space="preserve">Gross Commission</t>
  </si>
  <si>
    <t xml:space="preserve">Less: DAC Amort</t>
  </si>
  <si>
    <t xml:space="preserve">Net Commission</t>
  </si>
  <si>
    <t xml:space="preserve">Other UW Expenses</t>
  </si>
  <si>
    <t xml:space="preserve">Total UW Expenses</t>
  </si>
  <si>
    <t xml:space="preserve">Income Statement</t>
  </si>
  <si>
    <t xml:space="preserve">Property &amp; Casualty Insurance | Annual Projections</t>
  </si>
  <si>
    <t xml:space="preserve">Revenue</t>
  </si>
  <si>
    <t xml:space="preserve">Investment Income</t>
  </si>
  <si>
    <t xml:space="preserve">Realised Gains</t>
  </si>
  <si>
    <t xml:space="preserve">Other Income</t>
  </si>
  <si>
    <t xml:space="preserve">TOTAL REVENUE</t>
  </si>
  <si>
    <t xml:space="preserve">Loss Ratio (memo)</t>
  </si>
  <si>
    <t xml:space="preserve">UW Expense Waterfall</t>
  </si>
  <si>
    <t xml:space="preserve">TOTAL UW EXPENSES</t>
  </si>
  <si>
    <t xml:space="preserve">Expense Ratio (memo)</t>
  </si>
  <si>
    <t xml:space="preserve">Combined Ratio</t>
  </si>
  <si>
    <t xml:space="preserve">Underwriting Profit</t>
  </si>
  <si>
    <t xml:space="preserve">UW Profit</t>
  </si>
  <si>
    <t xml:space="preserve">PP&amp;E Roll-Forward</t>
  </si>
  <si>
    <t xml:space="preserve">Opening Net PP&amp;E</t>
  </si>
  <si>
    <t xml:space="preserve">CapEx</t>
  </si>
  <si>
    <t xml:space="preserve">Depreciation</t>
  </si>
  <si>
    <t xml:space="preserve">Closing Net PP&amp;E</t>
  </si>
  <si>
    <t xml:space="preserve">EBIT</t>
  </si>
  <si>
    <t xml:space="preserve">Debt Schedule</t>
  </si>
  <si>
    <t xml:space="preserve">Opening Debt</t>
  </si>
  <si>
    <t xml:space="preserve">Repayment</t>
  </si>
  <si>
    <t xml:space="preserve">Closing Debt</t>
  </si>
  <si>
    <t xml:space="preserve">Interest Expense</t>
  </si>
  <si>
    <t xml:space="preserve">EBT, Tax &amp; Net Income</t>
  </si>
  <si>
    <t xml:space="preserve">EBT</t>
  </si>
  <si>
    <t xml:space="preserve">Taxable Income (pre-NOL)</t>
  </si>
  <si>
    <t xml:space="preserve">NOL Utilised</t>
  </si>
  <si>
    <t xml:space="preserve">Taxable Income</t>
  </si>
  <si>
    <t xml:space="preserve">Tax</t>
  </si>
  <si>
    <t xml:space="preserve">NOL Addition</t>
  </si>
  <si>
    <t xml:space="preserve">NOL Closing</t>
  </si>
  <si>
    <t xml:space="preserve">NET INCOME</t>
  </si>
  <si>
    <t xml:space="preserve">Dividends &amp; ROE</t>
  </si>
  <si>
    <t xml:space="preserve">Dividends</t>
  </si>
  <si>
    <t xml:space="preserve">Opening Equity</t>
  </si>
  <si>
    <t xml:space="preserve">Closing Equity</t>
  </si>
  <si>
    <t xml:space="preserve">ROE</t>
  </si>
  <si>
    <t xml:space="preserve">Investments</t>
  </si>
  <si>
    <t xml:space="preserve">Invested Asset Base and Investment Income</t>
  </si>
  <si>
    <t xml:space="preserve">Invested Asset Roll-Forward</t>
  </si>
  <si>
    <t xml:space="preserve">Opening Invested Assets</t>
  </si>
  <si>
    <t xml:space="preserve">Closing Invested Assets</t>
  </si>
  <si>
    <t xml:space="preserve">Investment Returns</t>
  </si>
  <si>
    <t xml:space="preserve">Balance Sheet</t>
  </si>
  <si>
    <t xml:space="preserve">Year-End Positions</t>
  </si>
  <si>
    <t xml:space="preserve">Assets</t>
  </si>
  <si>
    <t xml:space="preserve">Cash</t>
  </si>
  <si>
    <t xml:space="preserve">Premium Receivables</t>
  </si>
  <si>
    <t xml:space="preserve">RI Recoverable</t>
  </si>
  <si>
    <t xml:space="preserve">DAC Asset</t>
  </si>
  <si>
    <t xml:space="preserve">Invested Assets</t>
  </si>
  <si>
    <t xml:space="preserve">Net PP&amp;E</t>
  </si>
  <si>
    <t xml:space="preserve">TOTAL ASSETS</t>
  </si>
  <si>
    <t xml:space="preserve">Liabilities</t>
  </si>
  <si>
    <t xml:space="preserve">Loss Reserves</t>
  </si>
  <si>
    <t xml:space="preserve">Unearned Premium Reserve</t>
  </si>
  <si>
    <t xml:space="preserve">Premium Payables</t>
  </si>
  <si>
    <t xml:space="preserve">Term Loan</t>
  </si>
  <si>
    <t xml:space="preserve">TOTAL LIABILITIES</t>
  </si>
  <si>
    <t xml:space="preserve">Equity</t>
  </si>
  <si>
    <t xml:space="preserve">Retained Earnings</t>
  </si>
  <si>
    <t xml:space="preserve">TOTAL EQUITY</t>
  </si>
  <si>
    <t xml:space="preserve">TOTAL L+E</t>
  </si>
  <si>
    <t xml:space="preserve">Balance Check</t>
  </si>
  <si>
    <t xml:space="preserve">Cash Flow Statement</t>
  </si>
  <si>
    <t xml:space="preserve">Indirect Method</t>
  </si>
  <si>
    <t xml:space="preserve">Operating Activities</t>
  </si>
  <si>
    <t xml:space="preserve">Net Income</t>
  </si>
  <si>
    <t xml:space="preserve">+ Depreciation</t>
  </si>
  <si>
    <t xml:space="preserve">+ Increase in Loss Reserves</t>
  </si>
  <si>
    <t xml:space="preserve">+ Increase in UPR</t>
  </si>
  <si>
    <t xml:space="preserve">- Increase in Receivables</t>
  </si>
  <si>
    <t xml:space="preserve">- Increase in DAC</t>
  </si>
  <si>
    <t xml:space="preserve">- Increase in RI Recoverable</t>
  </si>
  <si>
    <t xml:space="preserve">+ Increase in Payables</t>
  </si>
  <si>
    <t xml:space="preserve">CASH FROM OPERATIONS</t>
  </si>
  <si>
    <t xml:space="preserve">Investing Activities</t>
  </si>
  <si>
    <t xml:space="preserve">Capital Expenditure</t>
  </si>
  <si>
    <t xml:space="preserve">CASH FROM INVESTING</t>
  </si>
  <si>
    <t xml:space="preserve">Financing Activities</t>
  </si>
  <si>
    <t xml:space="preserve">Debt Drawdown</t>
  </si>
  <si>
    <t xml:space="preserve">Debt Repayment</t>
  </si>
  <si>
    <t xml:space="preserve">Dividends Paid</t>
  </si>
  <si>
    <t xml:space="preserve">CASH FROM FINANCING</t>
  </si>
  <si>
    <t xml:space="preserve">Net Change &amp; Closing Cash</t>
  </si>
  <si>
    <t xml:space="preserve">Net Change in Cash</t>
  </si>
  <si>
    <t xml:space="preserve">Opening Cash</t>
  </si>
  <si>
    <t xml:space="preserve">CLOSING CASH</t>
  </si>
  <si>
    <t xml:space="preserve">Capital Adequacy</t>
  </si>
  <si>
    <t xml:space="preserve">Premium-to-Surplus Ratio and Dividend Capacity</t>
  </si>
  <si>
    <t xml:space="preserve">Premium-to-Surplus Ratio</t>
  </si>
  <si>
    <t xml:space="preserve">Opening Equity (Surplus)</t>
  </si>
  <si>
    <t xml:space="preserve">PS Headroom</t>
  </si>
  <si>
    <t xml:space="preserve">RBC Capital Analysis</t>
  </si>
  <si>
    <t xml:space="preserve">Required Capital</t>
  </si>
  <si>
    <t xml:space="preserve">Available Surplus</t>
  </si>
  <si>
    <t xml:space="preserve">Excess Capital</t>
  </si>
  <si>
    <t xml:space="preserve">RBC Coverage Ratio</t>
  </si>
  <si>
    <t xml:space="preserve">Dividend Capacity</t>
  </si>
  <si>
    <t xml:space="preserve">Formulaic Dividend</t>
  </si>
  <si>
    <t xml:space="preserve">Model Checks</t>
  </si>
  <si>
    <t xml:space="preserve">All checks should show TRUE</t>
  </si>
  <si>
    <t xml:space="preserve">Integrity Checks</t>
  </si>
  <si>
    <t xml:space="preserve">BS Balance</t>
  </si>
  <si>
    <t xml:space="preserve">CF Reconciliation</t>
  </si>
  <si>
    <t xml:space="preserve">Combined Ratio In Range</t>
  </si>
  <si>
    <t xml:space="preserve">PS Ratio &lt;= Limit</t>
  </si>
  <si>
    <t xml:space="preserve">RBC &gt;= 1.0x</t>
  </si>
  <si>
    <t xml:space="preserve">Debt Declining (Y2-Y5)</t>
  </si>
  <si>
    <t xml:space="preserve">Net PPE Positive</t>
  </si>
  <si>
    <t xml:space="preserve">Loss Reserve Positive</t>
  </si>
  <si>
    <t xml:space="preserve">Dividends Non-Negative</t>
  </si>
  <si>
    <t xml:space="preserve">ROE In Range</t>
  </si>
  <si>
    <t xml:space="preserve">Total UW = Sum Components</t>
  </si>
  <si>
    <t xml:space="preserve">Interest on Opening Debt</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</si>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</sst>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dd\-mmm\-yyyy"/>
    <numFmt numFmtId="166" formatCode="0"/>
    <numFmt numFmtId="167" formatCode="#,##0.00"/>
    <numFmt numFmtId="168" formatCode="0.00%"/>
    <numFmt numFmtId="169" formatCode="0.00\x"/>
  </numFmts>
  <fonts count="28">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sz val="11"/>
      <color theme="3"/>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0"/>
      <color theme="0"/>
      <name val="Arial"/>
      <family val="0"/>
      <charset val="1"/>
    </font>
    <font>
      <i val="true"/>
      <sz val="11"/>
      <color rgb="FF808080"/>
      <name val="Arial"/>
      <family val="0"/>
      <charset val="1"/>
    </font>
    <font>
      <b val="true"/>
      <sz val="11"/>
      <color theme="0"/>
      <name val="Arial"/>
      <family val="0"/>
      <charset val="1"/>
    </font>
    <font>
      <sz val="11"/>
      <color rgb="FF000000"/>
      <name val="Arial"/>
      <family val="0"/>
      <charset val="1"/>
    </font>
    <font>
      <b val="true"/>
      <sz val="11"/>
      <color rgb="FFFF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7">
    <fill>
      <patternFill patternType="none"/>
    </fill>
    <fill>
      <patternFill patternType="gray125"/>
    </fill>
    <fill>
      <patternFill patternType="solid">
        <fgColor theme="3"/>
        <bgColor rgb="FF1F4E79"/>
      </patternFill>
    </fill>
    <fill>
      <patternFill patternType="solid">
        <fgColor rgb="FFFFFACD"/>
        <bgColor rgb="FFF2F2F2"/>
      </patternFill>
    </fill>
    <fill>
      <patternFill patternType="solid">
        <fgColor rgb="FFD6E4F0"/>
        <bgColor rgb="FFC6EFCE"/>
      </patternFill>
    </fill>
    <fill>
      <patternFill patternType="solid">
        <fgColor rgb="FF1F4E79"/>
        <bgColor rgb="FF1F497D"/>
      </patternFill>
    </fill>
    <fill>
      <patternFill patternType="solid">
        <fgColor rgb="FFF2F2F2"/>
        <bgColor rgb="FFFFFFFF"/>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1" fillId="3" borderId="0" xfId="0" applyFont="true" applyBorder="false" applyAlignment="true" applyProtection="false">
      <alignment horizontal="left" vertical="center" textRotation="0" wrapText="false" indent="0" shrinkToFit="false"/>
      <protection locked="true" hidden="false"/>
    </xf>
    <xf numFmtId="165" fontId="11" fillId="3" borderId="0" xfId="0" applyFont="true" applyBorder="false" applyAlignment="true" applyProtection="false">
      <alignment horizontal="left" vertical="center" textRotation="0" wrapText="false" indent="0" shrinkToFit="false"/>
      <protection locked="true" hidden="false"/>
    </xf>
    <xf numFmtId="164" fontId="12" fillId="4" borderId="0" xfId="0" applyFont="true" applyBorder="false" applyAlignment="true" applyProtection="false">
      <alignment horizontal="left" vertical="center" textRotation="0" wrapText="false" indent="0" shrinkToFit="false"/>
      <protection locked="true" hidden="false"/>
    </xf>
    <xf numFmtId="164" fontId="13" fillId="4"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2" borderId="0" xfId="0" applyFont="true" applyBorder="false" applyAlignment="true" applyProtection="false">
      <alignment horizontal="center" vertical="center"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9" fillId="2" borderId="0" xfId="0" applyFont="true" applyBorder="false" applyAlignment="false" applyProtection="false">
      <alignment horizontal="general" vertical="bottom" textRotation="0" wrapText="false" indent="0" shrinkToFit="false"/>
      <protection locked="true" hidden="false"/>
    </xf>
    <xf numFmtId="164" fontId="19" fillId="2" borderId="0" xfId="0" applyFont="true" applyBorder="false" applyAlignment="true" applyProtection="false">
      <alignment horizontal="left" vertical="center" textRotation="0" wrapText="false" indent="0" shrinkToFit="false"/>
      <protection locked="true" hidden="false"/>
    </xf>
    <xf numFmtId="166" fontId="19" fillId="2" borderId="0" xfId="0" applyFont="true" applyBorder="fals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7" fontId="11" fillId="3" borderId="0" xfId="0" applyFont="true" applyBorder="false" applyAlignment="true" applyProtection="false">
      <alignment horizontal="righ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8" fontId="11" fillId="3" borderId="0" xfId="0" applyFont="true" applyBorder="false" applyAlignment="true" applyProtection="false">
      <alignment horizontal="right" vertical="center" textRotation="0" wrapText="false" indent="0" shrinkToFit="false"/>
      <protection locked="true" hidden="false"/>
    </xf>
    <xf numFmtId="168" fontId="19" fillId="2" borderId="0" xfId="0" applyFont="true" applyBorder="false" applyAlignment="true" applyProtection="false">
      <alignment horizontal="right" vertical="center" textRotation="0" wrapText="false" indent="0" shrinkToFit="false"/>
      <protection locked="true" hidden="false"/>
    </xf>
    <xf numFmtId="166" fontId="11" fillId="3" borderId="0" xfId="0" applyFont="true" applyBorder="false" applyAlignment="true" applyProtection="false">
      <alignment horizontal="right" vertical="center" textRotation="0" wrapText="false" indent="0" shrinkToFit="false"/>
      <protection locked="true" hidden="false"/>
    </xf>
    <xf numFmtId="167" fontId="19" fillId="2" borderId="0" xfId="0" applyFont="true" applyBorder="false" applyAlignment="true" applyProtection="false">
      <alignment horizontal="right" vertical="center" textRotation="0" wrapText="false" indent="0" shrinkToFit="false"/>
      <protection locked="true" hidden="false"/>
    </xf>
    <xf numFmtId="169" fontId="11" fillId="3" borderId="0" xfId="0" applyFont="true" applyBorder="false" applyAlignment="true" applyProtection="false">
      <alignment horizontal="right" vertical="center"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6" fontId="17" fillId="2" borderId="0" xfId="0" applyFont="true" applyBorder="false" applyAlignment="true" applyProtection="false">
      <alignment horizontal="center" vertical="center" textRotation="0" wrapText="false" indent="0" shrinkToFit="false"/>
      <protection locked="true" hidden="false"/>
    </xf>
    <xf numFmtId="166" fontId="19" fillId="2" borderId="0" xfId="0" applyFont="true" applyBorder="false" applyAlignment="true" applyProtection="false">
      <alignment horizontal="center" vertical="center" textRotation="0" wrapText="false" indent="0" shrinkToFit="false"/>
      <protection locked="true" hidden="false"/>
    </xf>
    <xf numFmtId="167" fontId="10" fillId="0" borderId="1" xfId="0" applyFont="true" applyBorder="tru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7" fontId="20" fillId="0" borderId="0" xfId="0" applyFont="true" applyBorder="false" applyAlignment="true" applyProtection="false">
      <alignment horizontal="right" vertical="center" textRotation="0" wrapText="false" indent="0" shrinkToFit="false"/>
      <protection locked="true" hidden="false"/>
    </xf>
    <xf numFmtId="167" fontId="10" fillId="0" borderId="2" xfId="0" applyFont="true" applyBorder="true" applyAlignment="true" applyProtection="false">
      <alignment horizontal="right" vertical="center" textRotation="0" wrapText="false" indent="0" shrinkToFit="false"/>
      <protection locked="true" hidden="false"/>
    </xf>
    <xf numFmtId="167" fontId="18"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1" shrinkToFit="false"/>
      <protection locked="true" hidden="false"/>
    </xf>
    <xf numFmtId="168" fontId="18" fillId="0" borderId="0" xfId="0" applyFont="true" applyBorder="false" applyAlignment="true" applyProtection="false">
      <alignment horizontal="right" vertical="center" textRotation="0" wrapText="false" indent="0" shrinkToFit="false"/>
      <protection locked="true" hidden="false"/>
    </xf>
    <xf numFmtId="168" fontId="20" fillId="0" borderId="0" xfId="0" applyFont="true" applyBorder="false" applyAlignment="true" applyProtection="false">
      <alignment horizontal="right" vertical="center" textRotation="0" wrapText="false" indent="0" shrinkToFit="false"/>
      <protection locked="true" hidden="false"/>
    </xf>
    <xf numFmtId="164" fontId="19" fillId="2" borderId="0" xfId="0" applyFont="true" applyBorder="false" applyAlignment="true" applyProtection="false">
      <alignment horizontal="left" vertical="bottom" textRotation="0" wrapText="false" indent="1"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7" fontId="21" fillId="0" borderId="0" xfId="0" applyFont="true" applyBorder="false" applyAlignment="true" applyProtection="false">
      <alignment horizontal="right" vertical="center" textRotation="0" wrapText="false" indent="0" shrinkToFit="false"/>
      <protection locked="true" hidden="false"/>
    </xf>
    <xf numFmtId="169" fontId="20" fillId="0" borderId="0" xfId="0" applyFont="true" applyBorder="false" applyAlignment="true" applyProtection="false">
      <alignment horizontal="right" vertical="center" textRotation="0" wrapText="false" indent="0" shrinkToFit="false"/>
      <protection locked="true" hidden="false"/>
    </xf>
    <xf numFmtId="164" fontId="20" fillId="0" borderId="0" xfId="0" applyFont="true" applyBorder="fals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3" fillId="5" borderId="0" xfId="0" applyFont="true" applyBorder="false" applyAlignment="true" applyProtection="false">
      <alignment horizontal="left" vertical="center" textRotation="0" wrapText="false" indent="1" shrinkToFit="false"/>
      <protection locked="true" hidden="false"/>
    </xf>
    <xf numFmtId="164" fontId="24" fillId="0"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6" fillId="6" borderId="0" xfId="0" applyFont="true" applyBorder="false" applyAlignment="true" applyProtection="false">
      <alignment horizontal="left" vertical="top" textRotation="0" wrapText="true" indent="1" shrinkToFit="false"/>
      <protection locked="true" hidden="false"/>
    </xf>
    <xf numFmtId="164" fontId="27"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bgColor rgb="FFC6EFCE"/>
        </patternFill>
      </fill>
    </dxf>
    <dxf>
      <fill>
        <patternFill>
          <bgColor rgb="FFFFC7CE"/>
        </patternFill>
      </fill>
    </dxf>
  </dxfs>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7030A0"/>
      <rgbColor rgb="FFFFFACD"/>
      <rgbColor rgb="FFF2F2F2"/>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4472C4"/>
      <rgbColor rgb="FF33CCCC"/>
      <rgbColor rgb="FF99CC00"/>
      <rgbColor rgb="FFFFC000"/>
      <rgbColor rgb="FFFF9900"/>
      <rgbColor rgb="FFED7D31"/>
      <rgbColor rgb="FF595959"/>
      <rgbColor rgb="FF70AD47"/>
      <rgbColor rgb="FF1F4E79"/>
      <rgbColor rgb="FF00B050"/>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1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0"/>
    <col collapsed="false" customWidth="true" hidden="false" outlineLevel="0" max="3" min="3" style="0" width="35"/>
  </cols>
  <sheetData>
    <row r="1" customFormat="false" ht="15" hidden="false" customHeight="false" outlineLevel="0" collapsed="false">
      <c r="A1" s="1"/>
      <c r="B1" s="1"/>
      <c r="C1" s="1"/>
      <c r="D1" s="2"/>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2"/>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row>
    <row r="5" customFormat="false" ht="15" hidden="false" customHeight="false" outlineLevel="0" collapsed="false">
      <c r="A5" s="6"/>
      <c r="B5" s="7" t="s">
        <v>3</v>
      </c>
      <c r="C5" s="8"/>
    </row>
    <row r="6" customFormat="false" ht="15" hidden="false" customHeight="false" outlineLevel="0" collapsed="false">
      <c r="A6" s="6"/>
      <c r="B6" s="7" t="s">
        <v>4</v>
      </c>
      <c r="C6" s="9"/>
    </row>
    <row r="7" customFormat="false" ht="15" hidden="false" customHeight="false" outlineLevel="0" collapsed="false">
      <c r="A7" s="6"/>
      <c r="B7" s="7" t="s">
        <v>5</v>
      </c>
      <c r="C7" s="8"/>
    </row>
    <row r="10" customFormat="false" ht="19.5" hidden="false" customHeight="true" outlineLevel="0" collapsed="false">
      <c r="B10" s="10" t="s">
        <v>6</v>
      </c>
      <c r="C10" s="11"/>
      <c r="D10" s="11"/>
      <c r="E10" s="11"/>
      <c r="F10" s="11"/>
      <c r="G10" s="11"/>
    </row>
    <row r="11" customFormat="false" ht="233.25" hidden="false" customHeight="true" outlineLevel="0" collapsed="false">
      <c r="B11" s="12" t="s">
        <v>7</v>
      </c>
      <c r="C11" s="12"/>
      <c r="D11" s="12"/>
      <c r="E11" s="12"/>
      <c r="F11" s="12"/>
      <c r="G11" s="12"/>
    </row>
    <row r="13" customFormat="false" ht="19.5" hidden="false" customHeight="true" outlineLevel="0" collapsed="false">
      <c r="B13" s="10" t="s">
        <v>8</v>
      </c>
      <c r="C13" s="11"/>
      <c r="D13" s="11"/>
      <c r="E13" s="11"/>
      <c r="F13" s="11"/>
      <c r="G13" s="11"/>
    </row>
    <row r="14" customFormat="false" ht="57" hidden="false" customHeight="true" outlineLevel="0" collapsed="false">
      <c r="B14" s="12" t="s">
        <v>9</v>
      </c>
      <c r="C14" s="12"/>
      <c r="D14" s="12"/>
      <c r="E14" s="12"/>
      <c r="F14" s="12"/>
      <c r="G14" s="12"/>
    </row>
    <row r="15" customFormat="false" ht="15" hidden="false" customHeight="false" outlineLevel="0" collapsed="false">
      <c r="B15" s="13" t="s">
        <v>10</v>
      </c>
      <c r="C15" s="13"/>
      <c r="D15" s="13"/>
      <c r="E15" s="13"/>
      <c r="F15" s="13"/>
      <c r="G15" s="13"/>
    </row>
    <row r="16" customFormat="false" ht="15" hidden="false" customHeight="false" outlineLevel="0" collapsed="false">
      <c r="B16" s="14" t="s">
        <v>11</v>
      </c>
    </row>
  </sheetData>
  <mergeCells count="3">
    <mergeCell ref="B11:G11"/>
    <mergeCell ref="B14:G14"/>
    <mergeCell ref="B15:G15"/>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223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224</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2025</v>
      </c>
      <c r="D5" s="29" t="n">
        <f aca="false">Model_Start_Year+1</f>
        <v>2026</v>
      </c>
      <c r="E5" s="29" t="n">
        <f aca="false">Model_Start_Year+2</f>
        <v>2027</v>
      </c>
      <c r="F5" s="29" t="n">
        <f aca="false">Model_Start_Year+3</f>
        <v>2028</v>
      </c>
      <c r="G5" s="29" t="n">
        <f aca="false">Model_Start_Year+4</f>
        <v>2029</v>
      </c>
    </row>
    <row r="6" customFormat="false" ht="15" hidden="false" customHeight="false" outlineLevel="0" collapsed="false">
      <c r="A6" s="6"/>
      <c r="B6" s="17" t="s">
        <v>225</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20" t="s">
        <v>99</v>
      </c>
      <c r="C7" s="33" t="n">
        <f aca="false">Premium_Build!C9</f>
        <v>540600000</v>
      </c>
      <c r="D7" s="33" t="n">
        <f aca="false">Premium_Build!D9</f>
        <v>573036000</v>
      </c>
      <c r="E7" s="33" t="n">
        <f aca="false">Premium_Build!E9</f>
        <v>607418160</v>
      </c>
      <c r="F7" s="33" t="n">
        <f aca="false">Premium_Build!F9</f>
        <v>643863249.6</v>
      </c>
      <c r="G7" s="33" t="n">
        <f aca="false">Premium_Build!G9</f>
        <v>682495044.576</v>
      </c>
    </row>
    <row r="8" customFormat="false" ht="15" hidden="false" customHeight="false" outlineLevel="0" collapsed="false">
      <c r="A8" s="6"/>
      <c r="B8" s="20" t="s">
        <v>226</v>
      </c>
      <c r="C8" s="33" t="n">
        <f aca="false">Income_Statement!C55</f>
        <v>165000000</v>
      </c>
      <c r="D8" s="33" t="n">
        <f aca="false">Income_Statement!D55</f>
        <v>175226668.5</v>
      </c>
      <c r="E8" s="33" t="n">
        <f aca="false">Income_Statement!E55</f>
        <v>232127800.967534</v>
      </c>
      <c r="F8" s="33" t="n">
        <f aca="false">Income_Statement!F55</f>
        <v>290053610.092469</v>
      </c>
      <c r="G8" s="33" t="n">
        <f aca="false">Income_Statement!G55</f>
        <v>348336504.105607</v>
      </c>
    </row>
    <row r="9" customFormat="false" ht="15" hidden="false" customHeight="false" outlineLevel="0" collapsed="false">
      <c r="A9" s="6"/>
      <c r="B9" s="20" t="s">
        <v>225</v>
      </c>
      <c r="C9" s="42" t="n">
        <f aca="false">C7/C8</f>
        <v>3.27636363636364</v>
      </c>
      <c r="D9" s="42" t="n">
        <f aca="false">D7/D8</f>
        <v>3.27025563463246</v>
      </c>
      <c r="E9" s="42" t="n">
        <f aca="false">E7/E8</f>
        <v>2.61674025027685</v>
      </c>
      <c r="F9" s="42" t="n">
        <f aca="false">F7/F8</f>
        <v>2.21980774310907</v>
      </c>
      <c r="G9" s="42" t="n">
        <f aca="false">G7/G8</f>
        <v>1.95929808254918</v>
      </c>
    </row>
    <row r="10" customFormat="false" ht="15" hidden="false" customHeight="false" outlineLevel="0" collapsed="false">
      <c r="A10" s="6"/>
      <c r="B10" s="20" t="s">
        <v>90</v>
      </c>
      <c r="C10" s="42" t="n">
        <f aca="false">Regulatory_PS_Limit</f>
        <v>3</v>
      </c>
      <c r="D10" s="42" t="n">
        <f aca="false">Regulatory_PS_Limit</f>
        <v>3</v>
      </c>
      <c r="E10" s="42" t="n">
        <f aca="false">Regulatory_PS_Limit</f>
        <v>3</v>
      </c>
      <c r="F10" s="42" t="n">
        <f aca="false">Regulatory_PS_Limit</f>
        <v>3</v>
      </c>
      <c r="G10" s="42" t="n">
        <f aca="false">Regulatory_PS_Limit</f>
        <v>3</v>
      </c>
    </row>
    <row r="11" customFormat="false" ht="15" hidden="false" customHeight="false" outlineLevel="0" collapsed="false">
      <c r="A11" s="6"/>
      <c r="B11" s="20" t="s">
        <v>227</v>
      </c>
      <c r="C11" s="42" t="n">
        <f aca="false">C10-C9</f>
        <v>-0.276363636363636</v>
      </c>
      <c r="D11" s="42" t="n">
        <f aca="false">D10-D9</f>
        <v>-0.270255634632465</v>
      </c>
      <c r="E11" s="42" t="n">
        <f aca="false">E10-E9</f>
        <v>0.383259749723152</v>
      </c>
      <c r="F11" s="42" t="n">
        <f aca="false">F10-F9</f>
        <v>0.780192256890932</v>
      </c>
      <c r="G11" s="42" t="n">
        <f aca="false">G10-G9</f>
        <v>1.04070191745082</v>
      </c>
    </row>
    <row r="12" customFormat="false" ht="15" hidden="false" customHeight="false" outlineLevel="0" collapsed="false">
      <c r="A12" s="6"/>
      <c r="B12" s="17" t="s">
        <v>228</v>
      </c>
      <c r="C12" s="17"/>
      <c r="D12" s="17"/>
      <c r="E12" s="17"/>
      <c r="F12" s="17"/>
      <c r="G12" s="17"/>
    </row>
    <row r="13" customFormat="false" ht="15" hidden="false" customHeight="false" outlineLevel="0" collapsed="false">
      <c r="A13" s="6"/>
      <c r="B13" s="20" t="s">
        <v>229</v>
      </c>
      <c r="C13" s="33" t="n">
        <f aca="false">C7/Target_PS_Ratio</f>
        <v>360400000</v>
      </c>
      <c r="D13" s="33" t="n">
        <f aca="false">D7/Target_PS_Ratio</f>
        <v>382024000</v>
      </c>
      <c r="E13" s="33" t="n">
        <f aca="false">E7/Target_PS_Ratio</f>
        <v>404945440</v>
      </c>
      <c r="F13" s="33" t="n">
        <f aca="false">F7/Target_PS_Ratio</f>
        <v>429242166.4</v>
      </c>
      <c r="G13" s="33" t="n">
        <f aca="false">G7/Target_PS_Ratio</f>
        <v>454996696.384</v>
      </c>
    </row>
    <row r="14" customFormat="false" ht="15" hidden="false" customHeight="false" outlineLevel="0" collapsed="false">
      <c r="A14" s="6"/>
      <c r="B14" s="20" t="s">
        <v>230</v>
      </c>
      <c r="C14" s="33" t="n">
        <f aca="false">C8</f>
        <v>165000000</v>
      </c>
      <c r="D14" s="33" t="n">
        <f aca="false">D8</f>
        <v>175226668.5</v>
      </c>
      <c r="E14" s="33" t="n">
        <f aca="false">E8</f>
        <v>232127800.967534</v>
      </c>
      <c r="F14" s="33" t="n">
        <f aca="false">F8</f>
        <v>290053610.092469</v>
      </c>
      <c r="G14" s="33" t="n">
        <f aca="false">G8</f>
        <v>348336504.105607</v>
      </c>
    </row>
    <row r="15" customFormat="false" ht="15" hidden="false" customHeight="false" outlineLevel="0" collapsed="false">
      <c r="A15" s="6"/>
      <c r="B15" s="20" t="s">
        <v>231</v>
      </c>
      <c r="C15" s="33" t="n">
        <f aca="false">MAX(0,C14-C13)</f>
        <v>0</v>
      </c>
      <c r="D15" s="33" t="n">
        <f aca="false">MAX(0,D14-D13)</f>
        <v>0</v>
      </c>
      <c r="E15" s="33" t="n">
        <f aca="false">MAX(0,E14-E13)</f>
        <v>0</v>
      </c>
      <c r="F15" s="33" t="n">
        <f aca="false">MAX(0,F14-F13)</f>
        <v>0</v>
      </c>
      <c r="G15" s="33" t="n">
        <f aca="false">MAX(0,G14-G13)</f>
        <v>0</v>
      </c>
    </row>
    <row r="16" customFormat="false" ht="15" hidden="false" customHeight="false" outlineLevel="0" collapsed="false">
      <c r="A16" s="6"/>
      <c r="B16" s="20" t="s">
        <v>232</v>
      </c>
      <c r="C16" s="42" t="n">
        <f aca="false">C14/C13</f>
        <v>0.457824639289678</v>
      </c>
      <c r="D16" s="42" t="n">
        <f aca="false">D14/D13</f>
        <v>0.458679738707516</v>
      </c>
      <c r="E16" s="42" t="n">
        <f aca="false">E14/E13</f>
        <v>0.573232287706547</v>
      </c>
      <c r="F16" s="42" t="n">
        <f aca="false">F14/F13</f>
        <v>0.675734195745753</v>
      </c>
      <c r="G16" s="42" t="n">
        <f aca="false">G14/G13</f>
        <v>0.765580292942663</v>
      </c>
    </row>
    <row r="17" customFormat="false" ht="15" hidden="false" customHeight="false" outlineLevel="0" collapsed="false">
      <c r="A17" s="6"/>
      <c r="B17" s="17" t="s">
        <v>233</v>
      </c>
      <c r="C17" s="17"/>
      <c r="D17" s="17"/>
      <c r="E17" s="17"/>
      <c r="F17" s="17"/>
      <c r="G17" s="17"/>
    </row>
    <row r="18" customFormat="false" ht="15" hidden="false" customHeight="false" outlineLevel="0" collapsed="false">
      <c r="A18" s="6"/>
      <c r="B18" s="32" t="s">
        <v>234</v>
      </c>
      <c r="C18" s="33" t="n">
        <f aca="false">MAX(0,Income_Statement!C52*Dividend_Payout_Rate)</f>
        <v>1022666.85</v>
      </c>
      <c r="D18" s="33" t="n">
        <f aca="false">MAX(0,Income_Statement!D52*Dividend_Payout_Rate)</f>
        <v>5690113.24675343</v>
      </c>
      <c r="E18" s="33" t="n">
        <f aca="false">MAX(0,Income_Statement!E52*Dividend_Payout_Rate)</f>
        <v>5792580.91249343</v>
      </c>
      <c r="F18" s="33" t="n">
        <f aca="false">MAX(0,Income_Statement!F52*Dividend_Payout_Rate)</f>
        <v>5828289.40131383</v>
      </c>
      <c r="G18" s="33" t="n">
        <f aca="false">MAX(0,Income_Statement!G52*Dividend_Payout_Rate)</f>
        <v>5779561.79522665</v>
      </c>
    </row>
    <row r="19" customFormat="false" ht="15" hidden="false" customHeight="false" outlineLevel="0" collapsed="false">
      <c r="A19" s="6"/>
      <c r="B19" s="7" t="s">
        <v>233</v>
      </c>
      <c r="C19" s="31" t="n">
        <f aca="false">MIN(C18,C15)</f>
        <v>0</v>
      </c>
      <c r="D19" s="31" t="n">
        <f aca="false">MIN(D18,D15)</f>
        <v>0</v>
      </c>
      <c r="E19" s="31" t="n">
        <f aca="false">MIN(E18,E15)</f>
        <v>0</v>
      </c>
      <c r="F19" s="31" t="n">
        <f aca="false">MIN(F18,F15)</f>
        <v>0</v>
      </c>
      <c r="G19" s="31" t="n">
        <f aca="false">MIN(G18,G15)</f>
        <v>0</v>
      </c>
    </row>
    <row r="20" customFormat="false" ht="15" hidden="false" customHeight="false" outlineLevel="0" collapsed="false">
      <c r="A20" s="6"/>
      <c r="B20" s="7" t="s">
        <v>217</v>
      </c>
      <c r="C20" s="34" t="n">
        <f aca="false">C19</f>
        <v>0</v>
      </c>
      <c r="D20" s="34" t="n">
        <f aca="false">D19</f>
        <v>0</v>
      </c>
      <c r="E20" s="34" t="n">
        <f aca="false">E19</f>
        <v>0</v>
      </c>
      <c r="F20" s="34" t="n">
        <f aca="false">F19</f>
        <v>0</v>
      </c>
      <c r="G20" s="34" t="n">
        <f aca="false">G19</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235</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236</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2025</v>
      </c>
      <c r="D5" s="29" t="n">
        <f aca="false">Model_Start_Year+1</f>
        <v>2026</v>
      </c>
      <c r="E5" s="29" t="n">
        <f aca="false">Model_Start_Year+2</f>
        <v>2027</v>
      </c>
      <c r="F5" s="29" t="n">
        <f aca="false">Model_Start_Year+3</f>
        <v>2028</v>
      </c>
      <c r="G5" s="29" t="n">
        <f aca="false">Model_Start_Year+4</f>
        <v>2029</v>
      </c>
    </row>
    <row r="6" customFormat="false" ht="15" hidden="false" customHeight="false" outlineLevel="0" collapsed="false">
      <c r="A6" s="6"/>
      <c r="B6" s="17" t="s">
        <v>237</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20" t="s">
        <v>238</v>
      </c>
      <c r="C7" s="43" t="b">
        <f aca="false">ABS(Balance_Sheet!C13-Balance_Sheet!C24)&lt;1</f>
        <v>1</v>
      </c>
      <c r="D7" s="43" t="b">
        <f aca="false">ABS(Balance_Sheet!D13-Balance_Sheet!D24)&lt;1</f>
        <v>1</v>
      </c>
      <c r="E7" s="43" t="b">
        <f aca="false">ABS(Balance_Sheet!E13-Balance_Sheet!E24)&lt;1</f>
        <v>1</v>
      </c>
      <c r="F7" s="43" t="b">
        <f aca="false">ABS(Balance_Sheet!F13-Balance_Sheet!F24)&lt;1</f>
        <v>1</v>
      </c>
      <c r="G7" s="43" t="b">
        <f aca="false">ABS(Balance_Sheet!G13-Balance_Sheet!G24)&lt;1</f>
        <v>1</v>
      </c>
    </row>
    <row r="8" customFormat="false" ht="15" hidden="false" customHeight="false" outlineLevel="0" collapsed="false">
      <c r="A8" s="6"/>
      <c r="B8" s="20" t="s">
        <v>239</v>
      </c>
      <c r="C8" s="43" t="b">
        <f aca="false">ABS(Balance_Sheet!C7-Cash_Flow!C27)&lt;1</f>
        <v>1</v>
      </c>
      <c r="D8" s="43" t="b">
        <f aca="false">ABS(Balance_Sheet!D7-Cash_Flow!D27)&lt;1</f>
        <v>1</v>
      </c>
      <c r="E8" s="43" t="b">
        <f aca="false">ABS(Balance_Sheet!E7-Cash_Flow!E27)&lt;1</f>
        <v>1</v>
      </c>
      <c r="F8" s="43" t="b">
        <f aca="false">ABS(Balance_Sheet!F7-Cash_Flow!F27)&lt;1</f>
        <v>1</v>
      </c>
      <c r="G8" s="43" t="b">
        <f aca="false">ABS(Balance_Sheet!G7-Cash_Flow!G27)&lt;1</f>
        <v>1</v>
      </c>
    </row>
    <row r="9" customFormat="false" ht="15" hidden="false" customHeight="false" outlineLevel="0" collapsed="false">
      <c r="A9" s="6"/>
      <c r="B9" s="20" t="s">
        <v>240</v>
      </c>
      <c r="C9" s="43" t="b">
        <f aca="false">AND(Income_Statement!C23&gt;=0.85,Income_Statement!C23&lt;=1.1)</f>
        <v>1</v>
      </c>
      <c r="D9" s="43" t="b">
        <f aca="false">AND(Income_Statement!D23&gt;=0.85,Income_Statement!D23&lt;=1.1)</f>
        <v>1</v>
      </c>
      <c r="E9" s="43" t="b">
        <f aca="false">AND(Income_Statement!E23&gt;=0.85,Income_Statement!E23&lt;=1.1)</f>
        <v>1</v>
      </c>
      <c r="F9" s="43" t="b">
        <f aca="false">AND(Income_Statement!F23&gt;=0.85,Income_Statement!F23&lt;=1.1)</f>
        <v>1</v>
      </c>
      <c r="G9" s="43" t="b">
        <f aca="false">AND(Income_Statement!G23&gt;=0.85,Income_Statement!G23&lt;=1.1)</f>
        <v>1</v>
      </c>
    </row>
    <row r="10" customFormat="false" ht="15" hidden="false" customHeight="false" outlineLevel="0" collapsed="false">
      <c r="A10" s="6"/>
      <c r="B10" s="20" t="s">
        <v>241</v>
      </c>
      <c r="C10" s="43" t="b">
        <f aca="false">Capital_Adequacy!C9&lt;=Regulatory_PS_Limit</f>
        <v>0</v>
      </c>
      <c r="D10" s="43" t="b">
        <f aca="false">Capital_Adequacy!D9&lt;=Regulatory_PS_Limit</f>
        <v>0</v>
      </c>
      <c r="E10" s="43" t="b">
        <f aca="false">Capital_Adequacy!E9&lt;=Regulatory_PS_Limit</f>
        <v>1</v>
      </c>
      <c r="F10" s="43" t="b">
        <f aca="false">Capital_Adequacy!F9&lt;=Regulatory_PS_Limit</f>
        <v>1</v>
      </c>
      <c r="G10" s="43" t="b">
        <f aca="false">Capital_Adequacy!G9&lt;=Regulatory_PS_Limit</f>
        <v>1</v>
      </c>
    </row>
    <row r="11" customFormat="false" ht="15" hidden="false" customHeight="false" outlineLevel="0" collapsed="false">
      <c r="A11" s="6"/>
      <c r="B11" s="20" t="s">
        <v>242</v>
      </c>
      <c r="C11" s="43" t="b">
        <f aca="false">Capital_Adequacy!C16&gt;=1</f>
        <v>0</v>
      </c>
      <c r="D11" s="43" t="b">
        <f aca="false">Capital_Adequacy!D16&gt;=1</f>
        <v>0</v>
      </c>
      <c r="E11" s="43" t="b">
        <f aca="false">Capital_Adequacy!E16&gt;=1</f>
        <v>0</v>
      </c>
      <c r="F11" s="43" t="b">
        <f aca="false">Capital_Adequacy!F16&gt;=1</f>
        <v>0</v>
      </c>
      <c r="G11" s="43" t="b">
        <f aca="false">Capital_Adequacy!G16&gt;=1</f>
        <v>0</v>
      </c>
    </row>
    <row r="12" customFormat="false" ht="15" hidden="false" customHeight="false" outlineLevel="0" collapsed="false">
      <c r="A12" s="6"/>
      <c r="B12" s="20" t="s">
        <v>243</v>
      </c>
      <c r="C12" s="43" t="b">
        <f aca="false">TRUE()</f>
        <v>1</v>
      </c>
      <c r="D12" s="43" t="b">
        <f aca="false">Income_Statement!D37&lt;=Income_Statement!C37</f>
        <v>1</v>
      </c>
      <c r="E12" s="43" t="b">
        <f aca="false">Income_Statement!E37&lt;=Income_Statement!D37</f>
        <v>1</v>
      </c>
      <c r="F12" s="43" t="b">
        <f aca="false">Income_Statement!F37&lt;=Income_Statement!E37</f>
        <v>1</v>
      </c>
      <c r="G12" s="43" t="b">
        <f aca="false">Income_Statement!G37&lt;=Income_Statement!F37</f>
        <v>1</v>
      </c>
    </row>
    <row r="13" customFormat="false" ht="15" hidden="false" customHeight="false" outlineLevel="0" collapsed="false">
      <c r="A13" s="6"/>
      <c r="B13" s="20" t="s">
        <v>244</v>
      </c>
      <c r="C13" s="43" t="b">
        <f aca="false">Income_Statement!C30&gt;0</f>
        <v>1</v>
      </c>
      <c r="D13" s="43" t="b">
        <f aca="false">Income_Statement!D30&gt;0</f>
        <v>1</v>
      </c>
      <c r="E13" s="43" t="b">
        <f aca="false">Income_Statement!E30&gt;0</f>
        <v>1</v>
      </c>
      <c r="F13" s="43" t="b">
        <f aca="false">Income_Statement!F30&gt;0</f>
        <v>1</v>
      </c>
      <c r="G13" s="43" t="b">
        <f aca="false">Income_Statement!G30&gt;0</f>
        <v>1</v>
      </c>
    </row>
    <row r="14" customFormat="false" ht="15" hidden="false" customHeight="false" outlineLevel="0" collapsed="false">
      <c r="A14" s="6"/>
      <c r="B14" s="20" t="s">
        <v>245</v>
      </c>
      <c r="C14" s="43" t="b">
        <f aca="false">Claims_Reserves!C13&gt;=0</f>
        <v>1</v>
      </c>
      <c r="D14" s="43" t="b">
        <f aca="false">Claims_Reserves!D13&gt;=0</f>
        <v>1</v>
      </c>
      <c r="E14" s="43" t="b">
        <f aca="false">Claims_Reserves!E13&gt;=0</f>
        <v>1</v>
      </c>
      <c r="F14" s="43" t="b">
        <f aca="false">Claims_Reserves!F13&gt;=0</f>
        <v>1</v>
      </c>
      <c r="G14" s="43" t="b">
        <f aca="false">Claims_Reserves!G13&gt;=0</f>
        <v>1</v>
      </c>
    </row>
    <row r="15" customFormat="false" ht="15" hidden="false" customHeight="false" outlineLevel="0" collapsed="false">
      <c r="A15" s="6"/>
      <c r="B15" s="20" t="s">
        <v>246</v>
      </c>
      <c r="C15" s="43" t="b">
        <f aca="false">Income_Statement!C54&gt;=0</f>
        <v>1</v>
      </c>
      <c r="D15" s="43" t="b">
        <f aca="false">Income_Statement!D54&gt;=0</f>
        <v>1</v>
      </c>
      <c r="E15" s="43" t="b">
        <f aca="false">Income_Statement!E54&gt;=0</f>
        <v>1</v>
      </c>
      <c r="F15" s="43" t="b">
        <f aca="false">Income_Statement!F54&gt;=0</f>
        <v>1</v>
      </c>
      <c r="G15" s="43" t="b">
        <f aca="false">Income_Statement!G54&gt;=0</f>
        <v>1</v>
      </c>
    </row>
    <row r="16" customFormat="false" ht="15" hidden="false" customHeight="false" outlineLevel="0" collapsed="false">
      <c r="A16" s="6"/>
      <c r="B16" s="20" t="s">
        <v>247</v>
      </c>
      <c r="C16" s="43" t="b">
        <f aca="false">AND(Income_Statement!C57&gt;=-0.2,Income_Statement!C57&lt;=0.3)</f>
        <v>1</v>
      </c>
      <c r="D16" s="43" t="b">
        <f aca="false">AND(Income_Statement!D57&gt;=-0.2,Income_Statement!D57&lt;=0.3)</f>
        <v>1</v>
      </c>
      <c r="E16" s="43" t="b">
        <f aca="false">AND(Income_Statement!E57&gt;=-0.2,Income_Statement!E57&lt;=0.3)</f>
        <v>1</v>
      </c>
      <c r="F16" s="43" t="b">
        <f aca="false">AND(Income_Statement!F57&gt;=-0.2,Income_Statement!F57&lt;=0.3)</f>
        <v>1</v>
      </c>
      <c r="G16" s="43" t="b">
        <f aca="false">AND(Income_Statement!G57&gt;=-0.2,Income_Statement!G57&lt;=0.3)</f>
        <v>1</v>
      </c>
    </row>
    <row r="17" customFormat="false" ht="15" hidden="false" customHeight="false" outlineLevel="0" collapsed="false">
      <c r="A17" s="6"/>
      <c r="B17" s="20" t="s">
        <v>248</v>
      </c>
      <c r="C17" s="43" t="b">
        <f aca="false">ABS(UW_Expenses!C18-(UW_Expenses!C16+UW_Expenses!C17))&lt;1</f>
        <v>1</v>
      </c>
      <c r="D17" s="43" t="b">
        <f aca="false">ABS(UW_Expenses!D18-(UW_Expenses!D16+UW_Expenses!D17))&lt;1</f>
        <v>1</v>
      </c>
      <c r="E17" s="43" t="b">
        <f aca="false">ABS(UW_Expenses!E18-(UW_Expenses!E16+UW_Expenses!E17))&lt;1</f>
        <v>1</v>
      </c>
      <c r="F17" s="43" t="b">
        <f aca="false">ABS(UW_Expenses!F18-(UW_Expenses!F16+UW_Expenses!F17))&lt;1</f>
        <v>1</v>
      </c>
      <c r="G17" s="43" t="b">
        <f aca="false">ABS(UW_Expenses!G18-(UW_Expenses!G16+UW_Expenses!G17))&lt;1</f>
        <v>1</v>
      </c>
    </row>
    <row r="18" customFormat="false" ht="15" hidden="false" customHeight="false" outlineLevel="0" collapsed="false">
      <c r="A18" s="6"/>
      <c r="B18" s="20" t="s">
        <v>249</v>
      </c>
      <c r="C18" s="43" t="b">
        <f aca="false">ABS(Income_Statement!C38+Debt_Rate*Income_Statement!C35)&lt;1</f>
        <v>1</v>
      </c>
      <c r="D18" s="43" t="b">
        <f aca="false">ABS(Income_Statement!D38+Debt_Rate*Income_Statement!D35)&lt;1</f>
        <v>1</v>
      </c>
      <c r="E18" s="43" t="b">
        <f aca="false">ABS(Income_Statement!E38+Debt_Rate*Income_Statement!E35)&lt;1</f>
        <v>1</v>
      </c>
      <c r="F18" s="43" t="b">
        <f aca="false">ABS(Income_Statement!F38+Debt_Rate*Income_Statement!F35)&lt;1</f>
        <v>1</v>
      </c>
      <c r="G18" s="43" t="b">
        <f aca="false">ABS(Income_Statement!G38+Debt_Rate*Income_Statement!G35)&lt;1</f>
        <v>1</v>
      </c>
    </row>
  </sheetData>
  <conditionalFormatting sqref="C7:G18">
    <cfRule type="cellIs" priority="2" operator="equal" aboveAverage="0" equalAverage="0" bottom="0" percent="0" rank="0" text="" dxfId="0">
      <formula>"TRUE"</formula>
    </cfRule>
    <cfRule type="cellIs" priority="3" operator="equal" aboveAverage="0" equalAverage="0" bottom="0" percent="0" rank="0" text="" dxfId="1">
      <formula>"FALSE"</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4" t="s">
        <v>250</v>
      </c>
    </row>
    <row r="3" customFormat="false" ht="3.75" hidden="false" customHeight="true" outlineLevel="0" collapsed="false">
      <c r="B3" s="45"/>
    </row>
    <row r="5" customFormat="false" ht="19.5" hidden="false" customHeight="true" outlineLevel="0" collapsed="false">
      <c r="B5" s="46" t="s">
        <v>251</v>
      </c>
    </row>
    <row r="6" customFormat="false" ht="48" hidden="false" customHeight="true" outlineLevel="0" collapsed="false">
      <c r="B6" s="47" t="s">
        <v>252</v>
      </c>
    </row>
    <row r="8" customFormat="false" ht="19.5" hidden="false" customHeight="true" outlineLevel="0" collapsed="false">
      <c r="B8" s="46" t="s">
        <v>253</v>
      </c>
    </row>
    <row r="9" customFormat="false" ht="61.5" hidden="false" customHeight="true" outlineLevel="0" collapsed="false">
      <c r="B9" s="47" t="s">
        <v>254</v>
      </c>
    </row>
    <row r="11" customFormat="false" ht="19.5" hidden="false" customHeight="true" outlineLevel="0" collapsed="false">
      <c r="B11" s="46" t="s">
        <v>255</v>
      </c>
    </row>
    <row r="12" customFormat="false" ht="75.75" hidden="false" customHeight="true" outlineLevel="0" collapsed="false">
      <c r="B12" s="47" t="s">
        <v>256</v>
      </c>
    </row>
    <row r="14" customFormat="false" ht="19.5" hidden="false" customHeight="true" outlineLevel="0" collapsed="false">
      <c r="B14" s="46" t="s">
        <v>257</v>
      </c>
    </row>
    <row r="15" customFormat="false" ht="61.5" hidden="false" customHeight="true" outlineLevel="0" collapsed="false">
      <c r="B15" s="47" t="s">
        <v>258</v>
      </c>
    </row>
    <row r="17" customFormat="false" ht="19.5" hidden="false" customHeight="true" outlineLevel="0" collapsed="false">
      <c r="B17" s="46" t="s">
        <v>259</v>
      </c>
    </row>
    <row r="18" customFormat="false" ht="33.75" hidden="false" customHeight="true" outlineLevel="0" collapsed="false">
      <c r="B18" s="47" t="s">
        <v>260</v>
      </c>
    </row>
    <row r="20" customFormat="false" ht="19.5" hidden="false" customHeight="true" outlineLevel="0" collapsed="false">
      <c r="B20" s="46" t="s">
        <v>261</v>
      </c>
    </row>
    <row r="21" customFormat="false" ht="33.75" hidden="false" customHeight="true" outlineLevel="0" collapsed="false">
      <c r="B21" s="47" t="s">
        <v>262</v>
      </c>
    </row>
    <row r="23" customFormat="false" ht="21.75" hidden="false" customHeight="true" outlineLevel="0" collapsed="false">
      <c r="B23" s="48" t="s">
        <v>263</v>
      </c>
    </row>
    <row r="25" customFormat="false" ht="18" hidden="false" customHeight="true" outlineLevel="0" collapsed="false">
      <c r="B25" s="49" t="s">
        <v>264</v>
      </c>
    </row>
    <row r="26" customFormat="false" ht="201.75" hidden="false" customHeight="true" outlineLevel="0" collapsed="false">
      <c r="B26" s="50" t="s">
        <v>265</v>
      </c>
    </row>
    <row r="28" customFormat="false" ht="18" hidden="false" customHeight="true" outlineLevel="0" collapsed="false">
      <c r="B28" s="51" t="s">
        <v>266</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AD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3" min="3" style="0" width="20"/>
    <col collapsed="false" customWidth="true" hidden="false" outlineLevel="0" max="4" min="4" style="0" width="12"/>
    <col collapsed="false" customWidth="true" hidden="false" outlineLevel="0" max="5" min="5" style="0" width="35"/>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13</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15" t="s">
        <v>14</v>
      </c>
      <c r="C4" s="15" t="s">
        <v>15</v>
      </c>
      <c r="D4" s="15" t="s">
        <v>16</v>
      </c>
      <c r="E4" s="15" t="s">
        <v>17</v>
      </c>
      <c r="F4" s="6"/>
      <c r="G4" s="6"/>
    </row>
    <row r="5" customFormat="false" ht="15" hidden="false" customHeight="false" outlineLevel="0" collapsed="false">
      <c r="A5" s="6"/>
      <c r="B5" s="16" t="s">
        <v>18</v>
      </c>
      <c r="C5" s="6"/>
      <c r="D5" s="6"/>
      <c r="E5" s="6"/>
      <c r="F5" s="6"/>
      <c r="G5" s="6"/>
    </row>
    <row r="6" customFormat="false" ht="15" hidden="false" customHeight="false" outlineLevel="0" collapsed="false">
      <c r="A6" s="6"/>
      <c r="B6" s="17" t="s">
        <v>19</v>
      </c>
      <c r="C6" s="17"/>
      <c r="D6" s="17"/>
      <c r="E6" s="17"/>
      <c r="F6" s="17"/>
      <c r="G6" s="17"/>
    </row>
    <row r="7" customFormat="false" ht="15" hidden="false" customHeight="false" outlineLevel="0" collapsed="false">
      <c r="A7" s="6"/>
      <c r="B7" s="18" t="s">
        <v>20</v>
      </c>
      <c r="C7" s="19" t="n">
        <v>2025</v>
      </c>
      <c r="D7" s="18" t="s">
        <v>21</v>
      </c>
      <c r="E7" s="18" t="s">
        <v>22</v>
      </c>
      <c r="F7" s="17"/>
      <c r="G7" s="17"/>
    </row>
    <row r="8" customFormat="false" ht="15" hidden="false" customHeight="false" outlineLevel="0" collapsed="false">
      <c r="A8" s="6"/>
      <c r="B8" s="20" t="s">
        <v>23</v>
      </c>
      <c r="C8" s="21" t="n">
        <v>600000000</v>
      </c>
      <c r="D8" s="22" t="s">
        <v>24</v>
      </c>
      <c r="E8" s="22" t="s">
        <v>25</v>
      </c>
      <c r="F8" s="6"/>
      <c r="G8" s="6"/>
    </row>
    <row r="9" customFormat="false" ht="15" hidden="false" customHeight="false" outlineLevel="0" collapsed="false">
      <c r="A9" s="6"/>
      <c r="B9" s="20" t="s">
        <v>26</v>
      </c>
      <c r="C9" s="23" t="n">
        <v>0.06</v>
      </c>
      <c r="D9" s="22" t="s">
        <v>27</v>
      </c>
      <c r="E9" s="22" t="s">
        <v>28</v>
      </c>
      <c r="F9" s="6"/>
      <c r="G9" s="6"/>
    </row>
    <row r="10" customFormat="false" ht="15" hidden="false" customHeight="false" outlineLevel="0" collapsed="false">
      <c r="A10" s="6"/>
      <c r="B10" s="20" t="s">
        <v>29</v>
      </c>
      <c r="C10" s="23" t="n">
        <v>0.15</v>
      </c>
      <c r="D10" s="22" t="s">
        <v>27</v>
      </c>
      <c r="E10" s="22" t="s">
        <v>30</v>
      </c>
      <c r="F10" s="6"/>
      <c r="G10" s="6"/>
    </row>
    <row r="11" customFormat="false" ht="15" hidden="false" customHeight="false" outlineLevel="0" collapsed="false">
      <c r="A11" s="6"/>
      <c r="B11" s="18" t="s">
        <v>31</v>
      </c>
      <c r="C11" s="24" t="n">
        <v>0.45</v>
      </c>
      <c r="D11" s="18" t="s">
        <v>27</v>
      </c>
      <c r="E11" s="18" t="s">
        <v>32</v>
      </c>
      <c r="F11" s="17"/>
      <c r="G11" s="17"/>
    </row>
    <row r="12" customFormat="false" ht="15" hidden="false" customHeight="false" outlineLevel="0" collapsed="false">
      <c r="A12" s="6"/>
      <c r="B12" s="20" t="s">
        <v>33</v>
      </c>
      <c r="C12" s="23" t="n">
        <v>0.65</v>
      </c>
      <c r="D12" s="22" t="s">
        <v>27</v>
      </c>
      <c r="E12" s="22" t="s">
        <v>34</v>
      </c>
      <c r="F12" s="6"/>
      <c r="G12" s="6"/>
    </row>
    <row r="13" customFormat="false" ht="15" hidden="false" customHeight="false" outlineLevel="0" collapsed="false">
      <c r="A13" s="6"/>
      <c r="B13" s="18" t="s">
        <v>35</v>
      </c>
      <c r="C13" s="24" t="n">
        <v>0.35</v>
      </c>
      <c r="D13" s="18" t="s">
        <v>27</v>
      </c>
      <c r="E13" s="18" t="s">
        <v>36</v>
      </c>
      <c r="F13" s="17"/>
      <c r="G13" s="17"/>
    </row>
    <row r="14" customFormat="false" ht="15" hidden="false" customHeight="false" outlineLevel="0" collapsed="false">
      <c r="A14" s="6"/>
      <c r="B14" s="20" t="s">
        <v>37</v>
      </c>
      <c r="C14" s="23" t="n">
        <v>0.15</v>
      </c>
      <c r="D14" s="22" t="s">
        <v>27</v>
      </c>
      <c r="E14" s="22" t="s">
        <v>38</v>
      </c>
      <c r="F14" s="6"/>
      <c r="G14" s="6"/>
    </row>
    <row r="15" customFormat="false" ht="15" hidden="false" customHeight="false" outlineLevel="0" collapsed="false">
      <c r="A15" s="6"/>
      <c r="B15" s="18" t="s">
        <v>39</v>
      </c>
      <c r="C15" s="24" t="n">
        <v>0.15</v>
      </c>
      <c r="D15" s="18" t="s">
        <v>27</v>
      </c>
      <c r="E15" s="18" t="s">
        <v>40</v>
      </c>
      <c r="F15" s="17"/>
      <c r="G15" s="17"/>
    </row>
    <row r="16" customFormat="false" ht="15" hidden="false" customHeight="false" outlineLevel="0" collapsed="false">
      <c r="A16" s="6"/>
      <c r="B16" s="20" t="s">
        <v>41</v>
      </c>
      <c r="C16" s="23" t="n">
        <v>0.049</v>
      </c>
      <c r="D16" s="22" t="s">
        <v>27</v>
      </c>
      <c r="E16" s="22" t="s">
        <v>42</v>
      </c>
      <c r="F16" s="6"/>
      <c r="G16" s="6"/>
    </row>
    <row r="17" customFormat="false" ht="15" hidden="false" customHeight="false" outlineLevel="0" collapsed="false">
      <c r="A17" s="6"/>
      <c r="B17" s="20" t="s">
        <v>43</v>
      </c>
      <c r="C17" s="23" t="n">
        <v>0.1</v>
      </c>
      <c r="D17" s="22" t="s">
        <v>27</v>
      </c>
      <c r="E17" s="22" t="s">
        <v>44</v>
      </c>
      <c r="F17" s="6"/>
      <c r="G17" s="6"/>
    </row>
    <row r="18" customFormat="false" ht="15" hidden="false" customHeight="false" outlineLevel="0" collapsed="false">
      <c r="A18" s="6"/>
      <c r="B18" s="20" t="s">
        <v>45</v>
      </c>
      <c r="C18" s="23" t="n">
        <v>0.045</v>
      </c>
      <c r="D18" s="22" t="s">
        <v>27</v>
      </c>
      <c r="E18" s="22" t="s">
        <v>46</v>
      </c>
      <c r="F18" s="6"/>
      <c r="G18" s="6"/>
    </row>
    <row r="19" customFormat="false" ht="15" hidden="false" customHeight="false" outlineLevel="0" collapsed="false">
      <c r="A19" s="6"/>
      <c r="B19" s="20" t="s">
        <v>47</v>
      </c>
      <c r="C19" s="23" t="n">
        <v>0.04</v>
      </c>
      <c r="D19" s="22" t="s">
        <v>27</v>
      </c>
      <c r="E19" s="22" t="s">
        <v>48</v>
      </c>
      <c r="F19" s="6"/>
      <c r="G19" s="6"/>
    </row>
    <row r="20" customFormat="false" ht="15" hidden="false" customHeight="false" outlineLevel="0" collapsed="false">
      <c r="A20" s="6"/>
      <c r="B20" s="20" t="s">
        <v>49</v>
      </c>
      <c r="C20" s="23" t="n">
        <v>0.003</v>
      </c>
      <c r="D20" s="22" t="s">
        <v>27</v>
      </c>
      <c r="E20" s="22" t="s">
        <v>50</v>
      </c>
      <c r="F20" s="6"/>
      <c r="G20" s="6"/>
    </row>
    <row r="21" customFormat="false" ht="15" hidden="false" customHeight="false" outlineLevel="0" collapsed="false">
      <c r="A21" s="6"/>
      <c r="B21" s="18" t="s">
        <v>51</v>
      </c>
      <c r="C21" s="24" t="n">
        <v>0.005</v>
      </c>
      <c r="D21" s="18" t="s">
        <v>27</v>
      </c>
      <c r="E21" s="18" t="s">
        <v>52</v>
      </c>
      <c r="F21" s="17"/>
      <c r="G21" s="17"/>
    </row>
    <row r="22" customFormat="false" ht="15" hidden="false" customHeight="false" outlineLevel="0" collapsed="false">
      <c r="A22" s="6"/>
      <c r="B22" s="20" t="s">
        <v>53</v>
      </c>
      <c r="C22" s="23" t="n">
        <v>0.06</v>
      </c>
      <c r="D22" s="22" t="s">
        <v>27</v>
      </c>
      <c r="E22" s="22" t="s">
        <v>54</v>
      </c>
      <c r="F22" s="6"/>
      <c r="G22" s="6"/>
    </row>
    <row r="23" customFormat="false" ht="15" hidden="false" customHeight="false" outlineLevel="0" collapsed="false">
      <c r="A23" s="6"/>
      <c r="B23" s="20" t="s">
        <v>55</v>
      </c>
      <c r="C23" s="21" t="n">
        <v>80000000</v>
      </c>
      <c r="D23" s="22" t="s">
        <v>24</v>
      </c>
      <c r="E23" s="22" t="s">
        <v>56</v>
      </c>
      <c r="F23" s="6"/>
      <c r="G23" s="6"/>
    </row>
    <row r="24" customFormat="false" ht="15" hidden="false" customHeight="false" outlineLevel="0" collapsed="false">
      <c r="A24" s="6"/>
      <c r="B24" s="18" t="s">
        <v>57</v>
      </c>
      <c r="C24" s="19" t="n">
        <v>5</v>
      </c>
      <c r="D24" s="18" t="s">
        <v>58</v>
      </c>
      <c r="E24" s="18" t="s">
        <v>59</v>
      </c>
      <c r="F24" s="17"/>
      <c r="G24" s="17"/>
    </row>
    <row r="25" customFormat="false" ht="15" hidden="false" customHeight="false" outlineLevel="0" collapsed="false">
      <c r="A25" s="6"/>
      <c r="B25" s="20" t="s">
        <v>60</v>
      </c>
      <c r="C25" s="23" t="n">
        <v>0.21</v>
      </c>
      <c r="D25" s="22" t="s">
        <v>27</v>
      </c>
      <c r="E25" s="22" t="s">
        <v>61</v>
      </c>
      <c r="F25" s="6"/>
      <c r="G25" s="6"/>
    </row>
    <row r="26" customFormat="false" ht="15" hidden="false" customHeight="false" outlineLevel="0" collapsed="false">
      <c r="A26" s="6"/>
      <c r="B26" s="20" t="s">
        <v>62</v>
      </c>
      <c r="C26" s="25" t="n">
        <v>45</v>
      </c>
      <c r="D26" s="22" t="s">
        <v>63</v>
      </c>
      <c r="E26" s="22" t="s">
        <v>64</v>
      </c>
      <c r="F26" s="6"/>
      <c r="G26" s="6"/>
    </row>
    <row r="27" customFormat="false" ht="15" hidden="false" customHeight="false" outlineLevel="0" collapsed="false">
      <c r="A27" s="6"/>
      <c r="B27" s="18" t="s">
        <v>65</v>
      </c>
      <c r="C27" s="19" t="n">
        <v>30</v>
      </c>
      <c r="D27" s="18" t="s">
        <v>63</v>
      </c>
      <c r="E27" s="18" t="s">
        <v>66</v>
      </c>
      <c r="F27" s="17"/>
      <c r="G27" s="17"/>
    </row>
    <row r="28" customFormat="false" ht="15" hidden="false" customHeight="false" outlineLevel="0" collapsed="false">
      <c r="A28" s="6"/>
      <c r="B28" s="20" t="s">
        <v>67</v>
      </c>
      <c r="C28" s="23" t="n">
        <v>0.02</v>
      </c>
      <c r="D28" s="22" t="s">
        <v>27</v>
      </c>
      <c r="E28" s="22" t="s">
        <v>68</v>
      </c>
      <c r="F28" s="6"/>
      <c r="G28" s="6"/>
    </row>
    <row r="29" customFormat="false" ht="15" hidden="false" customHeight="false" outlineLevel="0" collapsed="false">
      <c r="A29" s="6"/>
      <c r="B29" s="20" t="s">
        <v>69</v>
      </c>
      <c r="C29" s="23" t="n">
        <v>0.2</v>
      </c>
      <c r="D29" s="22" t="s">
        <v>27</v>
      </c>
      <c r="E29" s="22" t="s">
        <v>70</v>
      </c>
      <c r="F29" s="6"/>
      <c r="G29" s="6"/>
    </row>
    <row r="30" customFormat="false" ht="15" hidden="false" customHeight="false" outlineLevel="0" collapsed="false">
      <c r="A30" s="6"/>
      <c r="B30" s="18" t="s">
        <v>71</v>
      </c>
      <c r="C30" s="26" t="n">
        <v>12000000</v>
      </c>
      <c r="D30" s="18" t="s">
        <v>24</v>
      </c>
      <c r="E30" s="18" t="s">
        <v>72</v>
      </c>
      <c r="F30" s="17"/>
      <c r="G30" s="17"/>
    </row>
    <row r="31" customFormat="false" ht="15" hidden="false" customHeight="false" outlineLevel="0" collapsed="false">
      <c r="A31" s="6"/>
      <c r="B31" s="20" t="s">
        <v>73</v>
      </c>
      <c r="C31" s="21" t="n">
        <v>9000000</v>
      </c>
      <c r="D31" s="22" t="s">
        <v>24</v>
      </c>
      <c r="E31" s="22" t="s">
        <v>74</v>
      </c>
      <c r="F31" s="6"/>
      <c r="G31" s="6"/>
    </row>
    <row r="32" customFormat="false" ht="15" hidden="false" customHeight="false" outlineLevel="0" collapsed="false">
      <c r="A32" s="6"/>
      <c r="B32" s="20" t="s">
        <v>75</v>
      </c>
      <c r="C32" s="21" t="n">
        <v>45000000</v>
      </c>
      <c r="D32" s="22" t="s">
        <v>24</v>
      </c>
      <c r="E32" s="22" t="s">
        <v>76</v>
      </c>
      <c r="F32" s="6"/>
      <c r="G32" s="6"/>
    </row>
    <row r="33" customFormat="false" ht="15" hidden="false" customHeight="false" outlineLevel="0" collapsed="false">
      <c r="A33" s="6"/>
      <c r="B33" s="20" t="s">
        <v>77</v>
      </c>
      <c r="C33" s="21" t="n">
        <v>120000000</v>
      </c>
      <c r="D33" s="22" t="s">
        <v>24</v>
      </c>
      <c r="E33" s="22" t="s">
        <v>78</v>
      </c>
      <c r="F33" s="6"/>
      <c r="G33" s="6"/>
    </row>
    <row r="34" customFormat="false" ht="15" hidden="false" customHeight="false" outlineLevel="0" collapsed="false">
      <c r="A34" s="6"/>
      <c r="B34" s="20" t="s">
        <v>79</v>
      </c>
      <c r="C34" s="21" t="n">
        <v>300000000</v>
      </c>
      <c r="D34" s="22" t="s">
        <v>24</v>
      </c>
      <c r="E34" s="22" t="s">
        <v>80</v>
      </c>
      <c r="F34" s="6"/>
      <c r="G34" s="6"/>
    </row>
    <row r="35" customFormat="false" ht="15" hidden="false" customHeight="false" outlineLevel="0" collapsed="false">
      <c r="A35" s="6"/>
      <c r="B35" s="20" t="s">
        <v>81</v>
      </c>
      <c r="C35" s="21" t="n">
        <v>140000000</v>
      </c>
      <c r="D35" s="22" t="s">
        <v>24</v>
      </c>
      <c r="E35" s="22" t="s">
        <v>82</v>
      </c>
      <c r="F35" s="6"/>
      <c r="G35" s="6"/>
    </row>
    <row r="36" customFormat="false" ht="15" hidden="false" customHeight="false" outlineLevel="0" collapsed="false">
      <c r="A36" s="6"/>
      <c r="B36" s="18" t="s">
        <v>83</v>
      </c>
      <c r="C36" s="26" t="n">
        <v>76500000</v>
      </c>
      <c r="D36" s="18" t="s">
        <v>24</v>
      </c>
      <c r="E36" s="18" t="s">
        <v>84</v>
      </c>
      <c r="F36" s="17"/>
      <c r="G36" s="17"/>
    </row>
    <row r="37" customFormat="false" ht="15" hidden="false" customHeight="false" outlineLevel="0" collapsed="false">
      <c r="A37" s="6"/>
      <c r="B37" s="20" t="s">
        <v>85</v>
      </c>
      <c r="C37" s="23" t="n">
        <v>0.1</v>
      </c>
      <c r="D37" s="22" t="s">
        <v>27</v>
      </c>
      <c r="E37" s="22" t="s">
        <v>86</v>
      </c>
      <c r="F37" s="6"/>
      <c r="G37" s="6"/>
    </row>
    <row r="38" customFormat="false" ht="15" hidden="false" customHeight="false" outlineLevel="0" collapsed="false">
      <c r="A38" s="6"/>
      <c r="B38" s="20" t="s">
        <v>87</v>
      </c>
      <c r="C38" s="27" t="n">
        <v>1.5</v>
      </c>
      <c r="D38" s="22" t="s">
        <v>88</v>
      </c>
      <c r="E38" s="22" t="s">
        <v>89</v>
      </c>
      <c r="F38" s="6"/>
      <c r="G38" s="6"/>
    </row>
    <row r="39" customFormat="false" ht="15" hidden="false" customHeight="false" outlineLevel="0" collapsed="false">
      <c r="A39" s="6"/>
      <c r="B39" s="20" t="s">
        <v>90</v>
      </c>
      <c r="C39" s="27" t="n">
        <v>3</v>
      </c>
      <c r="D39" s="22" t="s">
        <v>88</v>
      </c>
      <c r="E39" s="22" t="s">
        <v>91</v>
      </c>
      <c r="F39" s="6"/>
      <c r="G39" s="6"/>
    </row>
    <row r="40" customFormat="false" ht="15" hidden="false" customHeight="false" outlineLevel="0" collapsed="false">
      <c r="A40" s="6"/>
      <c r="B40" s="20" t="s">
        <v>92</v>
      </c>
      <c r="C40" s="21" t="n">
        <v>0</v>
      </c>
      <c r="D40" s="22" t="s">
        <v>24</v>
      </c>
      <c r="E40" s="22" t="s">
        <v>93</v>
      </c>
      <c r="F40" s="6"/>
      <c r="G40"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94</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95</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2025</v>
      </c>
      <c r="D5" s="29" t="n">
        <f aca="false">Model_Start_Year+1</f>
        <v>2026</v>
      </c>
      <c r="E5" s="29" t="n">
        <f aca="false">Model_Start_Year+2</f>
        <v>2027</v>
      </c>
      <c r="F5" s="29" t="n">
        <f aca="false">Model_Start_Year+3</f>
        <v>2028</v>
      </c>
      <c r="G5" s="29" t="n">
        <f aca="false">Model_Start_Year+4</f>
        <v>2029</v>
      </c>
    </row>
    <row r="6" customFormat="false" ht="15" hidden="false" customHeight="false" outlineLevel="0" collapsed="false">
      <c r="A6" s="6"/>
      <c r="B6" s="17" t="s">
        <v>96</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7" t="s">
        <v>97</v>
      </c>
      <c r="C7" s="31" t="n">
        <f aca="false">GWP_Base*(1+GWP_Growth_Rate)</f>
        <v>636000000</v>
      </c>
      <c r="D7" s="31" t="n">
        <f aca="false">C7*(1+GWP_Growth_Rate)</f>
        <v>674160000</v>
      </c>
      <c r="E7" s="31" t="n">
        <f aca="false">D7*(1+GWP_Growth_Rate)</f>
        <v>714609600</v>
      </c>
      <c r="F7" s="31" t="n">
        <f aca="false">E7*(1+GWP_Growth_Rate)</f>
        <v>757486176</v>
      </c>
      <c r="G7" s="31" t="n">
        <f aca="false">F7*(1+GWP_Growth_Rate)</f>
        <v>802935346.56</v>
      </c>
    </row>
    <row r="8" customFormat="false" ht="15" hidden="false" customHeight="false" outlineLevel="0" collapsed="false">
      <c r="A8" s="6"/>
      <c r="B8" s="32" t="s">
        <v>98</v>
      </c>
      <c r="C8" s="33" t="n">
        <f aca="false">-C7*Cession_Rate</f>
        <v>-95400000</v>
      </c>
      <c r="D8" s="33" t="n">
        <f aca="false">-D7*Cession_Rate</f>
        <v>-101124000</v>
      </c>
      <c r="E8" s="33" t="n">
        <f aca="false">-E7*Cession_Rate</f>
        <v>-107191440</v>
      </c>
      <c r="F8" s="33" t="n">
        <f aca="false">-F7*Cession_Rate</f>
        <v>-113622926.4</v>
      </c>
      <c r="G8" s="33" t="n">
        <f aca="false">-G7*Cession_Rate</f>
        <v>-120440301.984</v>
      </c>
    </row>
    <row r="9" customFormat="false" ht="15" hidden="false" customHeight="false" outlineLevel="0" collapsed="false">
      <c r="A9" s="6"/>
      <c r="B9" s="7" t="s">
        <v>99</v>
      </c>
      <c r="C9" s="34" t="n">
        <f aca="false">C7+C8</f>
        <v>540600000</v>
      </c>
      <c r="D9" s="34" t="n">
        <f aca="false">D7+D8</f>
        <v>573036000</v>
      </c>
      <c r="E9" s="34" t="n">
        <f aca="false">E7+E8</f>
        <v>607418160</v>
      </c>
      <c r="F9" s="34" t="n">
        <f aca="false">F7+F8</f>
        <v>643863249.6</v>
      </c>
      <c r="G9" s="34" t="n">
        <f aca="false">G7+G8</f>
        <v>682495044.576</v>
      </c>
    </row>
    <row r="10" customFormat="false" ht="15" hidden="false" customHeight="false" outlineLevel="0" collapsed="false">
      <c r="A10" s="6"/>
      <c r="B10" s="17" t="s">
        <v>100</v>
      </c>
      <c r="C10" s="17"/>
      <c r="D10" s="17"/>
      <c r="E10" s="17"/>
      <c r="F10" s="17"/>
      <c r="G10" s="17"/>
    </row>
    <row r="11" customFormat="false" ht="15" hidden="false" customHeight="false" outlineLevel="0" collapsed="false">
      <c r="A11" s="6"/>
      <c r="B11" s="32" t="s">
        <v>101</v>
      </c>
      <c r="C11" s="33" t="n">
        <f aca="false">-Open_UPR</f>
        <v>-76500000</v>
      </c>
      <c r="D11" s="33" t="n">
        <f aca="false">C12</f>
        <v>-243270000</v>
      </c>
      <c r="E11" s="33" t="n">
        <f aca="false">D12</f>
        <v>-257866200</v>
      </c>
      <c r="F11" s="33" t="n">
        <f aca="false">E12</f>
        <v>-273338172</v>
      </c>
      <c r="G11" s="33" t="n">
        <f aca="false">F12</f>
        <v>-289738462.32</v>
      </c>
    </row>
    <row r="12" customFormat="false" ht="15" hidden="false" customHeight="false" outlineLevel="0" collapsed="false">
      <c r="A12" s="6"/>
      <c r="B12" s="32" t="s">
        <v>102</v>
      </c>
      <c r="C12" s="33" t="n">
        <f aca="false">-C9*UPR_Rate</f>
        <v>-243270000</v>
      </c>
      <c r="D12" s="33" t="n">
        <f aca="false">-D9*UPR_Rate</f>
        <v>-257866200</v>
      </c>
      <c r="E12" s="33" t="n">
        <f aca="false">-E9*UPR_Rate</f>
        <v>-273338172</v>
      </c>
      <c r="F12" s="33" t="n">
        <f aca="false">-F9*UPR_Rate</f>
        <v>-289738462.32</v>
      </c>
      <c r="G12" s="33" t="n">
        <f aca="false">-G9*UPR_Rate</f>
        <v>-307122770.0592</v>
      </c>
    </row>
    <row r="13" customFormat="false" ht="15" hidden="false" customHeight="false" outlineLevel="0" collapsed="false">
      <c r="A13" s="6"/>
      <c r="B13" s="32" t="s">
        <v>103</v>
      </c>
      <c r="C13" s="33" t="n">
        <f aca="false">C12-C11</f>
        <v>-166770000</v>
      </c>
      <c r="D13" s="33" t="n">
        <f aca="false">D12-D11</f>
        <v>-14596200</v>
      </c>
      <c r="E13" s="33" t="n">
        <f aca="false">E12-E11</f>
        <v>-15471972</v>
      </c>
      <c r="F13" s="33" t="n">
        <f aca="false">F12-F11</f>
        <v>-16400290.32</v>
      </c>
      <c r="G13" s="33" t="n">
        <f aca="false">G12-G11</f>
        <v>-17384307.7392001</v>
      </c>
    </row>
    <row r="14" customFormat="false" ht="15" hidden="false" customHeight="false" outlineLevel="0" collapsed="false">
      <c r="A14" s="6"/>
      <c r="B14" s="7" t="s">
        <v>104</v>
      </c>
      <c r="C14" s="34" t="n">
        <f aca="false">C9+C13</f>
        <v>373830000</v>
      </c>
      <c r="D14" s="34" t="n">
        <f aca="false">D9+D13</f>
        <v>558439800</v>
      </c>
      <c r="E14" s="34" t="n">
        <f aca="false">E9+E13</f>
        <v>591946188</v>
      </c>
      <c r="F14" s="34" t="n">
        <f aca="false">F9+F13</f>
        <v>627462959.28</v>
      </c>
      <c r="G14" s="34" t="n">
        <f aca="false">G9+G13</f>
        <v>665110736.8368</v>
      </c>
    </row>
    <row r="15" customFormat="false" ht="15" hidden="false" customHeight="false" outlineLevel="0" collapsed="false">
      <c r="A15" s="6"/>
      <c r="B15" s="17" t="s">
        <v>105</v>
      </c>
      <c r="C15" s="17"/>
      <c r="D15" s="17"/>
      <c r="E15" s="17"/>
      <c r="F15" s="17"/>
      <c r="G15" s="17"/>
    </row>
    <row r="16" customFormat="false" ht="15" hidden="false" customHeight="false" outlineLevel="0" collapsed="false">
      <c r="A16" s="6"/>
      <c r="B16" s="32" t="s">
        <v>106</v>
      </c>
      <c r="C16" s="35" t="n">
        <f aca="false">C7*(1-UPR_Rate)</f>
        <v>349800000</v>
      </c>
      <c r="D16" s="35" t="n">
        <f aca="false">D7*(1-UPR_Rate)</f>
        <v>370788000</v>
      </c>
      <c r="E16" s="35" t="n">
        <f aca="false">E7*(1-UPR_Rate)</f>
        <v>393035280</v>
      </c>
      <c r="F16" s="35" t="n">
        <f aca="false">F7*(1-UPR_Rate)</f>
        <v>416617396.8</v>
      </c>
      <c r="G16" s="35" t="n">
        <f aca="false">G7*(1-UPR_Rate)</f>
        <v>441614440.608</v>
      </c>
    </row>
    <row r="17" customFormat="false" ht="15" hidden="false" customHeight="false" outlineLevel="0" collapsed="false">
      <c r="A17" s="6"/>
      <c r="B17" s="32" t="s">
        <v>107</v>
      </c>
      <c r="C17" s="33" t="n">
        <f aca="false">C8*(1-UPR_Rate)</f>
        <v>-52470000</v>
      </c>
      <c r="D17" s="33" t="n">
        <f aca="false">D8*(1-UPR_Rate)</f>
        <v>-55618200</v>
      </c>
      <c r="E17" s="33" t="n">
        <f aca="false">E8*(1-UPR_Rate)</f>
        <v>-58955292</v>
      </c>
      <c r="F17" s="33" t="n">
        <f aca="false">F8*(1-UPR_Rate)</f>
        <v>-62492609.52</v>
      </c>
      <c r="G17" s="33" t="n">
        <f aca="false">G8*(1-UPR_Rate)</f>
        <v>-66242166.0912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108</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109</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2025</v>
      </c>
      <c r="D5" s="29" t="n">
        <f aca="false">Model_Start_Year+1</f>
        <v>2026</v>
      </c>
      <c r="E5" s="29" t="n">
        <f aca="false">Model_Start_Year+2</f>
        <v>2027</v>
      </c>
      <c r="F5" s="29" t="n">
        <f aca="false">Model_Start_Year+3</f>
        <v>2028</v>
      </c>
      <c r="G5" s="29" t="n">
        <f aca="false">Model_Start_Year+4</f>
        <v>2029</v>
      </c>
    </row>
    <row r="6" customFormat="false" ht="15" hidden="false" customHeight="false" outlineLevel="0" collapsed="false">
      <c r="A6" s="6"/>
      <c r="B6" s="17" t="s">
        <v>110</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20" t="s">
        <v>111</v>
      </c>
      <c r="C7" s="33" t="n">
        <f aca="false">-(Premium_Build!C14-Premium_Build!C17)*Loss_Ratio</f>
        <v>-277095000</v>
      </c>
      <c r="D7" s="33" t="n">
        <f aca="false">-(Premium_Build!D14-Premium_Build!D17)*Loss_Ratio</f>
        <v>-399137700</v>
      </c>
      <c r="E7" s="33" t="n">
        <f aca="false">-(Premium_Build!E14-Premium_Build!E17)*Loss_Ratio</f>
        <v>-423085962</v>
      </c>
      <c r="F7" s="33" t="n">
        <f aca="false">-(Premium_Build!F14-Premium_Build!F17)*Loss_Ratio</f>
        <v>-448471119.72</v>
      </c>
      <c r="G7" s="33" t="n">
        <f aca="false">-(Premium_Build!G14-Premium_Build!G17)*Loss_Ratio</f>
        <v>-475379386.9032</v>
      </c>
    </row>
    <row r="8" customFormat="false" ht="15" hidden="false" customHeight="false" outlineLevel="0" collapsed="false">
      <c r="A8" s="6"/>
      <c r="B8" s="32" t="s">
        <v>112</v>
      </c>
      <c r="C8" s="33" t="n">
        <f aca="false">ABS(Premium_Build!C17)*Loss_Ratio</f>
        <v>34105500</v>
      </c>
      <c r="D8" s="33" t="n">
        <f aca="false">ABS(Premium_Build!D17)*Loss_Ratio</f>
        <v>36151830</v>
      </c>
      <c r="E8" s="33" t="n">
        <f aca="false">ABS(Premium_Build!E17)*Loss_Ratio</f>
        <v>38320939.8</v>
      </c>
      <c r="F8" s="33" t="n">
        <f aca="false">ABS(Premium_Build!F17)*Loss_Ratio</f>
        <v>40620196.188</v>
      </c>
      <c r="G8" s="33" t="n">
        <f aca="false">ABS(Premium_Build!G17)*Loss_Ratio</f>
        <v>43057407.95928</v>
      </c>
    </row>
    <row r="9" customFormat="false" ht="15" hidden="false" customHeight="false" outlineLevel="0" collapsed="false">
      <c r="A9" s="6"/>
      <c r="B9" s="7" t="s">
        <v>113</v>
      </c>
      <c r="C9" s="31" t="n">
        <f aca="false">C7+C8</f>
        <v>-242989500</v>
      </c>
      <c r="D9" s="31" t="n">
        <f aca="false">D7+D8</f>
        <v>-362985870</v>
      </c>
      <c r="E9" s="31" t="n">
        <f aca="false">E7+E8</f>
        <v>-384765022.2</v>
      </c>
      <c r="F9" s="31" t="n">
        <f aca="false">F7+F8</f>
        <v>-407850923.532</v>
      </c>
      <c r="G9" s="31" t="n">
        <f aca="false">G7+G8</f>
        <v>-432321978.94392</v>
      </c>
    </row>
    <row r="10" customFormat="false" ht="15" hidden="false" customHeight="false" outlineLevel="0" collapsed="false">
      <c r="A10" s="6"/>
      <c r="B10" s="17" t="s">
        <v>114</v>
      </c>
      <c r="C10" s="17"/>
      <c r="D10" s="17"/>
      <c r="E10" s="17"/>
      <c r="F10" s="17"/>
      <c r="G10" s="17"/>
    </row>
    <row r="11" customFormat="false" ht="15" hidden="false" customHeight="false" outlineLevel="0" collapsed="false">
      <c r="A11" s="6"/>
      <c r="B11" s="32" t="s">
        <v>115</v>
      </c>
      <c r="C11" s="33" t="n">
        <f aca="false">Open_Loss_Reserve</f>
        <v>140000000</v>
      </c>
      <c r="D11" s="33" t="n">
        <f aca="false">C13</f>
        <v>130840500</v>
      </c>
      <c r="E11" s="33" t="n">
        <f aca="false">D13</f>
        <v>195453930</v>
      </c>
      <c r="F11" s="33" t="n">
        <f aca="false">E13</f>
        <v>207181165.8</v>
      </c>
      <c r="G11" s="33" t="n">
        <f aca="false">F13</f>
        <v>219612035.748</v>
      </c>
    </row>
    <row r="12" customFormat="false" ht="15" hidden="false" customHeight="false" outlineLevel="0" collapsed="false">
      <c r="A12" s="6"/>
      <c r="B12" s="32" t="s">
        <v>116</v>
      </c>
      <c r="C12" s="33" t="n">
        <f aca="false">-C9</f>
        <v>242989500</v>
      </c>
      <c r="D12" s="33" t="n">
        <f aca="false">-D9</f>
        <v>362985870</v>
      </c>
      <c r="E12" s="33" t="n">
        <f aca="false">-E9</f>
        <v>384765022.2</v>
      </c>
      <c r="F12" s="33" t="n">
        <f aca="false">-F9</f>
        <v>407850923.532</v>
      </c>
      <c r="G12" s="33" t="n">
        <f aca="false">-G9</f>
        <v>432321978.94392</v>
      </c>
    </row>
    <row r="13" customFormat="false" ht="15" hidden="false" customHeight="false" outlineLevel="0" collapsed="false">
      <c r="A13" s="6"/>
      <c r="B13" s="7" t="s">
        <v>117</v>
      </c>
      <c r="C13" s="31" t="n">
        <f aca="false">Premium_Build!C14*Loss_Reserve_Ratio</f>
        <v>130840500</v>
      </c>
      <c r="D13" s="31" t="n">
        <f aca="false">Premium_Build!D14*Loss_Reserve_Ratio</f>
        <v>195453930</v>
      </c>
      <c r="E13" s="31" t="n">
        <f aca="false">Premium_Build!E14*Loss_Reserve_Ratio</f>
        <v>207181165.8</v>
      </c>
      <c r="F13" s="31" t="n">
        <f aca="false">Premium_Build!F14*Loss_Reserve_Ratio</f>
        <v>219612035.748</v>
      </c>
      <c r="G13" s="31" t="n">
        <f aca="false">Premium_Build!G14*Loss_Reserve_Ratio</f>
        <v>232788757.89288</v>
      </c>
    </row>
    <row r="14" customFormat="false" ht="15" hidden="false" customHeight="false" outlineLevel="0" collapsed="false">
      <c r="A14" s="6"/>
      <c r="B14" s="7" t="s">
        <v>118</v>
      </c>
      <c r="C14" s="34" t="n">
        <f aca="false">C11+C12-C13</f>
        <v>252149000</v>
      </c>
      <c r="D14" s="34" t="n">
        <f aca="false">D11+D12-D13</f>
        <v>298372440</v>
      </c>
      <c r="E14" s="34" t="n">
        <f aca="false">E11+E12-E13</f>
        <v>373037786.4</v>
      </c>
      <c r="F14" s="34" t="n">
        <f aca="false">F11+F12-F13</f>
        <v>395420053.584</v>
      </c>
      <c r="G14" s="34" t="n">
        <f aca="false">G11+G12-G13</f>
        <v>419145256.79904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A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119</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120</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2025</v>
      </c>
      <c r="D5" s="29" t="n">
        <f aca="false">Model_Start_Year+1</f>
        <v>2026</v>
      </c>
      <c r="E5" s="29" t="n">
        <f aca="false">Model_Start_Year+2</f>
        <v>2027</v>
      </c>
      <c r="F5" s="29" t="n">
        <f aca="false">Model_Start_Year+3</f>
        <v>2028</v>
      </c>
      <c r="G5" s="29" t="n">
        <f aca="false">Model_Start_Year+4</f>
        <v>2029</v>
      </c>
    </row>
    <row r="6" customFormat="false" ht="15" hidden="false" customHeight="false" outlineLevel="0" collapsed="false">
      <c r="A6" s="6"/>
      <c r="B6" s="17" t="s">
        <v>121</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32" t="s">
        <v>122</v>
      </c>
      <c r="C7" s="33" t="n">
        <f aca="false">DAC_Opening</f>
        <v>9000000</v>
      </c>
      <c r="D7" s="33" t="n">
        <f aca="false">C11</f>
        <v>36490500</v>
      </c>
      <c r="E7" s="33" t="n">
        <f aca="false">D11</f>
        <v>38679930</v>
      </c>
      <c r="F7" s="33" t="n">
        <f aca="false">E11</f>
        <v>41000725.8</v>
      </c>
      <c r="G7" s="33" t="n">
        <f aca="false">F11</f>
        <v>43460769.348</v>
      </c>
    </row>
    <row r="8" customFormat="false" ht="15" hidden="false" customHeight="false" outlineLevel="0" collapsed="false">
      <c r="A8" s="6"/>
      <c r="B8" s="32" t="s">
        <v>123</v>
      </c>
      <c r="C8" s="33" t="n">
        <f aca="false">Premium_Build!C9*Commission_Rate*UPR_Rate</f>
        <v>36490500</v>
      </c>
      <c r="D8" s="33" t="n">
        <f aca="false">Premium_Build!D9*Commission_Rate*UPR_Rate</f>
        <v>38679930</v>
      </c>
      <c r="E8" s="33" t="n">
        <f aca="false">Premium_Build!E9*Commission_Rate*UPR_Rate</f>
        <v>41000725.8</v>
      </c>
      <c r="F8" s="33" t="n">
        <f aca="false">Premium_Build!F9*Commission_Rate*UPR_Rate</f>
        <v>43460769.348</v>
      </c>
      <c r="G8" s="33" t="n">
        <f aca="false">Premium_Build!G9*Commission_Rate*UPR_Rate</f>
        <v>46068415.50888</v>
      </c>
    </row>
    <row r="9" customFormat="false" ht="15" hidden="false" customHeight="false" outlineLevel="0" collapsed="false">
      <c r="A9" s="6"/>
      <c r="B9" s="32" t="s">
        <v>124</v>
      </c>
      <c r="C9" s="35" t="n">
        <f aca="false">Premium_Build!C9*Commission_Rate*UPR_Rate</f>
        <v>36490500</v>
      </c>
      <c r="D9" s="35" t="n">
        <f aca="false">Premium_Build!D9*Commission_Rate*UPR_Rate</f>
        <v>38679930</v>
      </c>
      <c r="E9" s="35" t="n">
        <f aca="false">Premium_Build!E9*Commission_Rate*UPR_Rate</f>
        <v>41000725.8</v>
      </c>
      <c r="F9" s="35" t="n">
        <f aca="false">Premium_Build!F9*Commission_Rate*UPR_Rate</f>
        <v>43460769.348</v>
      </c>
      <c r="G9" s="35" t="n">
        <f aca="false">Premium_Build!G9*Commission_Rate*UPR_Rate</f>
        <v>46068415.50888</v>
      </c>
    </row>
    <row r="10" customFormat="false" ht="15" hidden="false" customHeight="false" outlineLevel="0" collapsed="false">
      <c r="A10" s="6"/>
      <c r="B10" s="36" t="s">
        <v>125</v>
      </c>
      <c r="C10" s="31" t="n">
        <f aca="false">C7+C8-C9</f>
        <v>9000000</v>
      </c>
      <c r="D10" s="31" t="n">
        <f aca="false">D7+D8-D9</f>
        <v>36490500</v>
      </c>
      <c r="E10" s="31" t="n">
        <f aca="false">E7+E8-E9</f>
        <v>38679930</v>
      </c>
      <c r="F10" s="31" t="n">
        <f aca="false">F7+F8-F9</f>
        <v>41000725.8</v>
      </c>
      <c r="G10" s="31" t="n">
        <f aca="false">G7+G8-G9</f>
        <v>43460769.348</v>
      </c>
    </row>
    <row r="11" customFormat="false" ht="15" hidden="false" customHeight="false" outlineLevel="0" collapsed="false">
      <c r="A11" s="6"/>
      <c r="B11" s="7" t="s">
        <v>126</v>
      </c>
      <c r="C11" s="34" t="n">
        <f aca="false">C7+C8-C10</f>
        <v>36490500</v>
      </c>
      <c r="D11" s="34" t="n">
        <f aca="false">D7+D8-D10</f>
        <v>38679930</v>
      </c>
      <c r="E11" s="34" t="n">
        <f aca="false">E7+E8-E10</f>
        <v>41000725.8</v>
      </c>
      <c r="F11" s="34" t="n">
        <f aca="false">F7+F8-F10</f>
        <v>43460769.348</v>
      </c>
      <c r="G11" s="34" t="n">
        <f aca="false">G7+G8-G10</f>
        <v>46068415.50888</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17" t="s">
        <v>127</v>
      </c>
      <c r="C13" s="17"/>
      <c r="D13" s="17"/>
      <c r="E13" s="17"/>
      <c r="F13" s="17"/>
      <c r="G13" s="17"/>
    </row>
    <row r="14" customFormat="false" ht="15" hidden="false" customHeight="false" outlineLevel="0" collapsed="false">
      <c r="A14" s="6"/>
      <c r="B14" s="20" t="s">
        <v>128</v>
      </c>
      <c r="C14" s="33" t="n">
        <f aca="false">-Premium_Build!C9*Commission_Rate</f>
        <v>-81090000</v>
      </c>
      <c r="D14" s="33" t="n">
        <f aca="false">-Premium_Build!D9*Commission_Rate</f>
        <v>-85955400</v>
      </c>
      <c r="E14" s="33" t="n">
        <f aca="false">-Premium_Build!E9*Commission_Rate</f>
        <v>-91112724</v>
      </c>
      <c r="F14" s="33" t="n">
        <f aca="false">-Premium_Build!F9*Commission_Rate</f>
        <v>-96579487.44</v>
      </c>
      <c r="G14" s="33" t="n">
        <f aca="false">-Premium_Build!G9*Commission_Rate</f>
        <v>-102374256.6864</v>
      </c>
    </row>
    <row r="15" customFormat="false" ht="15" hidden="false" customHeight="false" outlineLevel="0" collapsed="false">
      <c r="A15" s="6"/>
      <c r="B15" s="32" t="s">
        <v>129</v>
      </c>
      <c r="C15" s="35" t="n">
        <f aca="false">C10</f>
        <v>9000000</v>
      </c>
      <c r="D15" s="35" t="n">
        <f aca="false">D10</f>
        <v>36490500</v>
      </c>
      <c r="E15" s="35" t="n">
        <f aca="false">E10</f>
        <v>38679930</v>
      </c>
      <c r="F15" s="35" t="n">
        <f aca="false">F10</f>
        <v>41000725.8</v>
      </c>
      <c r="G15" s="35" t="n">
        <f aca="false">G10</f>
        <v>43460769.348</v>
      </c>
    </row>
    <row r="16" customFormat="false" ht="15" hidden="false" customHeight="false" outlineLevel="0" collapsed="false">
      <c r="A16" s="6"/>
      <c r="B16" s="7" t="s">
        <v>130</v>
      </c>
      <c r="C16" s="31" t="n">
        <f aca="false">C14+C15</f>
        <v>-72090000</v>
      </c>
      <c r="D16" s="31" t="n">
        <f aca="false">D14+D15</f>
        <v>-49464900</v>
      </c>
      <c r="E16" s="31" t="n">
        <f aca="false">E14+E15</f>
        <v>-52432794</v>
      </c>
      <c r="F16" s="31" t="n">
        <f aca="false">F14+F15</f>
        <v>-55578761.64</v>
      </c>
      <c r="G16" s="31" t="n">
        <f aca="false">G14+G15</f>
        <v>-58913487.3384</v>
      </c>
    </row>
    <row r="17" customFormat="false" ht="15" hidden="false" customHeight="false" outlineLevel="0" collapsed="false">
      <c r="A17" s="6"/>
      <c r="B17" s="20" t="s">
        <v>131</v>
      </c>
      <c r="C17" s="33" t="n">
        <f aca="false">-Premium_Build!C14*Other_UW_Rate</f>
        <v>-56074500</v>
      </c>
      <c r="D17" s="33" t="n">
        <f aca="false">-Premium_Build!D14*Other_UW_Rate</f>
        <v>-83765970</v>
      </c>
      <c r="E17" s="33" t="n">
        <f aca="false">-Premium_Build!E14*Other_UW_Rate</f>
        <v>-88791928.2</v>
      </c>
      <c r="F17" s="33" t="n">
        <f aca="false">-Premium_Build!F14*Other_UW_Rate</f>
        <v>-94119443.892</v>
      </c>
      <c r="G17" s="33" t="n">
        <f aca="false">-Premium_Build!G14*Other_UW_Rate</f>
        <v>-99766610.52552</v>
      </c>
    </row>
    <row r="18" customFormat="false" ht="15" hidden="false" customHeight="false" outlineLevel="0" collapsed="false">
      <c r="A18" s="6"/>
      <c r="B18" s="7" t="s">
        <v>132</v>
      </c>
      <c r="C18" s="34" t="n">
        <f aca="false">C16+C17</f>
        <v>-128164500</v>
      </c>
      <c r="D18" s="34" t="n">
        <f aca="false">D16+D17</f>
        <v>-133230870</v>
      </c>
      <c r="E18" s="34" t="n">
        <f aca="false">E16+E17</f>
        <v>-141224722.2</v>
      </c>
      <c r="F18" s="34" t="n">
        <f aca="false">F16+F17</f>
        <v>-149698205.532</v>
      </c>
      <c r="G18" s="34" t="n">
        <f aca="false">G16+G17</f>
        <v>-158680097.86392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5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133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134</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2025</v>
      </c>
      <c r="D5" s="29" t="n">
        <f aca="false">Model_Start_Year+1</f>
        <v>2026</v>
      </c>
      <c r="E5" s="29" t="n">
        <f aca="false">Model_Start_Year+2</f>
        <v>2027</v>
      </c>
      <c r="F5" s="29" t="n">
        <f aca="false">Model_Start_Year+3</f>
        <v>2028</v>
      </c>
      <c r="G5" s="29" t="n">
        <f aca="false">Model_Start_Year+4</f>
        <v>2029</v>
      </c>
    </row>
    <row r="6" customFormat="false" ht="15" hidden="false" customHeight="false" outlineLevel="0" collapsed="false">
      <c r="A6" s="6"/>
      <c r="B6" s="17" t="s">
        <v>135</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20" t="s">
        <v>104</v>
      </c>
      <c r="C7" s="33" t="n">
        <f aca="false">Premium_Build!C14</f>
        <v>373830000</v>
      </c>
      <c r="D7" s="33" t="n">
        <f aca="false">Premium_Build!D14</f>
        <v>558439800</v>
      </c>
      <c r="E7" s="33" t="n">
        <f aca="false">Premium_Build!E14</f>
        <v>591946188</v>
      </c>
      <c r="F7" s="33" t="n">
        <f aca="false">Premium_Build!F14</f>
        <v>627462959.28</v>
      </c>
      <c r="G7" s="33" t="n">
        <f aca="false">Premium_Build!G14</f>
        <v>665110736.8368</v>
      </c>
    </row>
    <row r="8" customFormat="false" ht="15" hidden="false" customHeight="false" outlineLevel="0" collapsed="false">
      <c r="A8" s="6"/>
      <c r="B8" s="20" t="s">
        <v>136</v>
      </c>
      <c r="C8" s="33" t="n">
        <f aca="false">Investments!C10</f>
        <v>14700000</v>
      </c>
      <c r="D8" s="33" t="n">
        <f aca="false">Investments!D10</f>
        <v>14348341.0958904</v>
      </c>
      <c r="E8" s="33" t="n">
        <f aca="false">Investments!E10</f>
        <v>13919559.7358904</v>
      </c>
      <c r="F8" s="33" t="n">
        <f aca="false">Investments!F10</f>
        <v>13186113.7022904</v>
      </c>
      <c r="G8" s="33" t="n">
        <f aca="false">Investments!G10</f>
        <v>12073935.5562744</v>
      </c>
    </row>
    <row r="9" customFormat="false" ht="15" hidden="false" customHeight="false" outlineLevel="0" collapsed="false">
      <c r="A9" s="6"/>
      <c r="B9" s="20" t="s">
        <v>137</v>
      </c>
      <c r="C9" s="33" t="n">
        <f aca="false">Investments!C11</f>
        <v>900000</v>
      </c>
      <c r="D9" s="33" t="n">
        <f aca="false">Investments!D11</f>
        <v>878469.863013699</v>
      </c>
      <c r="E9" s="33" t="n">
        <f aca="false">Investments!E11</f>
        <v>852217.943013699</v>
      </c>
      <c r="F9" s="33" t="n">
        <f aca="false">Investments!F11</f>
        <v>807313.083813699</v>
      </c>
      <c r="G9" s="33" t="n">
        <f aca="false">Investments!G11</f>
        <v>739220.544261699</v>
      </c>
    </row>
    <row r="10" customFormat="false" ht="15" hidden="false" customHeight="false" outlineLevel="0" collapsed="false">
      <c r="A10" s="6"/>
      <c r="B10" s="20" t="s">
        <v>138</v>
      </c>
      <c r="C10" s="33" t="n">
        <f aca="false">Premium_Build!C14*Other_Income_Rate</f>
        <v>1869150</v>
      </c>
      <c r="D10" s="33" t="n">
        <f aca="false">Premium_Build!D14*Other_Income_Rate</f>
        <v>2792199</v>
      </c>
      <c r="E10" s="33" t="n">
        <f aca="false">Premium_Build!E14*Other_Income_Rate</f>
        <v>2959730.94</v>
      </c>
      <c r="F10" s="33" t="n">
        <f aca="false">Premium_Build!F14*Other_Income_Rate</f>
        <v>3137314.7964</v>
      </c>
      <c r="G10" s="33" t="n">
        <f aca="false">Premium_Build!G14*Other_Income_Rate</f>
        <v>3325553.684184</v>
      </c>
    </row>
    <row r="11" customFormat="false" ht="15" hidden="false" customHeight="false" outlineLevel="0" collapsed="false">
      <c r="A11" s="6"/>
      <c r="B11" s="7" t="s">
        <v>139</v>
      </c>
      <c r="C11" s="34" t="n">
        <f aca="false">SUM(C7:C10)</f>
        <v>391299150</v>
      </c>
      <c r="D11" s="34" t="n">
        <f aca="false">SUM(D7:D10)</f>
        <v>576458809.958904</v>
      </c>
      <c r="E11" s="34" t="n">
        <f aca="false">SUM(E7:E10)</f>
        <v>609677696.618904</v>
      </c>
      <c r="F11" s="34" t="n">
        <f aca="false">SUM(F7:F10)</f>
        <v>644593700.862504</v>
      </c>
      <c r="G11" s="34" t="n">
        <f aca="false">SUM(G7:G10)</f>
        <v>681249446.62152</v>
      </c>
    </row>
    <row r="12" customFormat="false" ht="15" hidden="false" customHeight="false" outlineLevel="0" collapsed="false">
      <c r="A12" s="6"/>
      <c r="B12" s="17" t="s">
        <v>113</v>
      </c>
      <c r="C12" s="17"/>
      <c r="D12" s="17"/>
      <c r="E12" s="17"/>
      <c r="F12" s="17"/>
      <c r="G12" s="17"/>
    </row>
    <row r="13" customFormat="false" ht="15" hidden="false" customHeight="false" outlineLevel="0" collapsed="false">
      <c r="A13" s="6"/>
      <c r="B13" s="20" t="s">
        <v>113</v>
      </c>
      <c r="C13" s="33" t="n">
        <f aca="false">Claims_Reserves!C9</f>
        <v>-242989500</v>
      </c>
      <c r="D13" s="33" t="n">
        <f aca="false">Claims_Reserves!D9</f>
        <v>-362985870</v>
      </c>
      <c r="E13" s="33" t="n">
        <f aca="false">Claims_Reserves!E9</f>
        <v>-384765022.2</v>
      </c>
      <c r="F13" s="33" t="n">
        <f aca="false">Claims_Reserves!F9</f>
        <v>-407850923.532</v>
      </c>
      <c r="G13" s="33" t="n">
        <f aca="false">Claims_Reserves!G9</f>
        <v>-432321978.94392</v>
      </c>
    </row>
    <row r="14" customFormat="false" ht="15" hidden="false" customHeight="false" outlineLevel="0" collapsed="false">
      <c r="A14" s="6"/>
      <c r="B14" s="20" t="s">
        <v>140</v>
      </c>
      <c r="C14" s="37" t="n">
        <f aca="false">-C13/C7</f>
        <v>0.65</v>
      </c>
      <c r="D14" s="37" t="n">
        <f aca="false">-D13/D7</f>
        <v>0.65</v>
      </c>
      <c r="E14" s="37" t="n">
        <f aca="false">-E13/E7</f>
        <v>0.65</v>
      </c>
      <c r="F14" s="37" t="n">
        <f aca="false">-F13/F7</f>
        <v>0.65</v>
      </c>
      <c r="G14" s="37" t="n">
        <f aca="false">-G13/G7</f>
        <v>0.65</v>
      </c>
    </row>
    <row r="15" customFormat="false" ht="15" hidden="false" customHeight="false" outlineLevel="0" collapsed="false">
      <c r="A15" s="6"/>
      <c r="B15" s="17" t="s">
        <v>141</v>
      </c>
      <c r="C15" s="17"/>
      <c r="D15" s="17"/>
      <c r="E15" s="17"/>
      <c r="F15" s="17"/>
      <c r="G15" s="17"/>
    </row>
    <row r="16" customFormat="false" ht="15" hidden="false" customHeight="false" outlineLevel="0" collapsed="false">
      <c r="A16" s="6"/>
      <c r="B16" s="32" t="s">
        <v>128</v>
      </c>
      <c r="C16" s="33" t="n">
        <f aca="false">UW_Expenses!C14</f>
        <v>-81090000</v>
      </c>
      <c r="D16" s="33" t="n">
        <f aca="false">UW_Expenses!D14</f>
        <v>-85955400</v>
      </c>
      <c r="E16" s="33" t="n">
        <f aca="false">UW_Expenses!E14</f>
        <v>-91112724</v>
      </c>
      <c r="F16" s="33" t="n">
        <f aca="false">UW_Expenses!F14</f>
        <v>-96579487.44</v>
      </c>
      <c r="G16" s="33" t="n">
        <f aca="false">UW_Expenses!G14</f>
        <v>-102374256.6864</v>
      </c>
    </row>
    <row r="17" customFormat="false" ht="15" hidden="false" customHeight="false" outlineLevel="0" collapsed="false">
      <c r="A17" s="6"/>
      <c r="B17" s="32" t="s">
        <v>129</v>
      </c>
      <c r="C17" s="35" t="n">
        <f aca="false">UW_Expenses!C10</f>
        <v>9000000</v>
      </c>
      <c r="D17" s="35" t="n">
        <f aca="false">UW_Expenses!D10</f>
        <v>36490500</v>
      </c>
      <c r="E17" s="35" t="n">
        <f aca="false">UW_Expenses!E10</f>
        <v>38679930</v>
      </c>
      <c r="F17" s="35" t="n">
        <f aca="false">UW_Expenses!F10</f>
        <v>41000725.8</v>
      </c>
      <c r="G17" s="35" t="n">
        <f aca="false">UW_Expenses!G10</f>
        <v>43460769.348</v>
      </c>
    </row>
    <row r="18" customFormat="false" ht="15" hidden="false" customHeight="false" outlineLevel="0" collapsed="false">
      <c r="A18" s="6"/>
      <c r="B18" s="32" t="s">
        <v>130</v>
      </c>
      <c r="C18" s="33" t="n">
        <f aca="false">UW_Expenses!C16</f>
        <v>-72090000</v>
      </c>
      <c r="D18" s="33" t="n">
        <f aca="false">UW_Expenses!D16</f>
        <v>-49464900</v>
      </c>
      <c r="E18" s="33" t="n">
        <f aca="false">UW_Expenses!E16</f>
        <v>-52432794</v>
      </c>
      <c r="F18" s="33" t="n">
        <f aca="false">UW_Expenses!F16</f>
        <v>-55578761.64</v>
      </c>
      <c r="G18" s="33" t="n">
        <f aca="false">UW_Expenses!G16</f>
        <v>-58913487.3384</v>
      </c>
    </row>
    <row r="19" customFormat="false" ht="15" hidden="false" customHeight="false" outlineLevel="0" collapsed="false">
      <c r="A19" s="6"/>
      <c r="B19" s="32" t="s">
        <v>131</v>
      </c>
      <c r="C19" s="33" t="n">
        <f aca="false">UW_Expenses!C17</f>
        <v>-56074500</v>
      </c>
      <c r="D19" s="33" t="n">
        <f aca="false">UW_Expenses!D17</f>
        <v>-83765970</v>
      </c>
      <c r="E19" s="33" t="n">
        <f aca="false">UW_Expenses!E17</f>
        <v>-88791928.2</v>
      </c>
      <c r="F19" s="33" t="n">
        <f aca="false">UW_Expenses!F17</f>
        <v>-94119443.892</v>
      </c>
      <c r="G19" s="33" t="n">
        <f aca="false">UW_Expenses!G17</f>
        <v>-99766610.52552</v>
      </c>
    </row>
    <row r="20" customFormat="false" ht="15" hidden="false" customHeight="false" outlineLevel="0" collapsed="false">
      <c r="A20" s="6"/>
      <c r="B20" s="7" t="s">
        <v>142</v>
      </c>
      <c r="C20" s="34" t="n">
        <f aca="false">UW_Expenses!C18</f>
        <v>-128164500</v>
      </c>
      <c r="D20" s="34" t="n">
        <f aca="false">UW_Expenses!D18</f>
        <v>-133230870</v>
      </c>
      <c r="E20" s="34" t="n">
        <f aca="false">UW_Expenses!E18</f>
        <v>-141224722.2</v>
      </c>
      <c r="F20" s="34" t="n">
        <f aca="false">UW_Expenses!F18</f>
        <v>-149698205.532</v>
      </c>
      <c r="G20" s="34" t="n">
        <f aca="false">UW_Expenses!G18</f>
        <v>-158680097.86392</v>
      </c>
    </row>
    <row r="21" customFormat="false" ht="15" hidden="false" customHeight="false" outlineLevel="0" collapsed="false">
      <c r="A21" s="6"/>
      <c r="B21" s="20" t="s">
        <v>143</v>
      </c>
      <c r="C21" s="37" t="n">
        <f aca="false">-C20/C7</f>
        <v>0.342841665997914</v>
      </c>
      <c r="D21" s="37" t="n">
        <f aca="false">-D20/D7</f>
        <v>0.238576960309777</v>
      </c>
      <c r="E21" s="37" t="n">
        <f aca="false">-E20/E7</f>
        <v>0.238576960309777</v>
      </c>
      <c r="F21" s="37" t="n">
        <f aca="false">-F20/F7</f>
        <v>0.238576960309777</v>
      </c>
      <c r="G21" s="37" t="n">
        <f aca="false">-G20/G7</f>
        <v>0.238576960309777</v>
      </c>
    </row>
    <row r="22" customFormat="false" ht="15" hidden="false" customHeight="false" outlineLevel="0" collapsed="false">
      <c r="A22" s="6"/>
      <c r="B22" s="17" t="s">
        <v>144</v>
      </c>
      <c r="C22" s="17"/>
      <c r="D22" s="17"/>
      <c r="E22" s="17"/>
      <c r="F22" s="17"/>
      <c r="G22" s="17"/>
    </row>
    <row r="23" customFormat="false" ht="15" hidden="false" customHeight="false" outlineLevel="0" collapsed="false">
      <c r="A23" s="6"/>
      <c r="B23" s="20" t="s">
        <v>144</v>
      </c>
      <c r="C23" s="38" t="n">
        <f aca="false">C14+C21</f>
        <v>0.992841665997914</v>
      </c>
      <c r="D23" s="38" t="n">
        <f aca="false">D14+D21</f>
        <v>0.888576960309777</v>
      </c>
      <c r="E23" s="38" t="n">
        <f aca="false">E14+E21</f>
        <v>0.888576960309777</v>
      </c>
      <c r="F23" s="38" t="n">
        <f aca="false">F14+F21</f>
        <v>0.888576960309777</v>
      </c>
      <c r="G23" s="38" t="n">
        <f aca="false">G14+G21</f>
        <v>0.888576960309777</v>
      </c>
    </row>
    <row r="24" customFormat="false" ht="15" hidden="false" customHeight="false" outlineLevel="0" collapsed="false">
      <c r="A24" s="6"/>
      <c r="B24" s="17" t="s">
        <v>145</v>
      </c>
      <c r="C24" s="17"/>
      <c r="D24" s="17"/>
      <c r="E24" s="17"/>
      <c r="F24" s="17"/>
      <c r="G24" s="17"/>
    </row>
    <row r="25" customFormat="false" ht="15" hidden="false" customHeight="false" outlineLevel="0" collapsed="false">
      <c r="A25" s="6"/>
      <c r="B25" s="7" t="s">
        <v>146</v>
      </c>
      <c r="C25" s="31" t="n">
        <f aca="false">C7+C13+C20</f>
        <v>2676000</v>
      </c>
      <c r="D25" s="31" t="n">
        <f aca="false">D7+D13+D20</f>
        <v>62223060</v>
      </c>
      <c r="E25" s="31" t="n">
        <f aca="false">E7+E13+E20</f>
        <v>65956443.6</v>
      </c>
      <c r="F25" s="31" t="n">
        <f aca="false">F7+F13+F20</f>
        <v>69913830.2160001</v>
      </c>
      <c r="G25" s="31" t="n">
        <f aca="false">G7+G13+G20</f>
        <v>74108660.02896</v>
      </c>
    </row>
    <row r="26" customFormat="false" ht="15" hidden="false" customHeight="false" outlineLevel="0" collapsed="false">
      <c r="A26" s="6"/>
      <c r="B26" s="17" t="s">
        <v>147</v>
      </c>
      <c r="C26" s="17"/>
      <c r="D26" s="17"/>
      <c r="E26" s="17"/>
      <c r="F26" s="17"/>
      <c r="G26" s="17"/>
    </row>
    <row r="27" customFormat="false" ht="15" hidden="false" customHeight="false" outlineLevel="0" collapsed="false">
      <c r="A27" s="6"/>
      <c r="B27" s="32" t="s">
        <v>148</v>
      </c>
      <c r="C27" s="35" t="n">
        <f aca="false">Opening_Net_PPE</f>
        <v>12000000</v>
      </c>
      <c r="D27" s="35" t="n">
        <f aca="false">C30</f>
        <v>21876600</v>
      </c>
      <c r="E27" s="35" t="n">
        <f aca="false">D30</f>
        <v>37420716</v>
      </c>
      <c r="F27" s="35" t="n">
        <f aca="false">E30</f>
        <v>56743782.96</v>
      </c>
      <c r="G27" s="35" t="n">
        <f aca="false">F30</f>
        <v>80641798.7376</v>
      </c>
    </row>
    <row r="28" customFormat="false" ht="15" hidden="false" customHeight="false" outlineLevel="0" collapsed="false">
      <c r="A28" s="6"/>
      <c r="B28" s="32" t="s">
        <v>149</v>
      </c>
      <c r="C28" s="33" t="n">
        <f aca="false">-Premium_Build!C14*CapEx_Rate</f>
        <v>-7476600</v>
      </c>
      <c r="D28" s="33" t="n">
        <f aca="false">-Premium_Build!D14*CapEx_Rate</f>
        <v>-11168796</v>
      </c>
      <c r="E28" s="33" t="n">
        <f aca="false">-Premium_Build!E14*CapEx_Rate</f>
        <v>-11838923.76</v>
      </c>
      <c r="F28" s="33" t="n">
        <f aca="false">-Premium_Build!F14*CapEx_Rate</f>
        <v>-12549259.1856</v>
      </c>
      <c r="G28" s="33" t="n">
        <f aca="false">-Premium_Build!G14*CapEx_Rate</f>
        <v>-13302214.736736</v>
      </c>
    </row>
    <row r="29" customFormat="false" ht="15" hidden="false" customHeight="false" outlineLevel="0" collapsed="false">
      <c r="A29" s="6"/>
      <c r="B29" s="32" t="s">
        <v>150</v>
      </c>
      <c r="C29" s="33" t="n">
        <f aca="false">-PPE_Depr_Rate*C27</f>
        <v>-2400000</v>
      </c>
      <c r="D29" s="33" t="n">
        <f aca="false">-PPE_Depr_Rate*D27</f>
        <v>-4375320</v>
      </c>
      <c r="E29" s="33" t="n">
        <f aca="false">-PPE_Depr_Rate*E27</f>
        <v>-7484143.2</v>
      </c>
      <c r="F29" s="33" t="n">
        <f aca="false">-PPE_Depr_Rate*F27</f>
        <v>-11348756.592</v>
      </c>
      <c r="G29" s="33" t="n">
        <f aca="false">-PPE_Depr_Rate*G27</f>
        <v>-16128359.74752</v>
      </c>
    </row>
    <row r="30" customFormat="false" ht="15" hidden="false" customHeight="false" outlineLevel="0" collapsed="false">
      <c r="A30" s="6"/>
      <c r="B30" s="7" t="s">
        <v>151</v>
      </c>
      <c r="C30" s="34" t="n">
        <f aca="false">C27-C28-C29</f>
        <v>21876600</v>
      </c>
      <c r="D30" s="34" t="n">
        <f aca="false">D27-D28-D29</f>
        <v>37420716</v>
      </c>
      <c r="E30" s="34" t="n">
        <f aca="false">E27-E28-E29</f>
        <v>56743782.96</v>
      </c>
      <c r="F30" s="34" t="n">
        <f aca="false">F27-F28-F29</f>
        <v>80641798.7376</v>
      </c>
      <c r="G30" s="34" t="n">
        <f aca="false">G27-G28-G29</f>
        <v>110072373.221856</v>
      </c>
    </row>
    <row r="31" customFormat="false" ht="15" hidden="false" customHeight="false" outlineLevel="0" collapsed="false">
      <c r="A31" s="6"/>
      <c r="B31" s="6"/>
      <c r="C31" s="6"/>
      <c r="D31" s="6"/>
      <c r="E31" s="6"/>
      <c r="F31" s="6"/>
      <c r="G31" s="6"/>
    </row>
    <row r="32" customFormat="false" ht="15" hidden="false" customHeight="false" outlineLevel="0" collapsed="false">
      <c r="A32" s="6"/>
      <c r="B32" s="17" t="s">
        <v>152</v>
      </c>
      <c r="C32" s="17"/>
      <c r="D32" s="17"/>
      <c r="E32" s="17"/>
      <c r="F32" s="17"/>
      <c r="G32" s="17"/>
    </row>
    <row r="33" customFormat="false" ht="15" hidden="false" customHeight="false" outlineLevel="0" collapsed="false">
      <c r="A33" s="6"/>
      <c r="B33" s="7" t="s">
        <v>152</v>
      </c>
      <c r="C33" s="34" t="n">
        <f aca="false">C25+C29+C8+C9+C10</f>
        <v>17745150</v>
      </c>
      <c r="D33" s="34" t="n">
        <f aca="false">D25+D29+D8+D9+D10</f>
        <v>75866749.9589041</v>
      </c>
      <c r="E33" s="34" t="n">
        <f aca="false">E25+E29+E8+E9+E10</f>
        <v>76203809.0189041</v>
      </c>
      <c r="F33" s="34" t="n">
        <f aca="false">F25+F29+F8+F9+F10</f>
        <v>75695815.2065042</v>
      </c>
      <c r="G33" s="34" t="n">
        <f aca="false">G25+G29+G8+G9+G10</f>
        <v>74119010.0661601</v>
      </c>
    </row>
    <row r="34" customFormat="false" ht="15" hidden="false" customHeight="false" outlineLevel="0" collapsed="false">
      <c r="A34" s="6"/>
      <c r="B34" s="17" t="s">
        <v>153</v>
      </c>
      <c r="C34" s="17"/>
      <c r="D34" s="17"/>
      <c r="E34" s="17"/>
      <c r="F34" s="17"/>
      <c r="G34" s="17"/>
    </row>
    <row r="35" customFormat="false" ht="15" hidden="false" customHeight="false" outlineLevel="0" collapsed="false">
      <c r="A35" s="6"/>
      <c r="B35" s="32" t="s">
        <v>154</v>
      </c>
      <c r="C35" s="35" t="n">
        <f aca="false">Debt_Principal</f>
        <v>80000000</v>
      </c>
      <c r="D35" s="35" t="n">
        <f aca="false">MAX(0,C37)</f>
        <v>64000000</v>
      </c>
      <c r="E35" s="35" t="n">
        <f aca="false">MAX(0,D37)</f>
        <v>48000000</v>
      </c>
      <c r="F35" s="35" t="n">
        <f aca="false">MAX(0,E37)</f>
        <v>32000000</v>
      </c>
      <c r="G35" s="35" t="n">
        <f aca="false">MAX(0,F37)</f>
        <v>16000000</v>
      </c>
    </row>
    <row r="36" customFormat="false" ht="15" hidden="false" customHeight="false" outlineLevel="0" collapsed="false">
      <c r="A36" s="6"/>
      <c r="B36" s="32" t="s">
        <v>155</v>
      </c>
      <c r="C36" s="33" t="n">
        <f aca="false">-MIN(Debt_Principal/Debt_Tenor,C35)</f>
        <v>-16000000</v>
      </c>
      <c r="D36" s="33" t="n">
        <f aca="false">-MIN(Debt_Principal/Debt_Tenor,D35)</f>
        <v>-16000000</v>
      </c>
      <c r="E36" s="33" t="n">
        <f aca="false">-MIN(Debt_Principal/Debt_Tenor,E35)</f>
        <v>-16000000</v>
      </c>
      <c r="F36" s="33" t="n">
        <f aca="false">-MIN(Debt_Principal/Debt_Tenor,F35)</f>
        <v>-16000000</v>
      </c>
      <c r="G36" s="33" t="n">
        <f aca="false">-MIN(Debt_Principal/Debt_Tenor,G35)</f>
        <v>-16000000</v>
      </c>
    </row>
    <row r="37" customFormat="false" ht="15" hidden="false" customHeight="false" outlineLevel="0" collapsed="false">
      <c r="A37" s="6"/>
      <c r="B37" s="36" t="s">
        <v>156</v>
      </c>
      <c r="C37" s="31" t="n">
        <f aca="false">C35+C36</f>
        <v>64000000</v>
      </c>
      <c r="D37" s="31" t="n">
        <f aca="false">D35+D36</f>
        <v>48000000</v>
      </c>
      <c r="E37" s="31" t="n">
        <f aca="false">E35+E36</f>
        <v>32000000</v>
      </c>
      <c r="F37" s="31" t="n">
        <f aca="false">F35+F36</f>
        <v>16000000</v>
      </c>
      <c r="G37" s="31" t="n">
        <f aca="false">G35+G36</f>
        <v>0</v>
      </c>
    </row>
    <row r="38" customFormat="false" ht="15" hidden="false" customHeight="false" outlineLevel="0" collapsed="false">
      <c r="A38" s="6"/>
      <c r="B38" s="7" t="s">
        <v>157</v>
      </c>
      <c r="C38" s="31" t="n">
        <f aca="false">-Debt_Rate*C35</f>
        <v>-4800000</v>
      </c>
      <c r="D38" s="31" t="n">
        <f aca="false">-Debt_Rate*D35</f>
        <v>-3840000</v>
      </c>
      <c r="E38" s="31" t="n">
        <f aca="false">-Debt_Rate*E35</f>
        <v>-2880000</v>
      </c>
      <c r="F38" s="31" t="n">
        <f aca="false">-Debt_Rate*F35</f>
        <v>-1920000</v>
      </c>
      <c r="G38" s="31" t="n">
        <f aca="false">-Debt_Rate*G35</f>
        <v>-960000</v>
      </c>
    </row>
    <row r="39" customFormat="false" ht="15" hidden="false" customHeight="false" outlineLevel="0" collapsed="false">
      <c r="A39" s="6"/>
      <c r="B39" s="6"/>
      <c r="C39" s="6"/>
      <c r="D39" s="6"/>
      <c r="E39" s="6"/>
      <c r="F39" s="6"/>
      <c r="G39" s="6"/>
    </row>
    <row r="40" customFormat="false" ht="15" hidden="false" customHeight="false" outlineLevel="0" collapsed="false">
      <c r="A40" s="6"/>
      <c r="B40" s="6"/>
      <c r="C40" s="6"/>
      <c r="D40" s="6"/>
      <c r="E40" s="6"/>
      <c r="F40" s="6"/>
      <c r="G40" s="6"/>
    </row>
    <row r="41" customFormat="false" ht="15" hidden="false" customHeight="false" outlineLevel="0" collapsed="false">
      <c r="A41" s="6"/>
      <c r="B41" s="17" t="s">
        <v>158</v>
      </c>
      <c r="C41" s="17"/>
      <c r="D41" s="17"/>
      <c r="E41" s="17"/>
      <c r="F41" s="17"/>
      <c r="G41" s="17"/>
    </row>
    <row r="42" customFormat="false" ht="15" hidden="false" customHeight="false" outlineLevel="0" collapsed="false">
      <c r="A42" s="6"/>
      <c r="B42" s="7" t="s">
        <v>159</v>
      </c>
      <c r="C42" s="31" t="n">
        <f aca="false">C33+C38</f>
        <v>12945150</v>
      </c>
      <c r="D42" s="31" t="n">
        <f aca="false">D33+D38</f>
        <v>72026749.9589041</v>
      </c>
      <c r="E42" s="31" t="n">
        <f aca="false">E33+E38</f>
        <v>73323809.0189041</v>
      </c>
      <c r="F42" s="31" t="n">
        <f aca="false">F33+F38</f>
        <v>73775815.2065042</v>
      </c>
      <c r="G42" s="31" t="n">
        <f aca="false">G33+G38</f>
        <v>73159010.0661601</v>
      </c>
    </row>
    <row r="43" customFormat="false" ht="15" hidden="false" customHeight="false" outlineLevel="0" collapsed="false">
      <c r="A43" s="6"/>
      <c r="B43" s="6"/>
      <c r="C43" s="6"/>
      <c r="D43" s="6"/>
      <c r="E43" s="6"/>
      <c r="F43" s="6"/>
      <c r="G43" s="6"/>
    </row>
    <row r="44" customFormat="false" ht="15" hidden="false" customHeight="false" outlineLevel="0" collapsed="false">
      <c r="A44" s="6"/>
      <c r="B44" s="32" t="s">
        <v>92</v>
      </c>
      <c r="C44" s="35" t="n">
        <f aca="false">NOL_Opening</f>
        <v>0</v>
      </c>
      <c r="D44" s="35" t="n">
        <f aca="false">C50</f>
        <v>0</v>
      </c>
      <c r="E44" s="35" t="n">
        <f aca="false">D50</f>
        <v>0</v>
      </c>
      <c r="F44" s="35" t="n">
        <f aca="false">E50</f>
        <v>0</v>
      </c>
      <c r="G44" s="35" t="n">
        <f aca="false">F50</f>
        <v>0</v>
      </c>
    </row>
    <row r="45" customFormat="false" ht="15" hidden="false" customHeight="false" outlineLevel="0" collapsed="false">
      <c r="A45" s="6"/>
      <c r="B45" s="32" t="s">
        <v>160</v>
      </c>
      <c r="C45" s="35" t="n">
        <f aca="false">C42</f>
        <v>12945150</v>
      </c>
      <c r="D45" s="35" t="n">
        <f aca="false">D42</f>
        <v>72026749.9589041</v>
      </c>
      <c r="E45" s="35" t="n">
        <f aca="false">E42</f>
        <v>73323809.0189041</v>
      </c>
      <c r="F45" s="35" t="n">
        <f aca="false">F42</f>
        <v>73775815.2065042</v>
      </c>
      <c r="G45" s="35" t="n">
        <f aca="false">G42</f>
        <v>73159010.0661601</v>
      </c>
    </row>
    <row r="46" customFormat="false" ht="15" hidden="false" customHeight="false" outlineLevel="0" collapsed="false">
      <c r="A46" s="6"/>
      <c r="B46" s="32" t="s">
        <v>161</v>
      </c>
      <c r="C46" s="33" t="n">
        <f aca="false">IF(C45&gt;0,MIN(C44,C45),0)</f>
        <v>0</v>
      </c>
      <c r="D46" s="33" t="n">
        <f aca="false">IF(D45&gt;0,MIN(D44,D45),0)</f>
        <v>0</v>
      </c>
      <c r="E46" s="33" t="n">
        <f aca="false">IF(E45&gt;0,MIN(E44,E45),0)</f>
        <v>0</v>
      </c>
      <c r="F46" s="33" t="n">
        <f aca="false">IF(F45&gt;0,MIN(F44,F45),0)</f>
        <v>0</v>
      </c>
      <c r="G46" s="33" t="n">
        <f aca="false">IF(G45&gt;0,MIN(G44,G45),0)</f>
        <v>0</v>
      </c>
    </row>
    <row r="47" customFormat="false" ht="15" hidden="false" customHeight="false" outlineLevel="0" collapsed="false">
      <c r="A47" s="6"/>
      <c r="B47" s="32" t="s">
        <v>162</v>
      </c>
      <c r="C47" s="33" t="n">
        <f aca="false">MAX(0,C45-C46)</f>
        <v>12945150</v>
      </c>
      <c r="D47" s="33" t="n">
        <f aca="false">MAX(0,D45-D46)</f>
        <v>72026749.9589041</v>
      </c>
      <c r="E47" s="33" t="n">
        <f aca="false">MAX(0,E45-E46)</f>
        <v>73323809.0189041</v>
      </c>
      <c r="F47" s="33" t="n">
        <f aca="false">MAX(0,F45-F46)</f>
        <v>73775815.2065042</v>
      </c>
      <c r="G47" s="33" t="n">
        <f aca="false">MAX(0,G45-G46)</f>
        <v>73159010.0661601</v>
      </c>
    </row>
    <row r="48" customFormat="false" ht="15" hidden="false" customHeight="false" outlineLevel="0" collapsed="false">
      <c r="A48" s="6"/>
      <c r="B48" s="32" t="s">
        <v>163</v>
      </c>
      <c r="C48" s="33" t="n">
        <f aca="false">-C47*Tax_Rate</f>
        <v>-2718481.5</v>
      </c>
      <c r="D48" s="33" t="n">
        <f aca="false">-D47*Tax_Rate</f>
        <v>-15125617.4913699</v>
      </c>
      <c r="E48" s="33" t="n">
        <f aca="false">-E47*Tax_Rate</f>
        <v>-15397999.8939699</v>
      </c>
      <c r="F48" s="33" t="n">
        <f aca="false">-F47*Tax_Rate</f>
        <v>-15492921.1933659</v>
      </c>
      <c r="G48" s="33" t="n">
        <f aca="false">-G47*Tax_Rate</f>
        <v>-15363392.1138936</v>
      </c>
    </row>
    <row r="49" customFormat="false" ht="15" hidden="false" customHeight="false" outlineLevel="0" collapsed="false">
      <c r="A49" s="6"/>
      <c r="B49" s="32" t="s">
        <v>164</v>
      </c>
      <c r="C49" s="35" t="n">
        <f aca="false">IF(C42&lt;0,-C42,0)</f>
        <v>0</v>
      </c>
      <c r="D49" s="35" t="n">
        <f aca="false">IF(D42&lt;0,-D42,0)</f>
        <v>0</v>
      </c>
      <c r="E49" s="35" t="n">
        <f aca="false">IF(E42&lt;0,-E42,0)</f>
        <v>0</v>
      </c>
      <c r="F49" s="35" t="n">
        <f aca="false">IF(F42&lt;0,-F42,0)</f>
        <v>0</v>
      </c>
      <c r="G49" s="35" t="n">
        <f aca="false">IF(G42&lt;0,-G42,0)</f>
        <v>0</v>
      </c>
    </row>
    <row r="50" customFormat="false" ht="15" hidden="false" customHeight="false" outlineLevel="0" collapsed="false">
      <c r="A50" s="6"/>
      <c r="B50" s="32" t="s">
        <v>165</v>
      </c>
      <c r="C50" s="35" t="n">
        <f aca="false">C44+C49-C46</f>
        <v>0</v>
      </c>
      <c r="D50" s="35" t="n">
        <f aca="false">D44+D49-D46</f>
        <v>0</v>
      </c>
      <c r="E50" s="35" t="n">
        <f aca="false">E44+E49-E46</f>
        <v>0</v>
      </c>
      <c r="F50" s="35" t="n">
        <f aca="false">F44+F49-F46</f>
        <v>0</v>
      </c>
      <c r="G50" s="35" t="n">
        <f aca="false">G44+G49-G46</f>
        <v>0</v>
      </c>
    </row>
    <row r="51" customFormat="false" ht="15" hidden="false" customHeight="false" outlineLevel="0" collapsed="false">
      <c r="A51" s="6"/>
      <c r="B51" s="6"/>
      <c r="C51" s="6"/>
      <c r="D51" s="6"/>
      <c r="E51" s="6"/>
      <c r="F51" s="6"/>
      <c r="G51" s="6"/>
    </row>
    <row r="52" customFormat="false" ht="15" hidden="false" customHeight="false" outlineLevel="0" collapsed="false">
      <c r="A52" s="6"/>
      <c r="B52" s="7" t="s">
        <v>166</v>
      </c>
      <c r="C52" s="34" t="n">
        <f aca="false">C42+C48</f>
        <v>10226668.5</v>
      </c>
      <c r="D52" s="34" t="n">
        <f aca="false">D42+D48</f>
        <v>56901132.4675343</v>
      </c>
      <c r="E52" s="34" t="n">
        <f aca="false">E42+E48</f>
        <v>57925809.1249343</v>
      </c>
      <c r="F52" s="34" t="n">
        <f aca="false">F42+F48</f>
        <v>58282894.0131383</v>
      </c>
      <c r="G52" s="34" t="n">
        <f aca="false">G42+G48</f>
        <v>57795617.9522665</v>
      </c>
    </row>
    <row r="53" customFormat="false" ht="15" hidden="false" customHeight="false" outlineLevel="0" collapsed="false">
      <c r="A53" s="6"/>
      <c r="B53" s="17" t="s">
        <v>167</v>
      </c>
      <c r="C53" s="17"/>
      <c r="D53" s="17"/>
      <c r="E53" s="17"/>
      <c r="F53" s="17"/>
      <c r="G53" s="17"/>
    </row>
    <row r="54" customFormat="false" ht="15" hidden="false" customHeight="false" outlineLevel="0" collapsed="false">
      <c r="A54" s="6"/>
      <c r="B54" s="32" t="s">
        <v>168</v>
      </c>
      <c r="C54" s="33" t="n">
        <f aca="false">Capital_Adequacy!C20</f>
        <v>0</v>
      </c>
      <c r="D54" s="33" t="n">
        <f aca="false">Capital_Adequacy!D20</f>
        <v>0</v>
      </c>
      <c r="E54" s="33" t="n">
        <f aca="false">Capital_Adequacy!E20</f>
        <v>0</v>
      </c>
      <c r="F54" s="33" t="n">
        <f aca="false">Capital_Adequacy!F20</f>
        <v>0</v>
      </c>
      <c r="G54" s="33" t="n">
        <f aca="false">Capital_Adequacy!G20</f>
        <v>0</v>
      </c>
    </row>
    <row r="55" customFormat="false" ht="15" hidden="false" customHeight="false" outlineLevel="0" collapsed="false">
      <c r="A55" s="6"/>
      <c r="B55" s="32" t="s">
        <v>169</v>
      </c>
      <c r="C55" s="35" t="n">
        <f aca="false">Share_Capital+Open_Ret_Earnings</f>
        <v>165000000</v>
      </c>
      <c r="D55" s="35" t="n">
        <f aca="false">C56</f>
        <v>175226668.5</v>
      </c>
      <c r="E55" s="35" t="n">
        <f aca="false">D56</f>
        <v>232127800.967534</v>
      </c>
      <c r="F55" s="35" t="n">
        <f aca="false">E56</f>
        <v>290053610.092469</v>
      </c>
      <c r="G55" s="35" t="n">
        <f aca="false">F56</f>
        <v>348336504.105607</v>
      </c>
    </row>
    <row r="56" customFormat="false" ht="15" hidden="false" customHeight="false" outlineLevel="0" collapsed="false">
      <c r="A56" s="6"/>
      <c r="B56" s="32" t="s">
        <v>170</v>
      </c>
      <c r="C56" s="35" t="n">
        <f aca="false">C55+C52-C54</f>
        <v>175226668.5</v>
      </c>
      <c r="D56" s="35" t="n">
        <f aca="false">D55+D52-D54</f>
        <v>232127800.967534</v>
      </c>
      <c r="E56" s="35" t="n">
        <f aca="false">E55+E52-E54</f>
        <v>290053610.092469</v>
      </c>
      <c r="F56" s="35" t="n">
        <f aca="false">F55+F52-F54</f>
        <v>348336504.105607</v>
      </c>
      <c r="G56" s="35" t="n">
        <f aca="false">G55+G52-G54</f>
        <v>406132122.057873</v>
      </c>
    </row>
    <row r="57" customFormat="false" ht="15" hidden="false" customHeight="false" outlineLevel="0" collapsed="false">
      <c r="A57" s="6"/>
      <c r="B57" s="20" t="s">
        <v>171</v>
      </c>
      <c r="C57" s="38" t="n">
        <f aca="false">C52/((C55+C56)/2)</f>
        <v>0.0601167953416915</v>
      </c>
      <c r="D57" s="38" t="n">
        <f aca="false">D52/((D55+D56)/2)</f>
        <v>0.279369132941693</v>
      </c>
      <c r="E57" s="38" t="n">
        <f aca="false">E52/((E55+E56)/2)</f>
        <v>0.221860862520356</v>
      </c>
      <c r="F57" s="38" t="n">
        <f aca="false">F52/((F55+F56)/2)</f>
        <v>0.182593347600162</v>
      </c>
      <c r="G57" s="38" t="n">
        <f aca="false">G52/((G55+G56)/2)</f>
        <v>0.153208804045732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172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173</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2025</v>
      </c>
      <c r="D5" s="29" t="n">
        <f aca="false">Model_Start_Year+1</f>
        <v>2026</v>
      </c>
      <c r="E5" s="29" t="n">
        <f aca="false">Model_Start_Year+2</f>
        <v>2027</v>
      </c>
      <c r="F5" s="29" t="n">
        <f aca="false">Model_Start_Year+3</f>
        <v>2028</v>
      </c>
      <c r="G5" s="29" t="n">
        <f aca="false">Model_Start_Year+4</f>
        <v>2029</v>
      </c>
    </row>
    <row r="6" customFormat="false" ht="15" hidden="false" customHeight="false" outlineLevel="0" collapsed="false">
      <c r="A6" s="6"/>
      <c r="B6" s="17" t="s">
        <v>174</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32" t="s">
        <v>175</v>
      </c>
      <c r="C7" s="35" t="n">
        <f aca="false">Invested_Assets_Opening</f>
        <v>300000000</v>
      </c>
      <c r="D7" s="35" t="n">
        <f aca="false">C8</f>
        <v>292823287.671233</v>
      </c>
      <c r="E7" s="35" t="n">
        <f aca="false">D8</f>
        <v>284072647.671233</v>
      </c>
      <c r="F7" s="35" t="n">
        <f aca="false">E8</f>
        <v>269104361.271233</v>
      </c>
      <c r="G7" s="35" t="n">
        <f aca="false">F8</f>
        <v>246406848.087233</v>
      </c>
    </row>
    <row r="8" customFormat="false" ht="15" hidden="false" customHeight="false" outlineLevel="0" collapsed="false">
      <c r="A8" s="6"/>
      <c r="B8" s="7" t="s">
        <v>176</v>
      </c>
      <c r="C8" s="31" t="n">
        <f aca="false">Balance_Sheet!C24-Balance_Sheet!C7-Balance_Sheet!C8-Balance_Sheet!C9-Balance_Sheet!C10-Balance_Sheet!C12</f>
        <v>292823287.671233</v>
      </c>
      <c r="D8" s="31" t="n">
        <f aca="false">Balance_Sheet!D24-Balance_Sheet!D7-Balance_Sheet!D8-Balance_Sheet!D9-Balance_Sheet!D10-Balance_Sheet!D12</f>
        <v>284072647.671233</v>
      </c>
      <c r="E8" s="31" t="n">
        <f aca="false">Balance_Sheet!E24-Balance_Sheet!E7-Balance_Sheet!E8-Balance_Sheet!E9-Balance_Sheet!E10-Balance_Sheet!E12</f>
        <v>269104361.271233</v>
      </c>
      <c r="F8" s="31" t="n">
        <f aca="false">Balance_Sheet!F24-Balance_Sheet!F7-Balance_Sheet!F8-Balance_Sheet!F9-Balance_Sheet!F10-Balance_Sheet!F12</f>
        <v>246406848.087233</v>
      </c>
      <c r="G8" s="31" t="n">
        <f aca="false">Balance_Sheet!G24-Balance_Sheet!G7-Balance_Sheet!G8-Balance_Sheet!G9-Balance_Sheet!G10-Balance_Sheet!G12</f>
        <v>214150128.592193</v>
      </c>
    </row>
    <row r="9" customFormat="false" ht="15" hidden="false" customHeight="false" outlineLevel="0" collapsed="false">
      <c r="A9" s="6"/>
      <c r="B9" s="39" t="s">
        <v>177</v>
      </c>
      <c r="C9" s="26" t="n">
        <f aca="false">(C7+C8)/2</f>
        <v>296411643.835616</v>
      </c>
      <c r="D9" s="26" t="n">
        <f aca="false">(D7+D8)/2</f>
        <v>288447967.671233</v>
      </c>
      <c r="E9" s="26" t="n">
        <f aca="false">(E7+E8)/2</f>
        <v>276588504.471233</v>
      </c>
      <c r="F9" s="26" t="n">
        <f aca="false">(F7+F8)/2</f>
        <v>257755604.679233</v>
      </c>
      <c r="G9" s="26" t="n">
        <f aca="false">(G7+G8)/2</f>
        <v>230278488.339713</v>
      </c>
    </row>
    <row r="10" customFormat="false" ht="15" hidden="false" customHeight="false" outlineLevel="0" collapsed="false">
      <c r="A10" s="6"/>
      <c r="B10" s="7" t="s">
        <v>136</v>
      </c>
      <c r="C10" s="31" t="n">
        <f aca="false">C7*Investment_Yield</f>
        <v>14700000</v>
      </c>
      <c r="D10" s="31" t="n">
        <f aca="false">D7*Investment_Yield</f>
        <v>14348341.0958904</v>
      </c>
      <c r="E10" s="31" t="n">
        <f aca="false">E7*Investment_Yield</f>
        <v>13919559.7358904</v>
      </c>
      <c r="F10" s="31" t="n">
        <f aca="false">F7*Investment_Yield</f>
        <v>13186113.7022904</v>
      </c>
      <c r="G10" s="31" t="n">
        <f aca="false">G7*Investment_Yield</f>
        <v>12073935.5562744</v>
      </c>
    </row>
    <row r="11" customFormat="false" ht="15" hidden="false" customHeight="false" outlineLevel="0" collapsed="false">
      <c r="A11" s="6"/>
      <c r="B11" s="20" t="s">
        <v>137</v>
      </c>
      <c r="C11" s="33" t="n">
        <f aca="false">C7*Realised_Gain_Pct</f>
        <v>900000</v>
      </c>
      <c r="D11" s="33" t="n">
        <f aca="false">D7*Realised_Gain_Pct</f>
        <v>878469.863013699</v>
      </c>
      <c r="E11" s="33" t="n">
        <f aca="false">E7*Realised_Gain_Pct</f>
        <v>852217.943013699</v>
      </c>
      <c r="F11" s="33" t="n">
        <f aca="false">F7*Realised_Gain_Pct</f>
        <v>807313.083813699</v>
      </c>
      <c r="G11" s="33" t="n">
        <f aca="false">G7*Realised_Gain_Pct</f>
        <v>739220.544261699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178</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179</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2025</v>
      </c>
      <c r="D5" s="29" t="n">
        <f aca="false">Model_Start_Year+1</f>
        <v>2026</v>
      </c>
      <c r="E5" s="29" t="n">
        <f aca="false">Model_Start_Year+2</f>
        <v>2027</v>
      </c>
      <c r="F5" s="29" t="n">
        <f aca="false">Model_Start_Year+3</f>
        <v>2028</v>
      </c>
      <c r="G5" s="29" t="n">
        <f aca="false">Model_Start_Year+4</f>
        <v>2029</v>
      </c>
    </row>
    <row r="6" customFormat="false" ht="15" hidden="false" customHeight="false" outlineLevel="0" collapsed="false">
      <c r="A6" s="6"/>
      <c r="B6" s="17" t="s">
        <v>180</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20" t="s">
        <v>181</v>
      </c>
      <c r="C7" s="33" t="n">
        <f aca="false">Cash_Flow!C27</f>
        <v>169233061.650685</v>
      </c>
      <c r="D7" s="33" t="n">
        <f aca="false">Cash_Flow!D27</f>
        <v>274786094.967534</v>
      </c>
      <c r="E7" s="33" t="n">
        <f aca="false">Cash_Flow!E27</f>
        <v>331326222.992742</v>
      </c>
      <c r="F7" s="33" t="n">
        <f aca="false">Cash_Flow!F27</f>
        <v>392515859.840171</v>
      </c>
      <c r="G7" s="33" t="n">
        <f aca="false">Cash_Flow!G27</f>
        <v>458451302.956786</v>
      </c>
    </row>
    <row r="8" customFormat="false" ht="15" hidden="false" customHeight="false" outlineLevel="0" collapsed="false">
      <c r="A8" s="6"/>
      <c r="B8" s="32" t="s">
        <v>182</v>
      </c>
      <c r="C8" s="33" t="n">
        <f aca="false">Premium_Build!C9*Premium_DSO/365</f>
        <v>66649315.0684932</v>
      </c>
      <c r="D8" s="33" t="n">
        <f aca="false">Premium_Build!D9*Premium_DSO/365</f>
        <v>70648273.9726027</v>
      </c>
      <c r="E8" s="33" t="n">
        <f aca="false">Premium_Build!E9*Premium_DSO/365</f>
        <v>74887170.4109589</v>
      </c>
      <c r="F8" s="33" t="n">
        <f aca="false">Premium_Build!F9*Premium_DSO/365</f>
        <v>79380400.6356164</v>
      </c>
      <c r="G8" s="33" t="n">
        <f aca="false">Premium_Build!G9*Premium_DSO/365</f>
        <v>84143224.6737534</v>
      </c>
    </row>
    <row r="9" customFormat="false" ht="15" hidden="false" customHeight="false" outlineLevel="0" collapsed="false">
      <c r="A9" s="6"/>
      <c r="B9" s="32" t="s">
        <v>183</v>
      </c>
      <c r="C9" s="33" t="n">
        <f aca="false">ABS(Premium_Build!C17)*Loss_Ratio</f>
        <v>34105500</v>
      </c>
      <c r="D9" s="33" t="n">
        <f aca="false">ABS(Premium_Build!D17)*Loss_Ratio</f>
        <v>36151830</v>
      </c>
      <c r="E9" s="33" t="n">
        <f aca="false">ABS(Premium_Build!E17)*Loss_Ratio</f>
        <v>38320939.8</v>
      </c>
      <c r="F9" s="33" t="n">
        <f aca="false">ABS(Premium_Build!F17)*Loss_Ratio</f>
        <v>40620196.188</v>
      </c>
      <c r="G9" s="33" t="n">
        <f aca="false">ABS(Premium_Build!G17)*Loss_Ratio</f>
        <v>43057407.95928</v>
      </c>
    </row>
    <row r="10" customFormat="false" ht="15" hidden="false" customHeight="false" outlineLevel="0" collapsed="false">
      <c r="A10" s="6"/>
      <c r="B10" s="32" t="s">
        <v>184</v>
      </c>
      <c r="C10" s="33" t="n">
        <f aca="false">UW_Expenses!C11</f>
        <v>36490500</v>
      </c>
      <c r="D10" s="33" t="n">
        <f aca="false">UW_Expenses!D11</f>
        <v>38679930</v>
      </c>
      <c r="E10" s="33" t="n">
        <f aca="false">UW_Expenses!E11</f>
        <v>41000725.8</v>
      </c>
      <c r="F10" s="33" t="n">
        <f aca="false">UW_Expenses!F11</f>
        <v>43460769.348</v>
      </c>
      <c r="G10" s="33" t="n">
        <f aca="false">UW_Expenses!G11</f>
        <v>46068415.50888</v>
      </c>
    </row>
    <row r="11" customFormat="false" ht="15" hidden="false" customHeight="false" outlineLevel="0" collapsed="false">
      <c r="A11" s="6"/>
      <c r="B11" s="32" t="s">
        <v>185</v>
      </c>
      <c r="C11" s="33" t="n">
        <f aca="false">Investments!C8</f>
        <v>292823287.671233</v>
      </c>
      <c r="D11" s="33" t="n">
        <f aca="false">Investments!D8</f>
        <v>284072647.671233</v>
      </c>
      <c r="E11" s="33" t="n">
        <f aca="false">Investments!E8</f>
        <v>269104361.271233</v>
      </c>
      <c r="F11" s="33" t="n">
        <f aca="false">Investments!F8</f>
        <v>246406848.087233</v>
      </c>
      <c r="G11" s="33" t="n">
        <f aca="false">Investments!G8</f>
        <v>214150128.592193</v>
      </c>
    </row>
    <row r="12" customFormat="false" ht="15" hidden="false" customHeight="false" outlineLevel="0" collapsed="false">
      <c r="A12" s="6"/>
      <c r="B12" s="32" t="s">
        <v>186</v>
      </c>
      <c r="C12" s="33" t="n">
        <f aca="false">Income_Statement!C30</f>
        <v>21876600</v>
      </c>
      <c r="D12" s="33" t="n">
        <f aca="false">Income_Statement!D30</f>
        <v>37420716</v>
      </c>
      <c r="E12" s="33" t="n">
        <f aca="false">Income_Statement!E30</f>
        <v>56743782.96</v>
      </c>
      <c r="F12" s="33" t="n">
        <f aca="false">Income_Statement!F30</f>
        <v>80641798.7376</v>
      </c>
      <c r="G12" s="33" t="n">
        <f aca="false">Income_Statement!G30</f>
        <v>110072373.221856</v>
      </c>
    </row>
    <row r="13" customFormat="false" ht="15" hidden="false" customHeight="false" outlineLevel="0" collapsed="false">
      <c r="A13" s="6"/>
      <c r="B13" s="7" t="s">
        <v>187</v>
      </c>
      <c r="C13" s="34" t="n">
        <f aca="false">SUM(C7:C12)</f>
        <v>621178264.390411</v>
      </c>
      <c r="D13" s="34" t="n">
        <f aca="false">SUM(D7:D12)</f>
        <v>741759492.61137</v>
      </c>
      <c r="E13" s="34" t="n">
        <f aca="false">SUM(E7:E12)</f>
        <v>811383203.234934</v>
      </c>
      <c r="F13" s="34" t="n">
        <f aca="false">SUM(F7:F12)</f>
        <v>883025872.836621</v>
      </c>
      <c r="G13" s="34" t="n">
        <f aca="false">SUM(G7:G12)</f>
        <v>955942852.912748</v>
      </c>
    </row>
    <row r="14" customFormat="false" ht="15" hidden="false" customHeight="false" outlineLevel="0" collapsed="false">
      <c r="A14" s="6"/>
      <c r="B14" s="17" t="s">
        <v>188</v>
      </c>
      <c r="C14" s="17"/>
      <c r="D14" s="17"/>
      <c r="E14" s="17"/>
      <c r="F14" s="17"/>
      <c r="G14" s="17"/>
    </row>
    <row r="15" customFormat="false" ht="15" hidden="false" customHeight="false" outlineLevel="0" collapsed="false">
      <c r="A15" s="6"/>
      <c r="B15" s="20" t="s">
        <v>189</v>
      </c>
      <c r="C15" s="33" t="n">
        <f aca="false">Claims_Reserves!C13</f>
        <v>130840500</v>
      </c>
      <c r="D15" s="33" t="n">
        <f aca="false">Claims_Reserves!D13</f>
        <v>195453930</v>
      </c>
      <c r="E15" s="33" t="n">
        <f aca="false">Claims_Reserves!E13</f>
        <v>207181165.8</v>
      </c>
      <c r="F15" s="33" t="n">
        <f aca="false">Claims_Reserves!F13</f>
        <v>219612035.748</v>
      </c>
      <c r="G15" s="33" t="n">
        <f aca="false">Claims_Reserves!G13</f>
        <v>232788757.89288</v>
      </c>
    </row>
    <row r="16" customFormat="false" ht="15" hidden="false" customHeight="false" outlineLevel="0" collapsed="false">
      <c r="A16" s="6"/>
      <c r="B16" s="20" t="s">
        <v>190</v>
      </c>
      <c r="C16" s="33" t="n">
        <f aca="false">-Premium_Build!C12</f>
        <v>243270000</v>
      </c>
      <c r="D16" s="33" t="n">
        <f aca="false">-Premium_Build!D12</f>
        <v>257866200</v>
      </c>
      <c r="E16" s="33" t="n">
        <f aca="false">-Premium_Build!E12</f>
        <v>273338172</v>
      </c>
      <c r="F16" s="33" t="n">
        <f aca="false">-Premium_Build!F12</f>
        <v>289738462.32</v>
      </c>
      <c r="G16" s="33" t="n">
        <f aca="false">-Premium_Build!G12</f>
        <v>307122770.0592</v>
      </c>
    </row>
    <row r="17" customFormat="false" ht="15" hidden="false" customHeight="false" outlineLevel="0" collapsed="false">
      <c r="A17" s="6"/>
      <c r="B17" s="32" t="s">
        <v>191</v>
      </c>
      <c r="C17" s="33" t="n">
        <f aca="false">Premium_Build!C8*(-1)*Payables_Days/365</f>
        <v>7841095.89041096</v>
      </c>
      <c r="D17" s="33" t="n">
        <f aca="false">Premium_Build!D8*(-1)*Payables_Days/365</f>
        <v>8311561.64383562</v>
      </c>
      <c r="E17" s="33" t="n">
        <f aca="false">Premium_Build!E8*(-1)*Payables_Days/365</f>
        <v>8810255.34246575</v>
      </c>
      <c r="F17" s="33" t="n">
        <f aca="false">Premium_Build!F8*(-1)*Payables_Days/365</f>
        <v>9338870.6630137</v>
      </c>
      <c r="G17" s="33" t="n">
        <f aca="false">Premium_Build!G8*(-1)*Payables_Days/365</f>
        <v>9899202.90279452</v>
      </c>
    </row>
    <row r="18" customFormat="false" ht="15" hidden="false" customHeight="false" outlineLevel="0" collapsed="false">
      <c r="A18" s="6"/>
      <c r="B18" s="20" t="s">
        <v>192</v>
      </c>
      <c r="C18" s="33" t="n">
        <f aca="false">Income_Statement!C37</f>
        <v>64000000</v>
      </c>
      <c r="D18" s="33" t="n">
        <f aca="false">Income_Statement!D37</f>
        <v>48000000</v>
      </c>
      <c r="E18" s="33" t="n">
        <f aca="false">Income_Statement!E37</f>
        <v>32000000</v>
      </c>
      <c r="F18" s="33" t="n">
        <f aca="false">Income_Statement!F37</f>
        <v>16000000</v>
      </c>
      <c r="G18" s="33" t="n">
        <f aca="false">Income_Statement!G37</f>
        <v>0</v>
      </c>
    </row>
    <row r="19" customFormat="false" ht="15" hidden="false" customHeight="false" outlineLevel="0" collapsed="false">
      <c r="A19" s="6"/>
      <c r="B19" s="7" t="s">
        <v>193</v>
      </c>
      <c r="C19" s="34" t="n">
        <f aca="false">SUM(C15:C18)</f>
        <v>445951595.890411</v>
      </c>
      <c r="D19" s="34" t="n">
        <f aca="false">SUM(D15:D18)</f>
        <v>509631691.643836</v>
      </c>
      <c r="E19" s="34" t="n">
        <f aca="false">SUM(E15:E18)</f>
        <v>521329593.142466</v>
      </c>
      <c r="F19" s="34" t="n">
        <f aca="false">SUM(F15:F18)</f>
        <v>534689368.731014</v>
      </c>
      <c r="G19" s="34" t="n">
        <f aca="false">SUM(G15:G18)</f>
        <v>549810730.854875</v>
      </c>
    </row>
    <row r="20" customFormat="false" ht="15" hidden="false" customHeight="false" outlineLevel="0" collapsed="false">
      <c r="A20" s="6"/>
      <c r="B20" s="17" t="s">
        <v>194</v>
      </c>
      <c r="C20" s="17"/>
      <c r="D20" s="17"/>
      <c r="E20" s="17"/>
      <c r="F20" s="17"/>
      <c r="G20" s="17"/>
    </row>
    <row r="21" customFormat="false" ht="15" hidden="false" customHeight="false" outlineLevel="0" collapsed="false">
      <c r="A21" s="6"/>
      <c r="B21" s="32" t="s">
        <v>77</v>
      </c>
      <c r="C21" s="33" t="n">
        <f aca="false">Share_Capital</f>
        <v>120000000</v>
      </c>
      <c r="D21" s="33" t="n">
        <f aca="false">Share_Capital</f>
        <v>120000000</v>
      </c>
      <c r="E21" s="33" t="n">
        <f aca="false">Share_Capital</f>
        <v>120000000</v>
      </c>
      <c r="F21" s="33" t="n">
        <f aca="false">Share_Capital</f>
        <v>120000000</v>
      </c>
      <c r="G21" s="33" t="n">
        <f aca="false">Share_Capital</f>
        <v>120000000</v>
      </c>
    </row>
    <row r="22" customFormat="false" ht="15" hidden="false" customHeight="false" outlineLevel="0" collapsed="false">
      <c r="A22" s="6"/>
      <c r="B22" s="32" t="s">
        <v>195</v>
      </c>
      <c r="C22" s="33" t="n">
        <f aca="false">Open_Ret_Earnings+Income_Statement!C52-Income_Statement!C54</f>
        <v>55226668.5</v>
      </c>
      <c r="D22" s="33" t="n">
        <f aca="false">C22+Income_Statement!D52-Income_Statement!D54</f>
        <v>112127800.967534</v>
      </c>
      <c r="E22" s="33" t="n">
        <f aca="false">D22+Income_Statement!E52-Income_Statement!E54</f>
        <v>170053610.092469</v>
      </c>
      <c r="F22" s="33" t="n">
        <f aca="false">E22+Income_Statement!F52-Income_Statement!F54</f>
        <v>228336504.105607</v>
      </c>
      <c r="G22" s="33" t="n">
        <f aca="false">F22+Income_Statement!G52-Income_Statement!G54</f>
        <v>286132122.057873</v>
      </c>
    </row>
    <row r="23" customFormat="false" ht="15" hidden="false" customHeight="false" outlineLevel="0" collapsed="false">
      <c r="A23" s="6"/>
      <c r="B23" s="7" t="s">
        <v>196</v>
      </c>
      <c r="C23" s="34" t="n">
        <f aca="false">C21+C22</f>
        <v>175226668.5</v>
      </c>
      <c r="D23" s="34" t="n">
        <f aca="false">D21+D22</f>
        <v>232127800.967534</v>
      </c>
      <c r="E23" s="34" t="n">
        <f aca="false">E21+E22</f>
        <v>290053610.092469</v>
      </c>
      <c r="F23" s="34" t="n">
        <f aca="false">F21+F22</f>
        <v>348336504.105607</v>
      </c>
      <c r="G23" s="34" t="n">
        <f aca="false">G21+G22</f>
        <v>406132122.057873</v>
      </c>
    </row>
    <row r="24" customFormat="false" ht="15" hidden="false" customHeight="false" outlineLevel="0" collapsed="false">
      <c r="A24" s="6"/>
      <c r="B24" s="7" t="s">
        <v>197</v>
      </c>
      <c r="C24" s="34" t="n">
        <f aca="false">C19+C23</f>
        <v>621178264.390411</v>
      </c>
      <c r="D24" s="34" t="n">
        <f aca="false">D19+D23</f>
        <v>741759492.61137</v>
      </c>
      <c r="E24" s="34" t="n">
        <f aca="false">E19+E23</f>
        <v>811383203.234934</v>
      </c>
      <c r="F24" s="34" t="n">
        <f aca="false">F19+F23</f>
        <v>883025872.836621</v>
      </c>
      <c r="G24" s="34" t="n">
        <f aca="false">G19+G23</f>
        <v>955942852.912748</v>
      </c>
    </row>
    <row r="25" customFormat="false" ht="15" hidden="false" customHeight="false" outlineLevel="0" collapsed="false">
      <c r="A25" s="6"/>
      <c r="B25" s="40" t="s">
        <v>198</v>
      </c>
      <c r="C25" s="41" t="n">
        <f aca="false">C13-C24</f>
        <v>0</v>
      </c>
      <c r="D25" s="41" t="n">
        <f aca="false">D13-D24</f>
        <v>0</v>
      </c>
      <c r="E25" s="41" t="n">
        <f aca="false">E13-E24</f>
        <v>0</v>
      </c>
      <c r="F25" s="41" t="n">
        <f aca="false">F13-F24</f>
        <v>0</v>
      </c>
      <c r="G25" s="41" t="n">
        <f aca="false">G13-G24</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50"/>
    <pageSetUpPr fitToPage="false"/>
  </sheetPr>
  <dimension ref="A1:AD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199</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200</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2025</v>
      </c>
      <c r="D5" s="29" t="n">
        <f aca="false">Model_Start_Year+1</f>
        <v>2026</v>
      </c>
      <c r="E5" s="29" t="n">
        <f aca="false">Model_Start_Year+2</f>
        <v>2027</v>
      </c>
      <c r="F5" s="29" t="n">
        <f aca="false">Model_Start_Year+3</f>
        <v>2028</v>
      </c>
      <c r="G5" s="29" t="n">
        <f aca="false">Model_Start_Year+4</f>
        <v>2029</v>
      </c>
    </row>
    <row r="6" customFormat="false" ht="15" hidden="false" customHeight="false" outlineLevel="0" collapsed="false">
      <c r="A6" s="6"/>
      <c r="B6" s="17" t="s">
        <v>201</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32" t="s">
        <v>202</v>
      </c>
      <c r="C7" s="33" t="n">
        <f aca="false">Income_Statement!C52</f>
        <v>10226668.5</v>
      </c>
      <c r="D7" s="33" t="n">
        <f aca="false">Income_Statement!D52</f>
        <v>56901132.4675343</v>
      </c>
      <c r="E7" s="33" t="n">
        <f aca="false">Income_Statement!E52</f>
        <v>57925809.1249343</v>
      </c>
      <c r="F7" s="33" t="n">
        <f aca="false">Income_Statement!F52</f>
        <v>58282894.0131383</v>
      </c>
      <c r="G7" s="33" t="n">
        <f aca="false">Income_Statement!G52</f>
        <v>57795617.9522665</v>
      </c>
    </row>
    <row r="8" customFormat="false" ht="15" hidden="false" customHeight="false" outlineLevel="0" collapsed="false">
      <c r="A8" s="6"/>
      <c r="B8" s="32" t="s">
        <v>203</v>
      </c>
      <c r="C8" s="33" t="n">
        <f aca="false">-Income_Statement!C29</f>
        <v>2400000</v>
      </c>
      <c r="D8" s="33" t="n">
        <f aca="false">-Income_Statement!D29</f>
        <v>4375320</v>
      </c>
      <c r="E8" s="33" t="n">
        <f aca="false">-Income_Statement!E29</f>
        <v>7484143.2</v>
      </c>
      <c r="F8" s="33" t="n">
        <f aca="false">-Income_Statement!F29</f>
        <v>11348756.592</v>
      </c>
      <c r="G8" s="33" t="n">
        <f aca="false">-Income_Statement!G29</f>
        <v>16128359.74752</v>
      </c>
    </row>
    <row r="9" customFormat="false" ht="15" hidden="false" customHeight="false" outlineLevel="0" collapsed="false">
      <c r="A9" s="6"/>
      <c r="B9" s="32" t="s">
        <v>204</v>
      </c>
      <c r="C9" s="33" t="n">
        <f aca="false">Claims_Reserves!C13-Open_Loss_Reserve</f>
        <v>-9159500.00000002</v>
      </c>
      <c r="D9" s="33" t="n">
        <f aca="false">Claims_Reserves!D13-Balance_Sheet!C15</f>
        <v>64613430</v>
      </c>
      <c r="E9" s="33" t="n">
        <f aca="false">Claims_Reserves!E13-Balance_Sheet!D15</f>
        <v>11727235.8</v>
      </c>
      <c r="F9" s="33" t="n">
        <f aca="false">Claims_Reserves!F13-Balance_Sheet!E15</f>
        <v>12430869.948</v>
      </c>
      <c r="G9" s="33" t="n">
        <f aca="false">Claims_Reserves!G13-Balance_Sheet!F15</f>
        <v>13176722.1448801</v>
      </c>
    </row>
    <row r="10" customFormat="false" ht="15" hidden="false" customHeight="false" outlineLevel="0" collapsed="false">
      <c r="A10" s="6"/>
      <c r="B10" s="32" t="s">
        <v>205</v>
      </c>
      <c r="C10" s="33" t="n">
        <f aca="false">Balance_Sheet!C16-Open_UPR</f>
        <v>166770000</v>
      </c>
      <c r="D10" s="33" t="n">
        <f aca="false">Balance_Sheet!D16-Balance_Sheet!C16</f>
        <v>14596200</v>
      </c>
      <c r="E10" s="33" t="n">
        <f aca="false">Balance_Sheet!E16-Balance_Sheet!D16</f>
        <v>15471972</v>
      </c>
      <c r="F10" s="33" t="n">
        <f aca="false">Balance_Sheet!F16-Balance_Sheet!E16</f>
        <v>16400290.32</v>
      </c>
      <c r="G10" s="33" t="n">
        <f aca="false">Balance_Sheet!G16-Balance_Sheet!F16</f>
        <v>17384307.7392001</v>
      </c>
    </row>
    <row r="11" customFormat="false" ht="15" hidden="false" customHeight="false" outlineLevel="0" collapsed="false">
      <c r="A11" s="6"/>
      <c r="B11" s="32" t="s">
        <v>206</v>
      </c>
      <c r="C11" s="33" t="n">
        <f aca="false">-(Balance_Sheet!C8-GWP_Base*(1-Cession_Rate)*Premium_DSO/365)</f>
        <v>-3772602.73972603</v>
      </c>
      <c r="D11" s="33" t="n">
        <f aca="false">-(Balance_Sheet!D8-Balance_Sheet!C8)</f>
        <v>-3998958.90410959</v>
      </c>
      <c r="E11" s="33" t="n">
        <f aca="false">-(Balance_Sheet!E8-Balance_Sheet!D8)</f>
        <v>-4238896.43835616</v>
      </c>
      <c r="F11" s="33" t="n">
        <f aca="false">-(Balance_Sheet!F8-Balance_Sheet!E8)</f>
        <v>-4493230.22465754</v>
      </c>
      <c r="G11" s="33" t="n">
        <f aca="false">-(Balance_Sheet!G8-Balance_Sheet!F8)</f>
        <v>-4762824.038137</v>
      </c>
    </row>
    <row r="12" customFormat="false" ht="15" hidden="false" customHeight="false" outlineLevel="0" collapsed="false">
      <c r="A12" s="6"/>
      <c r="B12" s="32" t="s">
        <v>207</v>
      </c>
      <c r="C12" s="33" t="n">
        <f aca="false">-(Balance_Sheet!C10-DAC_Opening)</f>
        <v>-27490500</v>
      </c>
      <c r="D12" s="33" t="n">
        <f aca="false">-(Balance_Sheet!D10-Balance_Sheet!C10)</f>
        <v>-2189430</v>
      </c>
      <c r="E12" s="33" t="n">
        <f aca="false">-(Balance_Sheet!E10-Balance_Sheet!D10)</f>
        <v>-2320795.8</v>
      </c>
      <c r="F12" s="33" t="n">
        <f aca="false">-(Balance_Sheet!F10-Balance_Sheet!E10)</f>
        <v>-2460043.54799999</v>
      </c>
      <c r="G12" s="33" t="n">
        <f aca="false">-(Balance_Sheet!G10-Balance_Sheet!F10)</f>
        <v>-2607646.16088001</v>
      </c>
    </row>
    <row r="13" customFormat="false" ht="15" hidden="false" customHeight="false" outlineLevel="0" collapsed="false">
      <c r="A13" s="6"/>
      <c r="B13" s="32" t="s">
        <v>208</v>
      </c>
      <c r="C13" s="33" t="n">
        <f aca="false">-Balance_Sheet!C9</f>
        <v>-34105500</v>
      </c>
      <c r="D13" s="33" t="n">
        <f aca="false">-(Balance_Sheet!D9-Balance_Sheet!C9)</f>
        <v>-2046330</v>
      </c>
      <c r="E13" s="33" t="n">
        <f aca="false">-(Balance_Sheet!E9-Balance_Sheet!D9)</f>
        <v>-2169109.8</v>
      </c>
      <c r="F13" s="33" t="n">
        <f aca="false">-(Balance_Sheet!F9-Balance_Sheet!E9)</f>
        <v>-2299256.388</v>
      </c>
      <c r="G13" s="33" t="n">
        <f aca="false">-(Balance_Sheet!G9-Balance_Sheet!F9)</f>
        <v>-2437211.77128001</v>
      </c>
    </row>
    <row r="14" customFormat="false" ht="15" hidden="false" customHeight="false" outlineLevel="0" collapsed="false">
      <c r="A14" s="6"/>
      <c r="B14" s="32" t="s">
        <v>209</v>
      </c>
      <c r="C14" s="33" t="n">
        <f aca="false">Balance_Sheet!C17</f>
        <v>7841095.89041096</v>
      </c>
      <c r="D14" s="33" t="n">
        <f aca="false">Balance_Sheet!D17-Balance_Sheet!C17</f>
        <v>470465.753424658</v>
      </c>
      <c r="E14" s="33" t="n">
        <f aca="false">Balance_Sheet!E17-Balance_Sheet!D17</f>
        <v>498693.698630136</v>
      </c>
      <c r="F14" s="33" t="n">
        <f aca="false">Balance_Sheet!F17-Balance_Sheet!E17</f>
        <v>528615.320547944</v>
      </c>
      <c r="G14" s="33" t="n">
        <f aca="false">Balance_Sheet!G17-Balance_Sheet!F17</f>
        <v>560332.239780825</v>
      </c>
    </row>
    <row r="15" customFormat="false" ht="15" hidden="false" customHeight="false" outlineLevel="0" collapsed="false">
      <c r="A15" s="6"/>
      <c r="B15" s="7" t="s">
        <v>210</v>
      </c>
      <c r="C15" s="34" t="n">
        <f aca="false">SUM(C7:C14)</f>
        <v>112709661.650685</v>
      </c>
      <c r="D15" s="34" t="n">
        <f aca="false">SUM(D7:D14)</f>
        <v>132721829.316849</v>
      </c>
      <c r="E15" s="34" t="n">
        <f aca="false">SUM(E7:E14)</f>
        <v>84379051.7852082</v>
      </c>
      <c r="F15" s="34" t="n">
        <f aca="false">SUM(F7:F14)</f>
        <v>89738896.0330287</v>
      </c>
      <c r="G15" s="34" t="n">
        <f aca="false">SUM(G7:G14)</f>
        <v>95237657.8533504</v>
      </c>
    </row>
    <row r="16" customFormat="false" ht="15" hidden="false" customHeight="false" outlineLevel="0" collapsed="false">
      <c r="A16" s="6"/>
      <c r="B16" s="17" t="s">
        <v>211</v>
      </c>
      <c r="C16" s="17"/>
      <c r="D16" s="17"/>
      <c r="E16" s="17"/>
      <c r="F16" s="17"/>
      <c r="G16" s="17"/>
    </row>
    <row r="17" customFormat="false" ht="15" hidden="false" customHeight="false" outlineLevel="0" collapsed="false">
      <c r="A17" s="6"/>
      <c r="B17" s="32" t="s">
        <v>212</v>
      </c>
      <c r="C17" s="33" t="n">
        <f aca="false">Income_Statement!C28</f>
        <v>-7476600</v>
      </c>
      <c r="D17" s="33" t="n">
        <f aca="false">Income_Statement!D28</f>
        <v>-11168796</v>
      </c>
      <c r="E17" s="33" t="n">
        <f aca="false">Income_Statement!E28</f>
        <v>-11838923.76</v>
      </c>
      <c r="F17" s="33" t="n">
        <f aca="false">Income_Statement!F28</f>
        <v>-12549259.1856</v>
      </c>
      <c r="G17" s="33" t="n">
        <f aca="false">Income_Statement!G28</f>
        <v>-13302214.736736</v>
      </c>
    </row>
    <row r="18" customFormat="false" ht="15" hidden="false" customHeight="false" outlineLevel="0" collapsed="false">
      <c r="A18" s="6"/>
      <c r="B18" s="7" t="s">
        <v>213</v>
      </c>
      <c r="C18" s="34" t="n">
        <f aca="false">C17</f>
        <v>-7476600</v>
      </c>
      <c r="D18" s="34" t="n">
        <f aca="false">D17</f>
        <v>-11168796</v>
      </c>
      <c r="E18" s="34" t="n">
        <f aca="false">E17</f>
        <v>-11838923.76</v>
      </c>
      <c r="F18" s="34" t="n">
        <f aca="false">F17</f>
        <v>-12549259.1856</v>
      </c>
      <c r="G18" s="34" t="n">
        <f aca="false">G17</f>
        <v>-13302214.736736</v>
      </c>
    </row>
    <row r="19" customFormat="false" ht="15" hidden="false" customHeight="false" outlineLevel="0" collapsed="false">
      <c r="A19" s="6"/>
      <c r="B19" s="17" t="s">
        <v>214</v>
      </c>
      <c r="C19" s="17"/>
      <c r="D19" s="17"/>
      <c r="E19" s="17"/>
      <c r="F19" s="17"/>
      <c r="G19" s="17"/>
    </row>
    <row r="20" customFormat="false" ht="15" hidden="false" customHeight="false" outlineLevel="0" collapsed="false">
      <c r="A20" s="6"/>
      <c r="B20" s="32" t="s">
        <v>215</v>
      </c>
      <c r="C20" s="33" t="n">
        <f aca="false">Debt_Principal</f>
        <v>80000000</v>
      </c>
      <c r="D20" s="33" t="n">
        <f aca="false">0</f>
        <v>0</v>
      </c>
      <c r="E20" s="33" t="n">
        <f aca="false">0</f>
        <v>0</v>
      </c>
      <c r="F20" s="33" t="n">
        <f aca="false">0</f>
        <v>0</v>
      </c>
      <c r="G20" s="33" t="n">
        <f aca="false">0</f>
        <v>0</v>
      </c>
    </row>
    <row r="21" customFormat="false" ht="15" hidden="false" customHeight="false" outlineLevel="0" collapsed="false">
      <c r="A21" s="6"/>
      <c r="B21" s="32" t="s">
        <v>216</v>
      </c>
      <c r="C21" s="33" t="n">
        <f aca="false">Income_Statement!C36</f>
        <v>-16000000</v>
      </c>
      <c r="D21" s="33" t="n">
        <f aca="false">Income_Statement!D36</f>
        <v>-16000000</v>
      </c>
      <c r="E21" s="33" t="n">
        <f aca="false">Income_Statement!E36</f>
        <v>-16000000</v>
      </c>
      <c r="F21" s="33" t="n">
        <f aca="false">Income_Statement!F36</f>
        <v>-16000000</v>
      </c>
      <c r="G21" s="33" t="n">
        <f aca="false">Income_Statement!G36</f>
        <v>-16000000</v>
      </c>
    </row>
    <row r="22" customFormat="false" ht="15" hidden="false" customHeight="false" outlineLevel="0" collapsed="false">
      <c r="A22" s="6"/>
      <c r="B22" s="32" t="s">
        <v>217</v>
      </c>
      <c r="C22" s="33" t="n">
        <f aca="false">-Income_Statement!C54</f>
        <v>-0</v>
      </c>
      <c r="D22" s="33" t="n">
        <f aca="false">-Income_Statement!D54</f>
        <v>-0</v>
      </c>
      <c r="E22" s="33" t="n">
        <f aca="false">-Income_Statement!E54</f>
        <v>-0</v>
      </c>
      <c r="F22" s="33" t="n">
        <f aca="false">-Income_Statement!F54</f>
        <v>-0</v>
      </c>
      <c r="G22" s="33" t="n">
        <f aca="false">-Income_Statement!G54</f>
        <v>-0</v>
      </c>
    </row>
    <row r="23" customFormat="false" ht="15" hidden="false" customHeight="false" outlineLevel="0" collapsed="false">
      <c r="A23" s="6"/>
      <c r="B23" s="7" t="s">
        <v>218</v>
      </c>
      <c r="C23" s="34" t="n">
        <f aca="false">SUM(C20:C22)</f>
        <v>64000000</v>
      </c>
      <c r="D23" s="34" t="n">
        <f aca="false">SUM(D20:D22)</f>
        <v>-16000000</v>
      </c>
      <c r="E23" s="34" t="n">
        <f aca="false">SUM(E20:E22)</f>
        <v>-16000000</v>
      </c>
      <c r="F23" s="34" t="n">
        <f aca="false">SUM(F20:F22)</f>
        <v>-16000000</v>
      </c>
      <c r="G23" s="34" t="n">
        <f aca="false">SUM(G20:G22)</f>
        <v>-16000000</v>
      </c>
    </row>
    <row r="24" customFormat="false" ht="15" hidden="false" customHeight="false" outlineLevel="0" collapsed="false">
      <c r="A24" s="6"/>
      <c r="B24" s="17" t="s">
        <v>219</v>
      </c>
      <c r="C24" s="17"/>
      <c r="D24" s="17"/>
      <c r="E24" s="17"/>
      <c r="F24" s="17"/>
      <c r="G24" s="17"/>
    </row>
    <row r="25" customFormat="false" ht="15" hidden="false" customHeight="false" outlineLevel="0" collapsed="false">
      <c r="A25" s="6"/>
      <c r="B25" s="7" t="s">
        <v>220</v>
      </c>
      <c r="C25" s="31" t="n">
        <f aca="false">C15+C18+C23</f>
        <v>169233061.650685</v>
      </c>
      <c r="D25" s="31" t="n">
        <f aca="false">D15+D18+D23</f>
        <v>105553033.316849</v>
      </c>
      <c r="E25" s="31" t="n">
        <f aca="false">E15+E18+E23</f>
        <v>56540128.0252082</v>
      </c>
      <c r="F25" s="31" t="n">
        <f aca="false">F15+F18+F23</f>
        <v>61189636.8474287</v>
      </c>
      <c r="G25" s="31" t="n">
        <f aca="false">G15+G18+G23</f>
        <v>65935443.1166144</v>
      </c>
    </row>
    <row r="26" customFormat="false" ht="15" hidden="false" customHeight="false" outlineLevel="0" collapsed="false">
      <c r="A26" s="6"/>
      <c r="B26" s="20" t="s">
        <v>221</v>
      </c>
      <c r="C26" s="35" t="n">
        <f aca="false">0</f>
        <v>0</v>
      </c>
      <c r="D26" s="35" t="n">
        <f aca="false">C27</f>
        <v>169233061.650685</v>
      </c>
      <c r="E26" s="35" t="n">
        <f aca="false">D27</f>
        <v>274786094.967534</v>
      </c>
      <c r="F26" s="35" t="n">
        <f aca="false">E27</f>
        <v>331326222.992742</v>
      </c>
      <c r="G26" s="35" t="n">
        <f aca="false">F27</f>
        <v>392515859.840171</v>
      </c>
    </row>
    <row r="27" customFormat="false" ht="15" hidden="false" customHeight="false" outlineLevel="0" collapsed="false">
      <c r="A27" s="6"/>
      <c r="B27" s="7" t="s">
        <v>222</v>
      </c>
      <c r="C27" s="34" t="n">
        <f aca="false">C26+C25</f>
        <v>169233061.650685</v>
      </c>
      <c r="D27" s="34" t="n">
        <f aca="false">D26+D25</f>
        <v>274786094.967534</v>
      </c>
      <c r="E27" s="34" t="n">
        <f aca="false">E26+E25</f>
        <v>331326222.992742</v>
      </c>
      <c r="F27" s="34" t="n">
        <f aca="false">F26+F25</f>
        <v>392515859.840171</v>
      </c>
      <c r="G27" s="34" t="n">
        <f aca="false">G26+G25</f>
        <v>458451302.956786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2026-05-15T18:53:23Z</dcterms:created>
  <dc:creator>openpyxl</dc:creator>
  <dc:description/>
  <dc:language>en-GB</dc:language>
  <cp:lastModifiedBy/>
  <dcterms:modified xsi:type="dcterms:W3CDTF">2026-05-15T18:53:23Z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