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remium_Build" sheetId="3" state="visible" r:id="rId5"/>
    <sheet name="Claims_Reserves" sheetId="4" state="visible" r:id="rId6"/>
    <sheet name="Operating_Costs" sheetId="5" state="visible" r:id="rId7"/>
    <sheet name="Investments" sheetId="6" state="visible" r:id="rId8"/>
    <sheet name="Income_Statement" sheetId="7" state="visible" r:id="rId9"/>
    <sheet name="Balance_Sheet" sheetId="8" state="visible" r:id="rId10"/>
    <sheet name="Cash_Flow" sheetId="9" state="visible" r:id="rId11"/>
    <sheet name="Capital_Adequacy" sheetId="10" state="visible" r:id="rId12"/>
    <sheet name="KPIs" sheetId="11" state="visible" r:id="rId13"/>
    <sheet name="Checks" sheetId="12" state="visible" r:id="rId14"/>
    <sheet name="Disclaimer" sheetId="13" state="visible" r:id="rId15"/>
  </sheets>
  <definedNames>
    <definedName function="false" hidden="false" name="Auto_Avg_Premium" vbProcedure="false">Assumptions!$C$18</definedName>
    <definedName function="false" hidden="false" name="Auto_Lapse_Rate" vbProcedure="false">Assumptions!$C$17</definedName>
    <definedName function="false" hidden="false" name="Auto_Loss_Ratio_Y1" vbProcedure="false">Assumptions!$C$46</definedName>
    <definedName function="false" hidden="false" name="Auto_Loss_Ratio_Y2" vbProcedure="false">Assumptions!$C$47</definedName>
    <definedName function="false" hidden="false" name="Auto_Loss_Ratio_Y3" vbProcedure="false">Assumptions!$C$48</definedName>
    <definedName function="false" hidden="false" name="Auto_Loss_Ratio_Y4" vbProcedure="false">Assumptions!$C$49</definedName>
    <definedName function="false" hidden="false" name="Auto_Loss_Ratio_Y5" vbProcedure="false">Assumptions!$C$50</definedName>
    <definedName function="false" hidden="false" name="Auto_New_Growth_Y1" vbProcedure="false">Assumptions!$C$12</definedName>
    <definedName function="false" hidden="false" name="Auto_New_Growth_Y2" vbProcedure="false">Assumptions!$C$13</definedName>
    <definedName function="false" hidden="false" name="Auto_New_Growth_Y3" vbProcedure="false">Assumptions!$C$14</definedName>
    <definedName function="false" hidden="false" name="Auto_New_Growth_Y4" vbProcedure="false">Assumptions!$C$15</definedName>
    <definedName function="false" hidden="false" name="Auto_New_Growth_Y5" vbProcedure="false">Assumptions!$C$16</definedName>
    <definedName function="false" hidden="false" name="Auto_Policies_Y0" vbProcedure="false">Assumptions!$C$11</definedName>
    <definedName function="false" hidden="false" name="Auto_Rate_Increase" vbProcedure="false">Assumptions!$C$19</definedName>
    <definedName function="false" hidden="false" name="BS_AP" vbProcedure="false">Balance_Sheet!$C$23:$G$23</definedName>
    <definedName function="false" hidden="false" name="BS_Prem_Recv" vbProcedure="false">Balance_Sheet!$C$11:$G$11</definedName>
    <definedName function="false" hidden="false" name="BS_Reins_Recv" vbProcedure="false">Balance_Sheet!$C$12:$G$12</definedName>
    <definedName function="false" hidden="false" name="BS_Ret_Earnings" vbProcedure="false">Balance_Sheet!$C$30:$G$30</definedName>
    <definedName function="false" hidden="false" name="BS_Total_Assets" vbProcedure="false">Balance_Sheet!$C$18:$G$18</definedName>
    <definedName function="false" hidden="false" name="BS_Total_Equity" vbProcedure="false">Balance_Sheet!$C$31:$G$31</definedName>
    <definedName function="false" hidden="false" name="BS_Total_LE" vbProcedure="false">Balance_Sheet!$C$33:$G$33</definedName>
    <definedName function="false" hidden="false" name="Capex_Pct_NEP" vbProcedure="false">Assumptions!$C$91</definedName>
    <definedName function="false" hidden="false" name="CA_Prem_Surplus" vbProcedure="false">Capital_Adequacy!$C$14:$G$14</definedName>
    <definedName function="false" hidden="false" name="CA_Surplus_Ratio" vbProcedure="false">Capital_Adequacy!$C$13:$G$13</definedName>
    <definedName function="false" hidden="false" name="Ceded_Pct" vbProcedure="false">Assumptions!$C$42</definedName>
    <definedName function="false" hidden="false" name="CF_Close_Cash" vbProcedure="false">Cash_Flow!$C$35:$G$35</definedName>
    <definedName function="false" hidden="false" name="CR_LAE" vbProcedure="false">Claims_Reserves!$C$24:$G$24</definedName>
    <definedName function="false" hidden="false" name="CR_Paid" vbProcedure="false">Claims_Reserves!$C$30:$G$30</definedName>
    <definedName function="false" hidden="false" name="CR_Res_Close" vbProcedure="false">Claims_Reserves!$C$31:$G$31</definedName>
    <definedName function="false" hidden="false" name="CR_Total_Incurred" vbProcedure="false">Claims_Reserves!$C$23:$G$23</definedName>
    <definedName function="false" hidden="false" name="CR_Total_Losses" vbProcedure="false">Claims_Reserves!$C$25:$G$25</definedName>
    <definedName function="false" hidden="false" name="Dividend_Payout" vbProcedure="false">Assumptions!$C$96</definedName>
    <definedName function="false" hidden="false" name="Equity_Raise_Y1" vbProcedure="false">Assumptions!$C$82</definedName>
    <definedName function="false" hidden="false" name="Equity_Raise_Y3" vbProcedure="false">Assumptions!$C$83</definedName>
    <definedName function="false" hidden="false" name="GA_Pct" vbProcedure="false">Assumptions!$C$73</definedName>
    <definedName function="false" hidden="false" name="Home_Avg_Premium" vbProcedure="false">Assumptions!$C$28</definedName>
    <definedName function="false" hidden="false" name="Home_Lapse_Rate" vbProcedure="false">Assumptions!$C$27</definedName>
    <definedName function="false" hidden="false" name="Home_Loss_Ratio_Y1" vbProcedure="false">Assumptions!$C$51</definedName>
    <definedName function="false" hidden="false" name="Home_Loss_Ratio_Y2" vbProcedure="false">Assumptions!$C$52</definedName>
    <definedName function="false" hidden="false" name="Home_Loss_Ratio_Y3" vbProcedure="false">Assumptions!$C$53</definedName>
    <definedName function="false" hidden="false" name="Home_Loss_Ratio_Y4" vbProcedure="false">Assumptions!$C$54</definedName>
    <definedName function="false" hidden="false" name="Home_Loss_Ratio_Y5" vbProcedure="false">Assumptions!$C$55</definedName>
    <definedName function="false" hidden="false" name="Home_New_Growth_Y1" vbProcedure="false">Assumptions!$C$22</definedName>
    <definedName function="false" hidden="false" name="Home_New_Growth_Y2" vbProcedure="false">Assumptions!$C$23</definedName>
    <definedName function="false" hidden="false" name="Home_New_Growth_Y3" vbProcedure="false">Assumptions!$C$24</definedName>
    <definedName function="false" hidden="false" name="Home_New_Growth_Y4" vbProcedure="false">Assumptions!$C$25</definedName>
    <definedName function="false" hidden="false" name="Home_New_Growth_Y5" vbProcedure="false">Assumptions!$C$26</definedName>
    <definedName function="false" hidden="false" name="Home_Policies_Y0" vbProcedure="false">Assumptions!$C$21</definedName>
    <definedName function="false" hidden="false" name="Home_Rate_Increase" vbProcedure="false">Assumptions!$C$29</definedName>
    <definedName function="false" hidden="false" name="INV_Cash_Inflow" vbProcedure="false">Investments!$C$10:$G$10</definedName>
    <definedName function="false" hidden="false" name="INV_Close" vbProcedure="false">Investments!$C$11:$G$11</definedName>
    <definedName function="false" hidden="false" name="INV_Income" vbProcedure="false">Investments!$C$14:$G$14</definedName>
    <definedName function="false" hidden="false" name="IS_Combined_Ratio" vbProcedure="false">Income_Statement!$C$41:$G$41</definedName>
    <definedName function="false" hidden="false" name="IS_DA" vbProcedure="false">Income_Statement!$C$29:$G$29</definedName>
    <definedName function="false" hidden="false" name="IS_Dividends" vbProcedure="false">Income_Statement!$C$37:$G$37</definedName>
    <definedName function="false" hidden="false" name="IS_Expense_Ratio" vbProcedure="false">Income_Statement!$C$40:$G$40</definedName>
    <definedName function="false" hidden="false" name="IS_Loss_Ratio" vbProcedure="false">Income_Statement!$C$39:$G$39</definedName>
    <definedName function="false" hidden="false" name="IS_Net_Income" vbProcedure="false">Income_Statement!$C$35:$G$35</definedName>
    <definedName function="false" hidden="false" name="IS_Total_Rev" vbProcedure="false">Income_Statement!$C$11:$G$11</definedName>
    <definedName function="false" hidden="false" name="IS_UW_Profit" vbProcedure="false">Income_Statement!$C$27:$G$27</definedName>
    <definedName function="false" hidden="false" name="LAE_Pct" vbProcedure="false">Assumptions!$C$64</definedName>
    <definedName function="false" hidden="false" name="Model_Start_Year" vbProcedure="false">Assumptions!$C$8</definedName>
    <definedName function="false" hidden="false" name="OC_DAC_Amort" vbProcedure="false">Operating_Costs!$C$20:$G$20</definedName>
    <definedName function="false" hidden="false" name="OC_DAC_Close" vbProcedure="false">Operating_Costs!$C$21:$G$21</definedName>
    <definedName function="false" hidden="false" name="OC_DAC_Deferred" vbProcedure="false">Operating_Costs!$C$19:$G$19</definedName>
    <definedName function="false" hidden="false" name="OC_GA" vbProcedure="false">Operating_Costs!$C$11:$G$11</definedName>
    <definedName function="false" hidden="false" name="OC_Policy_Admin" vbProcedure="false">Operating_Costs!$C$12:$G$12</definedName>
    <definedName function="false" hidden="false" name="OC_Regulatory" vbProcedure="false">Operating_Costs!$C$13:$G$13</definedName>
    <definedName function="false" hidden="false" name="OC_Reins_Broker" vbProcedure="false">Operating_Costs!$C$14:$G$14</definedName>
    <definedName function="false" hidden="false" name="OC_Sales_Mkt" vbProcedure="false">Operating_Costs!$C$9:$G$9</definedName>
    <definedName function="false" hidden="false" name="OC_Tech_Eng" vbProcedure="false">Operating_Costs!$C$10:$G$10</definedName>
    <definedName function="false" hidden="false" name="OC_Total" vbProcedure="false">Operating_Costs!$C$15:$G$15</definedName>
    <definedName function="false" hidden="false" name="Opening_Investments" vbProcedure="false">Assumptions!$C$79</definedName>
    <definedName function="false" hidden="false" name="Open_Cash" vbProcedure="false">Assumptions!$C$99</definedName>
    <definedName function="false" hidden="false" name="Open_DAC" vbProcedure="false">Assumptions!$C$102</definedName>
    <definedName function="false" hidden="false" name="Open_Loss_Reserves" vbProcedure="false">Assumptions!$C$105</definedName>
    <definedName function="false" hidden="false" name="Open_Prem_Recv" vbProcedure="false">Assumptions!$C$100</definedName>
    <definedName function="false" hidden="false" name="Open_Reins_Recv" vbProcedure="false">Assumptions!$C$101</definedName>
    <definedName function="false" hidden="false" name="Open_Ret_Earnings" vbProcedure="false">Assumptions!$C$108</definedName>
    <definedName function="false" hidden="false" name="Open_Share_Capital" vbProcedure="false">Assumptions!$C$107</definedName>
    <definedName function="false" hidden="false" name="Open_Software_Depr" vbProcedure="false">Assumptions!$C$104</definedName>
    <definedName function="false" hidden="false" name="Open_Software_Gross" vbProcedure="false">Assumptions!$C$103</definedName>
    <definedName function="false" hidden="false" name="Open_UPR" vbProcedure="false">Assumptions!$C$106</definedName>
    <definedName function="false" hidden="false" name="Payout_Y1" vbProcedure="false">Assumptions!$C$61</definedName>
    <definedName function="false" hidden="false" name="Payout_Y2" vbProcedure="false">Assumptions!$C$62</definedName>
    <definedName function="false" hidden="false" name="Payout_Y3Plus" vbProcedure="false">Assumptions!$C$63</definedName>
    <definedName function="false" hidden="false" name="PB_Auto_GWP" vbProcedure="false">Premium_Build!$C$14:$G$14</definedName>
    <definedName function="false" hidden="false" name="PB_Ceded" vbProcedure="false">Premium_Build!$C$33:$G$33</definedName>
    <definedName function="false" hidden="false" name="PB_Home_GWP" vbProcedure="false">Premium_Build!$C$22:$G$22</definedName>
    <definedName function="false" hidden="false" name="PB_NEP" vbProcedure="false">Premium_Build!$C$42:$G$42</definedName>
    <definedName function="false" hidden="false" name="PB_NWP" vbProcedure="false">Premium_Build!$C$34:$G$34</definedName>
    <definedName function="false" hidden="false" name="PB_Rent_GWP" vbProcedure="false">Premium_Build!$C$30:$G$30</definedName>
    <definedName function="false" hidden="false" name="PB_Total_GWP" vbProcedure="false">Premium_Build!$C$32:$G$32</definedName>
    <definedName function="false" hidden="false" name="PB_Total_PIF" vbProcedure="false">Premium_Build!$C$45:$G$45</definedName>
    <definedName function="false" hidden="false" name="PB_UPR_Close" vbProcedure="false">Premium_Build!$C$40:$G$40</definedName>
    <definedName function="false" hidden="false" name="PB_UPR_Open" vbProcedure="false">Premium_Build!$C$37:$G$37</definedName>
    <definedName function="false" hidden="false" name="Policy_Admin_Pct" vbProcedure="false">Assumptions!$C$74</definedName>
    <definedName function="false" hidden="false" name="Portfolio_Yield" vbProcedure="false">Assumptions!$C$78</definedName>
    <definedName function="false" hidden="false" name="Prem_Recv_Days" vbProcedure="false">Assumptions!$C$109</definedName>
    <definedName function="false" hidden="false" name="RBC_Factor" vbProcedure="false">Assumptions!$C$88</definedName>
    <definedName function="false" hidden="false" name="Regulatory_Pct" vbProcedure="false">Assumptions!$C$75</definedName>
    <definedName function="false" hidden="false" name="Reins_Broker_Fee" vbProcedure="false">Assumptions!$C$43</definedName>
    <definedName function="false" hidden="false" name="Rent_Avg_Premium" vbProcedure="false">Assumptions!$C$38</definedName>
    <definedName function="false" hidden="false" name="Rent_Lapse_Rate" vbProcedure="false">Assumptions!$C$37</definedName>
    <definedName function="false" hidden="false" name="Rent_Loss_Ratio_Y1" vbProcedure="false">Assumptions!$C$56</definedName>
    <definedName function="false" hidden="false" name="Rent_Loss_Ratio_Y2" vbProcedure="false">Assumptions!$C$57</definedName>
    <definedName function="false" hidden="false" name="Rent_Loss_Ratio_Y3" vbProcedure="false">Assumptions!$C$58</definedName>
    <definedName function="false" hidden="false" name="Rent_Loss_Ratio_Y4" vbProcedure="false">Assumptions!$C$59</definedName>
    <definedName function="false" hidden="false" name="Rent_Loss_Ratio_Y5" vbProcedure="false">Assumptions!$C$60</definedName>
    <definedName function="false" hidden="false" name="Rent_New_Growth_Y1" vbProcedure="false">Assumptions!$C$32</definedName>
    <definedName function="false" hidden="false" name="Rent_New_Growth_Y2" vbProcedure="false">Assumptions!$C$33</definedName>
    <definedName function="false" hidden="false" name="Rent_New_Growth_Y3" vbProcedure="false">Assumptions!$C$34</definedName>
    <definedName function="false" hidden="false" name="Rent_New_Growth_Y4" vbProcedure="false">Assumptions!$C$35</definedName>
    <definedName function="false" hidden="false" name="Rent_New_Growth_Y5" vbProcedure="false">Assumptions!$C$36</definedName>
    <definedName function="false" hidden="false" name="Rent_Policies_Y0" vbProcedure="false">Assumptions!$C$31</definedName>
    <definedName function="false" hidden="false" name="Rent_Rate_Increase" vbProcedure="false">Assumptions!$C$39</definedName>
    <definedName function="false" hidden="false" name="Sales_Mkt_Pct_Y1" vbProcedure="false">Assumptions!$C$67</definedName>
    <definedName function="false" hidden="false" name="Sales_Mkt_Pct_Y2" vbProcedure="false">Assumptions!$C$68</definedName>
    <definedName function="false" hidden="false" name="Sales_Mkt_Pct_Y3" vbProcedure="false">Assumptions!$C$69</definedName>
    <definedName function="false" hidden="false" name="Sales_Mkt_Pct_Y4" vbProcedure="false">Assumptions!$C$70</definedName>
    <definedName function="false" hidden="false" name="Sales_Mkt_Pct_Y5" vbProcedure="false">Assumptions!$C$71</definedName>
    <definedName function="false" hidden="false" name="Software_Life" vbProcedure="false">Assumptions!$C$92</definedName>
    <definedName function="false" hidden="false" name="Surplus_Note" vbProcedure="false">Assumptions!$C$84</definedName>
    <definedName function="false" hidden="false" name="Surplus_Note_Rate" vbProcedure="false">Assumptions!$C$85</definedName>
    <definedName function="false" hidden="false" name="Target_RBC_Ratio" vbProcedure="false">Assumptions!$C$87</definedName>
    <definedName function="false" hidden="false" name="Tax_Rate" vbProcedure="false">Assumptions!$C$95</definedName>
    <definedName function="false" hidden="false" name="Tech_Eng_Pct" vbProcedure="false">Assumptions!$C$72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<sst xmlns="http://schemas.openxmlformats.org/spreadsheetml/2006/main" count="538" uniqueCount="357">
  <si>
    <t xml:space="preserve">InsurTech Financial Model</t>
  </si>
  <si>
    <t xml:space="preserve">FINAMODEL.com</t>
  </si>
  <si>
    <t xml:space="preserve">Full-Stack Digital P&amp;C Carrier</t>
  </si>
  <si>
    <t xml:space="preserve">Company Name</t>
  </si>
  <si>
    <t xml:space="preserve">[Company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</si>
  <si>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</si>
  <si>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</si>
  <si>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</si>
  <si>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</si>
  <si>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</si>
  <si>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</si>
  <si>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</si>
  <si>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</si>
  <si>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</si>
  <si>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Premium_Build</t>
  </si>
  <si>
    <t xml:space="preserve">Policy roll-forward, GWP, NWP, NEP</t>
  </si>
  <si>
    <t xml:space="preserve">Claims_Reserves</t>
  </si>
  <si>
    <t xml:space="preserve">Incurred losses, paid claims, reserves</t>
  </si>
  <si>
    <t xml:space="preserve">Operating_Costs</t>
  </si>
  <si>
    <t xml:space="preserve">Underwriting expenses and DAC</t>
  </si>
  <si>
    <t xml:space="preserve">Investments</t>
  </si>
  <si>
    <t xml:space="preserve">Float and investment income</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</si>
  <si>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</si>
  <si>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</si>
  <si>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</si>
  <si>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</si>
  <si>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</si>
  <si>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</si>
  <si>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Capital_Adequacy</t>
  </si>
  <si>
    <t xml:space="preserve">RBC and surplus analysis</t>
  </si>
  <si>
    <t xml:space="preserve">KPIs</t>
  </si>
  <si>
    <t xml:space="preserve">Key performance indicators</t>
  </si>
  <si>
    <t xml:space="preserve">Checks</t>
  </si>
  <si>
    <t xml:space="preserve">Validation and integrity checks</t>
  </si>
  <si>
    <t xml:space="preserve">Tab Colour Legend</t>
  </si>
  <si>
    <t xml:space="preserve">Dark Blue</t>
  </si>
  <si>
    <t xml:space="preserve">Cover</t>
  </si>
  <si>
    <t xml:space="preserve">Light Blue</t>
  </si>
  <si>
    <t xml:space="preserve">Assumptions / Inputs</t>
  </si>
  <si>
    <t xml:space="preserve">Green</t>
  </si>
  <si>
    <t xml:space="preserve">Revenue &amp; Premium Drivers</t>
  </si>
  <si>
    <t xml:space="preserve">Orange</t>
  </si>
  <si>
    <t xml:space="preserve">Cost &amp; Claims Schedules</t>
  </si>
  <si>
    <t xml:space="preserve">Grey</t>
  </si>
  <si>
    <t xml:space="preserve">Financial Statements</t>
  </si>
  <si>
    <t xml:space="preserve">Red</t>
  </si>
  <si>
    <t xml:space="preserve">Capital &amp; Risk</t>
  </si>
  <si>
    <t xml:space="preserve">Purple</t>
  </si>
  <si>
    <t xml:space="preserve">KPIs &amp; Checks</t>
  </si>
  <si>
    <t xml:space="preserve">About this model</t>
  </si>
  <si>
    <t xml:space="preserve">This operating model forecasts InsurTech profitability by projecting premium volume growth across distribution channels, calculating underwriting and administrative expense ratios, forecasting loss ratios and loss adjustment expenses, and computing investment income from premium float. Answer: can the platform sustain combined ratios &lt;100% and generate positive underwriting profit while scaling customer acquisition?
The workbook builds premium revenue from multiple lines of business (auto, home, specialty) and channels (direct digital, partner distribution, B2B). Customer acquisition cost (CAC) targets: Year 1â2 Â£100â200 per customer for digital, declining with scale. Loss ratio (incurred losses / premiums) by line: auto 65â75%, home 60â70%, specialty 55â75%. LAE (loss adjustment expense) 8â12% of premium. Commissions and admin expenses 20â25% of premium. Investment income on premium float (float earning yield on treasury + credit investments). Combined ratio (losses+LAE+expenses / premium) must stay &lt;95â100% for sustainability. Breakeven premium scale: typically Â£50Mâ100M annual premium depending on loss experience and expense run-rate.
Used by InsurTech founders raising Series A/B funding, PE sponsors acquiring digital insurance platforms, and traditional carriers evaluating digital strategies. The model reveals the capital intensity of customer acquisition (CAC payback 2â4 years depending on retention) and sensitivity to loss ratio assumptions (1% change in loss ratio impacts combined ratio by 1pp, often wiping out profitability). Premium float investment income is material (2â3% annually), but growth phase companies often spend float on marketing rather than retaining for investment. Benchmarks: Lemonade (underwriting loss offset by investment income), Root, Oscarâall targeting sub-100% combined ratios at scale.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</si>
  <si>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</si>
  <si>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</si>
  <si>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</si>
  <si>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</si>
  <si>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</si>
  <si>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</si>
  <si>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</si>
  <si>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</si>
  <si>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</si>
  <si>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</si>
  <si>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</si>
  <si>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</si>
  <si>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Auto Insurance</t>
  </si>
  <si>
    <t xml:space="preserve">Policies in Force (Y0)</t>
  </si>
  <si>
    <t xml:space="preserve">policies</t>
  </si>
  <si>
    <t xml:space="preserve">Opening book</t>
  </si>
  <si>
    <t xml:space="preserve">New Policy Growth Y1</t>
  </si>
  <si>
    <t xml:space="preserve">%</t>
  </si>
  <si>
    <t xml:space="preserve">Aggressive digital acquisition</t>
  </si>
  <si>
    <t xml:space="preserve">New Policy Growth Y2</t>
  </si>
  <si>
    <t xml:space="preserve">Scaling channels</t>
  </si>
  <si>
    <t xml:space="preserve">New Policy Growth Y3</t>
  </si>
  <si>
    <t xml:space="preserve">Maturing market position</t>
  </si>
  <si>
    <t xml:space="preserve">New Policy Growth Y4</t>
  </si>
  <si>
    <t xml:space="preserve">Steady state growth</t>
  </si>
  <si>
    <t xml:space="preserve">New Policy Growth Y5</t>
  </si>
  <si>
    <t xml:space="preserve">Lapse Rate</t>
  </si>
  <si>
    <t xml:space="preserve">Annual non-renewal rate</t>
  </si>
  <si>
    <t xml:space="preserve">Average Premium (Y0)</t>
  </si>
  <si>
    <t xml:space="preserve">$</t>
  </si>
  <si>
    <t xml:space="preserve">Per policy per annum</t>
  </si>
  <si>
    <t xml:space="preserve">Annual Rate Increase</t>
  </si>
  <si>
    <t xml:space="preserve">Actuarial rate filing</t>
  </si>
  <si>
    <t xml:space="preserve">Homeowners Insurance</t>
  </si>
  <si>
    <t xml:space="preserve">Cross-sell from auto</t>
  </si>
  <si>
    <t xml:space="preserve">Embedded partnerships</t>
  </si>
  <si>
    <t xml:space="preserve">Maturing</t>
  </si>
  <si>
    <t xml:space="preserve">Steady state</t>
  </si>
  <si>
    <t xml:space="preserve">Lower churn, mortgage-tied</t>
  </si>
  <si>
    <t xml:space="preserve">CAT exposure adjustment</t>
  </si>
  <si>
    <t xml:space="preserve">Renters Insurance</t>
  </si>
  <si>
    <t xml:space="preserve">High digital adoption</t>
  </si>
  <si>
    <t xml:space="preserve">API partnerships</t>
  </si>
  <si>
    <t xml:space="preserve">Scaling</t>
  </si>
  <si>
    <t xml:space="preserve">Higher turnover, lease-driven</t>
  </si>
  <si>
    <t xml:space="preserve">Low-value, competitive</t>
  </si>
  <si>
    <t xml:space="preserve">Reinsurance</t>
  </si>
  <si>
    <t xml:space="preserve">Ceded Premium %</t>
  </si>
  <si>
    <t xml:space="preserve">Quota share + excess of loss</t>
  </si>
  <si>
    <t xml:space="preserve">Reinsurance Broker Fee</t>
  </si>
  <si>
    <t xml:space="preserve">% of ceded premium</t>
  </si>
  <si>
    <t xml:space="preserve">Loss &amp; Claims</t>
  </si>
  <si>
    <t xml:space="preserve">Auto Loss Ratio Y1</t>
  </si>
  <si>
    <t xml:space="preserve">Early book, improving</t>
  </si>
  <si>
    <t xml:space="preserve">Auto Loss Ratio Y2</t>
  </si>
  <si>
    <t xml:space="preserve">Risk selection improvement</t>
  </si>
  <si>
    <t xml:space="preserve">Auto Loss Ratio Y3</t>
  </si>
  <si>
    <t xml:space="preserve">ML pricing maturation</t>
  </si>
  <si>
    <t xml:space="preserve">Auto Loss Ratio Y4</t>
  </si>
  <si>
    <t xml:space="preserve">Seasoned portfolio</t>
  </si>
  <si>
    <t xml:space="preserve">Auto Loss Ratio Y5</t>
  </si>
  <si>
    <t xml:space="preserve">Target steady state</t>
  </si>
  <si>
    <t xml:space="preserve">Home Loss Ratio Y1</t>
  </si>
  <si>
    <t xml:space="preserve">CAT-exposed line</t>
  </si>
  <si>
    <t xml:space="preserve">Home Loss Ratio Y2</t>
  </si>
  <si>
    <t xml:space="preserve">Better risk scoring</t>
  </si>
  <si>
    <t xml:space="preserve">Home Loss Ratio Y3</t>
  </si>
  <si>
    <t xml:space="preserve">Portfolio seasoning</t>
  </si>
  <si>
    <t xml:space="preserve">Home Loss Ratio Y4</t>
  </si>
  <si>
    <t xml:space="preserve">Mature underwriting</t>
  </si>
  <si>
    <t xml:space="preserve">Home Loss Ratio Y5</t>
  </si>
  <si>
    <t xml:space="preserve">Renters Loss Ratio Y1</t>
  </si>
  <si>
    <t xml:space="preserve">Low severity line</t>
  </si>
  <si>
    <t xml:space="preserve">Renters Loss Ratio Y2</t>
  </si>
  <si>
    <t xml:space="preserve">Improving selection</t>
  </si>
  <si>
    <t xml:space="preserve">Renters Loss Ratio Y3</t>
  </si>
  <si>
    <t xml:space="preserve">Mature</t>
  </si>
  <si>
    <t xml:space="preserve">Renters Loss Ratio Y4</t>
  </si>
  <si>
    <t xml:space="preserve">Stable</t>
  </si>
  <si>
    <t xml:space="preserve">Renters Loss Ratio Y5</t>
  </si>
  <si>
    <t xml:space="preserve">Claim Payout Y1</t>
  </si>
  <si>
    <t xml:space="preserve">Paid in year of incurrence</t>
  </si>
  <si>
    <t xml:space="preserve">Claim Payout Y2</t>
  </si>
  <si>
    <t xml:space="preserve">Paid in following year</t>
  </si>
  <si>
    <t xml:space="preserve">Claim Payout Y3+</t>
  </si>
  <si>
    <t xml:space="preserve">Tail payments</t>
  </si>
  <si>
    <t xml:space="preserve">LAE % of Incurred</t>
  </si>
  <si>
    <t xml:space="preserve">Loss adjustment expenses</t>
  </si>
  <si>
    <t xml:space="preserve">Operating Expenses</t>
  </si>
  <si>
    <t xml:space="preserve">Sales &amp; Marketing Y1</t>
  </si>
  <si>
    <t xml:space="preserve">% of GWP, heavy growth spend</t>
  </si>
  <si>
    <t xml:space="preserve">Sales &amp; Marketing Y2</t>
  </si>
  <si>
    <t xml:space="preserve">Improving efficiency</t>
  </si>
  <si>
    <t xml:space="preserve">Sales &amp; Marketing Y3</t>
  </si>
  <si>
    <t xml:space="preserve">Scale benefits</t>
  </si>
  <si>
    <t xml:space="preserve">Sales &amp; Marketing Y4</t>
  </si>
  <si>
    <t xml:space="preserve">Mature acquisition</t>
  </si>
  <si>
    <t xml:space="preserve">Sales &amp; Marketing Y5</t>
  </si>
  <si>
    <t xml:space="preserve">Technology &amp; Engineering</t>
  </si>
  <si>
    <t xml:space="preserve">% of NEP</t>
  </si>
  <si>
    <t xml:space="preserve">General &amp; Admin</t>
  </si>
  <si>
    <t xml:space="preserve">Policy Administration</t>
  </si>
  <si>
    <t xml:space="preserve">Regulatory &amp; Compliance</t>
  </si>
  <si>
    <t xml:space="preserve">Portfolio Yield</t>
  </si>
  <si>
    <t xml:space="preserve">Blended fixed income yield</t>
  </si>
  <si>
    <t xml:space="preserve">Opening Investments</t>
  </si>
  <si>
    <t xml:space="preserve">Year 0 invested assets</t>
  </si>
  <si>
    <t xml:space="preserve">Capital &amp; Funding</t>
  </si>
  <si>
    <t xml:space="preserve">Equity Raise Y1</t>
  </si>
  <si>
    <t xml:space="preserve">Series C round</t>
  </si>
  <si>
    <t xml:space="preserve">Equity Raise Y3</t>
  </si>
  <si>
    <t xml:space="preserve">Pre-IPO round</t>
  </si>
  <si>
    <t xml:space="preserve">Surplus Note</t>
  </si>
  <si>
    <t xml:space="preserve">Regulatory capital instrument</t>
  </si>
  <si>
    <t xml:space="preserve">Surplus Note Rate</t>
  </si>
  <si>
    <t xml:space="preserve">Annual coupon</t>
  </si>
  <si>
    <t xml:space="preserve">Surplus Note Tenor</t>
  </si>
  <si>
    <t xml:space="preserve">years</t>
  </si>
  <si>
    <t xml:space="preserve">Maturity (no amort in window)</t>
  </si>
  <si>
    <t xml:space="preserve">Target RBC Ratio</t>
  </si>
  <si>
    <t xml:space="preserve">x</t>
  </si>
  <si>
    <t xml:space="preserve">300-400% minimum</t>
  </si>
  <si>
    <t xml:space="preserve">RBC Factor</t>
  </si>
  <si>
    <t xml:space="preserve">Simplified NWP-based</t>
  </si>
  <si>
    <t xml:space="preserve">Technology Capex</t>
  </si>
  <si>
    <t xml:space="preserve">Capex % of NEP</t>
  </si>
  <si>
    <t xml:space="preserve">Capitalised software dev</t>
  </si>
  <si>
    <t xml:space="preserve">Software Useful Life</t>
  </si>
  <si>
    <t xml:space="preserve">Straight-line amortisation</t>
  </si>
  <si>
    <t xml:space="preserve">Tax &amp; Distributions</t>
  </si>
  <si>
    <t xml:space="preserve">Tax Rate</t>
  </si>
  <si>
    <t xml:space="preserve">US corporate rate</t>
  </si>
  <si>
    <t xml:space="preserve">Dividend Payout Ratio</t>
  </si>
  <si>
    <t xml:space="preserve">Growth phase, no dividends</t>
  </si>
  <si>
    <t xml:space="preserve">Opening Balances (Year 0)</t>
  </si>
  <si>
    <t xml:space="preserve">Cash</t>
  </si>
  <si>
    <t xml:space="preserve">Premium Receivables</t>
  </si>
  <si>
    <t xml:space="preserve">Reinsurance Recoverables</t>
  </si>
  <si>
    <t xml:space="preserve">Deferred Acquisition Costs</t>
  </si>
  <si>
    <t xml:space="preserve">Software (Gross)</t>
  </si>
  <si>
    <t xml:space="preserve">Software Accum. Depr.</t>
  </si>
  <si>
    <t xml:space="preserve">Loss Reserves</t>
  </si>
  <si>
    <t xml:space="preserve">Unearned Premium Reserve</t>
  </si>
  <si>
    <t xml:space="preserve">Share Capital</t>
  </si>
  <si>
    <t xml:space="preserve">Cumulative equity raised</t>
  </si>
  <si>
    <t xml:space="preserve">Retained Earnings</t>
  </si>
  <si>
    <t xml:space="preserve">Accumulated losses</t>
  </si>
  <si>
    <t xml:space="preserve">Premium Receivable Days</t>
  </si>
  <si>
    <t xml:space="preserve">days</t>
  </si>
  <si>
    <t xml:space="preserve">Digital billing speed</t>
  </si>
  <si>
    <t xml:space="preserve">Premium Build</t>
  </si>
  <si>
    <t xml:space="preserve">Policy &amp; Premium Projections</t>
  </si>
  <si>
    <t xml:space="preserve">Year #</t>
  </si>
  <si>
    <t xml:space="preserve">Opening Policies</t>
  </si>
  <si>
    <t xml:space="preserve">New Policies</t>
  </si>
  <si>
    <t xml:space="preserve">Lapsed Policies</t>
  </si>
  <si>
    <t xml:space="preserve">Closing Policies</t>
  </si>
  <si>
    <t xml:space="preserve">Average Premium</t>
  </si>
  <si>
    <t xml:space="preserve">Auto GWP</t>
  </si>
  <si>
    <t xml:space="preserve">Home GWP</t>
  </si>
  <si>
    <t xml:space="preserve">Renters GWP</t>
  </si>
  <si>
    <t xml:space="preserve">TOTAL GWP</t>
  </si>
  <si>
    <t xml:space="preserve">Ceded Reinsurance</t>
  </si>
  <si>
    <t xml:space="preserve">NET WRITTEN PREMIUM</t>
  </si>
  <si>
    <t xml:space="preserve">Opening UPR</t>
  </si>
  <si>
    <t xml:space="preserve">NWP Written</t>
  </si>
  <si>
    <t xml:space="preserve">Premium Earned</t>
  </si>
  <si>
    <t xml:space="preserve">Closing UPR</t>
  </si>
  <si>
    <t xml:space="preserve">NET EARNED PREMIUM</t>
  </si>
  <si>
    <t xml:space="preserve">GWP Growth</t>
  </si>
  <si>
    <t xml:space="preserve">Total Policies in Force</t>
  </si>
  <si>
    <t xml:space="preserve">Claims &amp; Reserves</t>
  </si>
  <si>
    <t xml:space="preserve">Loss Development</t>
  </si>
  <si>
    <t xml:space="preserve">Auto Insurance Losses</t>
  </si>
  <si>
    <t xml:space="preserve">Auto NEP (prorated)</t>
  </si>
  <si>
    <t xml:space="preserve">Loss Ratio</t>
  </si>
  <si>
    <t xml:space="preserve">Incurred Losses</t>
  </si>
  <si>
    <t xml:space="preserve">Homeowners Losses</t>
  </si>
  <si>
    <t xml:space="preserve">Home NEP (prorated)</t>
  </si>
  <si>
    <t xml:space="preserve">Renters Losses</t>
  </si>
  <si>
    <t xml:space="preserve">Renters NEP (prorated)</t>
  </si>
  <si>
    <t xml:space="preserve">TOTAL INCURRED</t>
  </si>
  <si>
    <t xml:space="preserve">Loss Adjustment Expenses</t>
  </si>
  <si>
    <t xml:space="preserve">TOTAL LOSSES &amp; LAE</t>
  </si>
  <si>
    <t xml:space="preserve">Loss Reserve Roll-Forward</t>
  </si>
  <si>
    <t xml:space="preserve">Opening Reserves</t>
  </si>
  <si>
    <t xml:space="preserve">Incurred (addition)</t>
  </si>
  <si>
    <t xml:space="preserve">Paid Claims</t>
  </si>
  <si>
    <t xml:space="preserve">Closing Reserves</t>
  </si>
  <si>
    <t xml:space="preserve">Operating Costs</t>
  </si>
  <si>
    <t xml:space="preserve">Underwriting Expenses</t>
  </si>
  <si>
    <t xml:space="preserve">Sales &amp; Marketing</t>
  </si>
  <si>
    <t xml:space="preserve">Reinsurance Brokerage</t>
  </si>
  <si>
    <t xml:space="preserve">TOTAL OPERATING COSTS</t>
  </si>
  <si>
    <t xml:space="preserve">Opening DAC</t>
  </si>
  <si>
    <t xml:space="preserve">Costs Deferred</t>
  </si>
  <si>
    <t xml:space="preserve">DAC Amortised</t>
  </si>
  <si>
    <t xml:space="preserve">Closing DAC</t>
  </si>
  <si>
    <t xml:space="preserve">Expense Ratio</t>
  </si>
  <si>
    <t xml:space="preserve">Float &amp; Investment Income</t>
  </si>
  <si>
    <t xml:space="preserve">Investment Portfolio</t>
  </si>
  <si>
    <t xml:space="preserve">Net Cash Inflow</t>
  </si>
  <si>
    <t xml:space="preserve">Closing Investments</t>
  </si>
  <si>
    <t xml:space="preserve">Average Investments</t>
  </si>
  <si>
    <t xml:space="preserve">INVESTMENT INCOME</t>
  </si>
  <si>
    <t xml:space="preserve">Income Statement</t>
  </si>
  <si>
    <t xml:space="preserve">Revenue</t>
  </si>
  <si>
    <t xml:space="preserve">Net Earned Premium</t>
  </si>
  <si>
    <t xml:space="preserve">Investment Income</t>
  </si>
  <si>
    <t xml:space="preserve">TOTAL REVENUE</t>
  </si>
  <si>
    <t xml:space="preserve">Underwriting Costs</t>
  </si>
  <si>
    <t xml:space="preserve">Total Claims Cost</t>
  </si>
  <si>
    <t xml:space="preserve">Total Operating Expenses</t>
  </si>
  <si>
    <t xml:space="preserve">Underwriting Profit</t>
  </si>
  <si>
    <t xml:space="preserve">EBITDA</t>
  </si>
  <si>
    <t xml:space="preserve">Depreciation &amp; Amort.</t>
  </si>
  <si>
    <t xml:space="preserve">EBIT</t>
  </si>
  <si>
    <t xml:space="preserve">Interest Expense</t>
  </si>
  <si>
    <t xml:space="preserve">Earnings Before Tax</t>
  </si>
  <si>
    <t xml:space="preserve">Income Tax</t>
  </si>
  <si>
    <t xml:space="preserve">NET INCOME</t>
  </si>
  <si>
    <t xml:space="preserve">Dividends</t>
  </si>
  <si>
    <t xml:space="preserve">Combined Ratio</t>
  </si>
  <si>
    <t xml:space="preserve">Net Margin</t>
  </si>
  <si>
    <t xml:space="preserve">Balance Sheet</t>
  </si>
  <si>
    <t xml:space="preserve">Assets</t>
  </si>
  <si>
    <t xml:space="preserve">Accum. Depreciation</t>
  </si>
  <si>
    <t xml:space="preserve">Software (Net)</t>
  </si>
  <si>
    <t xml:space="preserve">TOTAL ASSETS</t>
  </si>
  <si>
    <t xml:space="preserve">Liabilities</t>
  </si>
  <si>
    <t xml:space="preserve">Accounts Payable</t>
  </si>
  <si>
    <t xml:space="preserve">TOTAL LIABILITIES</t>
  </si>
  <si>
    <t xml:space="preserve">Equity</t>
  </si>
  <si>
    <t xml:space="preserve">TOTAL EQUITY</t>
  </si>
  <si>
    <t xml:space="preserve">TOTAL LIABILITIES &amp; EQUITY</t>
  </si>
  <si>
    <t xml:space="preserve">Balance Check</t>
  </si>
  <si>
    <t xml:space="preserve">Cash Flow Statement</t>
  </si>
  <si>
    <t xml:space="preserve">Indirect Method</t>
  </si>
  <si>
    <t xml:space="preserve">Cash from Operations</t>
  </si>
  <si>
    <t xml:space="preserve">Net Income</t>
  </si>
  <si>
    <t xml:space="preserve">DAC Amortisation</t>
  </si>
  <si>
    <t xml:space="preserve">Change in Loss Reserves</t>
  </si>
  <si>
    <t xml:space="preserve">Change in UPR</t>
  </si>
  <si>
    <t xml:space="preserve">Change in Reins. Recv.</t>
  </si>
  <si>
    <t xml:space="preserve">Change in Prem. Recv.</t>
  </si>
  <si>
    <t xml:space="preserve">Change in Payables</t>
  </si>
  <si>
    <t xml:space="preserve">DAC Costs Deferred</t>
  </si>
  <si>
    <t xml:space="preserve">CASH FROM OPERATIONS</t>
  </si>
  <si>
    <t xml:space="preserve">Cash from Investing</t>
  </si>
  <si>
    <t xml:space="preserve">Software Capex</t>
  </si>
  <si>
    <t xml:space="preserve">Investment Portfolio Change</t>
  </si>
  <si>
    <t xml:space="preserve">CASH FROM INVESTING</t>
  </si>
  <si>
    <t xml:space="preserve">Cash from Financing</t>
  </si>
  <si>
    <t xml:space="preserve">Equity Raises</t>
  </si>
  <si>
    <t xml:space="preserve">Debt Proceeds</t>
  </si>
  <si>
    <t xml:space="preserve">Debt Repayment</t>
  </si>
  <si>
    <t xml:space="preserve">Dividends Paid</t>
  </si>
  <si>
    <t xml:space="preserve">CASH FROM FINANCING</t>
  </si>
  <si>
    <t xml:space="preserve">NET CHANGE IN CASH</t>
  </si>
  <si>
    <t xml:space="preserve">Opening Cash</t>
  </si>
  <si>
    <t xml:space="preserve">Closing Cash</t>
  </si>
  <si>
    <t xml:space="preserve">Capital Adequacy</t>
  </si>
  <si>
    <t xml:space="preserve">Regulatory Capital Analysis</t>
  </si>
  <si>
    <t xml:space="preserve">Capital Requirements</t>
  </si>
  <si>
    <t xml:space="preserve">Net Written Premium</t>
  </si>
  <si>
    <t xml:space="preserve">Required Capital</t>
  </si>
  <si>
    <t xml:space="preserve">Available Surplus</t>
  </si>
  <si>
    <t xml:space="preserve">Surplus Ratio</t>
  </si>
  <si>
    <t xml:space="preserve">Premium to Surplus</t>
  </si>
  <si>
    <t xml:space="preserve">Dividend Capacity</t>
  </si>
  <si>
    <t xml:space="preserve">Key Performance Indicators</t>
  </si>
  <si>
    <t xml:space="preserve">Summary Metrics</t>
  </si>
  <si>
    <t xml:space="preserve">Underwriting Performance</t>
  </si>
  <si>
    <t xml:space="preserve">Growth Metrics</t>
  </si>
  <si>
    <t xml:space="preserve">Gross Written Premium</t>
  </si>
  <si>
    <t xml:space="preserve">Policies in Force</t>
  </si>
  <si>
    <t xml:space="preserve">PIF Growth</t>
  </si>
  <si>
    <t xml:space="preserve">Profitability</t>
  </si>
  <si>
    <t xml:space="preserve">Return on Equity</t>
  </si>
  <si>
    <t xml:space="preserve">Capital Metrics</t>
  </si>
  <si>
    <t xml:space="preserve">Investment Yield</t>
  </si>
  <si>
    <t xml:space="preserve">Validation Checks</t>
  </si>
  <si>
    <t xml:space="preserve">Model Integrity</t>
  </si>
  <si>
    <t xml:space="preserve">BS Balance Check</t>
  </si>
  <si>
    <t xml:space="preserve">Combined Ratio 80-130%</t>
  </si>
  <si>
    <t xml:space="preserve">Prem/Surplus &lt; 3.0x</t>
  </si>
  <si>
    <t xml:space="preserve">Cash &gt;= 0</t>
  </si>
  <si>
    <t xml:space="preserve">Reserves &gt;= 0</t>
  </si>
  <si>
    <t xml:space="preserve">RE Roll-Forward</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</si>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</sst>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0"/>
    <numFmt numFmtId="166" formatCode="0.00%"/>
    <numFmt numFmtId="167" formatCode="0"/>
    <numFmt numFmtId="168" formatCode="\$#,##0.00"/>
    <numFmt numFmtId="169" formatCode="0.00\x"/>
    <numFmt numFmtId="170"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7030A0"/>
        <bgColor rgb="FF993366"/>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12" fillId="10" borderId="0" xfId="0" applyFont="true" applyBorder="false" applyAlignment="true" applyProtection="false">
      <alignment horizontal="left" vertical="center" textRotation="0" wrapText="false" indent="0" shrinkToFit="false"/>
      <protection locked="true" hidden="false"/>
    </xf>
    <xf numFmtId="164" fontId="13" fillId="1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1"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1" borderId="0" xfId="0" applyFont="true" applyBorder="false" applyAlignment="true" applyProtection="false">
      <alignment horizontal="right"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2"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3"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6"/>
      <c r="C22" s="6"/>
      <c r="D22" s="6"/>
    </row>
    <row r="23" customFormat="false" ht="15" hidden="false" customHeight="false" outlineLevel="0" collapsed="false">
      <c r="A23" s="6"/>
      <c r="B23" s="9" t="s">
        <v>34</v>
      </c>
      <c r="C23" s="10"/>
      <c r="D23" s="10"/>
    </row>
    <row r="24" customFormat="false" ht="15" hidden="false" customHeight="false" outlineLevel="0" collapsed="false">
      <c r="A24" s="6"/>
      <c r="B24" s="7" t="s">
        <v>35</v>
      </c>
      <c r="C24" s="8" t="s">
        <v>36</v>
      </c>
      <c r="D24" s="11"/>
    </row>
    <row r="25" customFormat="false" ht="15" hidden="false" customHeight="false" outlineLevel="0" collapsed="false">
      <c r="A25" s="6"/>
      <c r="B25" s="7" t="s">
        <v>37</v>
      </c>
      <c r="C25" s="8" t="s">
        <v>38</v>
      </c>
      <c r="D25" s="12"/>
    </row>
    <row r="26" customFormat="false" ht="15" hidden="false" customHeight="false" outlineLevel="0" collapsed="false">
      <c r="A26" s="6"/>
      <c r="B26" s="7" t="s">
        <v>39</v>
      </c>
      <c r="C26" s="8" t="s">
        <v>40</v>
      </c>
      <c r="D26" s="13"/>
    </row>
    <row r="27" customFormat="false" ht="15" hidden="false" customHeight="false" outlineLevel="0" collapsed="false">
      <c r="A27" s="6"/>
      <c r="B27" s="7" t="s">
        <v>41</v>
      </c>
      <c r="C27" s="8" t="s">
        <v>42</v>
      </c>
      <c r="D27" s="14"/>
    </row>
    <row r="28" customFormat="false" ht="15" hidden="false" customHeight="false" outlineLevel="0" collapsed="false">
      <c r="A28" s="6"/>
      <c r="B28" s="7" t="s">
        <v>43</v>
      </c>
      <c r="C28" s="8" t="s">
        <v>44</v>
      </c>
      <c r="D28" s="15"/>
    </row>
    <row r="29" customFormat="false" ht="15" hidden="false" customHeight="false" outlineLevel="0" collapsed="false">
      <c r="A29" s="6"/>
      <c r="B29" s="7" t="s">
        <v>45</v>
      </c>
      <c r="C29" s="8" t="s">
        <v>46</v>
      </c>
      <c r="D29" s="16"/>
    </row>
    <row r="30" customFormat="false" ht="15" hidden="false" customHeight="false" outlineLevel="0" collapsed="false">
      <c r="A30" s="6"/>
      <c r="B30" s="7" t="s">
        <v>47</v>
      </c>
      <c r="C30" s="8" t="s">
        <v>48</v>
      </c>
      <c r="D30" s="17"/>
    </row>
    <row r="33" customFormat="false" ht="19.5" hidden="false" customHeight="true" outlineLevel="0" collapsed="false">
      <c r="B33" s="18" t="s">
        <v>49</v>
      </c>
      <c r="C33" s="19"/>
      <c r="D33" s="19"/>
      <c r="E33" s="19"/>
      <c r="F33" s="19"/>
      <c r="G33" s="19"/>
    </row>
    <row r="34" customFormat="false" ht="258.75" hidden="false" customHeight="true" outlineLevel="0" collapsed="false">
      <c r="B34" s="20" t="s">
        <v>50</v>
      </c>
      <c r="C34" s="20"/>
      <c r="D34" s="20"/>
      <c r="E34" s="20"/>
      <c r="F34" s="20"/>
      <c r="G34" s="20"/>
    </row>
    <row r="36" customFormat="false" ht="19.5" hidden="false" customHeight="true" outlineLevel="0" collapsed="false">
      <c r="B36" s="18" t="s">
        <v>51</v>
      </c>
      <c r="C36" s="19"/>
      <c r="D36" s="19"/>
      <c r="E36" s="19"/>
      <c r="F36" s="19"/>
      <c r="G36" s="19"/>
    </row>
    <row r="37" customFormat="false" ht="57" hidden="false" customHeight="true" outlineLevel="0" collapsed="false">
      <c r="B37" s="20" t="s">
        <v>52</v>
      </c>
      <c r="C37" s="20"/>
      <c r="D37" s="20"/>
      <c r="E37" s="20"/>
      <c r="F37" s="20"/>
      <c r="G37" s="20"/>
    </row>
    <row r="38" customFormat="false" ht="15" hidden="false" customHeight="false" outlineLevel="0" collapsed="false">
      <c r="B38" s="21" t="s">
        <v>53</v>
      </c>
      <c r="C38" s="21"/>
      <c r="D38" s="21"/>
      <c r="E38" s="21"/>
      <c r="F38" s="21"/>
      <c r="G38" s="21"/>
    </row>
    <row r="39" customFormat="false" ht="15" hidden="false" customHeight="false" outlineLevel="0" collapsed="false">
      <c r="B39" s="22" t="s">
        <v>54</v>
      </c>
    </row>
  </sheetData>
  <mergeCells count="3">
    <mergeCell ref="B34:G34"/>
    <mergeCell ref="B37:G37"/>
    <mergeCell ref="B38:G38"/>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312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313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314</v>
      </c>
      <c r="C8" s="10"/>
      <c r="D8" s="10"/>
      <c r="E8" s="10"/>
      <c r="F8" s="10"/>
      <c r="G8" s="10"/>
    </row>
    <row r="9" customFormat="false" ht="15" hidden="false" customHeight="false" outlineLevel="0" collapsed="false">
      <c r="A9" s="6"/>
      <c r="B9" s="31" t="s">
        <v>315</v>
      </c>
      <c r="C9" s="30" t="n">
        <f aca="false">PB_NWP</f>
        <v>49909200</v>
      </c>
      <c r="D9" s="30" t="n">
        <f aca="false">PB_NWP</f>
        <v>67066951.8</v>
      </c>
      <c r="E9" s="30" t="n">
        <f aca="false">PB_NWP</f>
        <v>83675836.9752</v>
      </c>
      <c r="F9" s="30" t="n">
        <f aca="false">PB_NWP</f>
        <v>98280674.7922188</v>
      </c>
      <c r="G9" s="30" t="n">
        <f aca="false">PB_NWP</f>
        <v>110255913.067952</v>
      </c>
    </row>
    <row r="10" customFormat="false" ht="15" hidden="false" customHeight="false" outlineLevel="0" collapsed="false">
      <c r="A10" s="6"/>
      <c r="B10" s="31" t="s">
        <v>173</v>
      </c>
      <c r="C10" s="35" t="n">
        <f aca="false">RBC_Factor</f>
        <v>0.15</v>
      </c>
      <c r="D10" s="35" t="n">
        <f aca="false">RBC_Factor</f>
        <v>0.15</v>
      </c>
      <c r="E10" s="35" t="n">
        <f aca="false">RBC_Factor</f>
        <v>0.15</v>
      </c>
      <c r="F10" s="35" t="n">
        <f aca="false">RBC_Factor</f>
        <v>0.15</v>
      </c>
      <c r="G10" s="35" t="n">
        <f aca="false">RBC_Factor</f>
        <v>0.15</v>
      </c>
    </row>
    <row r="11" customFormat="false" ht="15" hidden="false" customHeight="false" outlineLevel="0" collapsed="false">
      <c r="A11" s="6"/>
      <c r="B11" s="7" t="s">
        <v>316</v>
      </c>
      <c r="C11" s="32" t="n">
        <f aca="false">C9*C10*Target_RBC_Ratio</f>
        <v>29945520</v>
      </c>
      <c r="D11" s="32" t="n">
        <f aca="false">D9*D10*Target_RBC_Ratio</f>
        <v>40240171.08</v>
      </c>
      <c r="E11" s="32" t="n">
        <f aca="false">E9*E10*Target_RBC_Ratio</f>
        <v>50205502.18512</v>
      </c>
      <c r="F11" s="32" t="n">
        <f aca="false">F9*F10*Target_RBC_Ratio</f>
        <v>58968404.8753313</v>
      </c>
      <c r="G11" s="32" t="n">
        <f aca="false">G9*G10*Target_RBC_Ratio</f>
        <v>66153547.8407715</v>
      </c>
    </row>
    <row r="12" customFormat="false" ht="15" hidden="false" customHeight="false" outlineLevel="0" collapsed="false">
      <c r="A12" s="6"/>
      <c r="B12" s="8" t="s">
        <v>317</v>
      </c>
      <c r="C12" s="30" t="n">
        <f aca="false">BS_Total_Equity</f>
        <v>54159511.622241</v>
      </c>
      <c r="D12" s="30" t="n">
        <f aca="false">BS_Total_Equity</f>
        <v>103939560.736684</v>
      </c>
      <c r="E12" s="30" t="n">
        <f aca="false">BS_Total_Equity</f>
        <v>222021370.685748</v>
      </c>
      <c r="F12" s="30" t="n">
        <f aca="false">BS_Total_Equity</f>
        <v>347735576.520754</v>
      </c>
      <c r="G12" s="30" t="n">
        <f aca="false">BS_Total_Equity</f>
        <v>502772044.235451</v>
      </c>
    </row>
    <row r="13" customFormat="false" ht="15" hidden="false" customHeight="false" outlineLevel="0" collapsed="false">
      <c r="A13" s="6"/>
      <c r="B13" s="8" t="s">
        <v>318</v>
      </c>
      <c r="C13" s="37" t="n">
        <f aca="false">IF(C11=0,0,C12/C11)</f>
        <v>1.80860147435212</v>
      </c>
      <c r="D13" s="37" t="n">
        <f aca="false">IF(D11=0,0,D12/D11)</f>
        <v>2.58298009046843</v>
      </c>
      <c r="E13" s="37" t="n">
        <f aca="false">IF(E11=0,0,E12/E11)</f>
        <v>4.42225176569493</v>
      </c>
      <c r="F13" s="37" t="n">
        <f aca="false">IF(F11=0,0,F12/F11)</f>
        <v>5.89698122674207</v>
      </c>
      <c r="G13" s="37" t="n">
        <f aca="false">IF(G11=0,0,G12/G11)</f>
        <v>7.60007680080289</v>
      </c>
    </row>
    <row r="14" customFormat="false" ht="15" hidden="false" customHeight="false" outlineLevel="0" collapsed="false">
      <c r="A14" s="6"/>
      <c r="B14" s="8" t="s">
        <v>319</v>
      </c>
      <c r="C14" s="37" t="n">
        <f aca="false">IF(C12=0,0,C9/C12)</f>
        <v>0.921522342153181</v>
      </c>
      <c r="D14" s="37" t="n">
        <f aca="false">IF(D12=0,0,D9/D12)</f>
        <v>0.645249521208819</v>
      </c>
      <c r="E14" s="37" t="n">
        <f aca="false">IF(E12=0,0,E9/E12)</f>
        <v>0.376881904281349</v>
      </c>
      <c r="F14" s="37" t="n">
        <f aca="false">IF(F12=0,0,F9/F12)</f>
        <v>0.282630485426771</v>
      </c>
      <c r="G14" s="37" t="n">
        <f aca="false">IF(G12=0,0,G9/G12)</f>
        <v>0.21929602954678</v>
      </c>
    </row>
    <row r="15" customFormat="false" ht="15" hidden="false" customHeight="false" outlineLevel="0" collapsed="false">
      <c r="A15" s="6"/>
      <c r="B15" s="8" t="s">
        <v>320</v>
      </c>
      <c r="C15" s="30" t="n">
        <f aca="false">MAX(0,C12-C11)</f>
        <v>24213991.622241</v>
      </c>
      <c r="D15" s="30" t="n">
        <f aca="false">MAX(0,D12-D11)</f>
        <v>63699389.6566836</v>
      </c>
      <c r="E15" s="30" t="n">
        <f aca="false">MAX(0,E12-E11)</f>
        <v>171815868.500628</v>
      </c>
      <c r="F15" s="30" t="n">
        <f aca="false">MAX(0,F12-F11)</f>
        <v>288767171.645423</v>
      </c>
      <c r="G15" s="30" t="n">
        <f aca="false">MAX(0,G12-G11)</f>
        <v>436618496.394679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321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323</v>
      </c>
      <c r="C8" s="10"/>
      <c r="D8" s="10"/>
      <c r="E8" s="10"/>
      <c r="F8" s="10"/>
      <c r="G8" s="10"/>
    </row>
    <row r="9" customFormat="false" ht="15" hidden="false" customHeight="false" outlineLevel="0" collapsed="false">
      <c r="A9" s="6"/>
      <c r="B9" s="31" t="s">
        <v>226</v>
      </c>
      <c r="C9" s="35" t="n">
        <f aca="false">IS_Loss_Ratio</f>
        <v>0.79251256281407</v>
      </c>
      <c r="D9" s="35" t="n">
        <f aca="false">IS_Loss_Ratio</f>
        <v>0.759245683693052</v>
      </c>
      <c r="E9" s="35" t="n">
        <f aca="false">IS_Loss_Ratio</f>
        <v>0.720089402007423</v>
      </c>
      <c r="F9" s="35" t="n">
        <f aca="false">IS_Loss_Ratio</f>
        <v>0.691503411731967</v>
      </c>
      <c r="G9" s="35" t="n">
        <f aca="false">IS_Loss_Ratio</f>
        <v>0.670236768522718</v>
      </c>
    </row>
    <row r="10" customFormat="false" ht="15" hidden="false" customHeight="false" outlineLevel="0" collapsed="false">
      <c r="A10" s="6"/>
      <c r="B10" s="31" t="s">
        <v>249</v>
      </c>
      <c r="C10" s="35" t="n">
        <f aca="false">IS_Expense_Ratio</f>
        <v>0.550333631322373</v>
      </c>
      <c r="D10" s="35" t="n">
        <f aca="false">IS_Expense_Ratio</f>
        <v>0.488735790186936</v>
      </c>
      <c r="E10" s="35" t="n">
        <f aca="false">IS_Expense_Ratio</f>
        <v>0.438709707092483</v>
      </c>
      <c r="F10" s="35" t="n">
        <f aca="false">IS_Expense_Ratio</f>
        <v>0.392441158822233</v>
      </c>
      <c r="G10" s="35" t="n">
        <f aca="false">IS_Expense_Ratio</f>
        <v>0.362465265408913</v>
      </c>
    </row>
    <row r="11" customFormat="false" ht="15" hidden="false" customHeight="false" outlineLevel="0" collapsed="false">
      <c r="A11" s="6"/>
      <c r="B11" s="31" t="s">
        <v>273</v>
      </c>
      <c r="C11" s="35" t="n">
        <f aca="false">IS_Combined_Ratio</f>
        <v>1.34284619413644</v>
      </c>
      <c r="D11" s="35" t="n">
        <f aca="false">IS_Combined_Ratio</f>
        <v>1.24798147387999</v>
      </c>
      <c r="E11" s="35" t="n">
        <f aca="false">IS_Combined_Ratio</f>
        <v>1.15879910909991</v>
      </c>
      <c r="F11" s="35" t="n">
        <f aca="false">IS_Combined_Ratio</f>
        <v>1.0839445705542</v>
      </c>
      <c r="G11" s="35" t="n">
        <f aca="false">IS_Combined_Ratio</f>
        <v>1.03270203393163</v>
      </c>
    </row>
    <row r="12" customFormat="false" ht="15" hidden="false" customHeight="false" outlineLevel="0" collapsed="false">
      <c r="A12" s="6"/>
      <c r="B12" s="31" t="s">
        <v>264</v>
      </c>
      <c r="C12" s="30" t="n">
        <f aca="false">IS_UW_Profit</f>
        <v>-14726821.1306533</v>
      </c>
      <c r="D12" s="30" t="n">
        <f aca="false">IS_UW_Profit</f>
        <v>-14503959.2660866</v>
      </c>
      <c r="E12" s="30" t="n">
        <f aca="false">IS_UW_Profit</f>
        <v>-11968910.2803685</v>
      </c>
      <c r="F12" s="30" t="n">
        <f aca="false">IS_UW_Profit</f>
        <v>-7637130.61992806</v>
      </c>
      <c r="G12" s="30" t="n">
        <f aca="false">IS_UW_Profit</f>
        <v>-3409785.28609494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324</v>
      </c>
      <c r="C14" s="10"/>
      <c r="D14" s="10"/>
      <c r="E14" s="10"/>
      <c r="F14" s="10"/>
      <c r="G14" s="10"/>
    </row>
    <row r="15" customFormat="false" ht="15" hidden="false" customHeight="false" outlineLevel="0" collapsed="false">
      <c r="A15" s="6"/>
      <c r="B15" s="31" t="s">
        <v>325</v>
      </c>
      <c r="C15" s="30" t="n">
        <f aca="false">PB_Total_GWP</f>
        <v>62386500</v>
      </c>
      <c r="D15" s="30" t="n">
        <f aca="false">PB_Total_GWP</f>
        <v>83833689.75</v>
      </c>
      <c r="E15" s="30" t="n">
        <f aca="false">PB_Total_GWP</f>
        <v>104594796.219</v>
      </c>
      <c r="F15" s="30" t="n">
        <f aca="false">PB_Total_GWP</f>
        <v>122850843.490274</v>
      </c>
      <c r="G15" s="30" t="n">
        <f aca="false">PB_Total_GWP</f>
        <v>137819891.334941</v>
      </c>
    </row>
    <row r="16" customFormat="false" ht="15" hidden="false" customHeight="false" outlineLevel="0" collapsed="false">
      <c r="A16" s="6"/>
      <c r="B16" s="31" t="s">
        <v>220</v>
      </c>
      <c r="C16" s="35"/>
      <c r="D16" s="35" t="n">
        <f aca="false">PB_Total_GWP/C15-1</f>
        <v>0.343779339280133</v>
      </c>
      <c r="E16" s="35" t="n">
        <f aca="false">PB_Total_GWP/D15-1</f>
        <v>0.247646340402189</v>
      </c>
      <c r="F16" s="35" t="n">
        <f aca="false">PB_Total_GWP/E15-1</f>
        <v>0.174540683965282</v>
      </c>
      <c r="G16" s="35" t="n">
        <f aca="false">PB_Total_GWP/F15-1</f>
        <v>0.121847334697805</v>
      </c>
    </row>
    <row r="17" customFormat="false" ht="15" hidden="false" customHeight="false" outlineLevel="0" collapsed="false">
      <c r="A17" s="6"/>
      <c r="B17" s="31" t="s">
        <v>326</v>
      </c>
      <c r="C17" s="30" t="n">
        <f aca="false">PB_Total_PIF</f>
        <v>68050</v>
      </c>
      <c r="D17" s="30" t="n">
        <f aca="false">PB_Total_PIF</f>
        <v>85846.5</v>
      </c>
      <c r="E17" s="30" t="n">
        <f aca="false">PB_Total_PIF</f>
        <v>100252.065</v>
      </c>
      <c r="F17" s="30" t="n">
        <f aca="false">PB_Total_PIF</f>
        <v>110277.2715</v>
      </c>
      <c r="G17" s="30" t="n">
        <f aca="false">PB_Total_PIF</f>
        <v>115999.875915</v>
      </c>
    </row>
    <row r="18" customFormat="false" ht="15" hidden="false" customHeight="false" outlineLevel="0" collapsed="false">
      <c r="A18" s="6"/>
      <c r="B18" s="31" t="s">
        <v>327</v>
      </c>
      <c r="C18" s="35"/>
      <c r="D18" s="35" t="n">
        <f aca="false">PB_Total_PIF/C17-1</f>
        <v>0.261520940484937</v>
      </c>
      <c r="E18" s="35" t="n">
        <f aca="false">PB_Total_PIF/D17-1</f>
        <v>0.167806084115252</v>
      </c>
      <c r="F18" s="35" t="n">
        <f aca="false">PB_Total_PIF/E17-1</f>
        <v>0.1</v>
      </c>
      <c r="G18" s="35" t="n">
        <f aca="false">PB_Total_PIF/F17-1</f>
        <v>0.0518928727303523</v>
      </c>
    </row>
    <row r="19" customFormat="false" ht="15" hidden="false" customHeight="false" outlineLevel="0" collapsed="false">
      <c r="A19" s="6"/>
      <c r="B19" s="31" t="s">
        <v>258</v>
      </c>
      <c r="C19" s="30" t="n">
        <f aca="false">PB_NEP</f>
        <v>42954600</v>
      </c>
      <c r="D19" s="30" t="n">
        <f aca="false">PB_NEP</f>
        <v>58488075.9</v>
      </c>
      <c r="E19" s="30" t="n">
        <f aca="false">PB_NEP</f>
        <v>75371394.3876</v>
      </c>
      <c r="F19" s="30" t="n">
        <f aca="false">PB_NEP</f>
        <v>90978255.8837094</v>
      </c>
      <c r="G19" s="30" t="n">
        <f aca="false">PB_NEP</f>
        <v>104268293.930086</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328</v>
      </c>
      <c r="C21" s="10"/>
      <c r="D21" s="10"/>
      <c r="E21" s="10"/>
      <c r="F21" s="10"/>
      <c r="G21" s="10"/>
    </row>
    <row r="22" customFormat="false" ht="15" hidden="false" customHeight="false" outlineLevel="0" collapsed="false">
      <c r="A22" s="6"/>
      <c r="B22" s="31" t="s">
        <v>290</v>
      </c>
      <c r="C22" s="30" t="n">
        <f aca="false">IS_Net_Income</f>
        <v>-15897527.1996768</v>
      </c>
      <c r="D22" s="30" t="n">
        <f aca="false">IS_Net_Income</f>
        <v>-16349134.067083</v>
      </c>
      <c r="E22" s="30" t="n">
        <f aca="false">IS_Net_Income</f>
        <v>-14772414.7798644</v>
      </c>
      <c r="F22" s="30" t="n">
        <f aca="false">IS_Net_Income</f>
        <v>-11537949.9356385</v>
      </c>
      <c r="G22" s="30" t="n">
        <f aca="false">IS_Net_Income</f>
        <v>-8442154.17770147</v>
      </c>
    </row>
    <row r="23" customFormat="false" ht="15" hidden="false" customHeight="false" outlineLevel="0" collapsed="false">
      <c r="A23" s="6"/>
      <c r="B23" s="31" t="s">
        <v>329</v>
      </c>
      <c r="C23" s="35" t="n">
        <f aca="false">IF(BS_Total_Equity&lt;=0,0,IS_Net_Income/BS_Total_Equity)</f>
        <v>-0.293531583345156</v>
      </c>
      <c r="D23" s="35" t="n">
        <f aca="false">IF(BS_Total_Equity&lt;=0,0,IS_Net_Income/BS_Total_Equity)</f>
        <v>-0.157294623444688</v>
      </c>
      <c r="E23" s="35" t="n">
        <f aca="false">IF(BS_Total_Equity&lt;=0,0,IS_Net_Income/BS_Total_Equity)</f>
        <v>-0.0665360038731295</v>
      </c>
      <c r="F23" s="35" t="n">
        <f aca="false">IF(BS_Total_Equity&lt;=0,0,IS_Net_Income/BS_Total_Equity)</f>
        <v>-0.0331802401441944</v>
      </c>
      <c r="G23" s="35" t="n">
        <f aca="false">IF(BS_Total_Equity&lt;=0,0,IS_Net_Income/BS_Total_Equity)</f>
        <v>-0.0167912163663339</v>
      </c>
    </row>
    <row r="24" customFormat="false" ht="15" hidden="false" customHeight="false" outlineLevel="0" collapsed="false">
      <c r="A24" s="6"/>
      <c r="B24" s="31" t="s">
        <v>274</v>
      </c>
      <c r="C24" s="35" t="n">
        <f aca="false">IF(IS_Total_Rev=0,0,IS_Net_Income/IS_Total_Rev)</f>
        <v>-0.358871458241562</v>
      </c>
      <c r="D24" s="35" t="n">
        <f aca="false">IF(IS_Total_Rev=0,0,IS_Net_Income/IS_Total_Rev)</f>
        <v>-0.273304468882983</v>
      </c>
      <c r="E24" s="35" t="n">
        <f aca="false">IF(IS_Total_Rev=0,0,IS_Net_Income/IS_Total_Rev)</f>
        <v>-0.192469005971573</v>
      </c>
      <c r="F24" s="35" t="n">
        <f aca="false">IF(IS_Total_Rev=0,0,IS_Net_Income/IS_Total_Rev)</f>
        <v>-0.124651480975577</v>
      </c>
      <c r="G24" s="35" t="n">
        <f aca="false">IF(IS_Total_Rev=0,0,IS_Net_Income/IS_Total_Rev)</f>
        <v>-0.0794720254128758</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9" t="s">
        <v>330</v>
      </c>
      <c r="C26" s="10"/>
      <c r="D26" s="10"/>
      <c r="E26" s="10"/>
      <c r="F26" s="10"/>
      <c r="G26" s="10"/>
    </row>
    <row r="27" customFormat="false" ht="15" hidden="false" customHeight="false" outlineLevel="0" collapsed="false">
      <c r="A27" s="6"/>
      <c r="B27" s="31" t="s">
        <v>319</v>
      </c>
      <c r="C27" s="37" t="n">
        <f aca="false">CA_Prem_Surplus</f>
        <v>0.921522342153181</v>
      </c>
      <c r="D27" s="37" t="n">
        <f aca="false">CA_Prem_Surplus</f>
        <v>0.645249521208819</v>
      </c>
      <c r="E27" s="37" t="n">
        <f aca="false">CA_Prem_Surplus</f>
        <v>0.376881904281349</v>
      </c>
      <c r="F27" s="37" t="n">
        <f aca="false">CA_Prem_Surplus</f>
        <v>0.282630485426771</v>
      </c>
      <c r="G27" s="37" t="n">
        <f aca="false">CA_Prem_Surplus</f>
        <v>0.21929602954678</v>
      </c>
    </row>
    <row r="28" customFormat="false" ht="15" hidden="false" customHeight="false" outlineLevel="0" collapsed="false">
      <c r="A28" s="6"/>
      <c r="B28" s="31" t="s">
        <v>318</v>
      </c>
      <c r="C28" s="37" t="n">
        <f aca="false">CA_Surplus_Ratio</f>
        <v>1.80860147435212</v>
      </c>
      <c r="D28" s="37" t="n">
        <f aca="false">CA_Surplus_Ratio</f>
        <v>2.58298009046843</v>
      </c>
      <c r="E28" s="37" t="n">
        <f aca="false">CA_Surplus_Ratio</f>
        <v>4.42225176569493</v>
      </c>
      <c r="F28" s="37" t="n">
        <f aca="false">CA_Surplus_Ratio</f>
        <v>5.89698122674207</v>
      </c>
      <c r="G28" s="37" t="n">
        <f aca="false">CA_Surplus_Ratio</f>
        <v>7.60007680080289</v>
      </c>
    </row>
    <row r="29" customFormat="false" ht="15" hidden="false" customHeight="false" outlineLevel="0" collapsed="false">
      <c r="A29" s="6"/>
      <c r="B29" s="31" t="s">
        <v>331</v>
      </c>
      <c r="C29" s="35" t="n">
        <f aca="false">Portfolio_Yield</f>
        <v>0.045</v>
      </c>
      <c r="D29" s="35" t="n">
        <f aca="false">Portfolio_Yield</f>
        <v>0.045</v>
      </c>
      <c r="E29" s="35" t="n">
        <f aca="false">Portfolio_Yield</f>
        <v>0.045</v>
      </c>
      <c r="F29" s="35" t="n">
        <f aca="false">Portfolio_Yield</f>
        <v>0.045</v>
      </c>
      <c r="G29" s="35" t="n">
        <f aca="false">Portfolio_Yield</f>
        <v>0.045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332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333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8" t="s">
        <v>334</v>
      </c>
      <c r="C8" s="38" t="str">
        <f aca="false">IF(ABS(BS_Total_Assets-BS_Total_LE)&lt;1,"PASS","FAIL")</f>
        <v>PASS</v>
      </c>
      <c r="D8" s="38" t="str">
        <f aca="false">IF(ABS(BS_Total_Assets-BS_Total_LE)&lt;1,"PASS","FAIL")</f>
        <v>PASS</v>
      </c>
      <c r="E8" s="38" t="str">
        <f aca="false">IF(ABS(BS_Total_Assets-BS_Total_LE)&lt;1,"PASS","FAIL")</f>
        <v>PASS</v>
      </c>
      <c r="F8" s="38" t="str">
        <f aca="false">IF(ABS(BS_Total_Assets-BS_Total_LE)&lt;1,"PASS","FAIL")</f>
        <v>PASS</v>
      </c>
      <c r="G8" s="38" t="str">
        <f aca="false">IF(ABS(BS_Total_Assets-BS_Total_LE)&lt;1,"PASS","FAIL")</f>
        <v>PASS</v>
      </c>
    </row>
    <row r="9" customFormat="false" ht="15" hidden="false" customHeight="false" outlineLevel="0" collapsed="false">
      <c r="A9" s="6"/>
      <c r="B9" s="8" t="s">
        <v>335</v>
      </c>
      <c r="C9" s="38" t="str">
        <f aca="false">IF(AND(IS_Combined_Ratio&gt;=0.8,IS_Combined_Ratio&lt;=1.3),"PASS","WARN")</f>
        <v>WARN</v>
      </c>
      <c r="D9" s="38" t="str">
        <f aca="false">IF(AND(IS_Combined_Ratio&gt;=0.8,IS_Combined_Ratio&lt;=1.3),"PASS","WARN")</f>
        <v>PASS</v>
      </c>
      <c r="E9" s="38" t="str">
        <f aca="false">IF(AND(IS_Combined_Ratio&gt;=0.8,IS_Combined_Ratio&lt;=1.3),"PASS","WARN")</f>
        <v>PASS</v>
      </c>
      <c r="F9" s="38" t="str">
        <f aca="false">IF(AND(IS_Combined_Ratio&gt;=0.8,IS_Combined_Ratio&lt;=1.3),"PASS","WARN")</f>
        <v>PASS</v>
      </c>
      <c r="G9" s="38" t="str">
        <f aca="false">IF(AND(IS_Combined_Ratio&gt;=0.8,IS_Combined_Ratio&lt;=1.3),"PASS","WARN")</f>
        <v>PASS</v>
      </c>
    </row>
    <row r="10" customFormat="false" ht="15" hidden="false" customHeight="false" outlineLevel="0" collapsed="false">
      <c r="A10" s="6"/>
      <c r="B10" s="8" t="s">
        <v>336</v>
      </c>
      <c r="C10" s="38" t="str">
        <f aca="false">IF(CA_Prem_Surplus&lt;3,"PASS","FAIL")</f>
        <v>PASS</v>
      </c>
      <c r="D10" s="38" t="str">
        <f aca="false">IF(CA_Prem_Surplus&lt;3,"PASS","FAIL")</f>
        <v>PASS</v>
      </c>
      <c r="E10" s="38" t="str">
        <f aca="false">IF(CA_Prem_Surplus&lt;3,"PASS","FAIL")</f>
        <v>PASS</v>
      </c>
      <c r="F10" s="38" t="str">
        <f aca="false">IF(CA_Prem_Surplus&lt;3,"PASS","FAIL")</f>
        <v>PASS</v>
      </c>
      <c r="G10" s="38" t="str">
        <f aca="false">IF(CA_Prem_Surplus&lt;3,"PASS","FAIL")</f>
        <v>PASS</v>
      </c>
    </row>
    <row r="11" customFormat="false" ht="15" hidden="false" customHeight="false" outlineLevel="0" collapsed="false">
      <c r="A11" s="6"/>
      <c r="B11" s="8" t="s">
        <v>337</v>
      </c>
      <c r="C11" s="38" t="str">
        <f aca="false">IF(CF_Close_Cash&gt;=0,"PASS","FAIL")</f>
        <v>PASS</v>
      </c>
      <c r="D11" s="38" t="str">
        <f aca="false">IF(CF_Close_Cash&gt;=0,"PASS","FAIL")</f>
        <v>PASS</v>
      </c>
      <c r="E11" s="38" t="str">
        <f aca="false">IF(CF_Close_Cash&gt;=0,"PASS","FAIL")</f>
        <v>PASS</v>
      </c>
      <c r="F11" s="38" t="str">
        <f aca="false">IF(CF_Close_Cash&gt;=0,"PASS","FAIL")</f>
        <v>PASS</v>
      </c>
      <c r="G11" s="38" t="str">
        <f aca="false">IF(CF_Close_Cash&gt;=0,"PASS","FAIL")</f>
        <v>PASS</v>
      </c>
    </row>
    <row r="12" customFormat="false" ht="15" hidden="false" customHeight="false" outlineLevel="0" collapsed="false">
      <c r="A12" s="6"/>
      <c r="B12" s="8" t="s">
        <v>338</v>
      </c>
      <c r="C12" s="38" t="str">
        <f aca="false">IF(CR_Res_Close&gt;=0,"PASS","FAIL")</f>
        <v>PASS</v>
      </c>
      <c r="D12" s="38" t="str">
        <f aca="false">IF(CR_Res_Close&gt;=0,"PASS","FAIL")</f>
        <v>PASS</v>
      </c>
      <c r="E12" s="38" t="str">
        <f aca="false">IF(CR_Res_Close&gt;=0,"PASS","FAIL")</f>
        <v>PASS</v>
      </c>
      <c r="F12" s="38" t="str">
        <f aca="false">IF(CR_Res_Close&gt;=0,"PASS","FAIL")</f>
        <v>PASS</v>
      </c>
      <c r="G12" s="38" t="str">
        <f aca="false">IF(CR_Res_Close&gt;=0,"PASS","FAIL")</f>
        <v>PASS</v>
      </c>
    </row>
    <row r="13" customFormat="false" ht="15" hidden="false" customHeight="false" outlineLevel="0" collapsed="false">
      <c r="A13" s="6"/>
      <c r="B13" s="8" t="s">
        <v>339</v>
      </c>
      <c r="C13" s="38" t="str">
        <f aca="false">IF(ABS(BS_Ret_Earnings-(Open_Ret_Earnings+IS_Net_Income+IS_Dividends))&lt;1,"PASS","FAIL")</f>
        <v>PASS</v>
      </c>
      <c r="D13" s="38" t="str">
        <f aca="false">IF(ABS(BS_Ret_Earnings-(Balance_Sheet!C30+IS_Net_Income+IS_Dividends))&lt;1,"PASS","FAIL")</f>
        <v>PASS</v>
      </c>
      <c r="E13" s="38" t="str">
        <f aca="false">IF(ABS(BS_Ret_Earnings-(Balance_Sheet!D30+IS_Net_Income+IS_Dividends))&lt;1,"PASS","FAIL")</f>
        <v>PASS</v>
      </c>
      <c r="F13" s="38" t="str">
        <f aca="false">IF(ABS(BS_Ret_Earnings-(Balance_Sheet!E30+IS_Net_Income+IS_Dividends))&lt;1,"PASS","FAIL")</f>
        <v>PASS</v>
      </c>
      <c r="G13" s="38" t="str">
        <f aca="false">IF(ABS(BS_Ret_Earnings-(Balance_Sheet!F30+IS_Net_Income+IS_Dividends))&lt;1,"PASS","FAIL")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9" t="s">
        <v>340</v>
      </c>
    </row>
    <row r="3" customFormat="false" ht="3.75" hidden="false" customHeight="true" outlineLevel="0" collapsed="false">
      <c r="B3" s="40"/>
    </row>
    <row r="5" customFormat="false" ht="19.5" hidden="false" customHeight="true" outlineLevel="0" collapsed="false">
      <c r="B5" s="41" t="s">
        <v>341</v>
      </c>
    </row>
    <row r="6" customFormat="false" ht="48" hidden="false" customHeight="true" outlineLevel="0" collapsed="false">
      <c r="B6" s="42" t="s">
        <v>342</v>
      </c>
    </row>
    <row r="8" customFormat="false" ht="19.5" hidden="false" customHeight="true" outlineLevel="0" collapsed="false">
      <c r="B8" s="41" t="s">
        <v>343</v>
      </c>
    </row>
    <row r="9" customFormat="false" ht="61.5" hidden="false" customHeight="true" outlineLevel="0" collapsed="false">
      <c r="B9" s="42" t="s">
        <v>344</v>
      </c>
    </row>
    <row r="11" customFormat="false" ht="19.5" hidden="false" customHeight="true" outlineLevel="0" collapsed="false">
      <c r="B11" s="41" t="s">
        <v>345</v>
      </c>
    </row>
    <row r="12" customFormat="false" ht="75.75" hidden="false" customHeight="true" outlineLevel="0" collapsed="false">
      <c r="B12" s="42" t="s">
        <v>346</v>
      </c>
    </row>
    <row r="14" customFormat="false" ht="19.5" hidden="false" customHeight="true" outlineLevel="0" collapsed="false">
      <c r="B14" s="41" t="s">
        <v>347</v>
      </c>
    </row>
    <row r="15" customFormat="false" ht="61.5" hidden="false" customHeight="true" outlineLevel="0" collapsed="false">
      <c r="B15" s="42" t="s">
        <v>348</v>
      </c>
    </row>
    <row r="17" customFormat="false" ht="19.5" hidden="false" customHeight="true" outlineLevel="0" collapsed="false">
      <c r="B17" s="41" t="s">
        <v>349</v>
      </c>
    </row>
    <row r="18" customFormat="false" ht="33.75" hidden="false" customHeight="true" outlineLevel="0" collapsed="false">
      <c r="B18" s="42" t="s">
        <v>350</v>
      </c>
    </row>
    <row r="20" customFormat="false" ht="19.5" hidden="false" customHeight="true" outlineLevel="0" collapsed="false">
      <c r="B20" s="41" t="s">
        <v>351</v>
      </c>
    </row>
    <row r="21" customFormat="false" ht="33.75" hidden="false" customHeight="true" outlineLevel="0" collapsed="false">
      <c r="B21" s="42" t="s">
        <v>352</v>
      </c>
    </row>
    <row r="23" customFormat="false" ht="21.75" hidden="false" customHeight="true" outlineLevel="0" collapsed="false">
      <c r="B23" s="43" t="s">
        <v>353</v>
      </c>
    </row>
    <row r="25" customFormat="false" ht="18" hidden="false" customHeight="true" outlineLevel="0" collapsed="false">
      <c r="B25" s="44" t="s">
        <v>354</v>
      </c>
    </row>
    <row r="26" customFormat="false" ht="201.75" hidden="false" customHeight="true" outlineLevel="0" collapsed="false">
      <c r="B26" s="45" t="s">
        <v>355</v>
      </c>
    </row>
    <row r="28" customFormat="false" ht="18" hidden="false" customHeight="true" outlineLevel="0" collapsed="false">
      <c r="B28" s="46" t="s">
        <v>356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0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55</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3" t="s">
        <v>56</v>
      </c>
      <c r="C5" s="23" t="s">
        <v>57</v>
      </c>
      <c r="D5" s="23" t="s">
        <v>58</v>
      </c>
      <c r="E5" s="23" t="s">
        <v>59</v>
      </c>
    </row>
    <row r="6" customFormat="false" ht="15" hidden="false" customHeight="false" outlineLevel="0" collapsed="false">
      <c r="A6" s="6"/>
      <c r="B6" s="6"/>
      <c r="C6" s="6"/>
      <c r="D6" s="6"/>
      <c r="E6" s="6"/>
    </row>
    <row r="7" customFormat="false" ht="15" hidden="false" customHeight="false" outlineLevel="0" collapsed="false">
      <c r="A7" s="6"/>
      <c r="B7" s="9" t="s">
        <v>60</v>
      </c>
      <c r="C7" s="10"/>
      <c r="D7" s="10"/>
      <c r="E7" s="10"/>
    </row>
    <row r="8" customFormat="false" ht="15" hidden="false" customHeight="false" outlineLevel="0" collapsed="false">
      <c r="A8" s="6"/>
      <c r="B8" s="8" t="s">
        <v>61</v>
      </c>
      <c r="C8" s="24" t="n">
        <v>2026</v>
      </c>
      <c r="D8" s="25"/>
      <c r="E8" s="25" t="s">
        <v>62</v>
      </c>
    </row>
    <row r="9" customFormat="false" ht="15" hidden="false" customHeight="false" outlineLevel="0" collapsed="false">
      <c r="A9" s="6"/>
      <c r="B9" s="6"/>
      <c r="C9" s="6"/>
      <c r="D9" s="6"/>
      <c r="E9" s="6"/>
    </row>
    <row r="10" customFormat="false" ht="15" hidden="false" customHeight="false" outlineLevel="0" collapsed="false">
      <c r="A10" s="6"/>
      <c r="B10" s="9" t="s">
        <v>63</v>
      </c>
      <c r="C10" s="10"/>
      <c r="D10" s="10"/>
      <c r="E10" s="10"/>
    </row>
    <row r="11" customFormat="false" ht="15" hidden="false" customHeight="false" outlineLevel="0" collapsed="false">
      <c r="A11" s="6"/>
      <c r="B11" s="8" t="s">
        <v>64</v>
      </c>
      <c r="C11" s="24" t="n">
        <v>25000</v>
      </c>
      <c r="D11" s="25" t="s">
        <v>65</v>
      </c>
      <c r="E11" s="25" t="s">
        <v>66</v>
      </c>
    </row>
    <row r="12" customFormat="false" ht="15" hidden="false" customHeight="false" outlineLevel="0" collapsed="false">
      <c r="A12" s="6"/>
      <c r="B12" s="8" t="s">
        <v>67</v>
      </c>
      <c r="C12" s="26" t="n">
        <v>0.5</v>
      </c>
      <c r="D12" s="25" t="s">
        <v>68</v>
      </c>
      <c r="E12" s="25" t="s">
        <v>69</v>
      </c>
    </row>
    <row r="13" customFormat="false" ht="15" hidden="false" customHeight="false" outlineLevel="0" collapsed="false">
      <c r="A13" s="6"/>
      <c r="B13" s="8" t="s">
        <v>70</v>
      </c>
      <c r="C13" s="26" t="n">
        <v>0.4</v>
      </c>
      <c r="D13" s="25" t="s">
        <v>68</v>
      </c>
      <c r="E13" s="25" t="s">
        <v>71</v>
      </c>
    </row>
    <row r="14" customFormat="false" ht="15" hidden="false" customHeight="false" outlineLevel="0" collapsed="false">
      <c r="A14" s="6"/>
      <c r="B14" s="8" t="s">
        <v>72</v>
      </c>
      <c r="C14" s="26" t="n">
        <v>0.3</v>
      </c>
      <c r="D14" s="25" t="s">
        <v>68</v>
      </c>
      <c r="E14" s="25" t="s">
        <v>73</v>
      </c>
    </row>
    <row r="15" customFormat="false" ht="15" hidden="false" customHeight="false" outlineLevel="0" collapsed="false">
      <c r="A15" s="6"/>
      <c r="B15" s="8" t="s">
        <v>74</v>
      </c>
      <c r="C15" s="26" t="n">
        <v>0.25</v>
      </c>
      <c r="D15" s="25" t="s">
        <v>68</v>
      </c>
      <c r="E15" s="25" t="s">
        <v>75</v>
      </c>
    </row>
    <row r="16" customFormat="false" ht="15" hidden="false" customHeight="false" outlineLevel="0" collapsed="false">
      <c r="A16" s="6"/>
      <c r="B16" s="8" t="s">
        <v>76</v>
      </c>
      <c r="C16" s="26" t="n">
        <v>0.2</v>
      </c>
      <c r="D16" s="25" t="s">
        <v>68</v>
      </c>
      <c r="E16" s="25" t="s">
        <v>75</v>
      </c>
    </row>
    <row r="17" customFormat="false" ht="15" hidden="false" customHeight="false" outlineLevel="0" collapsed="false">
      <c r="A17" s="6"/>
      <c r="B17" s="8" t="s">
        <v>77</v>
      </c>
      <c r="C17" s="26" t="n">
        <v>0.15</v>
      </c>
      <c r="D17" s="25" t="s">
        <v>68</v>
      </c>
      <c r="E17" s="25" t="s">
        <v>78</v>
      </c>
    </row>
    <row r="18" customFormat="false" ht="15" hidden="false" customHeight="false" outlineLevel="0" collapsed="false">
      <c r="A18" s="6"/>
      <c r="B18" s="8" t="s">
        <v>79</v>
      </c>
      <c r="C18" s="24" t="n">
        <v>1200</v>
      </c>
      <c r="D18" s="25" t="s">
        <v>80</v>
      </c>
      <c r="E18" s="25" t="s">
        <v>81</v>
      </c>
    </row>
    <row r="19" customFormat="false" ht="15" hidden="false" customHeight="false" outlineLevel="0" collapsed="false">
      <c r="A19" s="6"/>
      <c r="B19" s="8" t="s">
        <v>82</v>
      </c>
      <c r="C19" s="26" t="n">
        <v>0.04</v>
      </c>
      <c r="D19" s="25" t="s">
        <v>68</v>
      </c>
      <c r="E19" s="25" t="s">
        <v>83</v>
      </c>
    </row>
    <row r="20" customFormat="false" ht="15" hidden="false" customHeight="false" outlineLevel="0" collapsed="false">
      <c r="A20" s="6"/>
      <c r="B20" s="9" t="s">
        <v>84</v>
      </c>
      <c r="C20" s="10"/>
      <c r="D20" s="10"/>
      <c r="E20" s="10"/>
    </row>
    <row r="21" customFormat="false" ht="15" hidden="false" customHeight="false" outlineLevel="0" collapsed="false">
      <c r="A21" s="6"/>
      <c r="B21" s="8" t="s">
        <v>64</v>
      </c>
      <c r="C21" s="24" t="n">
        <v>10000</v>
      </c>
      <c r="D21" s="25" t="s">
        <v>65</v>
      </c>
      <c r="E21" s="25" t="s">
        <v>66</v>
      </c>
    </row>
    <row r="22" customFormat="false" ht="15" hidden="false" customHeight="false" outlineLevel="0" collapsed="false">
      <c r="A22" s="6"/>
      <c r="B22" s="8" t="s">
        <v>67</v>
      </c>
      <c r="C22" s="26" t="n">
        <v>0.45</v>
      </c>
      <c r="D22" s="25" t="s">
        <v>68</v>
      </c>
      <c r="E22" s="25" t="s">
        <v>85</v>
      </c>
    </row>
    <row r="23" customFormat="false" ht="15" hidden="false" customHeight="false" outlineLevel="0" collapsed="false">
      <c r="A23" s="6"/>
      <c r="B23" s="8" t="s">
        <v>70</v>
      </c>
      <c r="C23" s="26" t="n">
        <v>0.35</v>
      </c>
      <c r="D23" s="25" t="s">
        <v>68</v>
      </c>
      <c r="E23" s="25" t="s">
        <v>86</v>
      </c>
    </row>
    <row r="24" customFormat="false" ht="15" hidden="false" customHeight="false" outlineLevel="0" collapsed="false">
      <c r="A24" s="6"/>
      <c r="B24" s="8" t="s">
        <v>72</v>
      </c>
      <c r="C24" s="26" t="n">
        <v>0.28</v>
      </c>
      <c r="D24" s="25" t="s">
        <v>68</v>
      </c>
      <c r="E24" s="25" t="s">
        <v>87</v>
      </c>
    </row>
    <row r="25" customFormat="false" ht="15" hidden="false" customHeight="false" outlineLevel="0" collapsed="false">
      <c r="A25" s="6"/>
      <c r="B25" s="8" t="s">
        <v>74</v>
      </c>
      <c r="C25" s="26" t="n">
        <v>0.22</v>
      </c>
      <c r="D25" s="25" t="s">
        <v>68</v>
      </c>
      <c r="E25" s="25" t="s">
        <v>88</v>
      </c>
    </row>
    <row r="26" customFormat="false" ht="15" hidden="false" customHeight="false" outlineLevel="0" collapsed="false">
      <c r="A26" s="6"/>
      <c r="B26" s="8" t="s">
        <v>76</v>
      </c>
      <c r="C26" s="26" t="n">
        <v>0.18</v>
      </c>
      <c r="D26" s="25" t="s">
        <v>68</v>
      </c>
      <c r="E26" s="25" t="s">
        <v>88</v>
      </c>
    </row>
    <row r="27" customFormat="false" ht="15" hidden="false" customHeight="false" outlineLevel="0" collapsed="false">
      <c r="A27" s="6"/>
      <c r="B27" s="8" t="s">
        <v>77</v>
      </c>
      <c r="C27" s="26" t="n">
        <v>0.12</v>
      </c>
      <c r="D27" s="25" t="s">
        <v>68</v>
      </c>
      <c r="E27" s="25" t="s">
        <v>89</v>
      </c>
    </row>
    <row r="28" customFormat="false" ht="15" hidden="false" customHeight="false" outlineLevel="0" collapsed="false">
      <c r="A28" s="6"/>
      <c r="B28" s="8" t="s">
        <v>79</v>
      </c>
      <c r="C28" s="24" t="n">
        <v>1800</v>
      </c>
      <c r="D28" s="25" t="s">
        <v>80</v>
      </c>
      <c r="E28" s="25" t="s">
        <v>81</v>
      </c>
    </row>
    <row r="29" customFormat="false" ht="15" hidden="false" customHeight="false" outlineLevel="0" collapsed="false">
      <c r="A29" s="6"/>
      <c r="B29" s="8" t="s">
        <v>82</v>
      </c>
      <c r="C29" s="26" t="n">
        <v>0.05</v>
      </c>
      <c r="D29" s="25" t="s">
        <v>68</v>
      </c>
      <c r="E29" s="25" t="s">
        <v>90</v>
      </c>
    </row>
    <row r="30" customFormat="false" ht="15" hidden="false" customHeight="false" outlineLevel="0" collapsed="false">
      <c r="A30" s="6"/>
      <c r="B30" s="9" t="s">
        <v>91</v>
      </c>
      <c r="C30" s="10"/>
      <c r="D30" s="10"/>
      <c r="E30" s="10"/>
    </row>
    <row r="31" customFormat="false" ht="15" hidden="false" customHeight="false" outlineLevel="0" collapsed="false">
      <c r="A31" s="6"/>
      <c r="B31" s="8" t="s">
        <v>64</v>
      </c>
      <c r="C31" s="24" t="n">
        <v>15000</v>
      </c>
      <c r="D31" s="25" t="s">
        <v>65</v>
      </c>
      <c r="E31" s="25" t="s">
        <v>66</v>
      </c>
    </row>
    <row r="32" customFormat="false" ht="15" hidden="false" customHeight="false" outlineLevel="0" collapsed="false">
      <c r="A32" s="6"/>
      <c r="B32" s="8" t="s">
        <v>67</v>
      </c>
      <c r="C32" s="26" t="n">
        <v>0.6</v>
      </c>
      <c r="D32" s="25" t="s">
        <v>68</v>
      </c>
      <c r="E32" s="25" t="s">
        <v>92</v>
      </c>
    </row>
    <row r="33" customFormat="false" ht="15" hidden="false" customHeight="false" outlineLevel="0" collapsed="false">
      <c r="A33" s="6"/>
      <c r="B33" s="8" t="s">
        <v>70</v>
      </c>
      <c r="C33" s="26" t="n">
        <v>0.5</v>
      </c>
      <c r="D33" s="25" t="s">
        <v>68</v>
      </c>
      <c r="E33" s="25" t="s">
        <v>93</v>
      </c>
    </row>
    <row r="34" customFormat="false" ht="15" hidden="false" customHeight="false" outlineLevel="0" collapsed="false">
      <c r="A34" s="6"/>
      <c r="B34" s="8" t="s">
        <v>72</v>
      </c>
      <c r="C34" s="26" t="n">
        <v>0.4</v>
      </c>
      <c r="D34" s="25" t="s">
        <v>68</v>
      </c>
      <c r="E34" s="25" t="s">
        <v>94</v>
      </c>
    </row>
    <row r="35" customFormat="false" ht="15" hidden="false" customHeight="false" outlineLevel="0" collapsed="false">
      <c r="A35" s="6"/>
      <c r="B35" s="8" t="s">
        <v>74</v>
      </c>
      <c r="C35" s="26" t="n">
        <v>0.3</v>
      </c>
      <c r="D35" s="25" t="s">
        <v>68</v>
      </c>
      <c r="E35" s="25" t="s">
        <v>87</v>
      </c>
    </row>
    <row r="36" customFormat="false" ht="15" hidden="false" customHeight="false" outlineLevel="0" collapsed="false">
      <c r="A36" s="6"/>
      <c r="B36" s="8" t="s">
        <v>76</v>
      </c>
      <c r="C36" s="26" t="n">
        <v>0.25</v>
      </c>
      <c r="D36" s="25" t="s">
        <v>68</v>
      </c>
      <c r="E36" s="25" t="s">
        <v>88</v>
      </c>
    </row>
    <row r="37" customFormat="false" ht="15" hidden="false" customHeight="false" outlineLevel="0" collapsed="false">
      <c r="A37" s="6"/>
      <c r="B37" s="8" t="s">
        <v>77</v>
      </c>
      <c r="C37" s="26" t="n">
        <v>0.2</v>
      </c>
      <c r="D37" s="25" t="s">
        <v>68</v>
      </c>
      <c r="E37" s="25" t="s">
        <v>95</v>
      </c>
    </row>
    <row r="38" customFormat="false" ht="15" hidden="false" customHeight="false" outlineLevel="0" collapsed="false">
      <c r="A38" s="6"/>
      <c r="B38" s="8" t="s">
        <v>79</v>
      </c>
      <c r="C38" s="24" t="n">
        <v>200</v>
      </c>
      <c r="D38" s="25" t="s">
        <v>80</v>
      </c>
      <c r="E38" s="25" t="s">
        <v>81</v>
      </c>
    </row>
    <row r="39" customFormat="false" ht="15" hidden="false" customHeight="false" outlineLevel="0" collapsed="false">
      <c r="A39" s="6"/>
      <c r="B39" s="8" t="s">
        <v>82</v>
      </c>
      <c r="C39" s="26" t="n">
        <v>0.03</v>
      </c>
      <c r="D39" s="25" t="s">
        <v>68</v>
      </c>
      <c r="E39" s="25" t="s">
        <v>96</v>
      </c>
    </row>
    <row r="40" customFormat="false" ht="15" hidden="false" customHeight="false" outlineLevel="0" collapsed="false">
      <c r="A40" s="6"/>
      <c r="B40" s="6"/>
      <c r="C40" s="6"/>
      <c r="D40" s="6"/>
      <c r="E40" s="6"/>
    </row>
    <row r="41" customFormat="false" ht="15" hidden="false" customHeight="false" outlineLevel="0" collapsed="false">
      <c r="A41" s="6"/>
      <c r="B41" s="9" t="s">
        <v>97</v>
      </c>
      <c r="C41" s="10"/>
      <c r="D41" s="10"/>
      <c r="E41" s="10"/>
    </row>
    <row r="42" customFormat="false" ht="15" hidden="false" customHeight="false" outlineLevel="0" collapsed="false">
      <c r="A42" s="6"/>
      <c r="B42" s="8" t="s">
        <v>98</v>
      </c>
      <c r="C42" s="26" t="n">
        <v>0.2</v>
      </c>
      <c r="D42" s="25" t="s">
        <v>68</v>
      </c>
      <c r="E42" s="25" t="s">
        <v>99</v>
      </c>
    </row>
    <row r="43" customFormat="false" ht="15" hidden="false" customHeight="false" outlineLevel="0" collapsed="false">
      <c r="A43" s="6"/>
      <c r="B43" s="8" t="s">
        <v>100</v>
      </c>
      <c r="C43" s="26" t="n">
        <v>0.02</v>
      </c>
      <c r="D43" s="25" t="s">
        <v>68</v>
      </c>
      <c r="E43" s="25" t="s">
        <v>101</v>
      </c>
    </row>
    <row r="44" customFormat="false" ht="15" hidden="false" customHeight="false" outlineLevel="0" collapsed="false">
      <c r="A44" s="6"/>
      <c r="B44" s="6"/>
      <c r="C44" s="6"/>
      <c r="D44" s="6"/>
      <c r="E44" s="6"/>
    </row>
    <row r="45" customFormat="false" ht="15" hidden="false" customHeight="false" outlineLevel="0" collapsed="false">
      <c r="A45" s="6"/>
      <c r="B45" s="9" t="s">
        <v>102</v>
      </c>
      <c r="C45" s="10"/>
      <c r="D45" s="10"/>
      <c r="E45" s="10"/>
    </row>
    <row r="46" customFormat="false" ht="15" hidden="false" customHeight="false" outlineLevel="0" collapsed="false">
      <c r="A46" s="6"/>
      <c r="B46" s="8" t="s">
        <v>103</v>
      </c>
      <c r="C46" s="26" t="n">
        <v>0.75</v>
      </c>
      <c r="D46" s="25" t="s">
        <v>68</v>
      </c>
      <c r="E46" s="25" t="s">
        <v>104</v>
      </c>
    </row>
    <row r="47" customFormat="false" ht="15" hidden="false" customHeight="false" outlineLevel="0" collapsed="false">
      <c r="A47" s="6"/>
      <c r="B47" s="8" t="s">
        <v>105</v>
      </c>
      <c r="C47" s="26" t="n">
        <v>0.72</v>
      </c>
      <c r="D47" s="25" t="s">
        <v>68</v>
      </c>
      <c r="E47" s="25" t="s">
        <v>106</v>
      </c>
    </row>
    <row r="48" customFormat="false" ht="15" hidden="false" customHeight="false" outlineLevel="0" collapsed="false">
      <c r="A48" s="6"/>
      <c r="B48" s="8" t="s">
        <v>107</v>
      </c>
      <c r="C48" s="26" t="n">
        <v>0.68</v>
      </c>
      <c r="D48" s="25" t="s">
        <v>68</v>
      </c>
      <c r="E48" s="25" t="s">
        <v>108</v>
      </c>
    </row>
    <row r="49" customFormat="false" ht="15" hidden="false" customHeight="false" outlineLevel="0" collapsed="false">
      <c r="A49" s="6"/>
      <c r="B49" s="8" t="s">
        <v>109</v>
      </c>
      <c r="C49" s="26" t="n">
        <v>0.65</v>
      </c>
      <c r="D49" s="25" t="s">
        <v>68</v>
      </c>
      <c r="E49" s="25" t="s">
        <v>110</v>
      </c>
    </row>
    <row r="50" customFormat="false" ht="15" hidden="false" customHeight="false" outlineLevel="0" collapsed="false">
      <c r="A50" s="6"/>
      <c r="B50" s="8" t="s">
        <v>111</v>
      </c>
      <c r="C50" s="26" t="n">
        <v>0.63</v>
      </c>
      <c r="D50" s="25" t="s">
        <v>68</v>
      </c>
      <c r="E50" s="25" t="s">
        <v>112</v>
      </c>
    </row>
    <row r="51" customFormat="false" ht="15" hidden="false" customHeight="false" outlineLevel="0" collapsed="false">
      <c r="A51" s="6"/>
      <c r="B51" s="8" t="s">
        <v>113</v>
      </c>
      <c r="C51" s="26" t="n">
        <v>0.7</v>
      </c>
      <c r="D51" s="25" t="s">
        <v>68</v>
      </c>
      <c r="E51" s="25" t="s">
        <v>114</v>
      </c>
    </row>
    <row r="52" customFormat="false" ht="15" hidden="false" customHeight="false" outlineLevel="0" collapsed="false">
      <c r="A52" s="6"/>
      <c r="B52" s="8" t="s">
        <v>115</v>
      </c>
      <c r="C52" s="26" t="n">
        <v>0.67</v>
      </c>
      <c r="D52" s="25" t="s">
        <v>68</v>
      </c>
      <c r="E52" s="25" t="s">
        <v>116</v>
      </c>
    </row>
    <row r="53" customFormat="false" ht="15" hidden="false" customHeight="false" outlineLevel="0" collapsed="false">
      <c r="A53" s="6"/>
      <c r="B53" s="8" t="s">
        <v>117</v>
      </c>
      <c r="C53" s="26" t="n">
        <v>0.64</v>
      </c>
      <c r="D53" s="25" t="s">
        <v>68</v>
      </c>
      <c r="E53" s="25" t="s">
        <v>118</v>
      </c>
    </row>
    <row r="54" customFormat="false" ht="15" hidden="false" customHeight="false" outlineLevel="0" collapsed="false">
      <c r="A54" s="6"/>
      <c r="B54" s="8" t="s">
        <v>119</v>
      </c>
      <c r="C54" s="26" t="n">
        <v>0.62</v>
      </c>
      <c r="D54" s="25" t="s">
        <v>68</v>
      </c>
      <c r="E54" s="25" t="s">
        <v>120</v>
      </c>
    </row>
    <row r="55" customFormat="false" ht="15" hidden="false" customHeight="false" outlineLevel="0" collapsed="false">
      <c r="A55" s="6"/>
      <c r="B55" s="8" t="s">
        <v>121</v>
      </c>
      <c r="C55" s="26" t="n">
        <v>0.6</v>
      </c>
      <c r="D55" s="25" t="s">
        <v>68</v>
      </c>
      <c r="E55" s="25" t="s">
        <v>112</v>
      </c>
    </row>
    <row r="56" customFormat="false" ht="15" hidden="false" customHeight="false" outlineLevel="0" collapsed="false">
      <c r="A56" s="6"/>
      <c r="B56" s="8" t="s">
        <v>122</v>
      </c>
      <c r="C56" s="26" t="n">
        <v>0.55</v>
      </c>
      <c r="D56" s="25" t="s">
        <v>68</v>
      </c>
      <c r="E56" s="25" t="s">
        <v>123</v>
      </c>
    </row>
    <row r="57" customFormat="false" ht="15" hidden="false" customHeight="false" outlineLevel="0" collapsed="false">
      <c r="A57" s="6"/>
      <c r="B57" s="8" t="s">
        <v>124</v>
      </c>
      <c r="C57" s="26" t="n">
        <v>0.52</v>
      </c>
      <c r="D57" s="25" t="s">
        <v>68</v>
      </c>
      <c r="E57" s="25" t="s">
        <v>125</v>
      </c>
    </row>
    <row r="58" customFormat="false" ht="15" hidden="false" customHeight="false" outlineLevel="0" collapsed="false">
      <c r="A58" s="6"/>
      <c r="B58" s="8" t="s">
        <v>126</v>
      </c>
      <c r="C58" s="26" t="n">
        <v>0.5</v>
      </c>
      <c r="D58" s="25" t="s">
        <v>68</v>
      </c>
      <c r="E58" s="25" t="s">
        <v>127</v>
      </c>
    </row>
    <row r="59" customFormat="false" ht="15" hidden="false" customHeight="false" outlineLevel="0" collapsed="false">
      <c r="A59" s="6"/>
      <c r="B59" s="8" t="s">
        <v>128</v>
      </c>
      <c r="C59" s="26" t="n">
        <v>0.48</v>
      </c>
      <c r="D59" s="25" t="s">
        <v>68</v>
      </c>
      <c r="E59" s="25" t="s">
        <v>129</v>
      </c>
    </row>
    <row r="60" customFormat="false" ht="15" hidden="false" customHeight="false" outlineLevel="0" collapsed="false">
      <c r="A60" s="6"/>
      <c r="B60" s="8" t="s">
        <v>130</v>
      </c>
      <c r="C60" s="26" t="n">
        <v>0.47</v>
      </c>
      <c r="D60" s="25" t="s">
        <v>68</v>
      </c>
      <c r="E60" s="25" t="s">
        <v>112</v>
      </c>
    </row>
    <row r="61" customFormat="false" ht="15" hidden="false" customHeight="false" outlineLevel="0" collapsed="false">
      <c r="A61" s="6"/>
      <c r="B61" s="8" t="s">
        <v>131</v>
      </c>
      <c r="C61" s="26" t="n">
        <v>0.4</v>
      </c>
      <c r="D61" s="25" t="s">
        <v>68</v>
      </c>
      <c r="E61" s="25" t="s">
        <v>132</v>
      </c>
    </row>
    <row r="62" customFormat="false" ht="15" hidden="false" customHeight="false" outlineLevel="0" collapsed="false">
      <c r="A62" s="6"/>
      <c r="B62" s="8" t="s">
        <v>133</v>
      </c>
      <c r="C62" s="26" t="n">
        <v>0.35</v>
      </c>
      <c r="D62" s="25" t="s">
        <v>68</v>
      </c>
      <c r="E62" s="25" t="s">
        <v>134</v>
      </c>
    </row>
    <row r="63" customFormat="false" ht="15" hidden="false" customHeight="false" outlineLevel="0" collapsed="false">
      <c r="A63" s="6"/>
      <c r="B63" s="8" t="s">
        <v>135</v>
      </c>
      <c r="C63" s="26" t="n">
        <v>0.25</v>
      </c>
      <c r="D63" s="25" t="s">
        <v>68</v>
      </c>
      <c r="E63" s="25" t="s">
        <v>136</v>
      </c>
    </row>
    <row r="64" customFormat="false" ht="15" hidden="false" customHeight="false" outlineLevel="0" collapsed="false">
      <c r="A64" s="6"/>
      <c r="B64" s="8" t="s">
        <v>137</v>
      </c>
      <c r="C64" s="26" t="n">
        <v>0.1</v>
      </c>
      <c r="D64" s="25" t="s">
        <v>68</v>
      </c>
      <c r="E64" s="25" t="s">
        <v>138</v>
      </c>
    </row>
    <row r="65" customFormat="false" ht="15" hidden="false" customHeight="false" outlineLevel="0" collapsed="false">
      <c r="A65" s="6"/>
      <c r="B65" s="6"/>
      <c r="C65" s="6"/>
      <c r="D65" s="6"/>
      <c r="E65" s="6"/>
    </row>
    <row r="66" customFormat="false" ht="15" hidden="false" customHeight="false" outlineLevel="0" collapsed="false">
      <c r="A66" s="6"/>
      <c r="B66" s="9" t="s">
        <v>139</v>
      </c>
      <c r="C66" s="10"/>
      <c r="D66" s="10"/>
      <c r="E66" s="10"/>
    </row>
    <row r="67" customFormat="false" ht="15" hidden="false" customHeight="false" outlineLevel="0" collapsed="false">
      <c r="A67" s="6"/>
      <c r="B67" s="8" t="s">
        <v>140</v>
      </c>
      <c r="C67" s="26" t="n">
        <v>0.22</v>
      </c>
      <c r="D67" s="25" t="s">
        <v>68</v>
      </c>
      <c r="E67" s="25" t="s">
        <v>141</v>
      </c>
    </row>
    <row r="68" customFormat="false" ht="15" hidden="false" customHeight="false" outlineLevel="0" collapsed="false">
      <c r="A68" s="6"/>
      <c r="B68" s="8" t="s">
        <v>142</v>
      </c>
      <c r="C68" s="26" t="n">
        <v>0.18</v>
      </c>
      <c r="D68" s="25" t="s">
        <v>68</v>
      </c>
      <c r="E68" s="25" t="s">
        <v>143</v>
      </c>
    </row>
    <row r="69" customFormat="false" ht="15" hidden="false" customHeight="false" outlineLevel="0" collapsed="false">
      <c r="A69" s="6"/>
      <c r="B69" s="8" t="s">
        <v>144</v>
      </c>
      <c r="C69" s="26" t="n">
        <v>0.15</v>
      </c>
      <c r="D69" s="25" t="s">
        <v>68</v>
      </c>
      <c r="E69" s="25" t="s">
        <v>145</v>
      </c>
    </row>
    <row r="70" customFormat="false" ht="15" hidden="false" customHeight="false" outlineLevel="0" collapsed="false">
      <c r="A70" s="6"/>
      <c r="B70" s="8" t="s">
        <v>146</v>
      </c>
      <c r="C70" s="26" t="n">
        <v>0.12</v>
      </c>
      <c r="D70" s="25" t="s">
        <v>68</v>
      </c>
      <c r="E70" s="25" t="s">
        <v>147</v>
      </c>
    </row>
    <row r="71" customFormat="false" ht="15" hidden="false" customHeight="false" outlineLevel="0" collapsed="false">
      <c r="A71" s="6"/>
      <c r="B71" s="8" t="s">
        <v>148</v>
      </c>
      <c r="C71" s="26" t="n">
        <v>0.1</v>
      </c>
      <c r="D71" s="25" t="s">
        <v>68</v>
      </c>
      <c r="E71" s="25" t="s">
        <v>88</v>
      </c>
    </row>
    <row r="72" customFormat="false" ht="15" hidden="false" customHeight="false" outlineLevel="0" collapsed="false">
      <c r="A72" s="6"/>
      <c r="B72" s="8" t="s">
        <v>149</v>
      </c>
      <c r="C72" s="26" t="n">
        <v>0.1</v>
      </c>
      <c r="D72" s="25" t="s">
        <v>68</v>
      </c>
      <c r="E72" s="25" t="s">
        <v>150</v>
      </c>
    </row>
    <row r="73" customFormat="false" ht="15" hidden="false" customHeight="false" outlineLevel="0" collapsed="false">
      <c r="A73" s="6"/>
      <c r="B73" s="8" t="s">
        <v>151</v>
      </c>
      <c r="C73" s="26" t="n">
        <v>0.06</v>
      </c>
      <c r="D73" s="25" t="s">
        <v>68</v>
      </c>
      <c r="E73" s="25" t="s">
        <v>150</v>
      </c>
    </row>
    <row r="74" customFormat="false" ht="15" hidden="false" customHeight="false" outlineLevel="0" collapsed="false">
      <c r="A74" s="6"/>
      <c r="B74" s="8" t="s">
        <v>152</v>
      </c>
      <c r="C74" s="26" t="n">
        <v>0.04</v>
      </c>
      <c r="D74" s="25" t="s">
        <v>68</v>
      </c>
      <c r="E74" s="25" t="s">
        <v>150</v>
      </c>
    </row>
    <row r="75" customFormat="false" ht="15" hidden="false" customHeight="false" outlineLevel="0" collapsed="false">
      <c r="A75" s="6"/>
      <c r="B75" s="8" t="s">
        <v>153</v>
      </c>
      <c r="C75" s="26" t="n">
        <v>0.025</v>
      </c>
      <c r="D75" s="25" t="s">
        <v>68</v>
      </c>
      <c r="E75" s="25" t="s">
        <v>150</v>
      </c>
    </row>
    <row r="76" customFormat="false" ht="15" hidden="false" customHeight="false" outlineLevel="0" collapsed="false">
      <c r="A76" s="6"/>
      <c r="B76" s="6"/>
      <c r="C76" s="6"/>
      <c r="D76" s="6"/>
      <c r="E76" s="6"/>
    </row>
    <row r="77" customFormat="false" ht="15" hidden="false" customHeight="false" outlineLevel="0" collapsed="false">
      <c r="A77" s="6"/>
      <c r="B77" s="9" t="s">
        <v>20</v>
      </c>
      <c r="C77" s="10"/>
      <c r="D77" s="10"/>
      <c r="E77" s="10"/>
    </row>
    <row r="78" customFormat="false" ht="15" hidden="false" customHeight="false" outlineLevel="0" collapsed="false">
      <c r="A78" s="6"/>
      <c r="B78" s="8" t="s">
        <v>154</v>
      </c>
      <c r="C78" s="26" t="n">
        <v>0.045</v>
      </c>
      <c r="D78" s="25" t="s">
        <v>68</v>
      </c>
      <c r="E78" s="25" t="s">
        <v>155</v>
      </c>
    </row>
    <row r="79" customFormat="false" ht="15" hidden="false" customHeight="false" outlineLevel="0" collapsed="false">
      <c r="A79" s="6"/>
      <c r="B79" s="8" t="s">
        <v>156</v>
      </c>
      <c r="C79" s="24" t="n">
        <v>30000000</v>
      </c>
      <c r="D79" s="25" t="s">
        <v>80</v>
      </c>
      <c r="E79" s="25" t="s">
        <v>157</v>
      </c>
    </row>
    <row r="80" customFormat="false" ht="15" hidden="false" customHeight="false" outlineLevel="0" collapsed="false">
      <c r="A80" s="6"/>
      <c r="B80" s="6"/>
      <c r="C80" s="6"/>
      <c r="D80" s="6"/>
      <c r="E80" s="6"/>
    </row>
    <row r="81" customFormat="false" ht="15" hidden="false" customHeight="false" outlineLevel="0" collapsed="false">
      <c r="A81" s="6"/>
      <c r="B81" s="9" t="s">
        <v>158</v>
      </c>
      <c r="C81" s="10"/>
      <c r="D81" s="10"/>
      <c r="E81" s="10"/>
    </row>
    <row r="82" customFormat="false" ht="15" hidden="false" customHeight="false" outlineLevel="0" collapsed="false">
      <c r="A82" s="6"/>
      <c r="B82" s="8" t="s">
        <v>159</v>
      </c>
      <c r="C82" s="24" t="n">
        <v>40000000</v>
      </c>
      <c r="D82" s="25" t="s">
        <v>80</v>
      </c>
      <c r="E82" s="25" t="s">
        <v>160</v>
      </c>
    </row>
    <row r="83" customFormat="false" ht="15" hidden="false" customHeight="false" outlineLevel="0" collapsed="false">
      <c r="A83" s="6"/>
      <c r="B83" s="8" t="s">
        <v>161</v>
      </c>
      <c r="C83" s="24" t="n">
        <v>25000000</v>
      </c>
      <c r="D83" s="25" t="s">
        <v>80</v>
      </c>
      <c r="E83" s="25" t="s">
        <v>162</v>
      </c>
    </row>
    <row r="84" customFormat="false" ht="15" hidden="false" customHeight="false" outlineLevel="0" collapsed="false">
      <c r="A84" s="6"/>
      <c r="B84" s="8" t="s">
        <v>163</v>
      </c>
      <c r="C84" s="24" t="n">
        <v>15000000</v>
      </c>
      <c r="D84" s="25" t="s">
        <v>80</v>
      </c>
      <c r="E84" s="25" t="s">
        <v>164</v>
      </c>
    </row>
    <row r="85" customFormat="false" ht="15" hidden="false" customHeight="false" outlineLevel="0" collapsed="false">
      <c r="A85" s="6"/>
      <c r="B85" s="8" t="s">
        <v>165</v>
      </c>
      <c r="C85" s="26" t="n">
        <v>0.07</v>
      </c>
      <c r="D85" s="25" t="s">
        <v>68</v>
      </c>
      <c r="E85" s="25" t="s">
        <v>166</v>
      </c>
    </row>
    <row r="86" customFormat="false" ht="15" hidden="false" customHeight="false" outlineLevel="0" collapsed="false">
      <c r="A86" s="6"/>
      <c r="B86" s="8" t="s">
        <v>167</v>
      </c>
      <c r="C86" s="24" t="n">
        <v>10</v>
      </c>
      <c r="D86" s="25" t="s">
        <v>168</v>
      </c>
      <c r="E86" s="25" t="s">
        <v>169</v>
      </c>
    </row>
    <row r="87" customFormat="false" ht="15" hidden="false" customHeight="false" outlineLevel="0" collapsed="false">
      <c r="A87" s="6"/>
      <c r="B87" s="8" t="s">
        <v>170</v>
      </c>
      <c r="C87" s="24" t="n">
        <v>4</v>
      </c>
      <c r="D87" s="25" t="s">
        <v>171</v>
      </c>
      <c r="E87" s="25" t="s">
        <v>172</v>
      </c>
    </row>
    <row r="88" customFormat="false" ht="15" hidden="false" customHeight="false" outlineLevel="0" collapsed="false">
      <c r="A88" s="6"/>
      <c r="B88" s="8" t="s">
        <v>173</v>
      </c>
      <c r="C88" s="26" t="n">
        <v>0.15</v>
      </c>
      <c r="D88" s="25" t="s">
        <v>68</v>
      </c>
      <c r="E88" s="25" t="s">
        <v>174</v>
      </c>
    </row>
    <row r="89" customFormat="false" ht="15" hidden="false" customHeight="false" outlineLevel="0" collapsed="false">
      <c r="A89" s="6"/>
      <c r="B89" s="6"/>
      <c r="C89" s="6"/>
      <c r="D89" s="6"/>
      <c r="E89" s="6"/>
    </row>
    <row r="90" customFormat="false" ht="15" hidden="false" customHeight="false" outlineLevel="0" collapsed="false">
      <c r="A90" s="6"/>
      <c r="B90" s="9" t="s">
        <v>175</v>
      </c>
      <c r="C90" s="10"/>
      <c r="D90" s="10"/>
      <c r="E90" s="10"/>
    </row>
    <row r="91" customFormat="false" ht="15" hidden="false" customHeight="false" outlineLevel="0" collapsed="false">
      <c r="A91" s="6"/>
      <c r="B91" s="8" t="s">
        <v>176</v>
      </c>
      <c r="C91" s="26" t="n">
        <v>0.04</v>
      </c>
      <c r="D91" s="25" t="s">
        <v>68</v>
      </c>
      <c r="E91" s="25" t="s">
        <v>177</v>
      </c>
    </row>
    <row r="92" customFormat="false" ht="15" hidden="false" customHeight="false" outlineLevel="0" collapsed="false">
      <c r="A92" s="6"/>
      <c r="B92" s="8" t="s">
        <v>178</v>
      </c>
      <c r="C92" s="24" t="n">
        <v>4</v>
      </c>
      <c r="D92" s="25" t="s">
        <v>168</v>
      </c>
      <c r="E92" s="25" t="s">
        <v>179</v>
      </c>
    </row>
    <row r="93" customFormat="false" ht="15" hidden="false" customHeight="false" outlineLevel="0" collapsed="false">
      <c r="A93" s="6"/>
      <c r="B93" s="6"/>
      <c r="C93" s="6"/>
      <c r="D93" s="6"/>
      <c r="E93" s="6"/>
    </row>
    <row r="94" customFormat="false" ht="15" hidden="false" customHeight="false" outlineLevel="0" collapsed="false">
      <c r="A94" s="6"/>
      <c r="B94" s="9" t="s">
        <v>180</v>
      </c>
      <c r="C94" s="10"/>
      <c r="D94" s="10"/>
      <c r="E94" s="10"/>
    </row>
    <row r="95" customFormat="false" ht="15" hidden="false" customHeight="false" outlineLevel="0" collapsed="false">
      <c r="A95" s="6"/>
      <c r="B95" s="8" t="s">
        <v>181</v>
      </c>
      <c r="C95" s="26" t="n">
        <v>0.21</v>
      </c>
      <c r="D95" s="25" t="s">
        <v>68</v>
      </c>
      <c r="E95" s="25" t="s">
        <v>182</v>
      </c>
    </row>
    <row r="96" customFormat="false" ht="15" hidden="false" customHeight="false" outlineLevel="0" collapsed="false">
      <c r="A96" s="6"/>
      <c r="B96" s="8" t="s">
        <v>183</v>
      </c>
      <c r="C96" s="26" t="n">
        <v>0</v>
      </c>
      <c r="D96" s="25" t="s">
        <v>68</v>
      </c>
      <c r="E96" s="25" t="s">
        <v>184</v>
      </c>
    </row>
    <row r="97" customFormat="false" ht="15" hidden="false" customHeight="false" outlineLevel="0" collapsed="false">
      <c r="A97" s="6"/>
      <c r="B97" s="6"/>
      <c r="C97" s="6"/>
      <c r="D97" s="6"/>
      <c r="E97" s="6"/>
    </row>
    <row r="98" customFormat="false" ht="15" hidden="false" customHeight="false" outlineLevel="0" collapsed="false">
      <c r="A98" s="6"/>
      <c r="B98" s="9" t="s">
        <v>185</v>
      </c>
      <c r="C98" s="10"/>
      <c r="D98" s="10"/>
      <c r="E98" s="10"/>
    </row>
    <row r="99" customFormat="false" ht="15" hidden="false" customHeight="false" outlineLevel="0" collapsed="false">
      <c r="A99" s="6"/>
      <c r="B99" s="8" t="s">
        <v>186</v>
      </c>
      <c r="C99" s="24" t="n">
        <v>15000000</v>
      </c>
      <c r="D99" s="25" t="s">
        <v>80</v>
      </c>
      <c r="E99" s="25"/>
    </row>
    <row r="100" customFormat="false" ht="15" hidden="false" customHeight="false" outlineLevel="0" collapsed="false">
      <c r="A100" s="6"/>
      <c r="B100" s="8" t="s">
        <v>187</v>
      </c>
      <c r="C100" s="24" t="n">
        <v>5000000</v>
      </c>
      <c r="D100" s="25" t="s">
        <v>80</v>
      </c>
      <c r="E100" s="25"/>
    </row>
    <row r="101" customFormat="false" ht="15" hidden="false" customHeight="false" outlineLevel="0" collapsed="false">
      <c r="A101" s="6"/>
      <c r="B101" s="8" t="s">
        <v>188</v>
      </c>
      <c r="C101" s="24" t="n">
        <v>3000000</v>
      </c>
      <c r="D101" s="25" t="s">
        <v>80</v>
      </c>
      <c r="E101" s="25"/>
    </row>
    <row r="102" customFormat="false" ht="15" hidden="false" customHeight="false" outlineLevel="0" collapsed="false">
      <c r="A102" s="6"/>
      <c r="B102" s="8" t="s">
        <v>189</v>
      </c>
      <c r="C102" s="24" t="n">
        <v>4000000</v>
      </c>
      <c r="D102" s="25" t="s">
        <v>80</v>
      </c>
      <c r="E102" s="25"/>
    </row>
    <row r="103" customFormat="false" ht="15" hidden="false" customHeight="false" outlineLevel="0" collapsed="false">
      <c r="A103" s="6"/>
      <c r="B103" s="8" t="s">
        <v>190</v>
      </c>
      <c r="C103" s="24" t="n">
        <v>8000000</v>
      </c>
      <c r="D103" s="25" t="s">
        <v>80</v>
      </c>
      <c r="E103" s="25"/>
    </row>
    <row r="104" customFormat="false" ht="15" hidden="false" customHeight="false" outlineLevel="0" collapsed="false">
      <c r="A104" s="6"/>
      <c r="B104" s="8" t="s">
        <v>191</v>
      </c>
      <c r="C104" s="24" t="n">
        <v>3000000</v>
      </c>
      <c r="D104" s="25" t="s">
        <v>80</v>
      </c>
      <c r="E104" s="25"/>
    </row>
    <row r="105" customFormat="false" ht="15" hidden="false" customHeight="false" outlineLevel="0" collapsed="false">
      <c r="A105" s="6"/>
      <c r="B105" s="8" t="s">
        <v>192</v>
      </c>
      <c r="C105" s="24" t="n">
        <v>12000000</v>
      </c>
      <c r="D105" s="25" t="s">
        <v>80</v>
      </c>
      <c r="E105" s="25"/>
    </row>
    <row r="106" customFormat="false" ht="15" hidden="false" customHeight="false" outlineLevel="0" collapsed="false">
      <c r="A106" s="6"/>
      <c r="B106" s="8" t="s">
        <v>193</v>
      </c>
      <c r="C106" s="24" t="n">
        <v>18000000</v>
      </c>
      <c r="D106" s="25" t="s">
        <v>80</v>
      </c>
      <c r="E106" s="25"/>
    </row>
    <row r="107" customFormat="false" ht="15" hidden="false" customHeight="false" outlineLevel="0" collapsed="false">
      <c r="A107" s="6"/>
      <c r="B107" s="8" t="s">
        <v>194</v>
      </c>
      <c r="C107" s="24" t="n">
        <v>50000000</v>
      </c>
      <c r="D107" s="25" t="s">
        <v>80</v>
      </c>
      <c r="E107" s="25" t="s">
        <v>195</v>
      </c>
    </row>
    <row r="108" customFormat="false" ht="15" hidden="false" customHeight="false" outlineLevel="0" collapsed="false">
      <c r="A108" s="6"/>
      <c r="B108" s="8" t="s">
        <v>196</v>
      </c>
      <c r="C108" s="24" t="n">
        <v>-20000000</v>
      </c>
      <c r="D108" s="25" t="s">
        <v>80</v>
      </c>
      <c r="E108" s="25" t="s">
        <v>197</v>
      </c>
    </row>
    <row r="109" customFormat="false" ht="15" hidden="false" customHeight="false" outlineLevel="0" collapsed="false">
      <c r="A109" s="6"/>
      <c r="B109" s="8" t="s">
        <v>198</v>
      </c>
      <c r="C109" s="24" t="n">
        <v>35</v>
      </c>
      <c r="D109" s="25" t="s">
        <v>199</v>
      </c>
      <c r="E109" s="25" t="s">
        <v>200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63</v>
      </c>
      <c r="C8" s="10"/>
      <c r="D8" s="10"/>
      <c r="E8" s="10"/>
      <c r="F8" s="10"/>
      <c r="G8" s="10"/>
    </row>
    <row r="9" customFormat="false" ht="15" hidden="false" customHeight="false" outlineLevel="0" collapsed="false">
      <c r="A9" s="6"/>
      <c r="B9" s="8" t="s">
        <v>204</v>
      </c>
      <c r="C9" s="30" t="n">
        <f aca="false">Auto_Policies_Y0</f>
        <v>25000</v>
      </c>
      <c r="D9" s="30" t="n">
        <f aca="false">C12</f>
        <v>33750</v>
      </c>
      <c r="E9" s="30" t="n">
        <f aca="false">D12</f>
        <v>42187.5</v>
      </c>
      <c r="F9" s="30" t="n">
        <f aca="false">E12</f>
        <v>48515.625</v>
      </c>
      <c r="G9" s="30" t="n">
        <f aca="false">F12</f>
        <v>53367.1875</v>
      </c>
    </row>
    <row r="10" customFormat="false" ht="15" hidden="false" customHeight="false" outlineLevel="0" collapsed="false">
      <c r="A10" s="6"/>
      <c r="B10" s="31" t="s">
        <v>205</v>
      </c>
      <c r="C10" s="30" t="n">
        <f aca="false">C9*Auto_New_Growth_Y1</f>
        <v>12500</v>
      </c>
      <c r="D10" s="30" t="n">
        <f aca="false">D9*Auto_New_Growth_Y2</f>
        <v>13500</v>
      </c>
      <c r="E10" s="30" t="n">
        <f aca="false">E9*Auto_New_Growth_Y3</f>
        <v>12656.25</v>
      </c>
      <c r="F10" s="30" t="n">
        <f aca="false">F9*Auto_New_Growth_Y4</f>
        <v>12128.90625</v>
      </c>
      <c r="G10" s="30" t="n">
        <f aca="false">G9*Auto_New_Growth_Y5</f>
        <v>10673.4375</v>
      </c>
    </row>
    <row r="11" customFormat="false" ht="15" hidden="false" customHeight="false" outlineLevel="0" collapsed="false">
      <c r="A11" s="6"/>
      <c r="B11" s="31" t="s">
        <v>206</v>
      </c>
      <c r="C11" s="30" t="n">
        <f aca="false">-C9*Auto_Lapse_Rate</f>
        <v>-3750</v>
      </c>
      <c r="D11" s="30" t="n">
        <f aca="false">-D9*Auto_Lapse_Rate</f>
        <v>-5062.5</v>
      </c>
      <c r="E11" s="30" t="n">
        <f aca="false">-E9*Auto_Lapse_Rate</f>
        <v>-6328.125</v>
      </c>
      <c r="F11" s="30" t="n">
        <f aca="false">-F9*Auto_Lapse_Rate</f>
        <v>-7277.34375</v>
      </c>
      <c r="G11" s="30" t="n">
        <f aca="false">-G9*Auto_Lapse_Rate</f>
        <v>-8005.078125</v>
      </c>
    </row>
    <row r="12" customFormat="false" ht="15" hidden="false" customHeight="false" outlineLevel="0" collapsed="false">
      <c r="A12" s="6"/>
      <c r="B12" s="7" t="s">
        <v>207</v>
      </c>
      <c r="C12" s="32" t="n">
        <f aca="false">C9+C10+C11</f>
        <v>33750</v>
      </c>
      <c r="D12" s="32" t="n">
        <f aca="false">D9+D10+D11</f>
        <v>42187.5</v>
      </c>
      <c r="E12" s="32" t="n">
        <f aca="false">E9+E10+E11</f>
        <v>48515.625</v>
      </c>
      <c r="F12" s="32" t="n">
        <f aca="false">F9+F10+F11</f>
        <v>53367.1875</v>
      </c>
      <c r="G12" s="32" t="n">
        <f aca="false">G9+G10+G11</f>
        <v>56035.546875</v>
      </c>
    </row>
    <row r="13" customFormat="false" ht="15" hidden="false" customHeight="false" outlineLevel="0" collapsed="false">
      <c r="A13" s="6"/>
      <c r="B13" s="8" t="s">
        <v>208</v>
      </c>
      <c r="C13" s="33" t="n">
        <f aca="false">Auto_Avg_Premium*(1+Auto_Rate_Increase)^C6</f>
        <v>1248</v>
      </c>
      <c r="D13" s="33" t="n">
        <f aca="false">Auto_Avg_Premium*(1+Auto_Rate_Increase)^D6</f>
        <v>1297.92</v>
      </c>
      <c r="E13" s="33" t="n">
        <f aca="false">Auto_Avg_Premium*(1+Auto_Rate_Increase)^E6</f>
        <v>1349.8368</v>
      </c>
      <c r="F13" s="33" t="n">
        <f aca="false">Auto_Avg_Premium*(1+Auto_Rate_Increase)^F6</f>
        <v>1403.830272</v>
      </c>
      <c r="G13" s="33" t="n">
        <f aca="false">Auto_Avg_Premium*(1+Auto_Rate_Increase)^G6</f>
        <v>1459.98348288</v>
      </c>
    </row>
    <row r="14" customFormat="false" ht="15" hidden="false" customHeight="false" outlineLevel="0" collapsed="false">
      <c r="A14" s="6"/>
      <c r="B14" s="7" t="s">
        <v>209</v>
      </c>
      <c r="C14" s="32" t="n">
        <f aca="false">(C9+C12)/2*C13</f>
        <v>36660000</v>
      </c>
      <c r="D14" s="32" t="n">
        <f aca="false">(D9+D12)/2*D13</f>
        <v>49280400</v>
      </c>
      <c r="E14" s="32" t="n">
        <f aca="false">(E9+E12)/2*E13</f>
        <v>61217208</v>
      </c>
      <c r="F14" s="32" t="n">
        <f aca="false">(F9+F12)/2*F13</f>
        <v>71513088.192</v>
      </c>
      <c r="G14" s="32" t="n">
        <f aca="false">(G9+G12)/2*G13</f>
        <v>79863092.584704</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84</v>
      </c>
      <c r="C16" s="10"/>
      <c r="D16" s="10"/>
      <c r="E16" s="10"/>
      <c r="F16" s="10"/>
      <c r="G16" s="10"/>
    </row>
    <row r="17" customFormat="false" ht="15" hidden="false" customHeight="false" outlineLevel="0" collapsed="false">
      <c r="A17" s="6"/>
      <c r="B17" s="8" t="s">
        <v>204</v>
      </c>
      <c r="C17" s="30" t="n">
        <f aca="false">Home_Policies_Y0</f>
        <v>10000</v>
      </c>
      <c r="D17" s="30" t="n">
        <f aca="false">C20</f>
        <v>13300</v>
      </c>
      <c r="E17" s="30" t="n">
        <f aca="false">D20</f>
        <v>16359</v>
      </c>
      <c r="F17" s="30" t="n">
        <f aca="false">E20</f>
        <v>18976.44</v>
      </c>
      <c r="G17" s="30" t="n">
        <f aca="false">F20</f>
        <v>20874.084</v>
      </c>
    </row>
    <row r="18" customFormat="false" ht="15" hidden="false" customHeight="false" outlineLevel="0" collapsed="false">
      <c r="A18" s="6"/>
      <c r="B18" s="31" t="s">
        <v>205</v>
      </c>
      <c r="C18" s="30" t="n">
        <f aca="false">C17*Home_New_Growth_Y1</f>
        <v>4500</v>
      </c>
      <c r="D18" s="30" t="n">
        <f aca="false">D17*Home_New_Growth_Y2</f>
        <v>4655</v>
      </c>
      <c r="E18" s="30" t="n">
        <f aca="false">E17*Home_New_Growth_Y3</f>
        <v>4580.52</v>
      </c>
      <c r="F18" s="30" t="n">
        <f aca="false">F17*Home_New_Growth_Y4</f>
        <v>4174.8168</v>
      </c>
      <c r="G18" s="30" t="n">
        <f aca="false">G17*Home_New_Growth_Y5</f>
        <v>3757.33512</v>
      </c>
    </row>
    <row r="19" customFormat="false" ht="15" hidden="false" customHeight="false" outlineLevel="0" collapsed="false">
      <c r="A19" s="6"/>
      <c r="B19" s="31" t="s">
        <v>206</v>
      </c>
      <c r="C19" s="30" t="n">
        <f aca="false">-C17*Home_Lapse_Rate</f>
        <v>-1200</v>
      </c>
      <c r="D19" s="30" t="n">
        <f aca="false">-D17*Home_Lapse_Rate</f>
        <v>-1596</v>
      </c>
      <c r="E19" s="30" t="n">
        <f aca="false">-E17*Home_Lapse_Rate</f>
        <v>-1963.08</v>
      </c>
      <c r="F19" s="30" t="n">
        <f aca="false">-F17*Home_Lapse_Rate</f>
        <v>-2277.1728</v>
      </c>
      <c r="G19" s="30" t="n">
        <f aca="false">-G17*Home_Lapse_Rate</f>
        <v>-2504.89008</v>
      </c>
    </row>
    <row r="20" customFormat="false" ht="15" hidden="false" customHeight="false" outlineLevel="0" collapsed="false">
      <c r="A20" s="6"/>
      <c r="B20" s="7" t="s">
        <v>207</v>
      </c>
      <c r="C20" s="32" t="n">
        <f aca="false">C17+C18+C19</f>
        <v>13300</v>
      </c>
      <c r="D20" s="32" t="n">
        <f aca="false">D17+D18+D19</f>
        <v>16359</v>
      </c>
      <c r="E20" s="32" t="n">
        <f aca="false">E17+E18+E19</f>
        <v>18976.44</v>
      </c>
      <c r="F20" s="32" t="n">
        <f aca="false">F17+F18+F19</f>
        <v>20874.084</v>
      </c>
      <c r="G20" s="32" t="n">
        <f aca="false">G17+G18+G19</f>
        <v>22126.52904</v>
      </c>
    </row>
    <row r="21" customFormat="false" ht="15" hidden="false" customHeight="false" outlineLevel="0" collapsed="false">
      <c r="A21" s="6"/>
      <c r="B21" s="8" t="s">
        <v>208</v>
      </c>
      <c r="C21" s="33" t="n">
        <f aca="false">Home_Avg_Premium*(1+Home_Rate_Increase)^C6</f>
        <v>1890</v>
      </c>
      <c r="D21" s="33" t="n">
        <f aca="false">Home_Avg_Premium*(1+Home_Rate_Increase)^D6</f>
        <v>1984.5</v>
      </c>
      <c r="E21" s="33" t="n">
        <f aca="false">Home_Avg_Premium*(1+Home_Rate_Increase)^E6</f>
        <v>2083.725</v>
      </c>
      <c r="F21" s="33" t="n">
        <f aca="false">Home_Avg_Premium*(1+Home_Rate_Increase)^F6</f>
        <v>2187.91125</v>
      </c>
      <c r="G21" s="33" t="n">
        <f aca="false">Home_Avg_Premium*(1+Home_Rate_Increase)^G6</f>
        <v>2297.3068125</v>
      </c>
    </row>
    <row r="22" customFormat="false" ht="15" hidden="false" customHeight="false" outlineLevel="0" collapsed="false">
      <c r="A22" s="6"/>
      <c r="B22" s="7" t="s">
        <v>210</v>
      </c>
      <c r="C22" s="32" t="n">
        <f aca="false">(C17+C20)/2*C21</f>
        <v>22018500</v>
      </c>
      <c r="D22" s="32" t="n">
        <f aca="false">(D17+D20)/2*D21</f>
        <v>29429142.75</v>
      </c>
      <c r="E22" s="32" t="n">
        <f aca="false">(E17+E20)/2*E21</f>
        <v>36814669.857</v>
      </c>
      <c r="F22" s="32" t="n">
        <f aca="false">(F17+F20)/2*F21</f>
        <v>43594704.8889975</v>
      </c>
      <c r="G22" s="32" t="n">
        <f aca="false">(G17+G20)/2*G21</f>
        <v>49392800.6392342</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91</v>
      </c>
      <c r="C24" s="10"/>
      <c r="D24" s="10"/>
      <c r="E24" s="10"/>
      <c r="F24" s="10"/>
      <c r="G24" s="10"/>
    </row>
    <row r="25" customFormat="false" ht="15" hidden="false" customHeight="false" outlineLevel="0" collapsed="false">
      <c r="A25" s="6"/>
      <c r="B25" s="8" t="s">
        <v>204</v>
      </c>
      <c r="C25" s="30" t="n">
        <f aca="false">Rent_Policies_Y0</f>
        <v>15000</v>
      </c>
      <c r="D25" s="30" t="n">
        <f aca="false">C28</f>
        <v>21000</v>
      </c>
      <c r="E25" s="30" t="n">
        <f aca="false">D28</f>
        <v>27300</v>
      </c>
      <c r="F25" s="30" t="n">
        <f aca="false">E28</f>
        <v>32760</v>
      </c>
      <c r="G25" s="30" t="n">
        <f aca="false">F28</f>
        <v>36036</v>
      </c>
    </row>
    <row r="26" customFormat="false" ht="15" hidden="false" customHeight="false" outlineLevel="0" collapsed="false">
      <c r="A26" s="6"/>
      <c r="B26" s="31" t="s">
        <v>205</v>
      </c>
      <c r="C26" s="30" t="n">
        <f aca="false">C25*Rent_New_Growth_Y1</f>
        <v>9000</v>
      </c>
      <c r="D26" s="30" t="n">
        <f aca="false">D25*Rent_New_Growth_Y2</f>
        <v>10500</v>
      </c>
      <c r="E26" s="30" t="n">
        <f aca="false">E25*Rent_New_Growth_Y3</f>
        <v>10920</v>
      </c>
      <c r="F26" s="30" t="n">
        <f aca="false">F25*Rent_New_Growth_Y4</f>
        <v>9828</v>
      </c>
      <c r="G26" s="30" t="n">
        <f aca="false">G25*Rent_New_Growth_Y5</f>
        <v>9009</v>
      </c>
    </row>
    <row r="27" customFormat="false" ht="15" hidden="false" customHeight="false" outlineLevel="0" collapsed="false">
      <c r="A27" s="6"/>
      <c r="B27" s="31" t="s">
        <v>206</v>
      </c>
      <c r="C27" s="30" t="n">
        <f aca="false">-C25*Rent_Lapse_Rate</f>
        <v>-3000</v>
      </c>
      <c r="D27" s="30" t="n">
        <f aca="false">-D25*Rent_Lapse_Rate</f>
        <v>-4200</v>
      </c>
      <c r="E27" s="30" t="n">
        <f aca="false">-E25*Rent_Lapse_Rate</f>
        <v>-5460</v>
      </c>
      <c r="F27" s="30" t="n">
        <f aca="false">-F25*Rent_Lapse_Rate</f>
        <v>-6552</v>
      </c>
      <c r="G27" s="30" t="n">
        <f aca="false">-G25*Rent_Lapse_Rate</f>
        <v>-7207.2</v>
      </c>
    </row>
    <row r="28" customFormat="false" ht="15" hidden="false" customHeight="false" outlineLevel="0" collapsed="false">
      <c r="A28" s="6"/>
      <c r="B28" s="7" t="s">
        <v>207</v>
      </c>
      <c r="C28" s="32" t="n">
        <f aca="false">C25+C26+C27</f>
        <v>21000</v>
      </c>
      <c r="D28" s="32" t="n">
        <f aca="false">D25+D26+D27</f>
        <v>27300</v>
      </c>
      <c r="E28" s="32" t="n">
        <f aca="false">E25+E26+E27</f>
        <v>32760</v>
      </c>
      <c r="F28" s="32" t="n">
        <f aca="false">F25+F26+F27</f>
        <v>36036</v>
      </c>
      <c r="G28" s="32" t="n">
        <f aca="false">G25+G26+G27</f>
        <v>37837.8</v>
      </c>
    </row>
    <row r="29" customFormat="false" ht="15" hidden="false" customHeight="false" outlineLevel="0" collapsed="false">
      <c r="A29" s="6"/>
      <c r="B29" s="8" t="s">
        <v>208</v>
      </c>
      <c r="C29" s="33" t="n">
        <f aca="false">Rent_Avg_Premium*(1+Rent_Rate_Increase)^C6</f>
        <v>206</v>
      </c>
      <c r="D29" s="33" t="n">
        <f aca="false">Rent_Avg_Premium*(1+Rent_Rate_Increase)^D6</f>
        <v>212.18</v>
      </c>
      <c r="E29" s="33" t="n">
        <f aca="false">Rent_Avg_Premium*(1+Rent_Rate_Increase)^E6</f>
        <v>218.5454</v>
      </c>
      <c r="F29" s="33" t="n">
        <f aca="false">Rent_Avg_Premium*(1+Rent_Rate_Increase)^F6</f>
        <v>225.101762</v>
      </c>
      <c r="G29" s="33" t="n">
        <f aca="false">Rent_Avg_Premium*(1+Rent_Rate_Increase)^G6</f>
        <v>231.85481486</v>
      </c>
    </row>
    <row r="30" customFormat="false" ht="15" hidden="false" customHeight="false" outlineLevel="0" collapsed="false">
      <c r="A30" s="6"/>
      <c r="B30" s="7" t="s">
        <v>211</v>
      </c>
      <c r="C30" s="32" t="n">
        <f aca="false">(C25+C28)/2*C29</f>
        <v>3708000</v>
      </c>
      <c r="D30" s="32" t="n">
        <f aca="false">(D25+D28)/2*D29</f>
        <v>5124147</v>
      </c>
      <c r="E30" s="32" t="n">
        <f aca="false">(E25+E28)/2*E29</f>
        <v>6562918.362</v>
      </c>
      <c r="F30" s="32" t="n">
        <f aca="false">(F25+F28)/2*F29</f>
        <v>7743050.409276</v>
      </c>
      <c r="G30" s="32" t="n">
        <f aca="false">(G25+G28)/2*G29</f>
        <v>8563998.11100234</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212</v>
      </c>
      <c r="C32" s="34" t="n">
        <f aca="false">C14+C22+C30</f>
        <v>62386500</v>
      </c>
      <c r="D32" s="34" t="n">
        <f aca="false">D14+D22+D30</f>
        <v>83833689.75</v>
      </c>
      <c r="E32" s="34" t="n">
        <f aca="false">E14+E22+E30</f>
        <v>104594796.219</v>
      </c>
      <c r="F32" s="34" t="n">
        <f aca="false">F14+F22+F30</f>
        <v>122850843.490274</v>
      </c>
      <c r="G32" s="34" t="n">
        <f aca="false">G14+G22+G30</f>
        <v>137819891.334941</v>
      </c>
    </row>
    <row r="33" customFormat="false" ht="15" hidden="false" customHeight="false" outlineLevel="0" collapsed="false">
      <c r="A33" s="6"/>
      <c r="B33" s="31" t="s">
        <v>213</v>
      </c>
      <c r="C33" s="30" t="n">
        <f aca="false">-C32*Ceded_Pct</f>
        <v>-12477300</v>
      </c>
      <c r="D33" s="30" t="n">
        <f aca="false">-D32*Ceded_Pct</f>
        <v>-16766737.95</v>
      </c>
      <c r="E33" s="30" t="n">
        <f aca="false">-E32*Ceded_Pct</f>
        <v>-20918959.2438</v>
      </c>
      <c r="F33" s="30" t="n">
        <f aca="false">-F32*Ceded_Pct</f>
        <v>-24570168.6980547</v>
      </c>
      <c r="G33" s="30" t="n">
        <f aca="false">-G32*Ceded_Pct</f>
        <v>-27563978.2669881</v>
      </c>
    </row>
    <row r="34" customFormat="false" ht="15" hidden="false" customHeight="false" outlineLevel="0" collapsed="false">
      <c r="A34" s="6"/>
      <c r="B34" s="7" t="s">
        <v>214</v>
      </c>
      <c r="C34" s="34" t="n">
        <f aca="false">C32+C33</f>
        <v>49909200</v>
      </c>
      <c r="D34" s="34" t="n">
        <f aca="false">D32+D33</f>
        <v>67066951.8</v>
      </c>
      <c r="E34" s="34" t="n">
        <f aca="false">E32+E33</f>
        <v>83675836.9752</v>
      </c>
      <c r="F34" s="34" t="n">
        <f aca="false">F32+F33</f>
        <v>98280674.7922188</v>
      </c>
      <c r="G34" s="34" t="n">
        <f aca="false">G32+G33</f>
        <v>110255913.067952</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9" t="s">
        <v>193</v>
      </c>
      <c r="C36" s="10"/>
      <c r="D36" s="10"/>
      <c r="E36" s="10"/>
      <c r="F36" s="10"/>
      <c r="G36" s="10"/>
    </row>
    <row r="37" customFormat="false" ht="15" hidden="false" customHeight="false" outlineLevel="0" collapsed="false">
      <c r="A37" s="6"/>
      <c r="B37" s="8" t="s">
        <v>215</v>
      </c>
      <c r="C37" s="30" t="n">
        <f aca="false">Open_UPR</f>
        <v>18000000</v>
      </c>
      <c r="D37" s="30" t="n">
        <f aca="false">C40</f>
        <v>24954600</v>
      </c>
      <c r="E37" s="30" t="n">
        <f aca="false">D40</f>
        <v>33533475.9</v>
      </c>
      <c r="F37" s="30" t="n">
        <f aca="false">E40</f>
        <v>41837918.4876</v>
      </c>
      <c r="G37" s="30" t="n">
        <f aca="false">F40</f>
        <v>49140337.3961094</v>
      </c>
    </row>
    <row r="38" customFormat="false" ht="15" hidden="false" customHeight="false" outlineLevel="0" collapsed="false">
      <c r="A38" s="6"/>
      <c r="B38" s="31" t="s">
        <v>216</v>
      </c>
      <c r="C38" s="30" t="n">
        <f aca="false">C34</f>
        <v>49909200</v>
      </c>
      <c r="D38" s="30" t="n">
        <f aca="false">D34</f>
        <v>67066951.8</v>
      </c>
      <c r="E38" s="30" t="n">
        <f aca="false">E34</f>
        <v>83675836.9752</v>
      </c>
      <c r="F38" s="30" t="n">
        <f aca="false">F34</f>
        <v>98280674.7922188</v>
      </c>
      <c r="G38" s="30" t="n">
        <f aca="false">G34</f>
        <v>110255913.067952</v>
      </c>
    </row>
    <row r="39" customFormat="false" ht="15" hidden="false" customHeight="false" outlineLevel="0" collapsed="false">
      <c r="A39" s="6"/>
      <c r="B39" s="31" t="s">
        <v>217</v>
      </c>
      <c r="C39" s="30" t="n">
        <f aca="false">C37+C38-C40</f>
        <v>42954600</v>
      </c>
      <c r="D39" s="30" t="n">
        <f aca="false">D37+D38-D40</f>
        <v>58488075.9</v>
      </c>
      <c r="E39" s="30" t="n">
        <f aca="false">E37+E38-E40</f>
        <v>75371394.3876</v>
      </c>
      <c r="F39" s="30" t="n">
        <f aca="false">F37+F38-F40</f>
        <v>90978255.8837094</v>
      </c>
      <c r="G39" s="30" t="n">
        <f aca="false">G37+G38-G40</f>
        <v>104268293.930086</v>
      </c>
    </row>
    <row r="40" customFormat="false" ht="15" hidden="false" customHeight="false" outlineLevel="0" collapsed="false">
      <c r="A40" s="6"/>
      <c r="B40" s="8" t="s">
        <v>218</v>
      </c>
      <c r="C40" s="30" t="n">
        <f aca="false">C34/2</f>
        <v>24954600</v>
      </c>
      <c r="D40" s="30" t="n">
        <f aca="false">D34/2</f>
        <v>33533475.9</v>
      </c>
      <c r="E40" s="30" t="n">
        <f aca="false">E34/2</f>
        <v>41837918.4876</v>
      </c>
      <c r="F40" s="30" t="n">
        <f aca="false">F34/2</f>
        <v>49140337.3961094</v>
      </c>
      <c r="G40" s="30" t="n">
        <f aca="false">G34/2</f>
        <v>55127956.5339762</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7" t="s">
        <v>219</v>
      </c>
      <c r="C42" s="34" t="n">
        <f aca="false">C39</f>
        <v>42954600</v>
      </c>
      <c r="D42" s="34" t="n">
        <f aca="false">D39</f>
        <v>58488075.9</v>
      </c>
      <c r="E42" s="34" t="n">
        <f aca="false">E39</f>
        <v>75371394.3876</v>
      </c>
      <c r="F42" s="34" t="n">
        <f aca="false">F39</f>
        <v>90978255.8837094</v>
      </c>
      <c r="G42" s="34" t="n">
        <f aca="false">G39</f>
        <v>104268293.930086</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8" t="s">
        <v>220</v>
      </c>
      <c r="C44" s="35"/>
      <c r="D44" s="35" t="n">
        <f aca="false">D32/C32-1</f>
        <v>0.343779339280133</v>
      </c>
      <c r="E44" s="35" t="n">
        <f aca="false">E32/D32-1</f>
        <v>0.247646340402189</v>
      </c>
      <c r="F44" s="35" t="n">
        <f aca="false">F32/E32-1</f>
        <v>0.174540683965282</v>
      </c>
      <c r="G44" s="35" t="n">
        <f aca="false">G32/F32-1</f>
        <v>0.121847334697805</v>
      </c>
    </row>
    <row r="45" customFormat="false" ht="15" hidden="false" customHeight="false" outlineLevel="0" collapsed="false">
      <c r="A45" s="6"/>
      <c r="B45" s="8" t="s">
        <v>221</v>
      </c>
      <c r="C45" s="30" t="n">
        <f aca="false">C12+C20+C28</f>
        <v>68050</v>
      </c>
      <c r="D45" s="30" t="n">
        <f aca="false">D12+D20+D28</f>
        <v>85846.5</v>
      </c>
      <c r="E45" s="30" t="n">
        <f aca="false">E12+E20+E28</f>
        <v>100252.065</v>
      </c>
      <c r="F45" s="30" t="n">
        <f aca="false">F12+F20+F28</f>
        <v>110277.2715</v>
      </c>
      <c r="G45" s="30" t="n">
        <f aca="false">G12+G20+G28</f>
        <v>115999.875915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224</v>
      </c>
      <c r="C8" s="10"/>
      <c r="D8" s="10"/>
      <c r="E8" s="10"/>
      <c r="F8" s="10"/>
      <c r="G8" s="10"/>
    </row>
    <row r="9" customFormat="false" ht="15" hidden="false" customHeight="false" outlineLevel="0" collapsed="false">
      <c r="A9" s="6"/>
      <c r="B9" s="31" t="s">
        <v>225</v>
      </c>
      <c r="C9" s="30" t="n">
        <f aca="false">PB_NEP*PB_Auto_GWP/PB_Total_GWP</f>
        <v>25241288.3556539</v>
      </c>
      <c r="D9" s="30" t="n">
        <f aca="false">PB_NEP*PB_Auto_GWP/PB_Total_GWP</f>
        <v>34381354.1331379</v>
      </c>
      <c r="E9" s="30" t="n">
        <f aca="false">PB_NEP*PB_Auto_GWP/PB_Total_GWP</f>
        <v>44113344.9680892</v>
      </c>
      <c r="F9" s="30" t="n">
        <f aca="false">PB_NEP*PB_Auto_GWP/PB_Total_GWP</f>
        <v>52959636.6758456</v>
      </c>
      <c r="G9" s="30" t="n">
        <f aca="false">PB_NEP*PB_Auto_GWP/PB_Total_GWP</f>
        <v>60420802.3321553</v>
      </c>
    </row>
    <row r="10" customFormat="false" ht="15" hidden="false" customHeight="false" outlineLevel="0" collapsed="false">
      <c r="A10" s="6"/>
      <c r="B10" s="31" t="s">
        <v>226</v>
      </c>
      <c r="C10" s="35" t="n">
        <f aca="false">Auto_Loss_Ratio_Y1</f>
        <v>0.75</v>
      </c>
      <c r="D10" s="35" t="n">
        <f aca="false">Auto_Loss_Ratio_Y2</f>
        <v>0.72</v>
      </c>
      <c r="E10" s="35" t="n">
        <f aca="false">Auto_Loss_Ratio_Y3</f>
        <v>0.68</v>
      </c>
      <c r="F10" s="35" t="n">
        <f aca="false">Auto_Loss_Ratio_Y4</f>
        <v>0.65</v>
      </c>
      <c r="G10" s="35" t="n">
        <f aca="false">Auto_Loss_Ratio_Y5</f>
        <v>0.63</v>
      </c>
    </row>
    <row r="11" customFormat="false" ht="15" hidden="false" customHeight="false" outlineLevel="0" collapsed="false">
      <c r="A11" s="6"/>
      <c r="B11" s="8" t="s">
        <v>227</v>
      </c>
      <c r="C11" s="30" t="n">
        <f aca="false">C9*C10</f>
        <v>18930966.2667404</v>
      </c>
      <c r="D11" s="30" t="n">
        <f aca="false">D9*D10</f>
        <v>24754574.9758593</v>
      </c>
      <c r="E11" s="30" t="n">
        <f aca="false">E9*E10</f>
        <v>29997074.5783007</v>
      </c>
      <c r="F11" s="30" t="n">
        <f aca="false">F9*F10</f>
        <v>34423763.8392996</v>
      </c>
      <c r="G11" s="30" t="n">
        <f aca="false">G9*G10</f>
        <v>38065105.4692578</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228</v>
      </c>
      <c r="C13" s="10"/>
      <c r="D13" s="10"/>
      <c r="E13" s="10"/>
      <c r="F13" s="10"/>
      <c r="G13" s="10"/>
    </row>
    <row r="14" customFormat="false" ht="15" hidden="false" customHeight="false" outlineLevel="0" collapsed="false">
      <c r="A14" s="6"/>
      <c r="B14" s="31" t="s">
        <v>229</v>
      </c>
      <c r="C14" s="30" t="n">
        <f aca="false">PB_NEP*PB_Home_GWP/PB_Total_GWP</f>
        <v>15160264.8024813</v>
      </c>
      <c r="D14" s="30" t="n">
        <f aca="false">PB_NEP*PB_Home_GWP/PB_Total_GWP</f>
        <v>20531768.7908868</v>
      </c>
      <c r="E14" s="30" t="n">
        <f aca="false">PB_NEP*PB_Home_GWP/PB_Total_GWP</f>
        <v>26528786.3387719</v>
      </c>
      <c r="F14" s="30" t="n">
        <f aca="false">PB_NEP*PB_Home_GWP/PB_Total_GWP</f>
        <v>32284436.1819952</v>
      </c>
      <c r="G14" s="30" t="n">
        <f aca="false">PB_NEP*PB_Home_GWP/PB_Total_GWP</f>
        <v>37368358.1172301</v>
      </c>
    </row>
    <row r="15" customFormat="false" ht="15" hidden="false" customHeight="false" outlineLevel="0" collapsed="false">
      <c r="A15" s="6"/>
      <c r="B15" s="31" t="s">
        <v>226</v>
      </c>
      <c r="C15" s="35" t="n">
        <f aca="false">Home_Loss_Ratio_Y1</f>
        <v>0.7</v>
      </c>
      <c r="D15" s="35" t="n">
        <f aca="false">Home_Loss_Ratio_Y2</f>
        <v>0.67</v>
      </c>
      <c r="E15" s="35" t="n">
        <f aca="false">Home_Loss_Ratio_Y3</f>
        <v>0.64</v>
      </c>
      <c r="F15" s="35" t="n">
        <f aca="false">Home_Loss_Ratio_Y4</f>
        <v>0.62</v>
      </c>
      <c r="G15" s="35" t="n">
        <f aca="false">Home_Loss_Ratio_Y5</f>
        <v>0.6</v>
      </c>
    </row>
    <row r="16" customFormat="false" ht="15" hidden="false" customHeight="false" outlineLevel="0" collapsed="false">
      <c r="A16" s="6"/>
      <c r="B16" s="8" t="s">
        <v>227</v>
      </c>
      <c r="C16" s="30" t="n">
        <f aca="false">C14*C15</f>
        <v>10612185.3617369</v>
      </c>
      <c r="D16" s="30" t="n">
        <f aca="false">D14*D15</f>
        <v>13756285.0898941</v>
      </c>
      <c r="E16" s="30" t="n">
        <f aca="false">E14*E15</f>
        <v>16978423.256814</v>
      </c>
      <c r="F16" s="30" t="n">
        <f aca="false">F14*F15</f>
        <v>20016350.432837</v>
      </c>
      <c r="G16" s="30" t="n">
        <f aca="false">G14*G15</f>
        <v>22421014.870338</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230</v>
      </c>
      <c r="C18" s="10"/>
      <c r="D18" s="10"/>
      <c r="E18" s="10"/>
      <c r="F18" s="10"/>
      <c r="G18" s="10"/>
    </row>
    <row r="19" customFormat="false" ht="15" hidden="false" customHeight="false" outlineLevel="0" collapsed="false">
      <c r="A19" s="6"/>
      <c r="B19" s="31" t="s">
        <v>231</v>
      </c>
      <c r="C19" s="30" t="n">
        <f aca="false">PB_NEP*PB_Rent_GWP/PB_Total_GWP</f>
        <v>2553046.84186483</v>
      </c>
      <c r="D19" s="30" t="n">
        <f aca="false">PB_NEP*PB_Rent_GWP/PB_Total_GWP</f>
        <v>3574952.97597536</v>
      </c>
      <c r="E19" s="30" t="n">
        <f aca="false">PB_NEP*PB_Rent_GWP/PB_Total_GWP</f>
        <v>4729263.08073888</v>
      </c>
      <c r="F19" s="30" t="n">
        <f aca="false">PB_NEP*PB_Rent_GWP/PB_Total_GWP</f>
        <v>5734183.02586865</v>
      </c>
      <c r="G19" s="30" t="n">
        <f aca="false">PB_NEP*PB_Rent_GWP/PB_Total_GWP</f>
        <v>6479133.4807003</v>
      </c>
    </row>
    <row r="20" customFormat="false" ht="15" hidden="false" customHeight="false" outlineLevel="0" collapsed="false">
      <c r="A20" s="6"/>
      <c r="B20" s="31" t="s">
        <v>226</v>
      </c>
      <c r="C20" s="35" t="n">
        <f aca="false">Rent_Loss_Ratio_Y1</f>
        <v>0.55</v>
      </c>
      <c r="D20" s="35" t="n">
        <f aca="false">Rent_Loss_Ratio_Y2</f>
        <v>0.52</v>
      </c>
      <c r="E20" s="35" t="n">
        <f aca="false">Rent_Loss_Ratio_Y3</f>
        <v>0.5</v>
      </c>
      <c r="F20" s="35" t="n">
        <f aca="false">Rent_Loss_Ratio_Y4</f>
        <v>0.48</v>
      </c>
      <c r="G20" s="35" t="n">
        <f aca="false">Rent_Loss_Ratio_Y5</f>
        <v>0.47</v>
      </c>
    </row>
    <row r="21" customFormat="false" ht="15" hidden="false" customHeight="false" outlineLevel="0" collapsed="false">
      <c r="A21" s="6"/>
      <c r="B21" s="8" t="s">
        <v>227</v>
      </c>
      <c r="C21" s="30" t="n">
        <f aca="false">C19*C20</f>
        <v>1404175.76302565</v>
      </c>
      <c r="D21" s="30" t="n">
        <f aca="false">D19*D20</f>
        <v>1858975.54750719</v>
      </c>
      <c r="E21" s="30" t="n">
        <f aca="false">E19*E20</f>
        <v>2364631.54036944</v>
      </c>
      <c r="F21" s="30" t="n">
        <f aca="false">F19*F20</f>
        <v>2752407.85241695</v>
      </c>
      <c r="G21" s="30" t="n">
        <f aca="false">G19*G20</f>
        <v>3045192.73592914</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7" t="s">
        <v>232</v>
      </c>
      <c r="C23" s="34" t="n">
        <f aca="false">C11+C16+C21</f>
        <v>30947327.391503</v>
      </c>
      <c r="D23" s="34" t="n">
        <f aca="false">D11+D16+D21</f>
        <v>40369835.6132606</v>
      </c>
      <c r="E23" s="34" t="n">
        <f aca="false">E11+E16+E21</f>
        <v>49340129.3754841</v>
      </c>
      <c r="F23" s="34" t="n">
        <f aca="false">F11+F16+F21</f>
        <v>57192522.1245536</v>
      </c>
      <c r="G23" s="34" t="n">
        <f aca="false">G11+G16+G21</f>
        <v>63531313.075525</v>
      </c>
    </row>
    <row r="24" customFormat="false" ht="15" hidden="false" customHeight="false" outlineLevel="0" collapsed="false">
      <c r="A24" s="6"/>
      <c r="B24" s="31" t="s">
        <v>233</v>
      </c>
      <c r="C24" s="30" t="n">
        <f aca="false">C23*LAE_Pct</f>
        <v>3094732.7391503</v>
      </c>
      <c r="D24" s="30" t="n">
        <f aca="false">D23*LAE_Pct</f>
        <v>4036983.56132606</v>
      </c>
      <c r="E24" s="30" t="n">
        <f aca="false">E23*LAE_Pct</f>
        <v>4934012.93754841</v>
      </c>
      <c r="F24" s="30" t="n">
        <f aca="false">F23*LAE_Pct</f>
        <v>5719252.21245536</v>
      </c>
      <c r="G24" s="30" t="n">
        <f aca="false">G23*LAE_Pct</f>
        <v>6353131.3075525</v>
      </c>
    </row>
    <row r="25" customFormat="false" ht="15" hidden="false" customHeight="false" outlineLevel="0" collapsed="false">
      <c r="A25" s="6"/>
      <c r="B25" s="7" t="s">
        <v>234</v>
      </c>
      <c r="C25" s="34" t="n">
        <f aca="false">C23+C24</f>
        <v>34042060.1306533</v>
      </c>
      <c r="D25" s="34" t="n">
        <f aca="false">D23+D24</f>
        <v>44406819.1745866</v>
      </c>
      <c r="E25" s="34" t="n">
        <f aca="false">E23+E24</f>
        <v>54274142.3130325</v>
      </c>
      <c r="F25" s="34" t="n">
        <f aca="false">F23+F24</f>
        <v>62911774.3370089</v>
      </c>
      <c r="G25" s="34" t="n">
        <f aca="false">G23+G24</f>
        <v>69884444.3830775</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9" t="s">
        <v>235</v>
      </c>
      <c r="C27" s="10"/>
      <c r="D27" s="10"/>
      <c r="E27" s="10"/>
      <c r="F27" s="10"/>
      <c r="G27" s="10"/>
    </row>
    <row r="28" customFormat="false" ht="15" hidden="false" customHeight="false" outlineLevel="0" collapsed="false">
      <c r="A28" s="6"/>
      <c r="B28" s="8" t="s">
        <v>236</v>
      </c>
      <c r="C28" s="30" t="n">
        <f aca="false">Open_Loss_Reserves</f>
        <v>12000000</v>
      </c>
      <c r="D28" s="30" t="n">
        <f aca="false">C31</f>
        <v>23368396.4349018</v>
      </c>
      <c r="E28" s="30" t="n">
        <f aca="false">D31</f>
        <v>33569259.9419171</v>
      </c>
      <c r="F28" s="30" t="n">
        <f aca="false">E31</f>
        <v>43031781.6020573</v>
      </c>
      <c r="G28" s="30" t="n">
        <f aca="false">F31</f>
        <v>51528225.9155551</v>
      </c>
    </row>
    <row r="29" customFormat="false" ht="15" hidden="false" customHeight="false" outlineLevel="0" collapsed="false">
      <c r="A29" s="6"/>
      <c r="B29" s="31" t="s">
        <v>237</v>
      </c>
      <c r="C29" s="30" t="n">
        <f aca="false">C23</f>
        <v>30947327.391503</v>
      </c>
      <c r="D29" s="30" t="n">
        <f aca="false">D23</f>
        <v>40369835.6132606</v>
      </c>
      <c r="E29" s="30" t="n">
        <f aca="false">E23</f>
        <v>49340129.3754841</v>
      </c>
      <c r="F29" s="30" t="n">
        <f aca="false">F23</f>
        <v>57192522.1245536</v>
      </c>
      <c r="G29" s="30" t="n">
        <f aca="false">G23</f>
        <v>63531313.075525</v>
      </c>
    </row>
    <row r="30" customFormat="false" ht="15" hidden="false" customHeight="false" outlineLevel="0" collapsed="false">
      <c r="A30" s="6"/>
      <c r="B30" s="31" t="s">
        <v>238</v>
      </c>
      <c r="C30" s="30" t="n">
        <f aca="false">-(C23*Payout_Y1+C28*(Payout_Y2+Payout_Y3Plus))</f>
        <v>-19578930.9566012</v>
      </c>
      <c r="D30" s="30" t="n">
        <f aca="false">-(D23*Payout_Y1+D28*(Payout_Y2+Payout_Y3Plus))</f>
        <v>-30168972.1062453</v>
      </c>
      <c r="E30" s="30" t="n">
        <f aca="false">-(E23*Payout_Y1+E28*(Payout_Y2+Payout_Y3Plus))</f>
        <v>-39877607.7153439</v>
      </c>
      <c r="F30" s="30" t="n">
        <f aca="false">-(F23*Payout_Y1+F28*(Payout_Y2+Payout_Y3Plus))</f>
        <v>-48696077.8110558</v>
      </c>
      <c r="G30" s="30" t="n">
        <f aca="false">-(G23*Payout_Y1+G28*(Payout_Y2+Payout_Y3Plus))</f>
        <v>-56329460.7795431</v>
      </c>
    </row>
    <row r="31" customFormat="false" ht="15" hidden="false" customHeight="false" outlineLevel="0" collapsed="false">
      <c r="A31" s="6"/>
      <c r="B31" s="7" t="s">
        <v>239</v>
      </c>
      <c r="C31" s="32" t="n">
        <f aca="false">C28+C29+C30</f>
        <v>23368396.4349018</v>
      </c>
      <c r="D31" s="32" t="n">
        <f aca="false">D28+D29+D30</f>
        <v>33569259.9419171</v>
      </c>
      <c r="E31" s="32" t="n">
        <f aca="false">E28+E29+E30</f>
        <v>43031781.6020573</v>
      </c>
      <c r="F31" s="32" t="n">
        <f aca="false">F28+F29+F30</f>
        <v>51528225.9155551</v>
      </c>
      <c r="G31" s="32" t="n">
        <f aca="false">G28+G29+G30</f>
        <v>58730078.211537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139</v>
      </c>
      <c r="C8" s="10"/>
      <c r="D8" s="10"/>
      <c r="E8" s="10"/>
      <c r="F8" s="10"/>
      <c r="G8" s="10"/>
    </row>
    <row r="9" customFormat="false" ht="15" hidden="false" customHeight="false" outlineLevel="0" collapsed="false">
      <c r="A9" s="6"/>
      <c r="B9" s="31" t="s">
        <v>242</v>
      </c>
      <c r="C9" s="30" t="n">
        <f aca="false">PB_Total_GWP*Sales_Mkt_Pct_Y1</f>
        <v>13725030</v>
      </c>
      <c r="D9" s="30" t="n">
        <f aca="false">PB_Total_GWP*Sales_Mkt_Pct_Y2</f>
        <v>15090064.155</v>
      </c>
      <c r="E9" s="30" t="n">
        <f aca="false">PB_Total_GWP*Sales_Mkt_Pct_Y3</f>
        <v>15689219.43285</v>
      </c>
      <c r="F9" s="30" t="n">
        <f aca="false">PB_Total_GWP*Sales_Mkt_Pct_Y4</f>
        <v>14742101.2188328</v>
      </c>
      <c r="G9" s="30" t="n">
        <f aca="false">PB_Total_GWP*Sales_Mkt_Pct_Y5</f>
        <v>13781989.1334941</v>
      </c>
    </row>
    <row r="10" customFormat="false" ht="15" hidden="false" customHeight="false" outlineLevel="0" collapsed="false">
      <c r="A10" s="6"/>
      <c r="B10" s="31" t="s">
        <v>149</v>
      </c>
      <c r="C10" s="30" t="n">
        <f aca="false">PB_NEP*Tech_Eng_Pct</f>
        <v>4295460</v>
      </c>
      <c r="D10" s="30" t="n">
        <f aca="false">PB_NEP*Tech_Eng_Pct</f>
        <v>5848807.59</v>
      </c>
      <c r="E10" s="30" t="n">
        <f aca="false">PB_NEP*Tech_Eng_Pct</f>
        <v>7537139.43876</v>
      </c>
      <c r="F10" s="30" t="n">
        <f aca="false">PB_NEP*Tech_Eng_Pct</f>
        <v>9097825.58837094</v>
      </c>
      <c r="G10" s="30" t="n">
        <f aca="false">PB_NEP*Tech_Eng_Pct</f>
        <v>10426829.3930086</v>
      </c>
    </row>
    <row r="11" customFormat="false" ht="15" hidden="false" customHeight="false" outlineLevel="0" collapsed="false">
      <c r="A11" s="6"/>
      <c r="B11" s="31" t="s">
        <v>151</v>
      </c>
      <c r="C11" s="30" t="n">
        <f aca="false">PB_NEP*GA_Pct</f>
        <v>2577276</v>
      </c>
      <c r="D11" s="30" t="n">
        <f aca="false">PB_NEP*GA_Pct</f>
        <v>3509284.554</v>
      </c>
      <c r="E11" s="30" t="n">
        <f aca="false">PB_NEP*GA_Pct</f>
        <v>4522283.663256</v>
      </c>
      <c r="F11" s="30" t="n">
        <f aca="false">PB_NEP*GA_Pct</f>
        <v>5458695.35302257</v>
      </c>
      <c r="G11" s="30" t="n">
        <f aca="false">PB_NEP*GA_Pct</f>
        <v>6256097.63580514</v>
      </c>
    </row>
    <row r="12" customFormat="false" ht="15" hidden="false" customHeight="false" outlineLevel="0" collapsed="false">
      <c r="A12" s="6"/>
      <c r="B12" s="31" t="s">
        <v>152</v>
      </c>
      <c r="C12" s="30" t="n">
        <f aca="false">PB_NEP*Policy_Admin_Pct</f>
        <v>1718184</v>
      </c>
      <c r="D12" s="30" t="n">
        <f aca="false">PB_NEP*Policy_Admin_Pct</f>
        <v>2339523.036</v>
      </c>
      <c r="E12" s="30" t="n">
        <f aca="false">PB_NEP*Policy_Admin_Pct</f>
        <v>3014855.775504</v>
      </c>
      <c r="F12" s="30" t="n">
        <f aca="false">PB_NEP*Policy_Admin_Pct</f>
        <v>3639130.23534838</v>
      </c>
      <c r="G12" s="30" t="n">
        <f aca="false">PB_NEP*Policy_Admin_Pct</f>
        <v>4170731.75720343</v>
      </c>
    </row>
    <row r="13" customFormat="false" ht="15" hidden="false" customHeight="false" outlineLevel="0" collapsed="false">
      <c r="A13" s="6"/>
      <c r="B13" s="31" t="s">
        <v>153</v>
      </c>
      <c r="C13" s="30" t="n">
        <f aca="false">PB_NEP*Regulatory_Pct</f>
        <v>1073865</v>
      </c>
      <c r="D13" s="30" t="n">
        <f aca="false">PB_NEP*Regulatory_Pct</f>
        <v>1462201.8975</v>
      </c>
      <c r="E13" s="30" t="n">
        <f aca="false">PB_NEP*Regulatory_Pct</f>
        <v>1884284.85969</v>
      </c>
      <c r="F13" s="30" t="n">
        <f aca="false">PB_NEP*Regulatory_Pct</f>
        <v>2274456.39709274</v>
      </c>
      <c r="G13" s="30" t="n">
        <f aca="false">PB_NEP*Regulatory_Pct</f>
        <v>2606707.34825214</v>
      </c>
    </row>
    <row r="14" customFormat="false" ht="15" hidden="false" customHeight="false" outlineLevel="0" collapsed="false">
      <c r="A14" s="6"/>
      <c r="B14" s="31" t="s">
        <v>243</v>
      </c>
      <c r="C14" s="30" t="n">
        <f aca="false">-PB_Ceded*Reins_Broker_Fee</f>
        <v>249546</v>
      </c>
      <c r="D14" s="30" t="n">
        <f aca="false">-PB_Ceded*Reins_Broker_Fee</f>
        <v>335334.759</v>
      </c>
      <c r="E14" s="30" t="n">
        <f aca="false">-PB_Ceded*Reins_Broker_Fee</f>
        <v>418379.184876</v>
      </c>
      <c r="F14" s="30" t="n">
        <f aca="false">-PB_Ceded*Reins_Broker_Fee</f>
        <v>491403.373961094</v>
      </c>
      <c r="G14" s="30" t="n">
        <f aca="false">-PB_Ceded*Reins_Broker_Fee</f>
        <v>551279.565339762</v>
      </c>
    </row>
    <row r="15" customFormat="false" ht="15" hidden="false" customHeight="false" outlineLevel="0" collapsed="false">
      <c r="A15" s="6"/>
      <c r="B15" s="7" t="s">
        <v>244</v>
      </c>
      <c r="C15" s="34" t="n">
        <f aca="false">SUM(C9:C14)</f>
        <v>23639361</v>
      </c>
      <c r="D15" s="34" t="n">
        <f aca="false">SUM(D9:D14)</f>
        <v>28585215.9915</v>
      </c>
      <c r="E15" s="34" t="n">
        <f aca="false">SUM(E9:E14)</f>
        <v>33066162.354936</v>
      </c>
      <c r="F15" s="34" t="n">
        <f aca="false">SUM(F9:F14)</f>
        <v>35703612.1666285</v>
      </c>
      <c r="G15" s="34" t="n">
        <f aca="false">SUM(G9:G14)</f>
        <v>37793634.8331031</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9" t="s">
        <v>189</v>
      </c>
      <c r="C17" s="10"/>
      <c r="D17" s="10"/>
      <c r="E17" s="10"/>
      <c r="F17" s="10"/>
      <c r="G17" s="10"/>
    </row>
    <row r="18" customFormat="false" ht="15" hidden="false" customHeight="false" outlineLevel="0" collapsed="false">
      <c r="A18" s="6"/>
      <c r="B18" s="8" t="s">
        <v>245</v>
      </c>
      <c r="C18" s="30" t="n">
        <f aca="false">Open_DAC</f>
        <v>4000000</v>
      </c>
      <c r="D18" s="30" t="n">
        <f aca="false">C21</f>
        <v>6513418.41220336</v>
      </c>
      <c r="E18" s="30" t="n">
        <f aca="false">D21</f>
        <v>7872502.12426198</v>
      </c>
      <c r="F18" s="30" t="n">
        <f aca="false">E21</f>
        <v>8410367.41665394</v>
      </c>
      <c r="G18" s="30" t="n">
        <f aca="false">F21</f>
        <v>8119694.13672757</v>
      </c>
    </row>
    <row r="19" customFormat="false" ht="15" hidden="false" customHeight="false" outlineLevel="0" collapsed="false">
      <c r="A19" s="6"/>
      <c r="B19" s="31" t="s">
        <v>246</v>
      </c>
      <c r="C19" s="30" t="n">
        <f aca="false">C9</f>
        <v>13725030</v>
      </c>
      <c r="D19" s="30" t="n">
        <f aca="false">D9</f>
        <v>15090064.155</v>
      </c>
      <c r="E19" s="30" t="n">
        <f aca="false">E9</f>
        <v>15689219.43285</v>
      </c>
      <c r="F19" s="30" t="n">
        <f aca="false">F9</f>
        <v>14742101.2188328</v>
      </c>
      <c r="G19" s="30" t="n">
        <f aca="false">G9</f>
        <v>13781989.1334941</v>
      </c>
    </row>
    <row r="20" customFormat="false" ht="15" hidden="false" customHeight="false" outlineLevel="0" collapsed="false">
      <c r="A20" s="6"/>
      <c r="B20" s="31" t="s">
        <v>247</v>
      </c>
      <c r="C20" s="30" t="n">
        <f aca="false">-(C18+C19)*(PB_NEP/IF(PB_NWP=0,1,PB_NWP+PB_UPR_Open))</f>
        <v>-11211611.5877966</v>
      </c>
      <c r="D20" s="30" t="n">
        <f aca="false">-(D18+D19)*(PB_NEP/IF(PB_NWP=0,1,PB_NWP+PB_UPR_Open))</f>
        <v>-13730980.4429414</v>
      </c>
      <c r="E20" s="30" t="n">
        <f aca="false">-(E18+E19)*(PB_NEP/IF(PB_NWP=0,1,PB_NWP+PB_UPR_Open))</f>
        <v>-15151354.140458</v>
      </c>
      <c r="F20" s="30" t="n">
        <f aca="false">-(F18+F19)*(PB_NEP/IF(PB_NWP=0,1,PB_NWP+PB_UPR_Open))</f>
        <v>-15032774.4987592</v>
      </c>
      <c r="G20" s="30" t="n">
        <f aca="false">-(G18+G19)*(PB_NEP/IF(PB_NWP=0,1,PB_NWP+PB_UPR_Open))</f>
        <v>-14326881.2292294</v>
      </c>
    </row>
    <row r="21" customFormat="false" ht="15" hidden="false" customHeight="false" outlineLevel="0" collapsed="false">
      <c r="A21" s="6"/>
      <c r="B21" s="7" t="s">
        <v>248</v>
      </c>
      <c r="C21" s="32" t="n">
        <f aca="false">C18+C19+C20</f>
        <v>6513418.41220336</v>
      </c>
      <c r="D21" s="32" t="n">
        <f aca="false">D18+D19+D20</f>
        <v>7872502.12426198</v>
      </c>
      <c r="E21" s="32" t="n">
        <f aca="false">E18+E19+E20</f>
        <v>8410367.41665394</v>
      </c>
      <c r="F21" s="32" t="n">
        <f aca="false">F18+F19+F20</f>
        <v>8119694.13672757</v>
      </c>
      <c r="G21" s="32" t="n">
        <f aca="false">G18+G19+G20</f>
        <v>7574802.04099228</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8" t="s">
        <v>249</v>
      </c>
      <c r="C23" s="35" t="n">
        <f aca="false">IF(PB_NEP=0,0,C15/PB_NEP)</f>
        <v>0.550333631322373</v>
      </c>
      <c r="D23" s="35" t="n">
        <f aca="false">IF(PB_NEP=0,0,D15/PB_NEP)</f>
        <v>0.488735790186936</v>
      </c>
      <c r="E23" s="35" t="n">
        <f aca="false">IF(PB_NEP=0,0,E15/PB_NEP)</f>
        <v>0.438709707092483</v>
      </c>
      <c r="F23" s="35" t="n">
        <f aca="false">IF(PB_NEP=0,0,F15/PB_NEP)</f>
        <v>0.392441158822233</v>
      </c>
      <c r="G23" s="35" t="n">
        <f aca="false">IF(PB_NEP=0,0,G15/PB_NEP)</f>
        <v>0.362465265408913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250</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251</v>
      </c>
      <c r="C8" s="10"/>
      <c r="D8" s="10"/>
      <c r="E8" s="10"/>
      <c r="F8" s="10"/>
      <c r="G8" s="10"/>
    </row>
    <row r="9" customFormat="false" ht="15" hidden="false" customHeight="false" outlineLevel="0" collapsed="false">
      <c r="A9" s="6"/>
      <c r="B9" s="8" t="s">
        <v>156</v>
      </c>
      <c r="C9" s="30" t="n">
        <f aca="false">Opening_Investments</f>
        <v>30000000</v>
      </c>
      <c r="D9" s="30" t="n">
        <f aca="false">C11</f>
        <v>29736308.0433988</v>
      </c>
      <c r="E9" s="30" t="n">
        <f aca="false">D11</f>
        <v>29470195.8456535</v>
      </c>
      <c r="F9" s="30" t="n">
        <f aca="false">E11</f>
        <v>31897820.1629736</v>
      </c>
      <c r="G9" s="30" t="n">
        <f aca="false">F11</f>
        <v>38476386.0689987</v>
      </c>
    </row>
    <row r="10" customFormat="false" ht="15" hidden="false" customHeight="false" outlineLevel="0" collapsed="false">
      <c r="A10" s="6"/>
      <c r="B10" s="31" t="s">
        <v>252</v>
      </c>
      <c r="C10" s="30" t="n">
        <f aca="false">PB_NEP+CR_Paid-OC_Total</f>
        <v>-263691.956601188</v>
      </c>
      <c r="D10" s="30" t="n">
        <f aca="false">PB_NEP+CR_Paid-OC_Total</f>
        <v>-266112.197745301</v>
      </c>
      <c r="E10" s="30" t="n">
        <f aca="false">PB_NEP+CR_Paid-OC_Total</f>
        <v>2427624.31732011</v>
      </c>
      <c r="F10" s="30" t="n">
        <f aca="false">PB_NEP+CR_Paid-OC_Total</f>
        <v>6578565.90602506</v>
      </c>
      <c r="G10" s="30" t="n">
        <f aca="false">PB_NEP+CR_Paid-OC_Total</f>
        <v>10145198.3174395</v>
      </c>
    </row>
    <row r="11" customFormat="false" ht="15" hidden="false" customHeight="false" outlineLevel="0" collapsed="false">
      <c r="A11" s="6"/>
      <c r="B11" s="7" t="s">
        <v>253</v>
      </c>
      <c r="C11" s="32" t="n">
        <f aca="false">C9+C10</f>
        <v>29736308.0433988</v>
      </c>
      <c r="D11" s="32" t="n">
        <f aca="false">D9+D10</f>
        <v>29470195.8456535</v>
      </c>
      <c r="E11" s="32" t="n">
        <f aca="false">E9+E10</f>
        <v>31897820.1629736</v>
      </c>
      <c r="F11" s="32" t="n">
        <f aca="false">F9+F10</f>
        <v>38476386.0689987</v>
      </c>
      <c r="G11" s="32" t="n">
        <f aca="false">G9+G10</f>
        <v>48621584.3864382</v>
      </c>
    </row>
    <row r="12" customFormat="false" ht="15" hidden="false" customHeight="false" outlineLevel="0" collapsed="false">
      <c r="A12" s="6"/>
      <c r="B12" s="31" t="s">
        <v>254</v>
      </c>
      <c r="C12" s="30" t="n">
        <f aca="false">(C9+C11)/2</f>
        <v>29868154.0216994</v>
      </c>
      <c r="D12" s="30" t="n">
        <f aca="false">(D9+D11)/2</f>
        <v>29603251.9445262</v>
      </c>
      <c r="E12" s="30" t="n">
        <f aca="false">(E9+E11)/2</f>
        <v>30684008.0043136</v>
      </c>
      <c r="F12" s="30" t="n">
        <f aca="false">(F9+F11)/2</f>
        <v>35187103.1159862</v>
      </c>
      <c r="G12" s="30" t="n">
        <f aca="false">(G9+G11)/2</f>
        <v>43548985.2277184</v>
      </c>
    </row>
    <row r="13" customFormat="false" ht="15" hidden="false" customHeight="false" outlineLevel="0" collapsed="false">
      <c r="A13" s="6"/>
      <c r="B13" s="31" t="s">
        <v>154</v>
      </c>
      <c r="C13" s="35" t="n">
        <f aca="false">Portfolio_Yield</f>
        <v>0.045</v>
      </c>
      <c r="D13" s="35" t="n">
        <f aca="false">Portfolio_Yield</f>
        <v>0.045</v>
      </c>
      <c r="E13" s="35" t="n">
        <f aca="false">Portfolio_Yield</f>
        <v>0.045</v>
      </c>
      <c r="F13" s="35" t="n">
        <f aca="false">Portfolio_Yield</f>
        <v>0.045</v>
      </c>
      <c r="G13" s="35" t="n">
        <f aca="false">Portfolio_Yield</f>
        <v>0.045</v>
      </c>
    </row>
    <row r="14" customFormat="false" ht="15" hidden="false" customHeight="false" outlineLevel="0" collapsed="false">
      <c r="A14" s="6"/>
      <c r="B14" s="7" t="s">
        <v>255</v>
      </c>
      <c r="C14" s="34" t="n">
        <f aca="false">C12*C13</f>
        <v>1344066.93097647</v>
      </c>
      <c r="D14" s="34" t="n">
        <f aca="false">D12*D13</f>
        <v>1332146.33750368</v>
      </c>
      <c r="E14" s="34" t="n">
        <f aca="false">E12*E13</f>
        <v>1380780.36019411</v>
      </c>
      <c r="F14" s="34" t="n">
        <f aca="false">F12*F13</f>
        <v>1583419.64021938</v>
      </c>
      <c r="G14" s="34" t="n">
        <f aca="false">G12*G13</f>
        <v>1959704.33524733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256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257</v>
      </c>
      <c r="C8" s="10"/>
      <c r="D8" s="10"/>
      <c r="E8" s="10"/>
      <c r="F8" s="10"/>
      <c r="G8" s="10"/>
    </row>
    <row r="9" customFormat="false" ht="15" hidden="false" customHeight="false" outlineLevel="0" collapsed="false">
      <c r="A9" s="6"/>
      <c r="B9" s="31" t="s">
        <v>258</v>
      </c>
      <c r="C9" s="30" t="n">
        <f aca="false">PB_NEP</f>
        <v>42954600</v>
      </c>
      <c r="D9" s="30" t="n">
        <f aca="false">PB_NEP</f>
        <v>58488075.9</v>
      </c>
      <c r="E9" s="30" t="n">
        <f aca="false">PB_NEP</f>
        <v>75371394.3876</v>
      </c>
      <c r="F9" s="30" t="n">
        <f aca="false">PB_NEP</f>
        <v>90978255.8837094</v>
      </c>
      <c r="G9" s="30" t="n">
        <f aca="false">PB_NEP</f>
        <v>104268293.930086</v>
      </c>
    </row>
    <row r="10" customFormat="false" ht="15" hidden="false" customHeight="false" outlineLevel="0" collapsed="false">
      <c r="A10" s="6"/>
      <c r="B10" s="31" t="s">
        <v>259</v>
      </c>
      <c r="C10" s="30" t="n">
        <f aca="false">INV_Income</f>
        <v>1344066.93097647</v>
      </c>
      <c r="D10" s="30" t="n">
        <f aca="false">INV_Income</f>
        <v>1332146.33750368</v>
      </c>
      <c r="E10" s="30" t="n">
        <f aca="false">INV_Income</f>
        <v>1380780.36019411</v>
      </c>
      <c r="F10" s="30" t="n">
        <f aca="false">INV_Income</f>
        <v>1583419.64021938</v>
      </c>
      <c r="G10" s="30" t="n">
        <f aca="false">INV_Income</f>
        <v>1959704.33524733</v>
      </c>
    </row>
    <row r="11" customFormat="false" ht="15" hidden="false" customHeight="false" outlineLevel="0" collapsed="false">
      <c r="A11" s="6"/>
      <c r="B11" s="7" t="s">
        <v>260</v>
      </c>
      <c r="C11" s="34" t="n">
        <f aca="false">C9+C10</f>
        <v>44298666.9309765</v>
      </c>
      <c r="D11" s="34" t="n">
        <f aca="false">D9+D10</f>
        <v>59820222.2375037</v>
      </c>
      <c r="E11" s="34" t="n">
        <f aca="false">E9+E10</f>
        <v>76752174.7477941</v>
      </c>
      <c r="F11" s="34" t="n">
        <f aca="false">F9+F10</f>
        <v>92561675.5239288</v>
      </c>
      <c r="G11" s="34" t="n">
        <f aca="false">G9+G10</f>
        <v>106227998.265333</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261</v>
      </c>
      <c r="C13" s="10"/>
      <c r="D13" s="10"/>
      <c r="E13" s="10"/>
      <c r="F13" s="10"/>
      <c r="G13" s="10"/>
    </row>
    <row r="14" customFormat="false" ht="15" hidden="false" customHeight="false" outlineLevel="0" collapsed="false">
      <c r="A14" s="6"/>
      <c r="B14" s="31" t="s">
        <v>227</v>
      </c>
      <c r="C14" s="30" t="n">
        <f aca="false">-CR_Total_Incurred</f>
        <v>-30947327.391503</v>
      </c>
      <c r="D14" s="30" t="n">
        <f aca="false">-CR_Total_Incurred</f>
        <v>-40369835.6132606</v>
      </c>
      <c r="E14" s="30" t="n">
        <f aca="false">-CR_Total_Incurred</f>
        <v>-49340129.3754841</v>
      </c>
      <c r="F14" s="30" t="n">
        <f aca="false">-CR_Total_Incurred</f>
        <v>-57192522.1245536</v>
      </c>
      <c r="G14" s="30" t="n">
        <f aca="false">-CR_Total_Incurred</f>
        <v>-63531313.075525</v>
      </c>
    </row>
    <row r="15" customFormat="false" ht="15" hidden="false" customHeight="false" outlineLevel="0" collapsed="false">
      <c r="A15" s="6"/>
      <c r="B15" s="31" t="s">
        <v>233</v>
      </c>
      <c r="C15" s="30" t="n">
        <f aca="false">-CR_LAE</f>
        <v>-3094732.7391503</v>
      </c>
      <c r="D15" s="30" t="n">
        <f aca="false">-CR_LAE</f>
        <v>-4036983.56132606</v>
      </c>
      <c r="E15" s="30" t="n">
        <f aca="false">-CR_LAE</f>
        <v>-4934012.93754841</v>
      </c>
      <c r="F15" s="30" t="n">
        <f aca="false">-CR_LAE</f>
        <v>-5719252.21245536</v>
      </c>
      <c r="G15" s="30" t="n">
        <f aca="false">-CR_LAE</f>
        <v>-6353131.3075525</v>
      </c>
    </row>
    <row r="16" customFormat="false" ht="15" hidden="false" customHeight="false" outlineLevel="0" collapsed="false">
      <c r="A16" s="6"/>
      <c r="B16" s="7" t="s">
        <v>262</v>
      </c>
      <c r="C16" s="32" t="n">
        <f aca="false">C14+C15</f>
        <v>-34042060.1306533</v>
      </c>
      <c r="D16" s="32" t="n">
        <f aca="false">D14+D15</f>
        <v>-44406819.1745866</v>
      </c>
      <c r="E16" s="32" t="n">
        <f aca="false">E14+E15</f>
        <v>-54274142.3130325</v>
      </c>
      <c r="F16" s="32" t="n">
        <f aca="false">F14+F15</f>
        <v>-62911774.3370089</v>
      </c>
      <c r="G16" s="32" t="n">
        <f aca="false">G14+G15</f>
        <v>-69884444.3830775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139</v>
      </c>
      <c r="C18" s="10"/>
      <c r="D18" s="10"/>
      <c r="E18" s="10"/>
      <c r="F18" s="10"/>
      <c r="G18" s="10"/>
    </row>
    <row r="19" customFormat="false" ht="15" hidden="false" customHeight="false" outlineLevel="0" collapsed="false">
      <c r="A19" s="6"/>
      <c r="B19" s="31" t="s">
        <v>242</v>
      </c>
      <c r="C19" s="30" t="n">
        <f aca="false">-OC_Sales_Mkt</f>
        <v>-13725030</v>
      </c>
      <c r="D19" s="30" t="n">
        <f aca="false">-OC_Sales_Mkt</f>
        <v>-15090064.155</v>
      </c>
      <c r="E19" s="30" t="n">
        <f aca="false">-OC_Sales_Mkt</f>
        <v>-15689219.43285</v>
      </c>
      <c r="F19" s="30" t="n">
        <f aca="false">-OC_Sales_Mkt</f>
        <v>-14742101.2188328</v>
      </c>
      <c r="G19" s="30" t="n">
        <f aca="false">-OC_Sales_Mkt</f>
        <v>-13781989.1334941</v>
      </c>
    </row>
    <row r="20" customFormat="false" ht="15" hidden="false" customHeight="false" outlineLevel="0" collapsed="false">
      <c r="A20" s="6"/>
      <c r="B20" s="31" t="s">
        <v>149</v>
      </c>
      <c r="C20" s="30" t="n">
        <f aca="false">-OC_Tech_Eng</f>
        <v>-4295460</v>
      </c>
      <c r="D20" s="30" t="n">
        <f aca="false">-OC_Tech_Eng</f>
        <v>-5848807.59</v>
      </c>
      <c r="E20" s="30" t="n">
        <f aca="false">-OC_Tech_Eng</f>
        <v>-7537139.43876</v>
      </c>
      <c r="F20" s="30" t="n">
        <f aca="false">-OC_Tech_Eng</f>
        <v>-9097825.58837094</v>
      </c>
      <c r="G20" s="30" t="n">
        <f aca="false">-OC_Tech_Eng</f>
        <v>-10426829.3930086</v>
      </c>
    </row>
    <row r="21" customFormat="false" ht="15" hidden="false" customHeight="false" outlineLevel="0" collapsed="false">
      <c r="A21" s="6"/>
      <c r="B21" s="31" t="s">
        <v>151</v>
      </c>
      <c r="C21" s="30" t="n">
        <f aca="false">-OC_GA</f>
        <v>-2577276</v>
      </c>
      <c r="D21" s="30" t="n">
        <f aca="false">-OC_GA</f>
        <v>-3509284.554</v>
      </c>
      <c r="E21" s="30" t="n">
        <f aca="false">-OC_GA</f>
        <v>-4522283.663256</v>
      </c>
      <c r="F21" s="30" t="n">
        <f aca="false">-OC_GA</f>
        <v>-5458695.35302257</v>
      </c>
      <c r="G21" s="30" t="n">
        <f aca="false">-OC_GA</f>
        <v>-6256097.63580514</v>
      </c>
    </row>
    <row r="22" customFormat="false" ht="15" hidden="false" customHeight="false" outlineLevel="0" collapsed="false">
      <c r="A22" s="6"/>
      <c r="B22" s="31" t="s">
        <v>152</v>
      </c>
      <c r="C22" s="30" t="n">
        <f aca="false">-OC_Policy_Admin</f>
        <v>-1718184</v>
      </c>
      <c r="D22" s="30" t="n">
        <f aca="false">-OC_Policy_Admin</f>
        <v>-2339523.036</v>
      </c>
      <c r="E22" s="30" t="n">
        <f aca="false">-OC_Policy_Admin</f>
        <v>-3014855.775504</v>
      </c>
      <c r="F22" s="30" t="n">
        <f aca="false">-OC_Policy_Admin</f>
        <v>-3639130.23534838</v>
      </c>
      <c r="G22" s="30" t="n">
        <f aca="false">-OC_Policy_Admin</f>
        <v>-4170731.75720343</v>
      </c>
    </row>
    <row r="23" customFormat="false" ht="15" hidden="false" customHeight="false" outlineLevel="0" collapsed="false">
      <c r="A23" s="6"/>
      <c r="B23" s="31" t="s">
        <v>153</v>
      </c>
      <c r="C23" s="30" t="n">
        <f aca="false">-OC_Regulatory</f>
        <v>-1073865</v>
      </c>
      <c r="D23" s="30" t="n">
        <f aca="false">-OC_Regulatory</f>
        <v>-1462201.8975</v>
      </c>
      <c r="E23" s="30" t="n">
        <f aca="false">-OC_Regulatory</f>
        <v>-1884284.85969</v>
      </c>
      <c r="F23" s="30" t="n">
        <f aca="false">-OC_Regulatory</f>
        <v>-2274456.39709274</v>
      </c>
      <c r="G23" s="30" t="n">
        <f aca="false">-OC_Regulatory</f>
        <v>-2606707.34825214</v>
      </c>
    </row>
    <row r="24" customFormat="false" ht="15" hidden="false" customHeight="false" outlineLevel="0" collapsed="false">
      <c r="A24" s="6"/>
      <c r="B24" s="31" t="s">
        <v>243</v>
      </c>
      <c r="C24" s="30" t="n">
        <f aca="false">-OC_Reins_Broker</f>
        <v>-249546</v>
      </c>
      <c r="D24" s="30" t="n">
        <f aca="false">-OC_Reins_Broker</f>
        <v>-335334.759</v>
      </c>
      <c r="E24" s="30" t="n">
        <f aca="false">-OC_Reins_Broker</f>
        <v>-418379.184876</v>
      </c>
      <c r="F24" s="30" t="n">
        <f aca="false">-OC_Reins_Broker</f>
        <v>-491403.373961094</v>
      </c>
      <c r="G24" s="30" t="n">
        <f aca="false">-OC_Reins_Broker</f>
        <v>-551279.565339762</v>
      </c>
    </row>
    <row r="25" customFormat="false" ht="15" hidden="false" customHeight="false" outlineLevel="0" collapsed="false">
      <c r="A25" s="6"/>
      <c r="B25" s="7" t="s">
        <v>263</v>
      </c>
      <c r="C25" s="32" t="n">
        <f aca="false">SUM(C19:C24)</f>
        <v>-23639361</v>
      </c>
      <c r="D25" s="32" t="n">
        <f aca="false">SUM(D19:D24)</f>
        <v>-28585215.9915</v>
      </c>
      <c r="E25" s="32" t="n">
        <f aca="false">SUM(E19:E24)</f>
        <v>-33066162.354936</v>
      </c>
      <c r="F25" s="32" t="n">
        <f aca="false">SUM(F19:F24)</f>
        <v>-35703612.1666285</v>
      </c>
      <c r="G25" s="32" t="n">
        <f aca="false">SUM(G19:G24)</f>
        <v>-37793634.8331031</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7" t="s">
        <v>264</v>
      </c>
      <c r="C27" s="32" t="n">
        <f aca="false">C9+C16+C25</f>
        <v>-14726821.1306533</v>
      </c>
      <c r="D27" s="32" t="n">
        <f aca="false">D9+D16+D25</f>
        <v>-14503959.2660866</v>
      </c>
      <c r="E27" s="32" t="n">
        <f aca="false">E9+E16+E25</f>
        <v>-11968910.2803685</v>
      </c>
      <c r="F27" s="32" t="n">
        <f aca="false">F9+F16+F25</f>
        <v>-7637130.61992806</v>
      </c>
      <c r="G27" s="32" t="n">
        <f aca="false">G9+G16+G25</f>
        <v>-3409785.28609494</v>
      </c>
    </row>
    <row r="28" customFormat="false" ht="15" hidden="false" customHeight="false" outlineLevel="0" collapsed="false">
      <c r="A28" s="6"/>
      <c r="B28" s="8" t="s">
        <v>265</v>
      </c>
      <c r="C28" s="30" t="n">
        <f aca="false">C27+C10</f>
        <v>-13382754.1996768</v>
      </c>
      <c r="D28" s="30" t="n">
        <f aca="false">D27+D10</f>
        <v>-13171812.928583</v>
      </c>
      <c r="E28" s="30" t="n">
        <f aca="false">E27+E10</f>
        <v>-10588129.9201744</v>
      </c>
      <c r="F28" s="30" t="n">
        <f aca="false">F27+F10</f>
        <v>-6053710.97970869</v>
      </c>
      <c r="G28" s="30" t="n">
        <f aca="false">G27+G10</f>
        <v>-1450080.95084761</v>
      </c>
    </row>
    <row r="29" customFormat="false" ht="15" hidden="false" customHeight="false" outlineLevel="0" collapsed="false">
      <c r="A29" s="6"/>
      <c r="B29" s="31" t="s">
        <v>266</v>
      </c>
      <c r="C29" s="30" t="n">
        <f aca="false">-(Open_Software_Gross-Open_Software_Depr)/Software_Life-PB_NEP*Capex_Pct_NEP/Software_Life/2</f>
        <v>-1464773</v>
      </c>
      <c r="D29" s="30" t="n">
        <f aca="false">-(Open_Software_Gross-Open_Software_Depr)/Software_Life-PB_NEP*Capex_Pct_NEP*(2*D6-1)/(2*Software_Life)</f>
        <v>-2127321.1385</v>
      </c>
      <c r="E29" s="30" t="n">
        <f aca="false">-(Open_Software_Gross-Open_Software_Depr)/Software_Life-PB_NEP*Capex_Pct_NEP*(2*E6-1)/(2*Software_Life)</f>
        <v>-3134284.85969</v>
      </c>
      <c r="F29" s="30" t="n">
        <f aca="false">-(Open_Software_Gross-Open_Software_Depr)/Software_Life-PB_NEP*Capex_Pct_NEP*(2*F6-1)/(2*Software_Life)</f>
        <v>-4434238.95592983</v>
      </c>
      <c r="G29" s="30" t="n">
        <f aca="false">-(Open_Software_Gross-Open_Software_Depr)/Software_Life-PB_NEP*Capex_Pct_NEP*(2*G6-1)/(2*Software_Life)</f>
        <v>-5942073.22685385</v>
      </c>
    </row>
    <row r="30" customFormat="false" ht="15" hidden="false" customHeight="false" outlineLevel="0" collapsed="false">
      <c r="A30" s="6"/>
      <c r="B30" s="7" t="s">
        <v>267</v>
      </c>
      <c r="C30" s="32" t="n">
        <f aca="false">C28+C29</f>
        <v>-14847527.1996768</v>
      </c>
      <c r="D30" s="32" t="n">
        <f aca="false">D28+D29</f>
        <v>-15299134.067083</v>
      </c>
      <c r="E30" s="32" t="n">
        <f aca="false">E28+E29</f>
        <v>-13722414.7798644</v>
      </c>
      <c r="F30" s="32" t="n">
        <f aca="false">F28+F29</f>
        <v>-10487949.9356385</v>
      </c>
      <c r="G30" s="32" t="n">
        <f aca="false">G28+G29</f>
        <v>-7392154.17770147</v>
      </c>
    </row>
    <row r="31" customFormat="false" ht="15" hidden="false" customHeight="false" outlineLevel="0" collapsed="false">
      <c r="A31" s="6"/>
      <c r="B31" s="31" t="s">
        <v>268</v>
      </c>
      <c r="C31" s="30" t="n">
        <f aca="false">-Surplus_Note*Surplus_Note_Rate</f>
        <v>-1050000</v>
      </c>
      <c r="D31" s="30" t="n">
        <f aca="false">-Surplus_Note*Surplus_Note_Rate</f>
        <v>-1050000</v>
      </c>
      <c r="E31" s="30" t="n">
        <f aca="false">-Surplus_Note*Surplus_Note_Rate</f>
        <v>-1050000</v>
      </c>
      <c r="F31" s="30" t="n">
        <f aca="false">-Surplus_Note*Surplus_Note_Rate</f>
        <v>-1050000</v>
      </c>
      <c r="G31" s="30" t="n">
        <f aca="false">-Surplus_Note*Surplus_Note_Rate</f>
        <v>-1050000</v>
      </c>
    </row>
    <row r="32" customFormat="false" ht="15" hidden="false" customHeight="false" outlineLevel="0" collapsed="false">
      <c r="A32" s="6"/>
      <c r="B32" s="8" t="s">
        <v>269</v>
      </c>
      <c r="C32" s="30" t="n">
        <f aca="false">C30+C31</f>
        <v>-15897527.1996768</v>
      </c>
      <c r="D32" s="30" t="n">
        <f aca="false">D30+D31</f>
        <v>-16349134.067083</v>
      </c>
      <c r="E32" s="30" t="n">
        <f aca="false">E30+E31</f>
        <v>-14772414.7798644</v>
      </c>
      <c r="F32" s="30" t="n">
        <f aca="false">F30+F31</f>
        <v>-11537949.9356385</v>
      </c>
      <c r="G32" s="30" t="n">
        <f aca="false">G30+G31</f>
        <v>-8442154.17770147</v>
      </c>
    </row>
    <row r="33" customFormat="false" ht="15" hidden="false" customHeight="false" outlineLevel="0" collapsed="false">
      <c r="A33" s="6"/>
      <c r="B33" s="31" t="s">
        <v>270</v>
      </c>
      <c r="C33" s="30" t="n">
        <f aca="false">-MAX(0,C32)*Tax_Rate</f>
        <v>-0</v>
      </c>
      <c r="D33" s="30" t="n">
        <f aca="false">-MAX(0,D32)*Tax_Rate</f>
        <v>-0</v>
      </c>
      <c r="E33" s="30" t="n">
        <f aca="false">-MAX(0,E32)*Tax_Rate</f>
        <v>-0</v>
      </c>
      <c r="F33" s="30" t="n">
        <f aca="false">-MAX(0,F32)*Tax_Rate</f>
        <v>-0</v>
      </c>
      <c r="G33" s="30" t="n">
        <f aca="false">-MAX(0,G32)*Tax_Rate</f>
        <v>-0</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7" t="s">
        <v>271</v>
      </c>
      <c r="C35" s="34" t="n">
        <f aca="false">C32+C33</f>
        <v>-15897527.1996768</v>
      </c>
      <c r="D35" s="34" t="n">
        <f aca="false">D32+D33</f>
        <v>-16349134.067083</v>
      </c>
      <c r="E35" s="34" t="n">
        <f aca="false">E32+E33</f>
        <v>-14772414.7798644</v>
      </c>
      <c r="F35" s="34" t="n">
        <f aca="false">F32+F33</f>
        <v>-11537949.9356385</v>
      </c>
      <c r="G35" s="34" t="n">
        <f aca="false">G32+G33</f>
        <v>-8442154.17770147</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8" t="s">
        <v>272</v>
      </c>
      <c r="C37" s="30" t="n">
        <f aca="false">-MAX(0,C35)*Dividend_Payout</f>
        <v>-0</v>
      </c>
      <c r="D37" s="30" t="n">
        <f aca="false">-MAX(0,D35)*Dividend_Payout</f>
        <v>-0</v>
      </c>
      <c r="E37" s="30" t="n">
        <f aca="false">-MAX(0,E35)*Dividend_Payout</f>
        <v>-0</v>
      </c>
      <c r="F37" s="30" t="n">
        <f aca="false">-MAX(0,F35)*Dividend_Payout</f>
        <v>-0</v>
      </c>
      <c r="G37" s="30" t="n">
        <f aca="false">-MAX(0,G35)*Dividend_Payout</f>
        <v>-0</v>
      </c>
    </row>
    <row r="38" customFormat="false" ht="15" hidden="false" customHeight="false" outlineLevel="0" collapsed="false">
      <c r="A38" s="6"/>
      <c r="B38" s="6"/>
      <c r="C38" s="6"/>
      <c r="D38" s="6"/>
      <c r="E38" s="6"/>
      <c r="F38" s="6"/>
      <c r="G38" s="6"/>
    </row>
    <row r="39" customFormat="false" ht="15" hidden="false" customHeight="false" outlineLevel="0" collapsed="false">
      <c r="A39" s="6"/>
      <c r="B39" s="8" t="s">
        <v>226</v>
      </c>
      <c r="C39" s="35" t="n">
        <f aca="false">IF(C9=0,0,CR_Total_Losses/PB_NEP)</f>
        <v>0.79251256281407</v>
      </c>
      <c r="D39" s="35" t="n">
        <f aca="false">IF(D9=0,0,CR_Total_Losses/PB_NEP)</f>
        <v>0.759245683693052</v>
      </c>
      <c r="E39" s="35" t="n">
        <f aca="false">IF(E9=0,0,CR_Total_Losses/PB_NEP)</f>
        <v>0.720089402007423</v>
      </c>
      <c r="F39" s="35" t="n">
        <f aca="false">IF(F9=0,0,CR_Total_Losses/PB_NEP)</f>
        <v>0.691503411731967</v>
      </c>
      <c r="G39" s="35" t="n">
        <f aca="false">IF(G9=0,0,CR_Total_Losses/PB_NEP)</f>
        <v>0.670236768522718</v>
      </c>
    </row>
    <row r="40" customFormat="false" ht="15" hidden="false" customHeight="false" outlineLevel="0" collapsed="false">
      <c r="A40" s="6"/>
      <c r="B40" s="8" t="s">
        <v>249</v>
      </c>
      <c r="C40" s="35" t="n">
        <f aca="false">IF(C9=0,0,OC_Total/PB_NEP)</f>
        <v>0.550333631322373</v>
      </c>
      <c r="D40" s="35" t="n">
        <f aca="false">IF(D9=0,0,OC_Total/PB_NEP)</f>
        <v>0.488735790186936</v>
      </c>
      <c r="E40" s="35" t="n">
        <f aca="false">IF(E9=0,0,OC_Total/PB_NEP)</f>
        <v>0.438709707092483</v>
      </c>
      <c r="F40" s="35" t="n">
        <f aca="false">IF(F9=0,0,OC_Total/PB_NEP)</f>
        <v>0.392441158822233</v>
      </c>
      <c r="G40" s="35" t="n">
        <f aca="false">IF(G9=0,0,OC_Total/PB_NEP)</f>
        <v>0.362465265408913</v>
      </c>
    </row>
    <row r="41" customFormat="false" ht="15" hidden="false" customHeight="false" outlineLevel="0" collapsed="false">
      <c r="A41" s="6"/>
      <c r="B41" s="8" t="s">
        <v>273</v>
      </c>
      <c r="C41" s="35" t="n">
        <f aca="false">C39+C40</f>
        <v>1.34284619413644</v>
      </c>
      <c r="D41" s="35" t="n">
        <f aca="false">D39+D40</f>
        <v>1.24798147387999</v>
      </c>
      <c r="E41" s="35" t="n">
        <f aca="false">E39+E40</f>
        <v>1.15879910909991</v>
      </c>
      <c r="F41" s="35" t="n">
        <f aca="false">F39+F40</f>
        <v>1.0839445705542</v>
      </c>
      <c r="G41" s="35" t="n">
        <f aca="false">G39+G40</f>
        <v>1.03270203393163</v>
      </c>
    </row>
    <row r="42" customFormat="false" ht="15" hidden="false" customHeight="false" outlineLevel="0" collapsed="false">
      <c r="A42" s="6"/>
      <c r="B42" s="8" t="s">
        <v>274</v>
      </c>
      <c r="C42" s="35" t="n">
        <f aca="false">IF(C11=0,0,C35/C11)</f>
        <v>-0.358871458241562</v>
      </c>
      <c r="D42" s="35" t="n">
        <f aca="false">IF(D11=0,0,D35/D11)</f>
        <v>-0.273304468882983</v>
      </c>
      <c r="E42" s="35" t="n">
        <f aca="false">IF(E11=0,0,E35/E11)</f>
        <v>-0.192469005971573</v>
      </c>
      <c r="F42" s="35" t="n">
        <f aca="false">IF(F11=0,0,F35/F11)</f>
        <v>-0.124651480975577</v>
      </c>
      <c r="G42" s="35" t="n">
        <f aca="false">IF(G11=0,0,G35/G11)</f>
        <v>-0.0794720254128758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275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276</v>
      </c>
      <c r="C8" s="10"/>
      <c r="D8" s="10"/>
      <c r="E8" s="10"/>
      <c r="F8" s="10"/>
      <c r="G8" s="10"/>
    </row>
    <row r="9" customFormat="false" ht="15" hidden="false" customHeight="false" outlineLevel="0" collapsed="false">
      <c r="A9" s="6"/>
      <c r="B9" s="31" t="s">
        <v>186</v>
      </c>
      <c r="C9" s="30" t="n">
        <f aca="false">CF_Close_Cash</f>
        <v>69129718.2460671</v>
      </c>
      <c r="D9" s="30" t="n">
        <f aca="false">CF_Close_Cash</f>
        <v>132639818.860076</v>
      </c>
      <c r="E9" s="30" t="n">
        <f aca="false">CF_Close_Cash</f>
        <v>261148711.33357</v>
      </c>
      <c r="F9" s="30" t="n">
        <f aca="false">CF_Close_Cash</f>
        <v>392317112.577045</v>
      </c>
      <c r="G9" s="30" t="n">
        <f aca="false">CF_Close_Cash</f>
        <v>548044705.901909</v>
      </c>
    </row>
    <row r="10" customFormat="false" ht="15" hidden="false" customHeight="false" outlineLevel="0" collapsed="false">
      <c r="A10" s="6"/>
      <c r="B10" s="31" t="s">
        <v>20</v>
      </c>
      <c r="C10" s="30" t="n">
        <f aca="false">INV_Close</f>
        <v>29736308.0433988</v>
      </c>
      <c r="D10" s="30" t="n">
        <f aca="false">INV_Close</f>
        <v>29470195.8456535</v>
      </c>
      <c r="E10" s="30" t="n">
        <f aca="false">INV_Close</f>
        <v>31897820.1629736</v>
      </c>
      <c r="F10" s="30" t="n">
        <f aca="false">INV_Close</f>
        <v>38476386.0689987</v>
      </c>
      <c r="G10" s="30" t="n">
        <f aca="false">INV_Close</f>
        <v>48621584.3864382</v>
      </c>
    </row>
    <row r="11" customFormat="false" ht="15" hidden="false" customHeight="false" outlineLevel="0" collapsed="false">
      <c r="A11" s="6"/>
      <c r="B11" s="31" t="s">
        <v>187</v>
      </c>
      <c r="C11" s="30" t="n">
        <f aca="false">PB_NEP*Prem_Recv_Days/365</f>
        <v>4118934.24657534</v>
      </c>
      <c r="D11" s="30" t="n">
        <f aca="false">PB_NEP*Prem_Recv_Days/365</f>
        <v>5608445.63424658</v>
      </c>
      <c r="E11" s="30" t="n">
        <f aca="false">PB_NEP*Prem_Recv_Days/365</f>
        <v>7227393.9823726</v>
      </c>
      <c r="F11" s="30" t="n">
        <f aca="false">PB_NEP*Prem_Recv_Days/365</f>
        <v>8723942.34501323</v>
      </c>
      <c r="G11" s="30" t="n">
        <f aca="false">PB_NEP*Prem_Recv_Days/365</f>
        <v>9998329.55493972</v>
      </c>
    </row>
    <row r="12" customFormat="false" ht="15" hidden="false" customHeight="false" outlineLevel="0" collapsed="false">
      <c r="A12" s="6"/>
      <c r="B12" s="31" t="s">
        <v>188</v>
      </c>
      <c r="C12" s="30" t="n">
        <f aca="false">CR_Res_Close*Ceded_Pct</f>
        <v>4673679.28698036</v>
      </c>
      <c r="D12" s="30" t="n">
        <f aca="false">CR_Res_Close*Ceded_Pct</f>
        <v>6713851.98838341</v>
      </c>
      <c r="E12" s="30" t="n">
        <f aca="false">CR_Res_Close*Ceded_Pct</f>
        <v>8606356.32041146</v>
      </c>
      <c r="F12" s="30" t="n">
        <f aca="false">CR_Res_Close*Ceded_Pct</f>
        <v>10305645.183111</v>
      </c>
      <c r="G12" s="30" t="n">
        <f aca="false">CR_Res_Close*Ceded_Pct</f>
        <v>11746015.6423074</v>
      </c>
    </row>
    <row r="13" customFormat="false" ht="15" hidden="false" customHeight="false" outlineLevel="0" collapsed="false">
      <c r="A13" s="6"/>
      <c r="B13" s="31" t="s">
        <v>189</v>
      </c>
      <c r="C13" s="30" t="n">
        <f aca="false">OC_DAC_Close</f>
        <v>6513418.41220336</v>
      </c>
      <c r="D13" s="30" t="n">
        <f aca="false">OC_DAC_Close</f>
        <v>7872502.12426198</v>
      </c>
      <c r="E13" s="30" t="n">
        <f aca="false">OC_DAC_Close</f>
        <v>8410367.41665394</v>
      </c>
      <c r="F13" s="30" t="n">
        <f aca="false">OC_DAC_Close</f>
        <v>8119694.13672757</v>
      </c>
      <c r="G13" s="30" t="n">
        <f aca="false">OC_DAC_Close</f>
        <v>7574802.04099228</v>
      </c>
    </row>
    <row r="14" customFormat="false" ht="15" hidden="false" customHeight="false" outlineLevel="0" collapsed="false">
      <c r="A14" s="6"/>
      <c r="B14" s="31" t="s">
        <v>190</v>
      </c>
      <c r="C14" s="30" t="n">
        <f aca="false">Open_Software_Gross+PB_NEP*Capex_Pct_NEP*C6</f>
        <v>9718184</v>
      </c>
      <c r="D14" s="30" t="n">
        <f aca="false">Open_Software_Gross+PB_NEP*Capex_Pct_NEP*D6</f>
        <v>12679046.072</v>
      </c>
      <c r="E14" s="30" t="n">
        <f aca="false">Open_Software_Gross+PB_NEP*Capex_Pct_NEP*E6</f>
        <v>17044567.326512</v>
      </c>
      <c r="F14" s="30" t="n">
        <f aca="false">Open_Software_Gross+PB_NEP*Capex_Pct_NEP*F6</f>
        <v>22556520.9413935</v>
      </c>
      <c r="G14" s="30" t="n">
        <f aca="false">Open_Software_Gross+PB_NEP*Capex_Pct_NEP*G6</f>
        <v>28853658.7860171</v>
      </c>
    </row>
    <row r="15" customFormat="false" ht="15" hidden="false" customHeight="false" outlineLevel="0" collapsed="false">
      <c r="A15" s="6"/>
      <c r="B15" s="31" t="s">
        <v>277</v>
      </c>
      <c r="C15" s="30" t="n">
        <f aca="false">Open_Software_Depr-SUM(Income_Statement!$C$29:C29)</f>
        <v>4464773</v>
      </c>
      <c r="D15" s="30" t="n">
        <f aca="false">Open_Software_Depr-SUM(Income_Statement!$C$29:D29)</f>
        <v>6592094.1385</v>
      </c>
      <c r="E15" s="30" t="n">
        <f aca="false">Open_Software_Depr-SUM(Income_Statement!$C$29:E29)</f>
        <v>9726378.99819</v>
      </c>
      <c r="F15" s="30" t="n">
        <f aca="false">Open_Software_Depr-SUM(Income_Statement!$C$29:F29)</f>
        <v>14160617.9541198</v>
      </c>
      <c r="G15" s="30" t="n">
        <f aca="false">Open_Software_Depr-SUM(Income_Statement!$C$29:G29)</f>
        <v>20102691.1809737</v>
      </c>
    </row>
    <row r="16" customFormat="false" ht="15" hidden="false" customHeight="false" outlineLevel="0" collapsed="false">
      <c r="A16" s="6"/>
      <c r="B16" s="31" t="s">
        <v>278</v>
      </c>
      <c r="C16" s="30" t="n">
        <f aca="false">C14-C15</f>
        <v>5253411</v>
      </c>
      <c r="D16" s="30" t="n">
        <f aca="false">D14-D15</f>
        <v>6086951.9335</v>
      </c>
      <c r="E16" s="30" t="n">
        <f aca="false">E14-E15</f>
        <v>7318188.328322</v>
      </c>
      <c r="F16" s="30" t="n">
        <f aca="false">F14-F15</f>
        <v>8395902.98727368</v>
      </c>
      <c r="G16" s="30" t="n">
        <f aca="false">G14-G15</f>
        <v>8750967.60504345</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7" t="s">
        <v>279</v>
      </c>
      <c r="C18" s="34" t="n">
        <f aca="false">C9+C10+C11+C12+C13+C16</f>
        <v>119425469.235225</v>
      </c>
      <c r="D18" s="34" t="n">
        <f aca="false">D9+D10+D11+D12+D13+D16</f>
        <v>188391766.386121</v>
      </c>
      <c r="E18" s="34" t="n">
        <f aca="false">E9+E10+E11+E12+E13+E16</f>
        <v>324608837.544304</v>
      </c>
      <c r="F18" s="34" t="n">
        <f aca="false">F9+F10+F11+F12+F13+F16</f>
        <v>466338683.298169</v>
      </c>
      <c r="G18" s="34" t="n">
        <f aca="false">G9+G10+G11+G12+G13+G16</f>
        <v>634736405.13163</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280</v>
      </c>
      <c r="C20" s="10"/>
      <c r="D20" s="10"/>
      <c r="E20" s="10"/>
      <c r="F20" s="10"/>
      <c r="G20" s="10"/>
    </row>
    <row r="21" customFormat="false" ht="15" hidden="false" customHeight="false" outlineLevel="0" collapsed="false">
      <c r="A21" s="6"/>
      <c r="B21" s="31" t="s">
        <v>192</v>
      </c>
      <c r="C21" s="30" t="n">
        <f aca="false">CR_Res_Close</f>
        <v>23368396.4349018</v>
      </c>
      <c r="D21" s="30" t="n">
        <f aca="false">CR_Res_Close</f>
        <v>33569259.9419171</v>
      </c>
      <c r="E21" s="30" t="n">
        <f aca="false">CR_Res_Close</f>
        <v>43031781.6020573</v>
      </c>
      <c r="F21" s="30" t="n">
        <f aca="false">CR_Res_Close</f>
        <v>51528225.9155551</v>
      </c>
      <c r="G21" s="30" t="n">
        <f aca="false">CR_Res_Close</f>
        <v>58730078.211537</v>
      </c>
    </row>
    <row r="22" customFormat="false" ht="15" hidden="false" customHeight="false" outlineLevel="0" collapsed="false">
      <c r="A22" s="6"/>
      <c r="B22" s="31" t="s">
        <v>193</v>
      </c>
      <c r="C22" s="30" t="n">
        <f aca="false">PB_UPR_Close</f>
        <v>24954600</v>
      </c>
      <c r="D22" s="30" t="n">
        <f aca="false">PB_UPR_Close</f>
        <v>33533475.9</v>
      </c>
      <c r="E22" s="30" t="n">
        <f aca="false">PB_UPR_Close</f>
        <v>41837918.4876</v>
      </c>
      <c r="F22" s="30" t="n">
        <f aca="false">PB_UPR_Close</f>
        <v>49140337.3961094</v>
      </c>
      <c r="G22" s="30" t="n">
        <f aca="false">PB_UPR_Close</f>
        <v>55127956.5339762</v>
      </c>
    </row>
    <row r="23" customFormat="false" ht="15" hidden="false" customHeight="false" outlineLevel="0" collapsed="false">
      <c r="A23" s="6"/>
      <c r="B23" s="31" t="s">
        <v>281</v>
      </c>
      <c r="C23" s="30" t="n">
        <f aca="false">OC_Total*30/365</f>
        <v>1942961.17808219</v>
      </c>
      <c r="D23" s="30" t="n">
        <f aca="false">OC_Total*30/365</f>
        <v>2349469.80752055</v>
      </c>
      <c r="E23" s="30" t="n">
        <f aca="false">OC_Total*30/365</f>
        <v>2717766.76889885</v>
      </c>
      <c r="F23" s="30" t="n">
        <f aca="false">OC_Total*30/365</f>
        <v>2934543.46575029</v>
      </c>
      <c r="G23" s="30" t="n">
        <f aca="false">OC_Total*30/365</f>
        <v>3106326.15066601</v>
      </c>
    </row>
    <row r="24" customFormat="false" ht="15" hidden="false" customHeight="false" outlineLevel="0" collapsed="false">
      <c r="A24" s="6"/>
      <c r="B24" s="31" t="s">
        <v>163</v>
      </c>
      <c r="C24" s="30" t="n">
        <f aca="false">Surplus_Note</f>
        <v>15000000</v>
      </c>
      <c r="D24" s="30" t="n">
        <f aca="false">Surplus_Note</f>
        <v>15000000</v>
      </c>
      <c r="E24" s="30" t="n">
        <f aca="false">Surplus_Note</f>
        <v>15000000</v>
      </c>
      <c r="F24" s="30" t="n">
        <f aca="false">Surplus_Note</f>
        <v>15000000</v>
      </c>
      <c r="G24" s="30" t="n">
        <f aca="false">Surplus_Note</f>
        <v>15000000</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7" t="s">
        <v>282</v>
      </c>
      <c r="C26" s="34" t="n">
        <f aca="false">C21+C22+C23+C24</f>
        <v>65265957.612984</v>
      </c>
      <c r="D26" s="34" t="n">
        <f aca="false">D21+D22+D23+D24</f>
        <v>84452205.6494376</v>
      </c>
      <c r="E26" s="34" t="n">
        <f aca="false">E21+E22+E23+E24</f>
        <v>102587466.858556</v>
      </c>
      <c r="F26" s="34" t="n">
        <f aca="false">F21+F22+F23+F24</f>
        <v>118603106.777415</v>
      </c>
      <c r="G26" s="34" t="n">
        <f aca="false">G21+G22+G23+G24</f>
        <v>131964360.896179</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283</v>
      </c>
      <c r="C28" s="10"/>
      <c r="D28" s="10"/>
      <c r="E28" s="10"/>
      <c r="F28" s="10"/>
      <c r="G28" s="10"/>
    </row>
    <row r="29" customFormat="false" ht="15" hidden="false" customHeight="false" outlineLevel="0" collapsed="false">
      <c r="A29" s="6"/>
      <c r="B29" s="31" t="s">
        <v>194</v>
      </c>
      <c r="C29" s="30" t="n">
        <f aca="false">C18-C26-C30</f>
        <v>90057038.8219178</v>
      </c>
      <c r="D29" s="30" t="n">
        <f aca="false">D18-D26-D30</f>
        <v>156186222.003443</v>
      </c>
      <c r="E29" s="30" t="n">
        <f aca="false">E18-E26-E30</f>
        <v>289040446.732372</v>
      </c>
      <c r="F29" s="30" t="n">
        <f aca="false">F18-F26-F30</f>
        <v>426292602.503017</v>
      </c>
      <c r="G29" s="30" t="n">
        <f aca="false">G18-G26-G30</f>
        <v>589771224.395415</v>
      </c>
    </row>
    <row r="30" customFormat="false" ht="15" hidden="false" customHeight="false" outlineLevel="0" collapsed="false">
      <c r="A30" s="6"/>
      <c r="B30" s="31" t="s">
        <v>196</v>
      </c>
      <c r="C30" s="30" t="n">
        <f aca="false">Open_Ret_Earnings+IS_Net_Income+IS_Dividends</f>
        <v>-35897527.1996768</v>
      </c>
      <c r="D30" s="30" t="n">
        <f aca="false">C30+IS_Net_Income+IS_Dividends</f>
        <v>-52246661.2667598</v>
      </c>
      <c r="E30" s="30" t="n">
        <f aca="false">D30+IS_Net_Income+IS_Dividends</f>
        <v>-67019076.0466242</v>
      </c>
      <c r="F30" s="30" t="n">
        <f aca="false">E30+IS_Net_Income+IS_Dividends</f>
        <v>-78557025.9822627</v>
      </c>
      <c r="G30" s="30" t="n">
        <f aca="false">F30+IS_Net_Income+IS_Dividends</f>
        <v>-86999180.1599642</v>
      </c>
    </row>
    <row r="31" customFormat="false" ht="15" hidden="false" customHeight="false" outlineLevel="0" collapsed="false">
      <c r="A31" s="6"/>
      <c r="B31" s="7" t="s">
        <v>284</v>
      </c>
      <c r="C31" s="34" t="n">
        <f aca="false">C29+C30</f>
        <v>54159511.622241</v>
      </c>
      <c r="D31" s="34" t="n">
        <f aca="false">D29+D30</f>
        <v>103939560.736684</v>
      </c>
      <c r="E31" s="34" t="n">
        <f aca="false">E29+E30</f>
        <v>222021370.685748</v>
      </c>
      <c r="F31" s="34" t="n">
        <f aca="false">F29+F30</f>
        <v>347735576.520754</v>
      </c>
      <c r="G31" s="34" t="n">
        <f aca="false">G29+G30</f>
        <v>502772044.235451</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285</v>
      </c>
      <c r="C33" s="34" t="n">
        <f aca="false">C26+C31</f>
        <v>119425469.235225</v>
      </c>
      <c r="D33" s="34" t="n">
        <f aca="false">D26+D31</f>
        <v>188391766.386121</v>
      </c>
      <c r="E33" s="34" t="n">
        <f aca="false">E26+E31</f>
        <v>324608837.544304</v>
      </c>
      <c r="F33" s="34" t="n">
        <f aca="false">F26+F31</f>
        <v>466338683.298169</v>
      </c>
      <c r="G33" s="34" t="n">
        <f aca="false">G26+G31</f>
        <v>634736405.13163</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8" t="s">
        <v>286</v>
      </c>
      <c r="C35" s="36" t="n">
        <f aca="false">C18-C33</f>
        <v>0</v>
      </c>
      <c r="D35" s="36" t="n">
        <f aca="false">D18-D33</f>
        <v>0</v>
      </c>
      <c r="E35" s="36" t="n">
        <f aca="false">E18-E33</f>
        <v>0</v>
      </c>
      <c r="F35" s="36" t="n">
        <f aca="false">F18-F33</f>
        <v>0</v>
      </c>
      <c r="G35" s="36" t="n">
        <f aca="false">G18-G33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7" t="n">
        <f aca="false">Model_Start_Year+0</f>
        <v>2026</v>
      </c>
      <c r="D5" s="27" t="n">
        <f aca="false">Model_Start_Year+1</f>
        <v>2027</v>
      </c>
      <c r="E5" s="27" t="n">
        <f aca="false">Model_Start_Year+2</f>
        <v>2028</v>
      </c>
      <c r="F5" s="27" t="n">
        <f aca="false">Model_Start_Year+3</f>
        <v>2029</v>
      </c>
      <c r="G5" s="27" t="n">
        <f aca="false">Model_Start_Year+4</f>
        <v>2030</v>
      </c>
    </row>
    <row r="6" customFormat="false" ht="15" hidden="false" customHeight="false" outlineLevel="0" collapsed="false">
      <c r="A6" s="6"/>
      <c r="B6" s="28" t="s">
        <v>203</v>
      </c>
      <c r="C6" s="29" t="n">
        <f aca="false">COLUMN()-2</f>
        <v>1</v>
      </c>
      <c r="D6" s="29" t="n">
        <f aca="false">COLUMN()-2</f>
        <v>2</v>
      </c>
      <c r="E6" s="29" t="n">
        <f aca="false">COLUMN()-2</f>
        <v>3</v>
      </c>
      <c r="F6" s="29" t="n">
        <f aca="false">COLUMN()-2</f>
        <v>4</v>
      </c>
      <c r="G6" s="29"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289</v>
      </c>
      <c r="C8" s="10"/>
      <c r="D8" s="10"/>
      <c r="E8" s="10"/>
      <c r="F8" s="10"/>
      <c r="G8" s="10"/>
    </row>
    <row r="9" customFormat="false" ht="15" hidden="false" customHeight="false" outlineLevel="0" collapsed="false">
      <c r="A9" s="6"/>
      <c r="B9" s="31" t="s">
        <v>290</v>
      </c>
      <c r="C9" s="30" t="n">
        <f aca="false">IS_Net_Income</f>
        <v>-15897527.1996768</v>
      </c>
      <c r="D9" s="30" t="n">
        <f aca="false">IS_Net_Income</f>
        <v>-16349134.067083</v>
      </c>
      <c r="E9" s="30" t="n">
        <f aca="false">IS_Net_Income</f>
        <v>-14772414.7798644</v>
      </c>
      <c r="F9" s="30" t="n">
        <f aca="false">IS_Net_Income</f>
        <v>-11537949.9356385</v>
      </c>
      <c r="G9" s="30" t="n">
        <f aca="false">IS_Net_Income</f>
        <v>-8442154.17770147</v>
      </c>
    </row>
    <row r="10" customFormat="false" ht="15" hidden="false" customHeight="false" outlineLevel="0" collapsed="false">
      <c r="A10" s="6"/>
      <c r="B10" s="31" t="s">
        <v>266</v>
      </c>
      <c r="C10" s="30" t="n">
        <f aca="false">-IS_DA</f>
        <v>1464773</v>
      </c>
      <c r="D10" s="30" t="n">
        <f aca="false">-IS_DA</f>
        <v>2127321.1385</v>
      </c>
      <c r="E10" s="30" t="n">
        <f aca="false">-IS_DA</f>
        <v>3134284.85969</v>
      </c>
      <c r="F10" s="30" t="n">
        <f aca="false">-IS_DA</f>
        <v>4434238.95592983</v>
      </c>
      <c r="G10" s="30" t="n">
        <f aca="false">-IS_DA</f>
        <v>5942073.22685385</v>
      </c>
    </row>
    <row r="11" customFormat="false" ht="15" hidden="false" customHeight="false" outlineLevel="0" collapsed="false">
      <c r="A11" s="6"/>
      <c r="B11" s="31" t="s">
        <v>291</v>
      </c>
      <c r="C11" s="30" t="n">
        <f aca="false">-OC_DAC_Amort</f>
        <v>11211611.5877966</v>
      </c>
      <c r="D11" s="30" t="n">
        <f aca="false">-OC_DAC_Amort</f>
        <v>13730980.4429414</v>
      </c>
      <c r="E11" s="30" t="n">
        <f aca="false">-OC_DAC_Amort</f>
        <v>15151354.140458</v>
      </c>
      <c r="F11" s="30" t="n">
        <f aca="false">-OC_DAC_Amort</f>
        <v>15032774.4987592</v>
      </c>
      <c r="G11" s="30" t="n">
        <f aca="false">-OC_DAC_Amort</f>
        <v>14326881.2292294</v>
      </c>
    </row>
    <row r="12" customFormat="false" ht="15" hidden="false" customHeight="false" outlineLevel="0" collapsed="false">
      <c r="A12" s="6"/>
      <c r="B12" s="31" t="s">
        <v>292</v>
      </c>
      <c r="C12" s="30" t="n">
        <f aca="false">CR_Res_Close-Open_Loss_Reserves</f>
        <v>11368396.4349018</v>
      </c>
      <c r="D12" s="30" t="n">
        <f aca="false">CR_Res_Close-C31</f>
        <v>33569259.9419171</v>
      </c>
      <c r="E12" s="30" t="n">
        <f aca="false">CR_Res_Close-D31</f>
        <v>43031781.6020573</v>
      </c>
      <c r="F12" s="30" t="n">
        <f aca="false">CR_Res_Close-E31</f>
        <v>51528225.9155551</v>
      </c>
      <c r="G12" s="30" t="n">
        <f aca="false">CR_Res_Close-F31</f>
        <v>58730078.211537</v>
      </c>
    </row>
    <row r="13" customFormat="false" ht="15" hidden="false" customHeight="false" outlineLevel="0" collapsed="false">
      <c r="A13" s="6"/>
      <c r="B13" s="31" t="s">
        <v>293</v>
      </c>
      <c r="C13" s="30" t="n">
        <f aca="false">PB_UPR_Close-Open_UPR</f>
        <v>6954600</v>
      </c>
      <c r="D13" s="30" t="n">
        <f aca="false">PB_UPR_Close-C40</f>
        <v>33533475.9</v>
      </c>
      <c r="E13" s="30" t="n">
        <f aca="false">PB_UPR_Close-D40</f>
        <v>41837918.4876</v>
      </c>
      <c r="F13" s="30" t="n">
        <f aca="false">PB_UPR_Close-E40</f>
        <v>49140337.3961094</v>
      </c>
      <c r="G13" s="30" t="n">
        <f aca="false">PB_UPR_Close-F40</f>
        <v>55127956.5339762</v>
      </c>
    </row>
    <row r="14" customFormat="false" ht="15" hidden="false" customHeight="false" outlineLevel="0" collapsed="false">
      <c r="A14" s="6"/>
      <c r="B14" s="31" t="s">
        <v>294</v>
      </c>
      <c r="C14" s="30" t="n">
        <f aca="false">-(BS_Reins_Recv-Open_Reins_Recv)</f>
        <v>-1673679.28698036</v>
      </c>
      <c r="D14" s="30" t="n">
        <f aca="false">-(BS_Reins_Recv-C12)</f>
        <v>4654544.44651837</v>
      </c>
      <c r="E14" s="30" t="n">
        <f aca="false">-(BS_Reins_Recv-D12)</f>
        <v>24962903.6215056</v>
      </c>
      <c r="F14" s="30" t="n">
        <f aca="false">-(BS_Reins_Recv-E12)</f>
        <v>32726136.4189463</v>
      </c>
      <c r="G14" s="30" t="n">
        <f aca="false">-(BS_Reins_Recv-F12)</f>
        <v>39782210.2732477</v>
      </c>
    </row>
    <row r="15" customFormat="false" ht="15" hidden="false" customHeight="false" outlineLevel="0" collapsed="false">
      <c r="A15" s="6"/>
      <c r="B15" s="31" t="s">
        <v>295</v>
      </c>
      <c r="C15" s="30" t="n">
        <f aca="false">-(BS_Prem_Recv-Open_Prem_Recv)</f>
        <v>881065.753424658</v>
      </c>
      <c r="D15" s="30" t="n">
        <f aca="false">-(BS_Prem_Recv-C11)</f>
        <v>5603165.95355007</v>
      </c>
      <c r="E15" s="30" t="n">
        <f aca="false">-(BS_Prem_Recv-D11)</f>
        <v>6503586.46056877</v>
      </c>
      <c r="F15" s="30" t="n">
        <f aca="false">-(BS_Prem_Recv-E11)</f>
        <v>6427411.79544481</v>
      </c>
      <c r="G15" s="30" t="n">
        <f aca="false">-(BS_Prem_Recv-F11)</f>
        <v>5034444.94381947</v>
      </c>
    </row>
    <row r="16" customFormat="false" ht="15" hidden="false" customHeight="false" outlineLevel="0" collapsed="false">
      <c r="A16" s="6"/>
      <c r="B16" s="31" t="s">
        <v>296</v>
      </c>
      <c r="C16" s="30" t="n">
        <f aca="false">BS_AP-OC_Total*30/365</f>
        <v>0</v>
      </c>
      <c r="D16" s="30" t="n">
        <f aca="false">BS_AP-C23</f>
        <v>3803961.85091936</v>
      </c>
      <c r="E16" s="30" t="n">
        <f aca="false">BS_AP-D23</f>
        <v>4791177.60715355</v>
      </c>
      <c r="F16" s="30" t="n">
        <f aca="false">BS_AP-E23</f>
        <v>8377023.5585744</v>
      </c>
      <c r="G16" s="30" t="n">
        <f aca="false">BS_AP-F23</f>
        <v>13324022.2920394</v>
      </c>
    </row>
    <row r="17" customFormat="false" ht="15" hidden="false" customHeight="false" outlineLevel="0" collapsed="false">
      <c r="A17" s="6"/>
      <c r="B17" s="31" t="s">
        <v>297</v>
      </c>
      <c r="C17" s="30" t="n">
        <f aca="false">-OC_DAC_Deferred</f>
        <v>-13725030</v>
      </c>
      <c r="D17" s="30" t="n">
        <f aca="false">-OC_DAC_Deferred</f>
        <v>-15090064.155</v>
      </c>
      <c r="E17" s="30" t="n">
        <f aca="false">-OC_DAC_Deferred</f>
        <v>-15689219.43285</v>
      </c>
      <c r="F17" s="30" t="n">
        <f aca="false">-OC_DAC_Deferred</f>
        <v>-14742101.2188328</v>
      </c>
      <c r="G17" s="30" t="n">
        <f aca="false">-OC_DAC_Deferred</f>
        <v>-13781989.1334941</v>
      </c>
    </row>
    <row r="18" customFormat="false" ht="15" hidden="false" customHeight="false" outlineLevel="0" collapsed="false">
      <c r="A18" s="6"/>
      <c r="B18" s="7" t="s">
        <v>298</v>
      </c>
      <c r="C18" s="34" t="n">
        <f aca="false">SUM(C9:C17)</f>
        <v>584210.289465939</v>
      </c>
      <c r="D18" s="34" t="n">
        <f aca="false">SUM(D9:D17)</f>
        <v>65583511.4522633</v>
      </c>
      <c r="E18" s="34" t="n">
        <f aca="false">SUM(E9:E17)</f>
        <v>108951372.566319</v>
      </c>
      <c r="F18" s="34" t="n">
        <f aca="false">SUM(F9:F17)</f>
        <v>141386097.384848</v>
      </c>
      <c r="G18" s="34" t="n">
        <f aca="false">SUM(G9:G17)</f>
        <v>170043523.399508</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299</v>
      </c>
      <c r="C20" s="10"/>
      <c r="D20" s="10"/>
      <c r="E20" s="10"/>
      <c r="F20" s="10"/>
      <c r="G20" s="10"/>
    </row>
    <row r="21" customFormat="false" ht="15" hidden="false" customHeight="false" outlineLevel="0" collapsed="false">
      <c r="A21" s="6"/>
      <c r="B21" s="31" t="s">
        <v>300</v>
      </c>
      <c r="C21" s="30" t="n">
        <f aca="false">-PB_NEP*Capex_Pct_NEP</f>
        <v>-1718184</v>
      </c>
      <c r="D21" s="30" t="n">
        <f aca="false">-PB_NEP*Capex_Pct_NEP</f>
        <v>-2339523.036</v>
      </c>
      <c r="E21" s="30" t="n">
        <f aca="false">-PB_NEP*Capex_Pct_NEP</f>
        <v>-3014855.775504</v>
      </c>
      <c r="F21" s="30" t="n">
        <f aca="false">-PB_NEP*Capex_Pct_NEP</f>
        <v>-3639130.23534838</v>
      </c>
      <c r="G21" s="30" t="n">
        <f aca="false">-PB_NEP*Capex_Pct_NEP</f>
        <v>-4170731.75720343</v>
      </c>
    </row>
    <row r="22" customFormat="false" ht="15" hidden="false" customHeight="false" outlineLevel="0" collapsed="false">
      <c r="A22" s="6"/>
      <c r="B22" s="31" t="s">
        <v>301</v>
      </c>
      <c r="C22" s="30" t="n">
        <f aca="false">-INV_Cash_Inflow</f>
        <v>263691.956601188</v>
      </c>
      <c r="D22" s="30" t="n">
        <f aca="false">-INV_Cash_Inflow</f>
        <v>266112.197745301</v>
      </c>
      <c r="E22" s="30" t="n">
        <f aca="false">-INV_Cash_Inflow</f>
        <v>-2427624.31732011</v>
      </c>
      <c r="F22" s="30" t="n">
        <f aca="false">-INV_Cash_Inflow</f>
        <v>-6578565.90602506</v>
      </c>
      <c r="G22" s="30" t="n">
        <f aca="false">-INV_Cash_Inflow</f>
        <v>-10145198.3174395</v>
      </c>
    </row>
    <row r="23" customFormat="false" ht="15" hidden="false" customHeight="false" outlineLevel="0" collapsed="false">
      <c r="A23" s="6"/>
      <c r="B23" s="7" t="s">
        <v>302</v>
      </c>
      <c r="C23" s="34" t="n">
        <f aca="false">C21+C22</f>
        <v>-1454492.04339881</v>
      </c>
      <c r="D23" s="34" t="n">
        <f aca="false">D21+D22</f>
        <v>-2073410.8382547</v>
      </c>
      <c r="E23" s="34" t="n">
        <f aca="false">E21+E22</f>
        <v>-5442480.09282411</v>
      </c>
      <c r="F23" s="34" t="n">
        <f aca="false">F21+F22</f>
        <v>-10217696.1413734</v>
      </c>
      <c r="G23" s="34" t="n">
        <f aca="false">G21+G22</f>
        <v>-14315930.0746429</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9" t="s">
        <v>303</v>
      </c>
      <c r="C25" s="10"/>
      <c r="D25" s="10"/>
      <c r="E25" s="10"/>
      <c r="F25" s="10"/>
      <c r="G25" s="10"/>
    </row>
    <row r="26" customFormat="false" ht="15" hidden="false" customHeight="false" outlineLevel="0" collapsed="false">
      <c r="A26" s="6"/>
      <c r="B26" s="31" t="s">
        <v>304</v>
      </c>
      <c r="C26" s="30" t="n">
        <f aca="false">Equity_Raise_Y1</f>
        <v>40000000</v>
      </c>
      <c r="D26" s="30" t="n">
        <f aca="false">0</f>
        <v>0</v>
      </c>
      <c r="E26" s="30" t="n">
        <f aca="false">Equity_Raise_Y3</f>
        <v>25000000</v>
      </c>
      <c r="F26" s="30" t="n">
        <f aca="false">0</f>
        <v>0</v>
      </c>
      <c r="G26" s="30" t="n">
        <f aca="false">0</f>
        <v>0</v>
      </c>
    </row>
    <row r="27" customFormat="false" ht="15" hidden="false" customHeight="false" outlineLevel="0" collapsed="false">
      <c r="A27" s="6"/>
      <c r="B27" s="31" t="s">
        <v>305</v>
      </c>
      <c r="C27" s="30" t="n">
        <f aca="false">Surplus_Note</f>
        <v>15000000</v>
      </c>
      <c r="D27" s="30" t="n">
        <f aca="false">0</f>
        <v>0</v>
      </c>
      <c r="E27" s="30" t="n">
        <f aca="false">0</f>
        <v>0</v>
      </c>
      <c r="F27" s="30" t="n">
        <f aca="false">0</f>
        <v>0</v>
      </c>
      <c r="G27" s="30" t="n">
        <f aca="false">0</f>
        <v>0</v>
      </c>
    </row>
    <row r="28" customFormat="false" ht="15" hidden="false" customHeight="false" outlineLevel="0" collapsed="false">
      <c r="A28" s="6"/>
      <c r="B28" s="31" t="s">
        <v>306</v>
      </c>
      <c r="C28" s="30" t="n">
        <f aca="false">0</f>
        <v>0</v>
      </c>
      <c r="D28" s="30" t="n">
        <f aca="false">0</f>
        <v>0</v>
      </c>
      <c r="E28" s="30" t="n">
        <f aca="false">0</f>
        <v>0</v>
      </c>
      <c r="F28" s="30" t="n">
        <f aca="false">0</f>
        <v>0</v>
      </c>
      <c r="G28" s="30" t="n">
        <f aca="false">0</f>
        <v>0</v>
      </c>
    </row>
    <row r="29" customFormat="false" ht="15" hidden="false" customHeight="false" outlineLevel="0" collapsed="false">
      <c r="A29" s="6"/>
      <c r="B29" s="31" t="s">
        <v>307</v>
      </c>
      <c r="C29" s="30" t="n">
        <f aca="false">IS_Dividends</f>
        <v>-0</v>
      </c>
      <c r="D29" s="30" t="n">
        <f aca="false">IS_Dividends</f>
        <v>-0</v>
      </c>
      <c r="E29" s="30" t="n">
        <f aca="false">IS_Dividends</f>
        <v>-0</v>
      </c>
      <c r="F29" s="30" t="n">
        <f aca="false">IS_Dividends</f>
        <v>-0</v>
      </c>
      <c r="G29" s="30" t="n">
        <f aca="false">IS_Dividends</f>
        <v>-0</v>
      </c>
    </row>
    <row r="30" customFormat="false" ht="15" hidden="false" customHeight="false" outlineLevel="0" collapsed="false">
      <c r="A30" s="6"/>
      <c r="B30" s="7" t="s">
        <v>308</v>
      </c>
      <c r="C30" s="34" t="n">
        <f aca="false">C26+C27+C28+C29</f>
        <v>55000000</v>
      </c>
      <c r="D30" s="34" t="n">
        <f aca="false">D26+D27+D28+D29</f>
        <v>0</v>
      </c>
      <c r="E30" s="34" t="n">
        <f aca="false">E26+E27+E28+E29</f>
        <v>25000000</v>
      </c>
      <c r="F30" s="34" t="n">
        <f aca="false">F26+F27+F28+F29</f>
        <v>0</v>
      </c>
      <c r="G30" s="34" t="n">
        <f aca="false">G26+G27+G28+G29</f>
        <v>0</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7" t="s">
        <v>309</v>
      </c>
      <c r="C32" s="34" t="n">
        <f aca="false">C18+C23+C30</f>
        <v>54129718.2460671</v>
      </c>
      <c r="D32" s="34" t="n">
        <f aca="false">D18+D23+D30</f>
        <v>63510100.6140086</v>
      </c>
      <c r="E32" s="34" t="n">
        <f aca="false">E18+E23+E30</f>
        <v>128508892.473495</v>
      </c>
      <c r="F32" s="34" t="n">
        <f aca="false">F18+F23+F30</f>
        <v>131168401.243474</v>
      </c>
      <c r="G32" s="34" t="n">
        <f aca="false">G18+G23+G30</f>
        <v>155727593.324865</v>
      </c>
    </row>
    <row r="33" customFormat="false" ht="15" hidden="false" customHeight="false" outlineLevel="0" collapsed="false">
      <c r="A33" s="6"/>
      <c r="B33" s="6"/>
      <c r="C33" s="6"/>
      <c r="D33" s="6"/>
      <c r="E33" s="6"/>
      <c r="F33" s="6"/>
      <c r="G33" s="6"/>
    </row>
    <row r="34" customFormat="false" ht="15" hidden="false" customHeight="false" outlineLevel="0" collapsed="false">
      <c r="A34" s="6"/>
      <c r="B34" s="8" t="s">
        <v>310</v>
      </c>
      <c r="C34" s="30" t="n">
        <f aca="false">Open_Cash</f>
        <v>15000000</v>
      </c>
      <c r="D34" s="30" t="n">
        <f aca="false">C35</f>
        <v>69129718.2460671</v>
      </c>
      <c r="E34" s="30" t="n">
        <f aca="false">D35</f>
        <v>132639818.860076</v>
      </c>
      <c r="F34" s="30" t="n">
        <f aca="false">E35</f>
        <v>261148711.33357</v>
      </c>
      <c r="G34" s="30" t="n">
        <f aca="false">F35</f>
        <v>392317112.577045</v>
      </c>
    </row>
    <row r="35" customFormat="false" ht="15" hidden="false" customHeight="false" outlineLevel="0" collapsed="false">
      <c r="A35" s="6"/>
      <c r="B35" s="7" t="s">
        <v>311</v>
      </c>
      <c r="C35" s="32" t="n">
        <f aca="false">C34+C32</f>
        <v>69129718.2460671</v>
      </c>
      <c r="D35" s="32" t="n">
        <f aca="false">D34+D32</f>
        <v>132639818.860076</v>
      </c>
      <c r="E35" s="32" t="n">
        <f aca="false">E34+E32</f>
        <v>261148711.33357</v>
      </c>
      <c r="F35" s="32" t="n">
        <f aca="false">F34+F32</f>
        <v>392317112.577045</v>
      </c>
      <c r="G35" s="32" t="n">
        <f aca="false">G34+G32</f>
        <v>548044705.901909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2026-05-15T18:53:23Z</dcterms:created>
  <dc:creator>openpyxl</dc:creator>
  <dc:description/>
  <dc:language>en-GB</dc:language>
  <cp:lastModifiedBy/>
  <dcterms:modified xsi:type="dcterms:W3CDTF">2026-05-15T18:53:24Z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