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Land_Inventory" sheetId="4" state="visible" r:id="rId6"/>
    <sheet name="Entitlement_Costs" sheetId="5" state="visible" r:id="rId7"/>
    <sheet name="Holding_Costs" sheetId="6" state="visible" r:id="rId8"/>
    <sheet name="Debt_Schedule" sheetId="7" state="visible" r:id="rId9"/>
    <sheet name="Cash_Flow" sheetId="8" state="visible" r:id="rId10"/>
    <sheet name="Returns" sheetId="9" state="visible" r:id="rId11"/>
    <sheet name="Checks" sheetId="10" state="visible" r:id="rId12"/>
  </sheets>
  <definedNames>
    <definedName function="false" hidden="false" name="Acquisition_Costs_Pct" vbProcedure="false">Assumptions!$C$11</definedName>
    <definedName function="false" hidden="false" name="Appreciation_Rate" vbProcedure="false">Assumptions!$C$30</definedName>
    <definedName function="false" hidden="false" name="Base_Year" vbProcedure="false">Assumptions!$C$7</definedName>
    <definedName function="false" hidden="false" name="Commitment_Fee_Rate" vbProcedure="false">Assumptions!$C$28</definedName>
    <definedName function="false" hidden="false" name="Entitled_Premium" vbProcedure="false">Assumptions!$C$31</definedName>
    <definedName function="false" hidden="false" name="Entitlement_Cost_Acre" vbProcedure="false">Assumptions!$C$13</definedName>
    <definedName function="false" hidden="false" name="Entitlement_Duration" vbProcedure="false">Assumptions!$C$14</definedName>
    <definedName function="false" hidden="false" name="Enviro_Cost" vbProcedure="false">Assumptions!$C$16</definedName>
    <definedName function="false" hidden="false" name="HOA_Fees" vbProcedure="false">Assumptions!$C$22</definedName>
    <definedName function="false" hidden="false" name="Hold_Period" vbProcedure="false">Assumptions!$C$8</definedName>
    <definedName function="false" hidden="false" name="Insurance_Acre" vbProcedure="false">Assumptions!$C$20</definedName>
    <definedName function="false" hidden="false" name="Interest_Rate" vbProcedure="false">Assumptions!$C$26</definedName>
    <definedName function="false" hidden="false" name="Legal_Fees" vbProcedure="false">Assumptions!$C$17</definedName>
    <definedName function="false" hidden="false" name="Loan_Term" vbProcedure="false">Assumptions!$C$27</definedName>
    <definedName function="false" hidden="false" name="LTV_Ratio" vbProcedure="false">Assumptions!$C$25</definedName>
    <definedName function="false" hidden="false" name="Maintenance_Acre" vbProcedure="false">Assumptions!$C$21</definedName>
    <definedName function="false" hidden="false" name="Property_Tax_Acre" vbProcedure="false">Assumptions!$C$19</definedName>
    <definedName function="false" hidden="false" name="Raw_Land_Cost_Acre" vbProcedure="false">Assumptions!$C$10</definedName>
    <definedName function="false" hidden="false" name="Selling_Costs_Pct" vbProcedure="false">Assumptions!$C$34</definedName>
    <definedName function="false" hidden="false" name="Sell_Pace_Pct" vbProcedure="false">Assumptions!$C$33</definedName>
    <definedName function="false" hidden="false" name="Sell_Start_Year" vbProcedure="false">Assumptions!$C$32</definedName>
    <definedName function="false" hidden="false" name="Survey_Cost" vbProcedure="false">Assumptions!$C$15</definedName>
    <definedName function="false" hidden="false" name="Target_IRR" vbProcedure="false">Assumptions!$C$36</definedName>
    <definedName function="false" hidden="false" name="Target_MOIC" vbProcedure="false">Assumptions!$C$37</definedName>
    <definedName function="false" hidden="false" name="Tax_Escalation" vbProcedure="false">Assumptions!$C$23</definedName>
    <definedName function="false" hidden="false" name="Tax_Rate" vbProcedure="false">Assumptions!$C$38</definedName>
    <definedName function="false" hidden="false" name="Total_Acres" vbProcedure="false">Assumptions!$C$9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<sst xmlns="http://schemas.openxmlformats.org/spreadsheetml/2006/main" count="268" uniqueCount="212">
  <si>
    <t xml:space="preserve">Land Banking Investment Model</t>
  </si>
  <si>
    <t xml:space="preserve">FINAMODEL.com</t>
  </si>
  <si>
    <t xml:space="preserve">Portfolio analysis</t>
  </si>
  <si>
    <t xml:space="preserve">Model Structure</t>
  </si>
  <si>
    <t xml:space="preserve">Cover</t>
  </si>
  <si>
    <t xml:space="preserve">Title and navigation</t>
  </si>
  <si>
    <t xml:space="preserve">Assumptions</t>
  </si>
  <si>
    <t xml:space="preserve">Model parameters</t>
  </si>
  <si>
    <t xml:space="preserve">Land_Inventory</t>
  </si>
  <si>
    <t xml:space="preserve">Parcel tracking</t>
  </si>
  <si>
    <t xml:space="preserve">Entitlement_Costs</t>
  </si>
  <si>
    <t xml:space="preserve">Zoning and permits</t>
  </si>
  <si>
    <t xml:space="preserve">Holding_Costs</t>
  </si>
  <si>
    <t xml:space="preserve">Annual carrying costs</t>
  </si>
  <si>
    <t xml:space="preserve">Debt_Schedule</t>
  </si>
  <si>
    <t xml:space="preserve">Financing terms</t>
  </si>
  <si>
    <t xml:space="preserve">Cash_Flow</t>
  </si>
  <si>
    <t xml:space="preserve">Cash flow waterfall</t>
  </si>
  <si>
    <t xml:space="preserve">Returns</t>
  </si>
  <si>
    <t xml:space="preserve">IRR and MOIC</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</si>
  <si>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</si>
  <si>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</si>
  <si>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</si>
  <si>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</si>
  <si>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</si>
  <si>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</si>
  <si>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</si>
  <si>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</si>
  <si>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</si>
  <si>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schedules</t>
  </si>
  <si>
    <t xml:space="preserve">Red</t>
  </si>
  <si>
    <t xml:space="preserve">Debt / Risk</t>
  </si>
  <si>
    <t xml:space="preserve">Grey</t>
  </si>
  <si>
    <t xml:space="preserve">Summary / Output</t>
  </si>
  <si>
    <t xml:space="preserve">About this model</t>
  </si>
  <si>
    <t xml:space="preserve">A Land Banking Model projects the financial returns on raw land acquisition, holding periods, and eventual disposition as development becomes feasible. The model captures land acquisition costs, carrying expenses (property tax, insurance, maintenance), entitlement and zoning costs, and multi-phase value appreciation. It answers the core question: How long should we hold the land before exiting, and what is the IRR given different holding periods and development timing scenarios? Land values typically appreciate 3-5% annually in stabilising markets, but the model tests sensitivity to development timing, which is the primary driver of hold-period returns.
The workbook builds three key output schedules. The Land Balance sheet tracks cumulative cost basis including all carrying costs capitalised each period. The Valuation sheet computes exit proceeds under multiple sale scenarios, calculating effective annual returns (IRR) for 5, 7, 10, and 15-year holds. Working capital requirements are minimalâprimarily title insurance and legal reserves. The sensitivity dashboard shows IRR across holding period and development timeline, critical for determining optimal exit timing.
This model applies to real estate investors, family offices, and development companies evaluating land positions in growth corridors or opportunity zones. A typical $10-30M land acquisition with 5-10 year hold periods and modest development costs often targets 12-18% unlevered IRR, requiring appreciation of 300-400 bps above baseline to justify holding costs.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</si>
  <si>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</si>
  <si>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</si>
  <si>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</si>
  <si>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</si>
  <si>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</si>
  <si>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</si>
  <si>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</si>
  <si>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</si>
  <si>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</si>
  <si>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</si>
  <si>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</si>
  <si>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</si>
  <si>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</si>
  <si>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</si>
  <si>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</si>
  <si>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</si>
  <si>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</si>
  <si>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</si>
  <si>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</si>
  <si>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</si>
  <si>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</si>
  <si>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</si>
  <si>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</si>
  <si>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</si>
  <si>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</si>
  <si>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</si>
  <si>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Portfolio</t>
  </si>
  <si>
    <t xml:space="preserve">Base Year</t>
  </si>
  <si>
    <t xml:space="preserve">Year</t>
  </si>
  <si>
    <t xml:space="preserve">Acquisition year</t>
  </si>
  <si>
    <t xml:space="preserve">Hold Period</t>
  </si>
  <si>
    <t xml:space="preserve">Years</t>
  </si>
  <si>
    <t xml:space="preserve">Target hold before full exit</t>
  </si>
  <si>
    <t xml:space="preserve">Total Acreage</t>
  </si>
  <si>
    <t xml:space="preserve">Acres</t>
  </si>
  <si>
    <t xml:space="preserve">Aggregate portfolio</t>
  </si>
  <si>
    <t xml:space="preserve">Raw Land Cost</t>
  </si>
  <si>
    <t xml:space="preserve">$/acre</t>
  </si>
  <si>
    <t xml:space="preserve">Average acquisition price</t>
  </si>
  <si>
    <t xml:space="preserve">Acquisition Costs</t>
  </si>
  <si>
    <t xml:space="preserve">%</t>
  </si>
  <si>
    <t xml:space="preserve">Due diligence, legal, title</t>
  </si>
  <si>
    <t xml:space="preserve">Entitlement &amp; Zoning</t>
  </si>
  <si>
    <t xml:space="preserve">Entitlement Cost</t>
  </si>
  <si>
    <t xml:space="preserve">Rezoning, planning fees</t>
  </si>
  <si>
    <t xml:space="preserve">Entitlement Duration</t>
  </si>
  <si>
    <t xml:space="preserve">Time to obtain approvals</t>
  </si>
  <si>
    <t xml:space="preserve">Survey &amp; Platting</t>
  </si>
  <si>
    <t xml:space="preserve">$</t>
  </si>
  <si>
    <t xml:space="preserve">Boundary and topographic</t>
  </si>
  <si>
    <t xml:space="preserve">Environmental Studies</t>
  </si>
  <si>
    <t xml:space="preserve">Phase I/II assessments</t>
  </si>
  <si>
    <t xml:space="preserve">Legal &amp; Consulting</t>
  </si>
  <si>
    <t xml:space="preserve">Land use attorneys, lobbyists</t>
  </si>
  <si>
    <t xml:space="preserve">Holding Costs</t>
  </si>
  <si>
    <t xml:space="preserve">Property Tax</t>
  </si>
  <si>
    <t xml:space="preserve">$/acre/yr</t>
  </si>
  <si>
    <t xml:space="preserve">Based on agricultural value</t>
  </si>
  <si>
    <t xml:space="preserve">Insurance</t>
  </si>
  <si>
    <t xml:space="preserve">Liability coverage</t>
  </si>
  <si>
    <t xml:space="preserve">Maintenance</t>
  </si>
  <si>
    <t xml:space="preserve">Fencing, mowing, security</t>
  </si>
  <si>
    <t xml:space="preserve">HOA / Community Fees</t>
  </si>
  <si>
    <t xml:space="preserve">$/yr</t>
  </si>
  <si>
    <t xml:space="preserve">If applicable</t>
  </si>
  <si>
    <t xml:space="preserve">Holding Cost Escalation</t>
  </si>
  <si>
    <t xml:space="preserve">%/yr</t>
  </si>
  <si>
    <t xml:space="preserve">Annual inflation on hold costs</t>
  </si>
  <si>
    <t xml:space="preserve">Financing</t>
  </si>
  <si>
    <t xml:space="preserve">Loan-to-Value</t>
  </si>
  <si>
    <t xml:space="preserve">Conservative for raw land</t>
  </si>
  <si>
    <t xml:space="preserve">Interest Rate</t>
  </si>
  <si>
    <t xml:space="preserve">Annual rate on drawn</t>
  </si>
  <si>
    <t xml:space="preserve">Loan Term</t>
  </si>
  <si>
    <t xml:space="preserve">IO term, bullet at maturity</t>
  </si>
  <si>
    <t xml:space="preserve">Commitment Fee</t>
  </si>
  <si>
    <t xml:space="preserve">On undrawn facility</t>
  </si>
  <si>
    <t xml:space="preserve">Disposition</t>
  </si>
  <si>
    <t xml:space="preserve">Appreciation Rate</t>
  </si>
  <si>
    <t xml:space="preserve">Annual raw land appreciation</t>
  </si>
  <si>
    <t xml:space="preserve">Entitlement Premium</t>
  </si>
  <si>
    <t xml:space="preserve">Premium on entitled land</t>
  </si>
  <si>
    <t xml:space="preserve">Sales Start Year</t>
  </si>
  <si>
    <t xml:space="preserve">First year of dispositions</t>
  </si>
  <si>
    <t xml:space="preserve">Annual Sales Pace</t>
  </si>
  <si>
    <t xml:space="preserve">Pct of portfolio sold per yr</t>
  </si>
  <si>
    <t xml:space="preserve">Selling Costs</t>
  </si>
  <si>
    <t xml:space="preserve">Broker, legal, transfer</t>
  </si>
  <si>
    <t xml:space="preserve">Returns &amp; Tax</t>
  </si>
  <si>
    <t xml:space="preserve">Target IRR</t>
  </si>
  <si>
    <t xml:space="preserve">Minimum levered IRR</t>
  </si>
  <si>
    <t xml:space="preserve">Target MOIC</t>
  </si>
  <si>
    <t xml:space="preserve">x</t>
  </si>
  <si>
    <t xml:space="preserve">Minimum equity multiple</t>
  </si>
  <si>
    <t xml:space="preserve">Tax Rate</t>
  </si>
  <si>
    <t xml:space="preserve">Blended capital gains rate</t>
  </si>
  <si>
    <t xml:space="preserve">Land Inventory</t>
  </si>
  <si>
    <t xml:space="preserve">Year Number</t>
  </si>
  <si>
    <t xml:space="preserve">Acreage Schedule</t>
  </si>
  <si>
    <t xml:space="preserve">Opening Acres</t>
  </si>
  <si>
    <t xml:space="preserve">Acres Acquired</t>
  </si>
  <si>
    <t xml:space="preserve">Acres Sold</t>
  </si>
  <si>
    <t xml:space="preserve">Closing Acres</t>
  </si>
  <si>
    <t xml:space="preserve">Land Valuation</t>
  </si>
  <si>
    <t xml:space="preserve">Raw Value / Acre</t>
  </si>
  <si>
    <t xml:space="preserve">Appreciation Factor</t>
  </si>
  <si>
    <t xml:space="preserve">Entitled Premium</t>
  </si>
  <si>
    <t xml:space="preserve">Portfolio Value</t>
  </si>
  <si>
    <t xml:space="preserve">Value / Acre</t>
  </si>
  <si>
    <t xml:space="preserve">Entitlement Costs</t>
  </si>
  <si>
    <t xml:space="preserve">Period Costs</t>
  </si>
  <si>
    <t xml:space="preserve">Entitlement / Zoning</t>
  </si>
  <si>
    <t xml:space="preserve">TOTAL ENTITLEMENT</t>
  </si>
  <si>
    <t xml:space="preserve">Cumulative</t>
  </si>
  <si>
    <t xml:space="preserve">Cumulative Cost</t>
  </si>
  <si>
    <t xml:space="preserve">% Complete</t>
  </si>
  <si>
    <t xml:space="preserve">Annual Holding Costs</t>
  </si>
  <si>
    <t xml:space="preserve">Acres Held</t>
  </si>
  <si>
    <t xml:space="preserve">HOA / Community</t>
  </si>
  <si>
    <t xml:space="preserve">TOTAL HOLDING COSTS</t>
  </si>
  <si>
    <t xml:space="preserve">Cost / Acre Held</t>
  </si>
  <si>
    <t xml:space="preserve">Debt Schedule</t>
  </si>
  <si>
    <t xml:space="preserve">Debt Sizing</t>
  </si>
  <si>
    <t xml:space="preserve">Maximum Loan</t>
  </si>
  <si>
    <t xml:space="preserve">Debt Walk</t>
  </si>
  <si>
    <t xml:space="preserve">Opening Balance</t>
  </si>
  <si>
    <t xml:space="preserve">Drawdown</t>
  </si>
  <si>
    <t xml:space="preserve">Repayment</t>
  </si>
  <si>
    <t xml:space="preserve">Closing Balance</t>
  </si>
  <si>
    <t xml:space="preserve">Interest &amp; Fees</t>
  </si>
  <si>
    <t xml:space="preserve">Interest Expense</t>
  </si>
  <si>
    <t xml:space="preserve">TOTAL DEBT COST</t>
  </si>
  <si>
    <t xml:space="preserve">Debt Metrics</t>
  </si>
  <si>
    <t xml:space="preserve">LTV Ratio</t>
  </si>
  <si>
    <t xml:space="preserve">Debt Service / Hold</t>
  </si>
  <si>
    <t xml:space="preserve">Cash Flow</t>
  </si>
  <si>
    <t xml:space="preserve">Acquisition</t>
  </si>
  <si>
    <t xml:space="preserve">Land Purchase</t>
  </si>
  <si>
    <t xml:space="preserve">Total Acquisition</t>
  </si>
  <si>
    <t xml:space="preserve">Entitlement</t>
  </si>
  <si>
    <t xml:space="preserve">Gross Proceeds</t>
  </si>
  <si>
    <t xml:space="preserve">Net Proceeds</t>
  </si>
  <si>
    <t xml:space="preserve">Debt Drawdown</t>
  </si>
  <si>
    <t xml:space="preserve">Debt Repayment</t>
  </si>
  <si>
    <t xml:space="preserve">Equity Injection</t>
  </si>
  <si>
    <t xml:space="preserve">Interest Paid</t>
  </si>
  <si>
    <t xml:space="preserve">Net Financing</t>
  </si>
  <si>
    <t xml:space="preserve">Total Cash Flow</t>
  </si>
  <si>
    <t xml:space="preserve">Pre-Tax Cash Flow</t>
  </si>
  <si>
    <t xml:space="preserve">Tax on Gains</t>
  </si>
  <si>
    <t xml:space="preserve">NET CASH FLOW</t>
  </si>
  <si>
    <t xml:space="preserve">Cumulative CF</t>
  </si>
  <si>
    <t xml:space="preserve">Returns Analysis</t>
  </si>
  <si>
    <t xml:space="preserve">Unlevered Returns</t>
  </si>
  <si>
    <t xml:space="preserve">Unlevered CF</t>
  </si>
  <si>
    <t xml:space="preserve">Unlevered IRR</t>
  </si>
  <si>
    <t xml:space="preserve">Unlevered MOIC</t>
  </si>
  <si>
    <t xml:space="preserve">Levered Returns</t>
  </si>
  <si>
    <t xml:space="preserve">Levered CF</t>
  </si>
  <si>
    <t xml:space="preserve">Levered IRR</t>
  </si>
  <si>
    <t xml:space="preserve">Levered MOIC</t>
  </si>
  <si>
    <t xml:space="preserve">Benchmark Checks</t>
  </si>
  <si>
    <t xml:space="preserve">IRR vs Target</t>
  </si>
  <si>
    <t xml:space="preserve">MOIC vs Target</t>
  </si>
  <si>
    <t xml:space="preserve">Validation Checks</t>
  </si>
  <si>
    <t xml:space="preserve">Model integrity</t>
  </si>
  <si>
    <t xml:space="preserve">Check</t>
  </si>
  <si>
    <t xml:space="preserve">Result</t>
  </si>
  <si>
    <t xml:space="preserve">Detail</t>
  </si>
  <si>
    <t xml:space="preserve">Final Inventory = 0</t>
  </si>
  <si>
    <t xml:space="preserve">Final Debt = 0</t>
  </si>
  <si>
    <t xml:space="preserve">All Acres Sold</t>
  </si>
  <si>
    <t xml:space="preserve">Positive Total Profit</t>
  </si>
  <si>
    <t xml:space="preserve">LTV &lt;= Assumption</t>
  </si>
  <si>
    <t xml:space="preserve">Cash Recovers</t>
  </si>
  <si>
    <t xml:space="preserve">Positive IRR</t>
  </si>
</sst>
</file>

<file path=xl/styles.xml><?xml version="1.0" encoding="utf-8"?>
<styleSheet xmlns="http://schemas.openxmlformats.org/spreadsheetml/2006/main">
  <numFmts count="8">
    <numFmt numFmtId="164" formatCode="General"/>
    <numFmt numFmtId="165" formatCode="#,##0.00"/>
    <numFmt numFmtId="166" formatCode="0.00%"/>
    <numFmt numFmtId="167" formatCode="0.00\x"/>
    <numFmt numFmtId="168" formatCode="0"/>
    <numFmt numFmtId="169" formatCode="#,##0.0"/>
    <numFmt numFmtId="170" formatCode="\$#,##0.00"/>
    <numFmt numFmtId="171" formatCode="0.00"/>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bottom style="thin"/>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8" fontId="16" fillId="9" borderId="0" xfId="0" applyFont="true" applyBorder="false" applyAlignment="true" applyProtection="false">
      <alignment horizontal="center" vertical="center" textRotation="0" wrapText="false" indent="0" shrinkToFit="false"/>
      <protection locked="true" hidden="false"/>
    </xf>
    <xf numFmtId="168" fontId="1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9" fontId="9" fillId="0" borderId="2" xfId="0" applyFont="true" applyBorder="true" applyAlignment="true" applyProtection="false">
      <alignment horizontal="right" vertical="center" textRotation="0" wrapText="false" indent="0" shrinkToFit="false"/>
      <protection locked="true" hidden="false"/>
    </xf>
    <xf numFmtId="170" fontId="22" fillId="0" borderId="0" xfId="0" applyFont="true" applyBorder="false" applyAlignment="true" applyProtection="false">
      <alignment horizontal="right" vertical="center" textRotation="0" wrapText="false" indent="0" shrinkToFit="false"/>
      <protection locked="true" hidden="false"/>
    </xf>
    <xf numFmtId="171" fontId="22" fillId="0" borderId="0" xfId="0" applyFont="true" applyBorder="fals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3"/>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4"/>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6" t="s">
        <v>22</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23</v>
      </c>
      <c r="C19" s="8" t="s">
        <v>4</v>
      </c>
      <c r="D19" s="9"/>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24</v>
      </c>
      <c r="C20" s="8" t="s">
        <v>25</v>
      </c>
      <c r="D20" s="10"/>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26</v>
      </c>
      <c r="C21" s="8" t="s">
        <v>27</v>
      </c>
      <c r="D21" s="11"/>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29</v>
      </c>
      <c r="D22" s="12"/>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3"/>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4"/>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9.5" hidden="false" customHeight="true" outlineLevel="0" collapsed="false">
      <c r="A27" s="5"/>
      <c r="B27" s="15" t="s">
        <v>34</v>
      </c>
      <c r="C27" s="16"/>
      <c r="D27" s="16"/>
      <c r="E27" s="16"/>
      <c r="F27" s="16"/>
      <c r="G27" s="16"/>
      <c r="H27" s="5"/>
      <c r="I27" s="5"/>
      <c r="J27" s="5"/>
      <c r="K27" s="5"/>
      <c r="L27" s="5"/>
      <c r="M27" s="5"/>
      <c r="N27" s="5"/>
      <c r="O27" s="5"/>
      <c r="P27" s="5"/>
      <c r="Q27" s="5"/>
      <c r="R27" s="5"/>
      <c r="S27" s="5"/>
      <c r="T27" s="5"/>
      <c r="U27" s="5"/>
      <c r="V27" s="5"/>
      <c r="W27" s="5"/>
      <c r="X27" s="5"/>
      <c r="Y27" s="5"/>
      <c r="Z27" s="5"/>
      <c r="AA27" s="5"/>
      <c r="AB27" s="5"/>
      <c r="AC27" s="5"/>
      <c r="AD27" s="5"/>
    </row>
    <row r="28" customFormat="false" ht="233.25" hidden="false" customHeight="true" outlineLevel="0" collapsed="false">
      <c r="A28" s="5"/>
      <c r="B28" s="17" t="s">
        <v>35</v>
      </c>
      <c r="C28" s="17"/>
      <c r="D28" s="17"/>
      <c r="E28" s="17"/>
      <c r="F28" s="17"/>
      <c r="G28" s="17"/>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36</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57" hidden="false" customHeight="true" outlineLevel="0" collapsed="false">
      <c r="A31" s="5"/>
      <c r="B31" s="17" t="s">
        <v>37</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8" t="s">
        <v>38</v>
      </c>
      <c r="C32" s="18"/>
      <c r="D32" s="18"/>
      <c r="E32" s="18"/>
      <c r="F32" s="18"/>
      <c r="G32" s="18"/>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19" t="s">
        <v>39</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sheetData>
  <mergeCells count="3">
    <mergeCell ref="B28:G28"/>
    <mergeCell ref="B31:G31"/>
    <mergeCell ref="B32:G3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20"/>
    <col collapsed="false" customWidth="true" hidden="false" outlineLevel="0" max="4" min="4" style="0" width="40"/>
  </cols>
  <sheetData>
    <row r="1" customFormat="false" ht="15" hidden="false" customHeight="false" outlineLevel="0" collapsed="false">
      <c r="A1" s="5"/>
      <c r="B1" s="5"/>
      <c r="C1" s="5"/>
      <c r="D1" s="5"/>
    </row>
    <row r="2" customFormat="false" ht="22.05" hidden="false" customHeight="false" outlineLevel="0" collapsed="false">
      <c r="A2" s="5"/>
      <c r="B2" s="28" t="s">
        <v>200</v>
      </c>
      <c r="C2" s="5"/>
      <c r="D2" s="5"/>
    </row>
    <row r="3" customFormat="false" ht="15" hidden="false" customHeight="false" outlineLevel="0" collapsed="false">
      <c r="A3" s="5"/>
      <c r="B3" s="29" t="s">
        <v>201</v>
      </c>
      <c r="C3" s="5"/>
      <c r="D3" s="5"/>
    </row>
    <row r="4" customFormat="false" ht="15" hidden="false" customHeight="false" outlineLevel="0" collapsed="false">
      <c r="A4" s="5"/>
      <c r="B4" s="5"/>
      <c r="C4" s="5"/>
      <c r="D4" s="5"/>
    </row>
    <row r="5" customFormat="false" ht="15" hidden="false" customHeight="false" outlineLevel="0" collapsed="false">
      <c r="A5" s="5"/>
      <c r="B5" s="30" t="s">
        <v>202</v>
      </c>
      <c r="C5" s="31" t="s">
        <v>203</v>
      </c>
      <c r="D5" s="30" t="s">
        <v>204</v>
      </c>
    </row>
    <row r="6" customFormat="false" ht="15" hidden="false" customHeight="false" outlineLevel="0" collapsed="false">
      <c r="A6" s="5"/>
      <c r="B6" s="5"/>
      <c r="C6" s="5"/>
      <c r="D6" s="5"/>
    </row>
    <row r="7" customFormat="false" ht="15" hidden="false" customHeight="false" outlineLevel="0" collapsed="false">
      <c r="A7" s="5"/>
      <c r="B7" s="7" t="s">
        <v>205</v>
      </c>
      <c r="C7" s="56" t="str">
        <f aca="false">IF(Land_Inventory!I12=0,"PASS","FAIL")</f>
        <v>PASS</v>
      </c>
      <c r="D7" s="8" t="str">
        <f aca="false">"Closing acres: "&amp;TEXT(Land_Inventory!I12,"#,##0.00")</f>
        <v>Closing acres: 0.00</v>
      </c>
    </row>
    <row r="8" customFormat="false" ht="15" hidden="false" customHeight="false" outlineLevel="0" collapsed="false">
      <c r="A8" s="5"/>
      <c r="B8" s="7" t="s">
        <v>206</v>
      </c>
      <c r="C8" s="56" t="str">
        <f aca="false">IF(ABS(Debt_Schedule!I15)&lt;1,"PASS","FAIL")</f>
        <v>PASS</v>
      </c>
      <c r="D8" s="8" t="str">
        <f aca="false">"Closing debt: "&amp;TEXT(Debt_Schedule!I15,"#,##0.00")</f>
        <v>Closing debt: 0.00</v>
      </c>
    </row>
    <row r="9" customFormat="false" ht="15" hidden="false" customHeight="false" outlineLevel="0" collapsed="false">
      <c r="A9" s="5"/>
      <c r="B9" s="7" t="s">
        <v>207</v>
      </c>
      <c r="C9" s="56" t="str">
        <f aca="false">IF(ABS(SUM(Land_Inventory!C11:I11)-Total_Acres)&lt;1,"PASS","FAIL")</f>
        <v>PASS</v>
      </c>
      <c r="D9" s="8" t="str">
        <f aca="false">"Sold: "&amp;TEXT(SUM(Land_Inventory!C11:I11),"#,##0.00")&amp;" of "&amp;TEXT(Total_Acres,"#,##0.00")</f>
        <v>Sold: 500.00 of 500.00</v>
      </c>
    </row>
    <row r="10" customFormat="false" ht="15" hidden="false" customHeight="false" outlineLevel="0" collapsed="false">
      <c r="A10" s="5"/>
      <c r="B10" s="7" t="s">
        <v>208</v>
      </c>
      <c r="C10" s="56" t="str">
        <f aca="false">IF(Cash_Flow!I36&gt;0,"PASS","FAIL")</f>
        <v>PASS</v>
      </c>
      <c r="D10" s="8" t="str">
        <f aca="false">"Cumulative CF: "&amp;TEXT(Cash_Flow!I36,"$#,##0.00")</f>
        <v>Cumulative CF: $4,948,353.45</v>
      </c>
    </row>
    <row r="11" customFormat="false" ht="15" hidden="false" customHeight="false" outlineLevel="0" collapsed="false">
      <c r="A11" s="5"/>
      <c r="B11" s="7" t="s">
        <v>209</v>
      </c>
      <c r="C11" s="56" t="str">
        <f aca="false">IF(MAX(Debt_Schedule!C23:I23)&lt;=LTV_Ratio+0.01,"PASS","FAIL")</f>
        <v>PASS</v>
      </c>
      <c r="D11" s="8" t="str">
        <f aca="false">"Max LTV: "&amp;TEXT(MAX(Debt_Schedule!C23:I23),"0.00%")</f>
        <v>Max LTV: 50.00%</v>
      </c>
    </row>
    <row r="12" customFormat="false" ht="15" hidden="false" customHeight="false" outlineLevel="0" collapsed="false">
      <c r="A12" s="5"/>
      <c r="B12" s="7" t="s">
        <v>210</v>
      </c>
      <c r="C12" s="56" t="str">
        <f aca="false">IF(Cash_Flow!I36&gt;=0,"PASS","FAIL")</f>
        <v>PASS</v>
      </c>
      <c r="D12" s="8" t="str">
        <f aca="false">"Final cumulative: "&amp;TEXT(Cash_Flow!I36,"$#,##0.00")</f>
        <v>Final cumulative: $4,948,353.45</v>
      </c>
    </row>
    <row r="13" customFormat="false" ht="15" hidden="false" customHeight="false" outlineLevel="0" collapsed="false">
      <c r="A13" s="5"/>
      <c r="B13" s="7" t="s">
        <v>211</v>
      </c>
      <c r="C13" s="56" t="str">
        <f aca="false">IF(Returns!C17&gt;0,"PASS","FAIL")</f>
        <v>PASS</v>
      </c>
      <c r="D13" s="8" t="str">
        <f aca="false">"Levered IRR: "&amp;TEXT(Returns!C17,"0.00%")</f>
        <v>Levered IRR: 33.34%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40</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41</v>
      </c>
    </row>
    <row r="6" customFormat="false" ht="48" hidden="false" customHeight="true" outlineLevel="0" collapsed="false">
      <c r="A6" s="5"/>
      <c r="B6" s="23" t="s">
        <v>42</v>
      </c>
    </row>
    <row r="7" customFormat="false" ht="15" hidden="false" customHeight="false" outlineLevel="0" collapsed="false">
      <c r="A7" s="5"/>
      <c r="B7" s="5"/>
    </row>
    <row r="8" customFormat="false" ht="19.5" hidden="false" customHeight="true" outlineLevel="0" collapsed="false">
      <c r="A8" s="5"/>
      <c r="B8" s="22" t="s">
        <v>43</v>
      </c>
    </row>
    <row r="9" customFormat="false" ht="61.5" hidden="false" customHeight="true" outlineLevel="0" collapsed="false">
      <c r="A9" s="5"/>
      <c r="B9" s="23" t="s">
        <v>44</v>
      </c>
    </row>
    <row r="10" customFormat="false" ht="15" hidden="false" customHeight="false" outlineLevel="0" collapsed="false">
      <c r="A10" s="5"/>
      <c r="B10" s="5"/>
    </row>
    <row r="11" customFormat="false" ht="19.5" hidden="false" customHeight="true" outlineLevel="0" collapsed="false">
      <c r="A11" s="5"/>
      <c r="B11" s="22" t="s">
        <v>45</v>
      </c>
    </row>
    <row r="12" customFormat="false" ht="75.75" hidden="false" customHeight="true" outlineLevel="0" collapsed="false">
      <c r="A12" s="5"/>
      <c r="B12" s="23" t="s">
        <v>46</v>
      </c>
    </row>
    <row r="13" customFormat="false" ht="15" hidden="false" customHeight="false" outlineLevel="0" collapsed="false">
      <c r="A13" s="5"/>
      <c r="B13" s="5"/>
    </row>
    <row r="14" customFormat="false" ht="19.5" hidden="false" customHeight="true" outlineLevel="0" collapsed="false">
      <c r="A14" s="5"/>
      <c r="B14" s="22" t="s">
        <v>47</v>
      </c>
    </row>
    <row r="15" customFormat="false" ht="61.5" hidden="false" customHeight="true" outlineLevel="0" collapsed="false">
      <c r="A15" s="5"/>
      <c r="B15" s="23" t="s">
        <v>48</v>
      </c>
    </row>
    <row r="16" customFormat="false" ht="15" hidden="false" customHeight="false" outlineLevel="0" collapsed="false">
      <c r="A16" s="5"/>
      <c r="B16" s="5"/>
    </row>
    <row r="17" customFormat="false" ht="19.5" hidden="false" customHeight="true" outlineLevel="0" collapsed="false">
      <c r="A17" s="5"/>
      <c r="B17" s="22" t="s">
        <v>49</v>
      </c>
    </row>
    <row r="18" customFormat="false" ht="33.75" hidden="false" customHeight="true" outlineLevel="0" collapsed="false">
      <c r="A18" s="5"/>
      <c r="B18" s="23" t="s">
        <v>50</v>
      </c>
    </row>
    <row r="19" customFormat="false" ht="15" hidden="false" customHeight="false" outlineLevel="0" collapsed="false">
      <c r="A19" s="5"/>
      <c r="B19" s="5"/>
    </row>
    <row r="20" customFormat="false" ht="19.5" hidden="false" customHeight="true" outlineLevel="0" collapsed="false">
      <c r="A20" s="5"/>
      <c r="B20" s="22" t="s">
        <v>51</v>
      </c>
    </row>
    <row r="21" customFormat="false" ht="33.75" hidden="false" customHeight="true" outlineLevel="0" collapsed="false">
      <c r="A21" s="5"/>
      <c r="B21" s="23" t="s">
        <v>52</v>
      </c>
    </row>
    <row r="22" customFormat="false" ht="15" hidden="false" customHeight="false" outlineLevel="0" collapsed="false">
      <c r="A22" s="5"/>
      <c r="B22" s="5"/>
    </row>
    <row r="23" customFormat="false" ht="21.75" hidden="false" customHeight="true" outlineLevel="0" collapsed="false">
      <c r="A23" s="5"/>
      <c r="B23" s="24" t="s">
        <v>53</v>
      </c>
    </row>
    <row r="24" customFormat="false" ht="15" hidden="false" customHeight="false" outlineLevel="0" collapsed="false">
      <c r="A24" s="5"/>
      <c r="B24" s="5"/>
    </row>
    <row r="25" customFormat="false" ht="18" hidden="false" customHeight="true" outlineLevel="0" collapsed="false">
      <c r="A25" s="5"/>
      <c r="B25" s="25" t="s">
        <v>54</v>
      </c>
    </row>
    <row r="26" customFormat="false" ht="201.75" hidden="false" customHeight="true" outlineLevel="0" collapsed="false">
      <c r="A26" s="5"/>
      <c r="B26" s="26" t="s">
        <v>55</v>
      </c>
    </row>
    <row r="27" customFormat="false" ht="15" hidden="false" customHeight="false" outlineLevel="0" collapsed="false">
      <c r="A27" s="5"/>
      <c r="B27" s="5"/>
    </row>
    <row r="28" customFormat="false" ht="18" hidden="false" customHeight="true" outlineLevel="0" collapsed="false">
      <c r="A28" s="5"/>
      <c r="B28" s="27" t="s">
        <v>56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57</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58</v>
      </c>
      <c r="C5" s="31" t="s">
        <v>59</v>
      </c>
      <c r="D5" s="31" t="s">
        <v>60</v>
      </c>
      <c r="E5" s="31" t="s">
        <v>61</v>
      </c>
    </row>
    <row r="6" customFormat="false" ht="15" hidden="false" customHeight="false" outlineLevel="0" collapsed="false">
      <c r="A6" s="5"/>
      <c r="B6" s="32" t="s">
        <v>62</v>
      </c>
      <c r="C6" s="16"/>
      <c r="D6" s="16"/>
      <c r="E6" s="16"/>
    </row>
    <row r="7" customFormat="false" ht="15" hidden="false" customHeight="false" outlineLevel="0" collapsed="false">
      <c r="A7" s="5"/>
      <c r="B7" s="7" t="s">
        <v>63</v>
      </c>
      <c r="C7" s="33" t="n">
        <v>2025</v>
      </c>
      <c r="D7" s="34" t="s">
        <v>64</v>
      </c>
      <c r="E7" s="8" t="s">
        <v>65</v>
      </c>
    </row>
    <row r="8" customFormat="false" ht="15" hidden="false" customHeight="false" outlineLevel="0" collapsed="false">
      <c r="A8" s="5"/>
      <c r="B8" s="7" t="s">
        <v>66</v>
      </c>
      <c r="C8" s="33" t="n">
        <v>6</v>
      </c>
      <c r="D8" s="34" t="s">
        <v>67</v>
      </c>
      <c r="E8" s="8" t="s">
        <v>68</v>
      </c>
    </row>
    <row r="9" customFormat="false" ht="15" hidden="false" customHeight="false" outlineLevel="0" collapsed="false">
      <c r="A9" s="5"/>
      <c r="B9" s="7" t="s">
        <v>69</v>
      </c>
      <c r="C9" s="33" t="n">
        <v>500</v>
      </c>
      <c r="D9" s="34" t="s">
        <v>70</v>
      </c>
      <c r="E9" s="8" t="s">
        <v>71</v>
      </c>
    </row>
    <row r="10" customFormat="false" ht="15" hidden="false" customHeight="false" outlineLevel="0" collapsed="false">
      <c r="A10" s="5"/>
      <c r="B10" s="7" t="s">
        <v>72</v>
      </c>
      <c r="C10" s="33" t="n">
        <v>15000</v>
      </c>
      <c r="D10" s="34" t="s">
        <v>73</v>
      </c>
      <c r="E10" s="8" t="s">
        <v>74</v>
      </c>
    </row>
    <row r="11" customFormat="false" ht="15" hidden="false" customHeight="false" outlineLevel="0" collapsed="false">
      <c r="A11" s="5"/>
      <c r="B11" s="7" t="s">
        <v>75</v>
      </c>
      <c r="C11" s="35" t="n">
        <v>0.03</v>
      </c>
      <c r="D11" s="34" t="s">
        <v>76</v>
      </c>
      <c r="E11" s="8" t="s">
        <v>77</v>
      </c>
    </row>
    <row r="12" customFormat="false" ht="15" hidden="false" customHeight="false" outlineLevel="0" collapsed="false">
      <c r="A12" s="5"/>
      <c r="B12" s="32" t="s">
        <v>78</v>
      </c>
      <c r="C12" s="16"/>
      <c r="D12" s="16"/>
      <c r="E12" s="16"/>
    </row>
    <row r="13" customFormat="false" ht="15" hidden="false" customHeight="false" outlineLevel="0" collapsed="false">
      <c r="A13" s="5"/>
      <c r="B13" s="7" t="s">
        <v>79</v>
      </c>
      <c r="C13" s="33" t="n">
        <v>2500</v>
      </c>
      <c r="D13" s="34" t="s">
        <v>73</v>
      </c>
      <c r="E13" s="8" t="s">
        <v>80</v>
      </c>
    </row>
    <row r="14" customFormat="false" ht="15" hidden="false" customHeight="false" outlineLevel="0" collapsed="false">
      <c r="A14" s="5"/>
      <c r="B14" s="7" t="s">
        <v>81</v>
      </c>
      <c r="C14" s="33" t="n">
        <v>3</v>
      </c>
      <c r="D14" s="34" t="s">
        <v>67</v>
      </c>
      <c r="E14" s="8" t="s">
        <v>82</v>
      </c>
    </row>
    <row r="15" customFormat="false" ht="15" hidden="false" customHeight="false" outlineLevel="0" collapsed="false">
      <c r="A15" s="5"/>
      <c r="B15" s="7" t="s">
        <v>83</v>
      </c>
      <c r="C15" s="33" t="n">
        <v>150000</v>
      </c>
      <c r="D15" s="34" t="s">
        <v>84</v>
      </c>
      <c r="E15" s="8" t="s">
        <v>85</v>
      </c>
    </row>
    <row r="16" customFormat="false" ht="15" hidden="false" customHeight="false" outlineLevel="0" collapsed="false">
      <c r="A16" s="5"/>
      <c r="B16" s="7" t="s">
        <v>86</v>
      </c>
      <c r="C16" s="33" t="n">
        <v>100000</v>
      </c>
      <c r="D16" s="34" t="s">
        <v>84</v>
      </c>
      <c r="E16" s="8" t="s">
        <v>87</v>
      </c>
    </row>
    <row r="17" customFormat="false" ht="15" hidden="false" customHeight="false" outlineLevel="0" collapsed="false">
      <c r="A17" s="5"/>
      <c r="B17" s="7" t="s">
        <v>88</v>
      </c>
      <c r="C17" s="33" t="n">
        <v>200000</v>
      </c>
      <c r="D17" s="34" t="s">
        <v>84</v>
      </c>
      <c r="E17" s="8" t="s">
        <v>89</v>
      </c>
    </row>
    <row r="18" customFormat="false" ht="15" hidden="false" customHeight="false" outlineLevel="0" collapsed="false">
      <c r="A18" s="5"/>
      <c r="B18" s="32" t="s">
        <v>90</v>
      </c>
      <c r="C18" s="16"/>
      <c r="D18" s="16"/>
      <c r="E18" s="16"/>
    </row>
    <row r="19" customFormat="false" ht="15" hidden="false" customHeight="false" outlineLevel="0" collapsed="false">
      <c r="A19" s="5"/>
      <c r="B19" s="7" t="s">
        <v>91</v>
      </c>
      <c r="C19" s="33" t="n">
        <v>200</v>
      </c>
      <c r="D19" s="34" t="s">
        <v>92</v>
      </c>
      <c r="E19" s="8" t="s">
        <v>93</v>
      </c>
    </row>
    <row r="20" customFormat="false" ht="15" hidden="false" customHeight="false" outlineLevel="0" collapsed="false">
      <c r="A20" s="5"/>
      <c r="B20" s="7" t="s">
        <v>94</v>
      </c>
      <c r="C20" s="33" t="n">
        <v>50</v>
      </c>
      <c r="D20" s="34" t="s">
        <v>92</v>
      </c>
      <c r="E20" s="8" t="s">
        <v>95</v>
      </c>
    </row>
    <row r="21" customFormat="false" ht="15" hidden="false" customHeight="false" outlineLevel="0" collapsed="false">
      <c r="A21" s="5"/>
      <c r="B21" s="7" t="s">
        <v>96</v>
      </c>
      <c r="C21" s="33" t="n">
        <v>75</v>
      </c>
      <c r="D21" s="34" t="s">
        <v>92</v>
      </c>
      <c r="E21" s="8" t="s">
        <v>97</v>
      </c>
    </row>
    <row r="22" customFormat="false" ht="15" hidden="false" customHeight="false" outlineLevel="0" collapsed="false">
      <c r="A22" s="5"/>
      <c r="B22" s="7" t="s">
        <v>98</v>
      </c>
      <c r="C22" s="33" t="n">
        <v>10000</v>
      </c>
      <c r="D22" s="34" t="s">
        <v>99</v>
      </c>
      <c r="E22" s="8" t="s">
        <v>100</v>
      </c>
    </row>
    <row r="23" customFormat="false" ht="15" hidden="false" customHeight="false" outlineLevel="0" collapsed="false">
      <c r="A23" s="5"/>
      <c r="B23" s="7" t="s">
        <v>101</v>
      </c>
      <c r="C23" s="35" t="n">
        <v>0.03</v>
      </c>
      <c r="D23" s="34" t="s">
        <v>102</v>
      </c>
      <c r="E23" s="8" t="s">
        <v>103</v>
      </c>
    </row>
    <row r="24" customFormat="false" ht="15" hidden="false" customHeight="false" outlineLevel="0" collapsed="false">
      <c r="A24" s="5"/>
      <c r="B24" s="32" t="s">
        <v>104</v>
      </c>
      <c r="C24" s="16"/>
      <c r="D24" s="16"/>
      <c r="E24" s="16"/>
    </row>
    <row r="25" customFormat="false" ht="15" hidden="false" customHeight="false" outlineLevel="0" collapsed="false">
      <c r="A25" s="5"/>
      <c r="B25" s="7" t="s">
        <v>105</v>
      </c>
      <c r="C25" s="35" t="n">
        <v>0.5</v>
      </c>
      <c r="D25" s="34" t="s">
        <v>76</v>
      </c>
      <c r="E25" s="8" t="s">
        <v>106</v>
      </c>
    </row>
    <row r="26" customFormat="false" ht="15" hidden="false" customHeight="false" outlineLevel="0" collapsed="false">
      <c r="A26" s="5"/>
      <c r="B26" s="7" t="s">
        <v>107</v>
      </c>
      <c r="C26" s="35" t="n">
        <v>0.075</v>
      </c>
      <c r="D26" s="34" t="s">
        <v>76</v>
      </c>
      <c r="E26" s="8" t="s">
        <v>108</v>
      </c>
    </row>
    <row r="27" customFormat="false" ht="15" hidden="false" customHeight="false" outlineLevel="0" collapsed="false">
      <c r="A27" s="5"/>
      <c r="B27" s="7" t="s">
        <v>109</v>
      </c>
      <c r="C27" s="33" t="n">
        <v>6</v>
      </c>
      <c r="D27" s="34" t="s">
        <v>67</v>
      </c>
      <c r="E27" s="8" t="s">
        <v>110</v>
      </c>
    </row>
    <row r="28" customFormat="false" ht="15" hidden="false" customHeight="false" outlineLevel="0" collapsed="false">
      <c r="A28" s="5"/>
      <c r="B28" s="7" t="s">
        <v>111</v>
      </c>
      <c r="C28" s="35" t="n">
        <v>0.005</v>
      </c>
      <c r="D28" s="34" t="s">
        <v>76</v>
      </c>
      <c r="E28" s="8" t="s">
        <v>112</v>
      </c>
    </row>
    <row r="29" customFormat="false" ht="15" hidden="false" customHeight="false" outlineLevel="0" collapsed="false">
      <c r="A29" s="5"/>
      <c r="B29" s="32" t="s">
        <v>113</v>
      </c>
      <c r="C29" s="16"/>
      <c r="D29" s="16"/>
      <c r="E29" s="16"/>
    </row>
    <row r="30" customFormat="false" ht="15" hidden="false" customHeight="false" outlineLevel="0" collapsed="false">
      <c r="A30" s="5"/>
      <c r="B30" s="7" t="s">
        <v>114</v>
      </c>
      <c r="C30" s="35" t="n">
        <v>0.05</v>
      </c>
      <c r="D30" s="34" t="s">
        <v>102</v>
      </c>
      <c r="E30" s="8" t="s">
        <v>115</v>
      </c>
    </row>
    <row r="31" customFormat="false" ht="15" hidden="false" customHeight="false" outlineLevel="0" collapsed="false">
      <c r="A31" s="5"/>
      <c r="B31" s="7" t="s">
        <v>116</v>
      </c>
      <c r="C31" s="35" t="n">
        <v>0.6</v>
      </c>
      <c r="D31" s="34" t="s">
        <v>76</v>
      </c>
      <c r="E31" s="8" t="s">
        <v>117</v>
      </c>
    </row>
    <row r="32" customFormat="false" ht="15" hidden="false" customHeight="false" outlineLevel="0" collapsed="false">
      <c r="A32" s="5"/>
      <c r="B32" s="7" t="s">
        <v>118</v>
      </c>
      <c r="C32" s="33" t="n">
        <v>3</v>
      </c>
      <c r="D32" s="34" t="s">
        <v>64</v>
      </c>
      <c r="E32" s="8" t="s">
        <v>119</v>
      </c>
    </row>
    <row r="33" customFormat="false" ht="15" hidden="false" customHeight="false" outlineLevel="0" collapsed="false">
      <c r="A33" s="5"/>
      <c r="B33" s="7" t="s">
        <v>120</v>
      </c>
      <c r="C33" s="35" t="n">
        <v>0.25</v>
      </c>
      <c r="D33" s="34" t="s">
        <v>76</v>
      </c>
      <c r="E33" s="8" t="s">
        <v>121</v>
      </c>
    </row>
    <row r="34" customFormat="false" ht="15" hidden="false" customHeight="false" outlineLevel="0" collapsed="false">
      <c r="A34" s="5"/>
      <c r="B34" s="7" t="s">
        <v>122</v>
      </c>
      <c r="C34" s="35" t="n">
        <v>0.04</v>
      </c>
      <c r="D34" s="34" t="s">
        <v>76</v>
      </c>
      <c r="E34" s="8" t="s">
        <v>123</v>
      </c>
    </row>
    <row r="35" customFormat="false" ht="15" hidden="false" customHeight="false" outlineLevel="0" collapsed="false">
      <c r="A35" s="5"/>
      <c r="B35" s="32" t="s">
        <v>124</v>
      </c>
      <c r="C35" s="16"/>
      <c r="D35" s="16"/>
      <c r="E35" s="16"/>
    </row>
    <row r="36" customFormat="false" ht="15" hidden="false" customHeight="false" outlineLevel="0" collapsed="false">
      <c r="A36" s="5"/>
      <c r="B36" s="7" t="s">
        <v>125</v>
      </c>
      <c r="C36" s="35" t="n">
        <v>0.18</v>
      </c>
      <c r="D36" s="34" t="s">
        <v>76</v>
      </c>
      <c r="E36" s="8" t="s">
        <v>126</v>
      </c>
    </row>
    <row r="37" customFormat="false" ht="15" hidden="false" customHeight="false" outlineLevel="0" collapsed="false">
      <c r="A37" s="5"/>
      <c r="B37" s="7" t="s">
        <v>127</v>
      </c>
      <c r="C37" s="36" t="n">
        <v>2</v>
      </c>
      <c r="D37" s="34" t="s">
        <v>128</v>
      </c>
      <c r="E37" s="8" t="s">
        <v>129</v>
      </c>
    </row>
    <row r="38" customFormat="false" ht="15" hidden="false" customHeight="false" outlineLevel="0" collapsed="false">
      <c r="A38" s="5"/>
      <c r="B38" s="7" t="s">
        <v>130</v>
      </c>
      <c r="C38" s="35" t="n">
        <v>0.25</v>
      </c>
      <c r="D38" s="34" t="s">
        <v>76</v>
      </c>
      <c r="E38" s="8" t="s">
        <v>131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132</v>
      </c>
      <c r="C2" s="5"/>
      <c r="D2" s="5"/>
      <c r="E2" s="5"/>
      <c r="F2" s="5"/>
      <c r="G2" s="5"/>
      <c r="H2" s="5"/>
      <c r="I2" s="5"/>
    </row>
    <row r="3" customFormat="false" ht="15" hidden="false" customHeight="false" outlineLevel="0" collapsed="false">
      <c r="A3" s="5"/>
      <c r="B3" s="29" t="s">
        <v>9</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7" t="s">
        <v>64</v>
      </c>
      <c r="C5" s="38" t="n">
        <f aca="false">Base_Year</f>
        <v>2025</v>
      </c>
      <c r="D5" s="38" t="n">
        <f aca="false">Base_Year+1</f>
        <v>2026</v>
      </c>
      <c r="E5" s="38" t="n">
        <f aca="false">Base_Year+2</f>
        <v>2027</v>
      </c>
      <c r="F5" s="38" t="n">
        <f aca="false">Base_Year+3</f>
        <v>2028</v>
      </c>
      <c r="G5" s="38" t="n">
        <f aca="false">Base_Year+4</f>
        <v>2029</v>
      </c>
      <c r="H5" s="38" t="n">
        <f aca="false">Base_Year+5</f>
        <v>2030</v>
      </c>
      <c r="I5" s="38" t="n">
        <f aca="false">Base_Year+6</f>
        <v>2031</v>
      </c>
    </row>
    <row r="6" customFormat="false" ht="15" hidden="false" customHeight="false" outlineLevel="0" collapsed="false">
      <c r="A6" s="5"/>
      <c r="B6" s="8" t="s">
        <v>133</v>
      </c>
      <c r="C6" s="39" t="n">
        <f aca="false">COLUMN(C1)-3</f>
        <v>0</v>
      </c>
      <c r="D6" s="39" t="n">
        <f aca="false">COLUMN(D1)-3</f>
        <v>1</v>
      </c>
      <c r="E6" s="39" t="n">
        <f aca="false">COLUMN(E1)-3</f>
        <v>2</v>
      </c>
      <c r="F6" s="39" t="n">
        <f aca="false">COLUMN(F1)-3</f>
        <v>3</v>
      </c>
      <c r="G6" s="39" t="n">
        <f aca="false">COLUMN(G1)-3</f>
        <v>4</v>
      </c>
      <c r="H6" s="39" t="n">
        <f aca="false">COLUMN(H1)-3</f>
        <v>5</v>
      </c>
      <c r="I6" s="39" t="n">
        <f aca="false">COLUMN(I1)-3</f>
        <v>6</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134</v>
      </c>
      <c r="C8" s="16"/>
      <c r="D8" s="16"/>
      <c r="E8" s="16"/>
      <c r="F8" s="16"/>
      <c r="G8" s="16"/>
      <c r="H8" s="16"/>
      <c r="I8" s="16"/>
    </row>
    <row r="9" customFormat="false" ht="15" hidden="false" customHeight="false" outlineLevel="0" collapsed="false">
      <c r="A9" s="5"/>
      <c r="B9" s="40" t="s">
        <v>135</v>
      </c>
      <c r="C9" s="41" t="n">
        <f aca="false">0</f>
        <v>0</v>
      </c>
      <c r="D9" s="41" t="n">
        <f aca="false">C12</f>
        <v>500</v>
      </c>
      <c r="E9" s="41" t="n">
        <f aca="false">D12</f>
        <v>500</v>
      </c>
      <c r="F9" s="41" t="n">
        <f aca="false">E12</f>
        <v>500</v>
      </c>
      <c r="G9" s="41" t="n">
        <f aca="false">F12</f>
        <v>375</v>
      </c>
      <c r="H9" s="41" t="n">
        <f aca="false">G12</f>
        <v>250</v>
      </c>
      <c r="I9" s="41" t="n">
        <f aca="false">H12</f>
        <v>125</v>
      </c>
    </row>
    <row r="10" customFormat="false" ht="15" hidden="false" customHeight="false" outlineLevel="0" collapsed="false">
      <c r="A10" s="5"/>
      <c r="B10" s="40" t="s">
        <v>136</v>
      </c>
      <c r="C10" s="41" t="n">
        <f aca="false">IF(C6=0,Total_Acres,0)</f>
        <v>500</v>
      </c>
      <c r="D10" s="41" t="n">
        <f aca="false">IF(D6=0,Total_Acres,0)</f>
        <v>0</v>
      </c>
      <c r="E10" s="41" t="n">
        <f aca="false">IF(E6=0,Total_Acres,0)</f>
        <v>0</v>
      </c>
      <c r="F10" s="41" t="n">
        <f aca="false">IF(F6=0,Total_Acres,0)</f>
        <v>0</v>
      </c>
      <c r="G10" s="41" t="n">
        <f aca="false">IF(G6=0,Total_Acres,0)</f>
        <v>0</v>
      </c>
      <c r="H10" s="41" t="n">
        <f aca="false">IF(H6=0,Total_Acres,0)</f>
        <v>0</v>
      </c>
      <c r="I10" s="41" t="n">
        <f aca="false">IF(I6=0,Total_Acres,0)</f>
        <v>0</v>
      </c>
    </row>
    <row r="11" customFormat="false" ht="15" hidden="false" customHeight="false" outlineLevel="0" collapsed="false">
      <c r="A11" s="5"/>
      <c r="B11" s="40" t="s">
        <v>137</v>
      </c>
      <c r="C11" s="41" t="n">
        <f aca="false">IF(C6&gt;=Hold_Period,C9+C10,IF(C6&gt;=Sell_Start_Year,MIN(C9+C10,Total_Acres*Sell_Pace_Pct),0))</f>
        <v>0</v>
      </c>
      <c r="D11" s="41" t="n">
        <f aca="false">IF(D6&gt;=Hold_Period,D9+D10,IF(D6&gt;=Sell_Start_Year,MIN(D9+D10,Total_Acres*Sell_Pace_Pct),0))</f>
        <v>0</v>
      </c>
      <c r="E11" s="41" t="n">
        <f aca="false">IF(E6&gt;=Hold_Period,E9+E10,IF(E6&gt;=Sell_Start_Year,MIN(E9+E10,Total_Acres*Sell_Pace_Pct),0))</f>
        <v>0</v>
      </c>
      <c r="F11" s="41" t="n">
        <f aca="false">IF(F6&gt;=Hold_Period,F9+F10,IF(F6&gt;=Sell_Start_Year,MIN(F9+F10,Total_Acres*Sell_Pace_Pct),0))</f>
        <v>125</v>
      </c>
      <c r="G11" s="41" t="n">
        <f aca="false">IF(G6&gt;=Hold_Period,G9+G10,IF(G6&gt;=Sell_Start_Year,MIN(G9+G10,Total_Acres*Sell_Pace_Pct),0))</f>
        <v>125</v>
      </c>
      <c r="H11" s="41" t="n">
        <f aca="false">IF(H6&gt;=Hold_Period,H9+H10,IF(H6&gt;=Sell_Start_Year,MIN(H9+H10,Total_Acres*Sell_Pace_Pct),0))</f>
        <v>125</v>
      </c>
      <c r="I11" s="41" t="n">
        <f aca="false">IF(I6&gt;=Hold_Period,I9+I10,IF(I6&gt;=Sell_Start_Year,MIN(I9+I10,Total_Acres*Sell_Pace_Pct),0))</f>
        <v>125</v>
      </c>
    </row>
    <row r="12" customFormat="false" ht="15" hidden="false" customHeight="false" outlineLevel="0" collapsed="false">
      <c r="A12" s="5"/>
      <c r="B12" s="42" t="s">
        <v>138</v>
      </c>
      <c r="C12" s="43" t="n">
        <f aca="false">C9+C10-C11</f>
        <v>500</v>
      </c>
      <c r="D12" s="43" t="n">
        <f aca="false">D9+D10-D11</f>
        <v>500</v>
      </c>
      <c r="E12" s="43" t="n">
        <f aca="false">E9+E10-E11</f>
        <v>500</v>
      </c>
      <c r="F12" s="43" t="n">
        <f aca="false">F9+F10-F11</f>
        <v>375</v>
      </c>
      <c r="G12" s="43" t="n">
        <f aca="false">G9+G10-G11</f>
        <v>250</v>
      </c>
      <c r="H12" s="43" t="n">
        <f aca="false">H9+H10-H11</f>
        <v>125</v>
      </c>
      <c r="I12" s="43" t="n">
        <f aca="false">I9+I10-I11</f>
        <v>0</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2" t="s">
        <v>139</v>
      </c>
      <c r="C14" s="16"/>
      <c r="D14" s="16"/>
      <c r="E14" s="16"/>
      <c r="F14" s="16"/>
      <c r="G14" s="16"/>
      <c r="H14" s="16"/>
      <c r="I14" s="16"/>
    </row>
    <row r="15" customFormat="false" ht="15" hidden="false" customHeight="false" outlineLevel="0" collapsed="false">
      <c r="A15" s="5"/>
      <c r="B15" s="40" t="s">
        <v>140</v>
      </c>
      <c r="C15" s="44" t="n">
        <f aca="false">Raw_Land_Cost_Acre*(1+Appreciation_Rate)^C6</f>
        <v>15000</v>
      </c>
      <c r="D15" s="44" t="n">
        <f aca="false">Raw_Land_Cost_Acre*(1+Appreciation_Rate)^D6</f>
        <v>15750</v>
      </c>
      <c r="E15" s="44" t="n">
        <f aca="false">Raw_Land_Cost_Acre*(1+Appreciation_Rate)^E6</f>
        <v>16537.5</v>
      </c>
      <c r="F15" s="44" t="n">
        <f aca="false">Raw_Land_Cost_Acre*(1+Appreciation_Rate)^F6</f>
        <v>17364.375</v>
      </c>
      <c r="G15" s="44" t="n">
        <f aca="false">Raw_Land_Cost_Acre*(1+Appreciation_Rate)^G6</f>
        <v>18232.59375</v>
      </c>
      <c r="H15" s="44" t="n">
        <f aca="false">Raw_Land_Cost_Acre*(1+Appreciation_Rate)^H6</f>
        <v>19144.2234375</v>
      </c>
      <c r="I15" s="44" t="n">
        <f aca="false">Raw_Land_Cost_Acre*(1+Appreciation_Rate)^I6</f>
        <v>20101.434609375</v>
      </c>
    </row>
    <row r="16" customFormat="false" ht="15" hidden="false" customHeight="false" outlineLevel="0" collapsed="false">
      <c r="A16" s="5"/>
      <c r="B16" s="40" t="s">
        <v>141</v>
      </c>
      <c r="C16" s="45" t="n">
        <f aca="false">(1+Appreciation_Rate)^C6</f>
        <v>1</v>
      </c>
      <c r="D16" s="45" t="n">
        <f aca="false">(1+Appreciation_Rate)^D6</f>
        <v>1.05</v>
      </c>
      <c r="E16" s="45" t="n">
        <f aca="false">(1+Appreciation_Rate)^E6</f>
        <v>1.1025</v>
      </c>
      <c r="F16" s="45" t="n">
        <f aca="false">(1+Appreciation_Rate)^F6</f>
        <v>1.157625</v>
      </c>
      <c r="G16" s="45" t="n">
        <f aca="false">(1+Appreciation_Rate)^G6</f>
        <v>1.21550625</v>
      </c>
      <c r="H16" s="45" t="n">
        <f aca="false">(1+Appreciation_Rate)^H6</f>
        <v>1.2762815625</v>
      </c>
      <c r="I16" s="45" t="n">
        <f aca="false">(1+Appreciation_Rate)^I6</f>
        <v>1.340095640625</v>
      </c>
    </row>
    <row r="17" customFormat="false" ht="15" hidden="false" customHeight="false" outlineLevel="0" collapsed="false">
      <c r="A17" s="5"/>
      <c r="B17" s="40" t="s">
        <v>142</v>
      </c>
      <c r="C17" s="46" t="n">
        <f aca="false">IF(C6&gt;=Entitlement_Duration,Entitled_Premium,0)</f>
        <v>0</v>
      </c>
      <c r="D17" s="46" t="n">
        <f aca="false">IF(D6&gt;=Entitlement_Duration,Entitled_Premium,0)</f>
        <v>0</v>
      </c>
      <c r="E17" s="46" t="n">
        <f aca="false">IF(E6&gt;=Entitlement_Duration,Entitled_Premium,0)</f>
        <v>0</v>
      </c>
      <c r="F17" s="46" t="n">
        <f aca="false">IF(F6&gt;=Entitlement_Duration,Entitled_Premium,0)</f>
        <v>0.6</v>
      </c>
      <c r="G17" s="46" t="n">
        <f aca="false">IF(G6&gt;=Entitlement_Duration,Entitled_Premium,0)</f>
        <v>0.6</v>
      </c>
      <c r="H17" s="46" t="n">
        <f aca="false">IF(H6&gt;=Entitlement_Duration,Entitled_Premium,0)</f>
        <v>0.6</v>
      </c>
      <c r="I17" s="46" t="n">
        <f aca="false">IF(I6&gt;=Entitlement_Duration,Entitled_Premium,0)</f>
        <v>0.6</v>
      </c>
    </row>
    <row r="18" customFormat="false" ht="15" hidden="false" customHeight="false" outlineLevel="0" collapsed="false">
      <c r="A18" s="5"/>
      <c r="B18" s="42" t="s">
        <v>143</v>
      </c>
      <c r="C18" s="47" t="n">
        <f aca="false">C12*C15*(1+C17)</f>
        <v>7500000</v>
      </c>
      <c r="D18" s="47" t="n">
        <f aca="false">D12*D15*(1+D17)</f>
        <v>7875000</v>
      </c>
      <c r="E18" s="47" t="n">
        <f aca="false">E12*E15*(1+E17)</f>
        <v>8268750</v>
      </c>
      <c r="F18" s="47" t="n">
        <f aca="false">F12*F15*(1+F17)</f>
        <v>10418625</v>
      </c>
      <c r="G18" s="47" t="n">
        <f aca="false">G12*G15*(1+G17)</f>
        <v>7293037.5</v>
      </c>
      <c r="H18" s="47" t="n">
        <f aca="false">H12*H15*(1+H17)</f>
        <v>3828844.6875</v>
      </c>
      <c r="I18" s="47" t="n">
        <f aca="false">I12*I15*(1+I17)</f>
        <v>0</v>
      </c>
    </row>
    <row r="19" customFormat="false" ht="15" hidden="false" customHeight="false" outlineLevel="0" collapsed="false">
      <c r="A19" s="5"/>
      <c r="B19" s="40" t="s">
        <v>144</v>
      </c>
      <c r="C19" s="44" t="n">
        <f aca="false">IF(C12&gt;0,C18/C12,0)</f>
        <v>15000</v>
      </c>
      <c r="D19" s="44" t="n">
        <f aca="false">IF(D12&gt;0,D18/D12,0)</f>
        <v>15750</v>
      </c>
      <c r="E19" s="44" t="n">
        <f aca="false">IF(E12&gt;0,E18/E12,0)</f>
        <v>16537.5</v>
      </c>
      <c r="F19" s="44" t="n">
        <f aca="false">IF(F12&gt;0,F18/F12,0)</f>
        <v>27783</v>
      </c>
      <c r="G19" s="44" t="n">
        <f aca="false">IF(G12&gt;0,G18/G12,0)</f>
        <v>29172.15</v>
      </c>
      <c r="H19" s="44" t="n">
        <f aca="false">IF(H12&gt;0,H18/H12,0)</f>
        <v>30630.7575</v>
      </c>
      <c r="I19" s="44" t="n">
        <f aca="false">IF(I12&gt;0,I18/I12,0)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145</v>
      </c>
      <c r="C2" s="5"/>
      <c r="D2" s="5"/>
      <c r="E2" s="5"/>
      <c r="F2" s="5"/>
      <c r="G2" s="5"/>
      <c r="H2" s="5"/>
      <c r="I2" s="5"/>
    </row>
    <row r="3" customFormat="false" ht="15" hidden="false" customHeight="false" outlineLevel="0" collapsed="false">
      <c r="A3" s="5"/>
      <c r="B3" s="29" t="s">
        <v>11</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7" t="s">
        <v>64</v>
      </c>
      <c r="C5" s="38" t="n">
        <f aca="false">Base_Year</f>
        <v>2025</v>
      </c>
      <c r="D5" s="38" t="n">
        <f aca="false">Base_Year+1</f>
        <v>2026</v>
      </c>
      <c r="E5" s="38" t="n">
        <f aca="false">Base_Year+2</f>
        <v>2027</v>
      </c>
      <c r="F5" s="38" t="n">
        <f aca="false">Base_Year+3</f>
        <v>2028</v>
      </c>
      <c r="G5" s="38" t="n">
        <f aca="false">Base_Year+4</f>
        <v>2029</v>
      </c>
      <c r="H5" s="38" t="n">
        <f aca="false">Base_Year+5</f>
        <v>2030</v>
      </c>
      <c r="I5" s="38" t="n">
        <f aca="false">Base_Year+6</f>
        <v>2031</v>
      </c>
    </row>
    <row r="6" customFormat="false" ht="15" hidden="false" customHeight="false" outlineLevel="0" collapsed="false">
      <c r="A6" s="5"/>
      <c r="B6" s="8" t="s">
        <v>133</v>
      </c>
      <c r="C6" s="39" t="n">
        <f aca="false">COLUMN(C1)-3</f>
        <v>0</v>
      </c>
      <c r="D6" s="39" t="n">
        <f aca="false">COLUMN(D1)-3</f>
        <v>1</v>
      </c>
      <c r="E6" s="39" t="n">
        <f aca="false">COLUMN(E1)-3</f>
        <v>2</v>
      </c>
      <c r="F6" s="39" t="n">
        <f aca="false">COLUMN(F1)-3</f>
        <v>3</v>
      </c>
      <c r="G6" s="39" t="n">
        <f aca="false">COLUMN(G1)-3</f>
        <v>4</v>
      </c>
      <c r="H6" s="39" t="n">
        <f aca="false">COLUMN(H1)-3</f>
        <v>5</v>
      </c>
      <c r="I6" s="39" t="n">
        <f aca="false">COLUMN(I1)-3</f>
        <v>6</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146</v>
      </c>
      <c r="C8" s="16"/>
      <c r="D8" s="16"/>
      <c r="E8" s="16"/>
      <c r="F8" s="16"/>
      <c r="G8" s="16"/>
      <c r="H8" s="16"/>
      <c r="I8" s="16"/>
    </row>
    <row r="9" customFormat="false" ht="15" hidden="false" customHeight="false" outlineLevel="0" collapsed="false">
      <c r="A9" s="5"/>
      <c r="B9" s="40" t="s">
        <v>147</v>
      </c>
      <c r="C9" s="48" t="n">
        <f aca="false">IF(C6&lt;Entitlement_Duration,Total_Acres*Entitlement_Cost_Acre/Entitlement_Duration,0)</f>
        <v>416666.666666667</v>
      </c>
      <c r="D9" s="48" t="n">
        <f aca="false">IF(D6&lt;Entitlement_Duration,Total_Acres*Entitlement_Cost_Acre/Entitlement_Duration,0)</f>
        <v>416666.666666667</v>
      </c>
      <c r="E9" s="48" t="n">
        <f aca="false">IF(E6&lt;Entitlement_Duration,Total_Acres*Entitlement_Cost_Acre/Entitlement_Duration,0)</f>
        <v>416666.666666667</v>
      </c>
      <c r="F9" s="48" t="n">
        <f aca="false">IF(F6&lt;Entitlement_Duration,Total_Acres*Entitlement_Cost_Acre/Entitlement_Duration,0)</f>
        <v>0</v>
      </c>
      <c r="G9" s="48" t="n">
        <f aca="false">IF(G6&lt;Entitlement_Duration,Total_Acres*Entitlement_Cost_Acre/Entitlement_Duration,0)</f>
        <v>0</v>
      </c>
      <c r="H9" s="48" t="n">
        <f aca="false">IF(H6&lt;Entitlement_Duration,Total_Acres*Entitlement_Cost_Acre/Entitlement_Duration,0)</f>
        <v>0</v>
      </c>
      <c r="I9" s="48" t="n">
        <f aca="false">IF(I6&lt;Entitlement_Duration,Total_Acres*Entitlement_Cost_Acre/Entitlement_Duration,0)</f>
        <v>0</v>
      </c>
    </row>
    <row r="10" customFormat="false" ht="15" hidden="false" customHeight="false" outlineLevel="0" collapsed="false">
      <c r="A10" s="5"/>
      <c r="B10" s="40" t="s">
        <v>83</v>
      </c>
      <c r="C10" s="48" t="n">
        <f aca="false">IF(C6=0,Survey_Cost,0)</f>
        <v>150000</v>
      </c>
      <c r="D10" s="48" t="n">
        <f aca="false">IF(D6=0,Survey_Cost,0)</f>
        <v>0</v>
      </c>
      <c r="E10" s="48" t="n">
        <f aca="false">IF(E6=0,Survey_Cost,0)</f>
        <v>0</v>
      </c>
      <c r="F10" s="48" t="n">
        <f aca="false">IF(F6=0,Survey_Cost,0)</f>
        <v>0</v>
      </c>
      <c r="G10" s="48" t="n">
        <f aca="false">IF(G6=0,Survey_Cost,0)</f>
        <v>0</v>
      </c>
      <c r="H10" s="48" t="n">
        <f aca="false">IF(H6=0,Survey_Cost,0)</f>
        <v>0</v>
      </c>
      <c r="I10" s="48" t="n">
        <f aca="false">IF(I6=0,Survey_Cost,0)</f>
        <v>0</v>
      </c>
    </row>
    <row r="11" customFormat="false" ht="15" hidden="false" customHeight="false" outlineLevel="0" collapsed="false">
      <c r="A11" s="5"/>
      <c r="B11" s="40" t="s">
        <v>86</v>
      </c>
      <c r="C11" s="48" t="n">
        <f aca="false">IF(C6&lt;=1,Enviro_Cost/2,0)</f>
        <v>50000</v>
      </c>
      <c r="D11" s="48" t="n">
        <f aca="false">IF(D6&lt;=1,Enviro_Cost/2,0)</f>
        <v>50000</v>
      </c>
      <c r="E11" s="48" t="n">
        <f aca="false">IF(E6&lt;=1,Enviro_Cost/2,0)</f>
        <v>0</v>
      </c>
      <c r="F11" s="48" t="n">
        <f aca="false">IF(F6&lt;=1,Enviro_Cost/2,0)</f>
        <v>0</v>
      </c>
      <c r="G11" s="48" t="n">
        <f aca="false">IF(G6&lt;=1,Enviro_Cost/2,0)</f>
        <v>0</v>
      </c>
      <c r="H11" s="48" t="n">
        <f aca="false">IF(H6&lt;=1,Enviro_Cost/2,0)</f>
        <v>0</v>
      </c>
      <c r="I11" s="48" t="n">
        <f aca="false">IF(I6&lt;=1,Enviro_Cost/2,0)</f>
        <v>0</v>
      </c>
    </row>
    <row r="12" customFormat="false" ht="15" hidden="false" customHeight="false" outlineLevel="0" collapsed="false">
      <c r="A12" s="5"/>
      <c r="B12" s="40" t="s">
        <v>88</v>
      </c>
      <c r="C12" s="48" t="n">
        <f aca="false">IF(C6&lt;Entitlement_Duration,Legal_Fees/Entitlement_Duration,0)</f>
        <v>66666.6666666667</v>
      </c>
      <c r="D12" s="48" t="n">
        <f aca="false">IF(D6&lt;Entitlement_Duration,Legal_Fees/Entitlement_Duration,0)</f>
        <v>66666.6666666667</v>
      </c>
      <c r="E12" s="48" t="n">
        <f aca="false">IF(E6&lt;Entitlement_Duration,Legal_Fees/Entitlement_Duration,0)</f>
        <v>66666.6666666667</v>
      </c>
      <c r="F12" s="48" t="n">
        <f aca="false">IF(F6&lt;Entitlement_Duration,Legal_Fees/Entitlement_Duration,0)</f>
        <v>0</v>
      </c>
      <c r="G12" s="48" t="n">
        <f aca="false">IF(G6&lt;Entitlement_Duration,Legal_Fees/Entitlement_Duration,0)</f>
        <v>0</v>
      </c>
      <c r="H12" s="48" t="n">
        <f aca="false">IF(H6&lt;Entitlement_Duration,Legal_Fees/Entitlement_Duration,0)</f>
        <v>0</v>
      </c>
      <c r="I12" s="48" t="n">
        <f aca="false">IF(I6&lt;Entitlement_Duration,Legal_Fees/Entitlement_Duration,0)</f>
        <v>0</v>
      </c>
    </row>
    <row r="13" customFormat="false" ht="15" hidden="false" customHeight="false" outlineLevel="0" collapsed="false">
      <c r="A13" s="5"/>
      <c r="B13" s="49" t="s">
        <v>148</v>
      </c>
      <c r="C13" s="50" t="n">
        <f aca="false">SUM(C9:C12)</f>
        <v>683333.333333333</v>
      </c>
      <c r="D13" s="50" t="n">
        <f aca="false">SUM(D9:D12)</f>
        <v>533333.333333333</v>
      </c>
      <c r="E13" s="50" t="n">
        <f aca="false">SUM(E9:E12)</f>
        <v>483333.333333333</v>
      </c>
      <c r="F13" s="50" t="n">
        <f aca="false">SUM(F9:F12)</f>
        <v>0</v>
      </c>
      <c r="G13" s="50" t="n">
        <f aca="false">SUM(G9:G12)</f>
        <v>0</v>
      </c>
      <c r="H13" s="50" t="n">
        <f aca="false">SUM(H9:H12)</f>
        <v>0</v>
      </c>
      <c r="I13" s="50" t="n">
        <f aca="false">SUM(I9:I12)</f>
        <v>0</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32" t="s">
        <v>149</v>
      </c>
      <c r="C15" s="16"/>
      <c r="D15" s="16"/>
      <c r="E15" s="16"/>
      <c r="F15" s="16"/>
      <c r="G15" s="16"/>
      <c r="H15" s="16"/>
      <c r="I15" s="16"/>
    </row>
    <row r="16" customFormat="false" ht="15" hidden="false" customHeight="false" outlineLevel="0" collapsed="false">
      <c r="A16" s="5"/>
      <c r="B16" s="40" t="s">
        <v>150</v>
      </c>
      <c r="C16" s="48" t="n">
        <f aca="false">C13</f>
        <v>683333.333333333</v>
      </c>
      <c r="D16" s="48" t="n">
        <f aca="false">C16+D13</f>
        <v>1216666.66666667</v>
      </c>
      <c r="E16" s="48" t="n">
        <f aca="false">D16+E13</f>
        <v>1700000</v>
      </c>
      <c r="F16" s="48" t="n">
        <f aca="false">E16+F13</f>
        <v>1700000</v>
      </c>
      <c r="G16" s="48" t="n">
        <f aca="false">F16+G13</f>
        <v>1700000</v>
      </c>
      <c r="H16" s="48" t="n">
        <f aca="false">G16+H13</f>
        <v>1700000</v>
      </c>
      <c r="I16" s="48" t="n">
        <f aca="false">H16+I13</f>
        <v>1700000</v>
      </c>
    </row>
    <row r="17" customFormat="false" ht="15" hidden="false" customHeight="false" outlineLevel="0" collapsed="false">
      <c r="A17" s="5"/>
      <c r="B17" s="40" t="s">
        <v>151</v>
      </c>
      <c r="C17" s="46" t="n">
        <f aca="false">IF(I16&gt;0,C16/I16,0)</f>
        <v>0.401960784313726</v>
      </c>
      <c r="D17" s="46" t="n">
        <f aca="false">IF(I16&gt;0,D16/I16,0)</f>
        <v>0.715686274509804</v>
      </c>
      <c r="E17" s="46" t="n">
        <f aca="false">IF(I16&gt;0,E16/I16,0)</f>
        <v>1</v>
      </c>
      <c r="F17" s="46" t="n">
        <f aca="false">IF(I16&gt;0,F16/I16,0)</f>
        <v>1</v>
      </c>
      <c r="G17" s="46" t="n">
        <f aca="false">IF(I16&gt;0,G16/I16,0)</f>
        <v>1</v>
      </c>
      <c r="H17" s="46" t="n">
        <f aca="false">IF(I16&gt;0,H16/I16,0)</f>
        <v>1</v>
      </c>
      <c r="I17" s="46" t="n">
        <f aca="false">IF(I16&gt;0,I16/I16,0)</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90</v>
      </c>
      <c r="C2" s="5"/>
      <c r="D2" s="5"/>
      <c r="E2" s="5"/>
      <c r="F2" s="5"/>
      <c r="G2" s="5"/>
      <c r="H2" s="5"/>
      <c r="I2" s="5"/>
    </row>
    <row r="3" customFormat="false" ht="15" hidden="false" customHeight="false" outlineLevel="0" collapsed="false">
      <c r="A3" s="5"/>
      <c r="B3" s="29" t="s">
        <v>13</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7" t="s">
        <v>64</v>
      </c>
      <c r="C5" s="38" t="n">
        <f aca="false">Base_Year</f>
        <v>2025</v>
      </c>
      <c r="D5" s="38" t="n">
        <f aca="false">Base_Year+1</f>
        <v>2026</v>
      </c>
      <c r="E5" s="38" t="n">
        <f aca="false">Base_Year+2</f>
        <v>2027</v>
      </c>
      <c r="F5" s="38" t="n">
        <f aca="false">Base_Year+3</f>
        <v>2028</v>
      </c>
      <c r="G5" s="38" t="n">
        <f aca="false">Base_Year+4</f>
        <v>2029</v>
      </c>
      <c r="H5" s="38" t="n">
        <f aca="false">Base_Year+5</f>
        <v>2030</v>
      </c>
      <c r="I5" s="38" t="n">
        <f aca="false">Base_Year+6</f>
        <v>2031</v>
      </c>
    </row>
    <row r="6" customFormat="false" ht="15" hidden="false" customHeight="false" outlineLevel="0" collapsed="false">
      <c r="A6" s="5"/>
      <c r="B6" s="8" t="s">
        <v>133</v>
      </c>
      <c r="C6" s="39" t="n">
        <f aca="false">COLUMN(C1)-3</f>
        <v>0</v>
      </c>
      <c r="D6" s="39" t="n">
        <f aca="false">COLUMN(D1)-3</f>
        <v>1</v>
      </c>
      <c r="E6" s="39" t="n">
        <f aca="false">COLUMN(E1)-3</f>
        <v>2</v>
      </c>
      <c r="F6" s="39" t="n">
        <f aca="false">COLUMN(F1)-3</f>
        <v>3</v>
      </c>
      <c r="G6" s="39" t="n">
        <f aca="false">COLUMN(G1)-3</f>
        <v>4</v>
      </c>
      <c r="H6" s="39" t="n">
        <f aca="false">COLUMN(H1)-3</f>
        <v>5</v>
      </c>
      <c r="I6" s="39" t="n">
        <f aca="false">COLUMN(I1)-3</f>
        <v>6</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152</v>
      </c>
      <c r="C8" s="16"/>
      <c r="D8" s="16"/>
      <c r="E8" s="16"/>
      <c r="F8" s="16"/>
      <c r="G8" s="16"/>
      <c r="H8" s="16"/>
      <c r="I8" s="16"/>
    </row>
    <row r="9" customFormat="false" ht="15" hidden="false" customHeight="false" outlineLevel="0" collapsed="false">
      <c r="A9" s="5"/>
      <c r="B9" s="40" t="s">
        <v>153</v>
      </c>
      <c r="C9" s="41" t="n">
        <f aca="false">Land_Inventory!C12</f>
        <v>500</v>
      </c>
      <c r="D9" s="41" t="n">
        <f aca="false">Land_Inventory!D12</f>
        <v>500</v>
      </c>
      <c r="E9" s="41" t="n">
        <f aca="false">Land_Inventory!E12</f>
        <v>500</v>
      </c>
      <c r="F9" s="41" t="n">
        <f aca="false">Land_Inventory!F12</f>
        <v>375</v>
      </c>
      <c r="G9" s="41" t="n">
        <f aca="false">Land_Inventory!G12</f>
        <v>250</v>
      </c>
      <c r="H9" s="41" t="n">
        <f aca="false">Land_Inventory!H12</f>
        <v>125</v>
      </c>
      <c r="I9" s="41" t="n">
        <f aca="false">Land_Inventory!I12</f>
        <v>0</v>
      </c>
    </row>
    <row r="10" customFormat="false" ht="15" hidden="false" customHeight="false" outlineLevel="0" collapsed="false">
      <c r="A10" s="5"/>
      <c r="B10" s="40" t="s">
        <v>91</v>
      </c>
      <c r="C10" s="48" t="n">
        <f aca="false">C9*Property_Tax_Acre*(1+Tax_Escalation)^C6</f>
        <v>100000</v>
      </c>
      <c r="D10" s="48" t="n">
        <f aca="false">D9*Property_Tax_Acre*(1+Tax_Escalation)^D6</f>
        <v>103000</v>
      </c>
      <c r="E10" s="48" t="n">
        <f aca="false">E9*Property_Tax_Acre*(1+Tax_Escalation)^E6</f>
        <v>106090</v>
      </c>
      <c r="F10" s="48" t="n">
        <f aca="false">F9*Property_Tax_Acre*(1+Tax_Escalation)^F6</f>
        <v>81954.525</v>
      </c>
      <c r="G10" s="48" t="n">
        <f aca="false">G9*Property_Tax_Acre*(1+Tax_Escalation)^G6</f>
        <v>56275.4405</v>
      </c>
      <c r="H10" s="48" t="n">
        <f aca="false">H9*Property_Tax_Acre*(1+Tax_Escalation)^H6</f>
        <v>28981.8518575</v>
      </c>
      <c r="I10" s="48" t="n">
        <f aca="false">I9*Property_Tax_Acre*(1+Tax_Escalation)^I6</f>
        <v>0</v>
      </c>
    </row>
    <row r="11" customFormat="false" ht="15" hidden="false" customHeight="false" outlineLevel="0" collapsed="false">
      <c r="A11" s="5"/>
      <c r="B11" s="40" t="s">
        <v>94</v>
      </c>
      <c r="C11" s="48" t="n">
        <f aca="false">C9*Insurance_Acre*(1+Tax_Escalation)^C6</f>
        <v>25000</v>
      </c>
      <c r="D11" s="48" t="n">
        <f aca="false">D9*Insurance_Acre*(1+Tax_Escalation)^D6</f>
        <v>25750</v>
      </c>
      <c r="E11" s="48" t="n">
        <f aca="false">E9*Insurance_Acre*(1+Tax_Escalation)^E6</f>
        <v>26522.5</v>
      </c>
      <c r="F11" s="48" t="n">
        <f aca="false">F9*Insurance_Acre*(1+Tax_Escalation)^F6</f>
        <v>20488.63125</v>
      </c>
      <c r="G11" s="48" t="n">
        <f aca="false">G9*Insurance_Acre*(1+Tax_Escalation)^G6</f>
        <v>14068.860125</v>
      </c>
      <c r="H11" s="48" t="n">
        <f aca="false">H9*Insurance_Acre*(1+Tax_Escalation)^H6</f>
        <v>7245.462964375</v>
      </c>
      <c r="I11" s="48" t="n">
        <f aca="false">I9*Insurance_Acre*(1+Tax_Escalation)^I6</f>
        <v>0</v>
      </c>
    </row>
    <row r="12" customFormat="false" ht="15" hidden="false" customHeight="false" outlineLevel="0" collapsed="false">
      <c r="A12" s="5"/>
      <c r="B12" s="40" t="s">
        <v>96</v>
      </c>
      <c r="C12" s="48" t="n">
        <f aca="false">C9*Maintenance_Acre*(1+Tax_Escalation)^C6</f>
        <v>37500</v>
      </c>
      <c r="D12" s="48" t="n">
        <f aca="false">D9*Maintenance_Acre*(1+Tax_Escalation)^D6</f>
        <v>38625</v>
      </c>
      <c r="E12" s="48" t="n">
        <f aca="false">E9*Maintenance_Acre*(1+Tax_Escalation)^E6</f>
        <v>39783.75</v>
      </c>
      <c r="F12" s="48" t="n">
        <f aca="false">F9*Maintenance_Acre*(1+Tax_Escalation)^F6</f>
        <v>30732.946875</v>
      </c>
      <c r="G12" s="48" t="n">
        <f aca="false">G9*Maintenance_Acre*(1+Tax_Escalation)^G6</f>
        <v>21103.2901875</v>
      </c>
      <c r="H12" s="48" t="n">
        <f aca="false">H9*Maintenance_Acre*(1+Tax_Escalation)^H6</f>
        <v>10868.1944465625</v>
      </c>
      <c r="I12" s="48" t="n">
        <f aca="false">I9*Maintenance_Acre*(1+Tax_Escalation)^I6</f>
        <v>0</v>
      </c>
    </row>
    <row r="13" customFormat="false" ht="15" hidden="false" customHeight="false" outlineLevel="0" collapsed="false">
      <c r="A13" s="5"/>
      <c r="B13" s="40" t="s">
        <v>154</v>
      </c>
      <c r="C13" s="48" t="n">
        <f aca="false">IF(C9&gt;0,HOA_Fees*(1+Tax_Escalation)^C6,0)</f>
        <v>10000</v>
      </c>
      <c r="D13" s="48" t="n">
        <f aca="false">IF(D9&gt;0,HOA_Fees*(1+Tax_Escalation)^D6,0)</f>
        <v>10300</v>
      </c>
      <c r="E13" s="48" t="n">
        <f aca="false">IF(E9&gt;0,HOA_Fees*(1+Tax_Escalation)^E6,0)</f>
        <v>10609</v>
      </c>
      <c r="F13" s="48" t="n">
        <f aca="false">IF(F9&gt;0,HOA_Fees*(1+Tax_Escalation)^F6,0)</f>
        <v>10927.27</v>
      </c>
      <c r="G13" s="48" t="n">
        <f aca="false">IF(G9&gt;0,HOA_Fees*(1+Tax_Escalation)^G6,0)</f>
        <v>11255.0881</v>
      </c>
      <c r="H13" s="48" t="n">
        <f aca="false">IF(H9&gt;0,HOA_Fees*(1+Tax_Escalation)^H6,0)</f>
        <v>11592.740743</v>
      </c>
      <c r="I13" s="48" t="n">
        <f aca="false">IF(I9&gt;0,HOA_Fees*(1+Tax_Escalation)^I6,0)</f>
        <v>0</v>
      </c>
    </row>
    <row r="14" customFormat="false" ht="15" hidden="false" customHeight="false" outlineLevel="0" collapsed="false">
      <c r="A14" s="5"/>
      <c r="B14" s="49" t="s">
        <v>155</v>
      </c>
      <c r="C14" s="50" t="n">
        <f aca="false">SUM(C10:C13)</f>
        <v>172500</v>
      </c>
      <c r="D14" s="50" t="n">
        <f aca="false">SUM(D10:D13)</f>
        <v>177675</v>
      </c>
      <c r="E14" s="50" t="n">
        <f aca="false">SUM(E10:E13)</f>
        <v>183005.25</v>
      </c>
      <c r="F14" s="50" t="n">
        <f aca="false">SUM(F10:F13)</f>
        <v>144103.373125</v>
      </c>
      <c r="G14" s="50" t="n">
        <f aca="false">SUM(G10:G13)</f>
        <v>102702.6789125</v>
      </c>
      <c r="H14" s="50" t="n">
        <f aca="false">SUM(H10:H13)</f>
        <v>58688.2500114375</v>
      </c>
      <c r="I14" s="50" t="n">
        <f aca="false">SUM(I10:I13)</f>
        <v>0</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2" t="s">
        <v>149</v>
      </c>
      <c r="C16" s="16"/>
      <c r="D16" s="16"/>
      <c r="E16" s="16"/>
      <c r="F16" s="16"/>
      <c r="G16" s="16"/>
      <c r="H16" s="16"/>
      <c r="I16" s="16"/>
    </row>
    <row r="17" customFormat="false" ht="15" hidden="false" customHeight="false" outlineLevel="0" collapsed="false">
      <c r="A17" s="5"/>
      <c r="B17" s="40" t="s">
        <v>150</v>
      </c>
      <c r="C17" s="48" t="n">
        <f aca="false">C14</f>
        <v>172500</v>
      </c>
      <c r="D17" s="48" t="n">
        <f aca="false">C17+D14</f>
        <v>350175</v>
      </c>
      <c r="E17" s="48" t="n">
        <f aca="false">D17+E14</f>
        <v>533180.25</v>
      </c>
      <c r="F17" s="48" t="n">
        <f aca="false">E17+F14</f>
        <v>677283.623125</v>
      </c>
      <c r="G17" s="48" t="n">
        <f aca="false">F17+G14</f>
        <v>779986.3020375</v>
      </c>
      <c r="H17" s="48" t="n">
        <f aca="false">G17+H14</f>
        <v>838674.552048937</v>
      </c>
      <c r="I17" s="48" t="n">
        <f aca="false">H17+I14</f>
        <v>838674.552048937</v>
      </c>
    </row>
    <row r="18" customFormat="false" ht="15" hidden="false" customHeight="false" outlineLevel="0" collapsed="false">
      <c r="A18" s="5"/>
      <c r="B18" s="40" t="s">
        <v>156</v>
      </c>
      <c r="C18" s="44" t="n">
        <f aca="false">IF(C9&gt;0,C14/C9,0)</f>
        <v>345</v>
      </c>
      <c r="D18" s="44" t="n">
        <f aca="false">IF(D9&gt;0,D14/D9,0)</f>
        <v>355.35</v>
      </c>
      <c r="E18" s="44" t="n">
        <f aca="false">IF(E9&gt;0,E14/E9,0)</f>
        <v>366.0105</v>
      </c>
      <c r="F18" s="44" t="n">
        <f aca="false">IF(F9&gt;0,F14/F9,0)</f>
        <v>384.275661666667</v>
      </c>
      <c r="G18" s="44" t="n">
        <f aca="false">IF(G9&gt;0,G14/G9,0)</f>
        <v>410.81071565</v>
      </c>
      <c r="H18" s="44" t="n">
        <f aca="false">IF(H9&gt;0,H14/H9,0)</f>
        <v>469.5060000915</v>
      </c>
      <c r="I18" s="44" t="n">
        <f aca="false">IF(I9&gt;0,I14/I9,0)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157</v>
      </c>
      <c r="C2" s="5"/>
      <c r="D2" s="5"/>
      <c r="E2" s="5"/>
      <c r="F2" s="5"/>
      <c r="G2" s="5"/>
      <c r="H2" s="5"/>
      <c r="I2" s="5"/>
    </row>
    <row r="3" customFormat="false" ht="15" hidden="false" customHeight="false" outlineLevel="0" collapsed="false">
      <c r="A3" s="5"/>
      <c r="B3" s="29" t="s">
        <v>15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7" t="s">
        <v>64</v>
      </c>
      <c r="C5" s="38" t="n">
        <f aca="false">Base_Year</f>
        <v>2025</v>
      </c>
      <c r="D5" s="38" t="n">
        <f aca="false">Base_Year+1</f>
        <v>2026</v>
      </c>
      <c r="E5" s="38" t="n">
        <f aca="false">Base_Year+2</f>
        <v>2027</v>
      </c>
      <c r="F5" s="38" t="n">
        <f aca="false">Base_Year+3</f>
        <v>2028</v>
      </c>
      <c r="G5" s="38" t="n">
        <f aca="false">Base_Year+4</f>
        <v>2029</v>
      </c>
      <c r="H5" s="38" t="n">
        <f aca="false">Base_Year+5</f>
        <v>2030</v>
      </c>
      <c r="I5" s="38" t="n">
        <f aca="false">Base_Year+6</f>
        <v>2031</v>
      </c>
    </row>
    <row r="6" customFormat="false" ht="15" hidden="false" customHeight="false" outlineLevel="0" collapsed="false">
      <c r="A6" s="5"/>
      <c r="B6" s="8" t="s">
        <v>133</v>
      </c>
      <c r="C6" s="39" t="n">
        <f aca="false">COLUMN(C1)-3</f>
        <v>0</v>
      </c>
      <c r="D6" s="39" t="n">
        <f aca="false">COLUMN(D1)-3</f>
        <v>1</v>
      </c>
      <c r="E6" s="39" t="n">
        <f aca="false">COLUMN(E1)-3</f>
        <v>2</v>
      </c>
      <c r="F6" s="39" t="n">
        <f aca="false">COLUMN(F1)-3</f>
        <v>3</v>
      </c>
      <c r="G6" s="39" t="n">
        <f aca="false">COLUMN(G1)-3</f>
        <v>4</v>
      </c>
      <c r="H6" s="39" t="n">
        <f aca="false">COLUMN(H1)-3</f>
        <v>5</v>
      </c>
      <c r="I6" s="39" t="n">
        <f aca="false">COLUMN(I1)-3</f>
        <v>6</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158</v>
      </c>
      <c r="C8" s="16"/>
      <c r="D8" s="16"/>
      <c r="E8" s="16"/>
      <c r="F8" s="16"/>
      <c r="G8" s="16"/>
      <c r="H8" s="16"/>
      <c r="I8" s="16"/>
    </row>
    <row r="9" customFormat="false" ht="15" hidden="false" customHeight="false" outlineLevel="0" collapsed="false">
      <c r="A9" s="5"/>
      <c r="B9" s="40" t="s">
        <v>159</v>
      </c>
      <c r="C9" s="48" t="n">
        <f aca="false">IF(C6=0,Total_Acres*Raw_Land_Cost_Acre*LTV_Ratio,0)</f>
        <v>3750000</v>
      </c>
      <c r="D9" s="48" t="n">
        <f aca="false">IF(D6=0,Total_Acres*Raw_Land_Cost_Acre*LTV_Ratio,0)</f>
        <v>0</v>
      </c>
      <c r="E9" s="48" t="n">
        <f aca="false">IF(E6=0,Total_Acres*Raw_Land_Cost_Acre*LTV_Ratio,0)</f>
        <v>0</v>
      </c>
      <c r="F9" s="48" t="n">
        <f aca="false">IF(F6=0,Total_Acres*Raw_Land_Cost_Acre*LTV_Ratio,0)</f>
        <v>0</v>
      </c>
      <c r="G9" s="48" t="n">
        <f aca="false">IF(G6=0,Total_Acres*Raw_Land_Cost_Acre*LTV_Ratio,0)</f>
        <v>0</v>
      </c>
      <c r="H9" s="48" t="n">
        <f aca="false">IF(H6=0,Total_Acres*Raw_Land_Cost_Acre*LTV_Ratio,0)</f>
        <v>0</v>
      </c>
      <c r="I9" s="48" t="n">
        <f aca="false">IF(I6=0,Total_Acres*Raw_Land_Cost_Acre*LTV_Ratio,0)</f>
        <v>0</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32" t="s">
        <v>160</v>
      </c>
      <c r="C11" s="16"/>
      <c r="D11" s="16"/>
      <c r="E11" s="16"/>
      <c r="F11" s="16"/>
      <c r="G11" s="16"/>
      <c r="H11" s="16"/>
      <c r="I11" s="16"/>
    </row>
    <row r="12" customFormat="false" ht="15" hidden="false" customHeight="false" outlineLevel="0" collapsed="false">
      <c r="A12" s="5"/>
      <c r="B12" s="40" t="s">
        <v>161</v>
      </c>
      <c r="C12" s="48" t="n">
        <f aca="false">0</f>
        <v>0</v>
      </c>
      <c r="D12" s="48" t="n">
        <f aca="false">C15</f>
        <v>3750000</v>
      </c>
      <c r="E12" s="48" t="n">
        <f aca="false">D15</f>
        <v>3750000</v>
      </c>
      <c r="F12" s="48" t="n">
        <f aca="false">E15</f>
        <v>3750000</v>
      </c>
      <c r="G12" s="48" t="n">
        <f aca="false">F15</f>
        <v>2812500</v>
      </c>
      <c r="H12" s="48" t="n">
        <f aca="false">G15</f>
        <v>1875000</v>
      </c>
      <c r="I12" s="48" t="n">
        <f aca="false">H15</f>
        <v>937500</v>
      </c>
    </row>
    <row r="13" customFormat="false" ht="15" hidden="false" customHeight="false" outlineLevel="0" collapsed="false">
      <c r="A13" s="5"/>
      <c r="B13" s="40" t="s">
        <v>162</v>
      </c>
      <c r="C13" s="48" t="n">
        <f aca="false">C9</f>
        <v>3750000</v>
      </c>
      <c r="D13" s="48" t="n">
        <f aca="false">D9</f>
        <v>0</v>
      </c>
      <c r="E13" s="48" t="n">
        <f aca="false">E9</f>
        <v>0</v>
      </c>
      <c r="F13" s="48" t="n">
        <f aca="false">F9</f>
        <v>0</v>
      </c>
      <c r="G13" s="48" t="n">
        <f aca="false">G9</f>
        <v>0</v>
      </c>
      <c r="H13" s="48" t="n">
        <f aca="false">H9</f>
        <v>0</v>
      </c>
      <c r="I13" s="48" t="n">
        <f aca="false">I9</f>
        <v>0</v>
      </c>
    </row>
    <row r="14" customFormat="false" ht="15" hidden="false" customHeight="false" outlineLevel="0" collapsed="false">
      <c r="A14" s="5"/>
      <c r="B14" s="40" t="s">
        <v>163</v>
      </c>
      <c r="C14" s="48" t="n">
        <f aca="false">IF(Total_Acres&gt;0,IF(C6&gt;=Loan_Term,-C12-C13,-Land_Inventory!C11*(C9/Total_Acres)),0)</f>
        <v>-0</v>
      </c>
      <c r="D14" s="48" t="n">
        <f aca="false">IF(Total_Acres&gt;0,IF(D6&gt;=Loan_Term,-D12-D13,-Land_Inventory!D11*(C9/Total_Acres)),0)</f>
        <v>-0</v>
      </c>
      <c r="E14" s="48" t="n">
        <f aca="false">IF(Total_Acres&gt;0,IF(E6&gt;=Loan_Term,-E12-E13,-Land_Inventory!E11*(C9/Total_Acres)),0)</f>
        <v>-0</v>
      </c>
      <c r="F14" s="48" t="n">
        <f aca="false">IF(Total_Acres&gt;0,IF(F6&gt;=Loan_Term,-F12-F13,-Land_Inventory!F11*(C9/Total_Acres)),0)</f>
        <v>-937500</v>
      </c>
      <c r="G14" s="48" t="n">
        <f aca="false">IF(Total_Acres&gt;0,IF(G6&gt;=Loan_Term,-G12-G13,-Land_Inventory!G11*(C9/Total_Acres)),0)</f>
        <v>-937500</v>
      </c>
      <c r="H14" s="48" t="n">
        <f aca="false">IF(Total_Acres&gt;0,IF(H6&gt;=Loan_Term,-H12-H13,-Land_Inventory!H11*(C9/Total_Acres)),0)</f>
        <v>-937500</v>
      </c>
      <c r="I14" s="48" t="n">
        <f aca="false">IF(Total_Acres&gt;0,IF(I6&gt;=Loan_Term,-I12-I13,-Land_Inventory!I11*(C9/Total_Acres)),0)</f>
        <v>-937500</v>
      </c>
    </row>
    <row r="15" customFormat="false" ht="15" hidden="false" customHeight="false" outlineLevel="0" collapsed="false">
      <c r="A15" s="5"/>
      <c r="B15" s="42" t="s">
        <v>164</v>
      </c>
      <c r="C15" s="47" t="n">
        <f aca="false">C12+C13+C14</f>
        <v>3750000</v>
      </c>
      <c r="D15" s="47" t="n">
        <f aca="false">D12+D13+D14</f>
        <v>3750000</v>
      </c>
      <c r="E15" s="47" t="n">
        <f aca="false">E12+E13+E14</f>
        <v>3750000</v>
      </c>
      <c r="F15" s="47" t="n">
        <f aca="false">F12+F13+F14</f>
        <v>2812500</v>
      </c>
      <c r="G15" s="47" t="n">
        <f aca="false">G12+G13+G14</f>
        <v>1875000</v>
      </c>
      <c r="H15" s="47" t="n">
        <f aca="false">H12+H13+H14</f>
        <v>937500</v>
      </c>
      <c r="I15" s="47" t="n">
        <f aca="false">I12+I13+I14</f>
        <v>0</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2" t="s">
        <v>165</v>
      </c>
      <c r="C17" s="16"/>
      <c r="D17" s="16"/>
      <c r="E17" s="16"/>
      <c r="F17" s="16"/>
      <c r="G17" s="16"/>
      <c r="H17" s="16"/>
      <c r="I17" s="16"/>
    </row>
    <row r="18" customFormat="false" ht="15" hidden="false" customHeight="false" outlineLevel="0" collapsed="false">
      <c r="A18" s="5"/>
      <c r="B18" s="40" t="s">
        <v>166</v>
      </c>
      <c r="C18" s="48" t="n">
        <f aca="false">C12*Interest_Rate</f>
        <v>0</v>
      </c>
      <c r="D18" s="48" t="n">
        <f aca="false">D12*Interest_Rate</f>
        <v>281250</v>
      </c>
      <c r="E18" s="48" t="n">
        <f aca="false">E12*Interest_Rate</f>
        <v>281250</v>
      </c>
      <c r="F18" s="48" t="n">
        <f aca="false">F12*Interest_Rate</f>
        <v>281250</v>
      </c>
      <c r="G18" s="48" t="n">
        <f aca="false">G12*Interest_Rate</f>
        <v>210937.5</v>
      </c>
      <c r="H18" s="48" t="n">
        <f aca="false">H12*Interest_Rate</f>
        <v>140625</v>
      </c>
      <c r="I18" s="48" t="n">
        <f aca="false">I12*Interest_Rate</f>
        <v>70312.5</v>
      </c>
    </row>
    <row r="19" customFormat="false" ht="15" hidden="false" customHeight="false" outlineLevel="0" collapsed="false">
      <c r="A19" s="5"/>
      <c r="B19" s="40" t="s">
        <v>111</v>
      </c>
      <c r="C19" s="48" t="n">
        <f aca="false">0</f>
        <v>0</v>
      </c>
      <c r="D19" s="48" t="n">
        <f aca="false">0</f>
        <v>0</v>
      </c>
      <c r="E19" s="48" t="n">
        <f aca="false">0</f>
        <v>0</v>
      </c>
      <c r="F19" s="48" t="n">
        <f aca="false">0</f>
        <v>0</v>
      </c>
      <c r="G19" s="48" t="n">
        <f aca="false">0</f>
        <v>0</v>
      </c>
      <c r="H19" s="48" t="n">
        <f aca="false">0</f>
        <v>0</v>
      </c>
      <c r="I19" s="48" t="n">
        <f aca="false">0</f>
        <v>0</v>
      </c>
    </row>
    <row r="20" customFormat="false" ht="15" hidden="false" customHeight="false" outlineLevel="0" collapsed="false">
      <c r="A20" s="5"/>
      <c r="B20" s="49" t="s">
        <v>167</v>
      </c>
      <c r="C20" s="50" t="n">
        <f aca="false">C18+C19</f>
        <v>0</v>
      </c>
      <c r="D20" s="50" t="n">
        <f aca="false">D18+D19</f>
        <v>281250</v>
      </c>
      <c r="E20" s="50" t="n">
        <f aca="false">E18+E19</f>
        <v>281250</v>
      </c>
      <c r="F20" s="50" t="n">
        <f aca="false">F18+F19</f>
        <v>281250</v>
      </c>
      <c r="G20" s="50" t="n">
        <f aca="false">G18+G19</f>
        <v>210937.5</v>
      </c>
      <c r="H20" s="50" t="n">
        <f aca="false">H18+H19</f>
        <v>140625</v>
      </c>
      <c r="I20" s="50" t="n">
        <f aca="false">I18+I19</f>
        <v>70312.5</v>
      </c>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32" t="s">
        <v>168</v>
      </c>
      <c r="C22" s="16"/>
      <c r="D22" s="16"/>
      <c r="E22" s="16"/>
      <c r="F22" s="16"/>
      <c r="G22" s="16"/>
      <c r="H22" s="16"/>
      <c r="I22" s="16"/>
    </row>
    <row r="23" customFormat="false" ht="15" hidden="false" customHeight="false" outlineLevel="0" collapsed="false">
      <c r="A23" s="5"/>
      <c r="B23" s="40" t="s">
        <v>169</v>
      </c>
      <c r="C23" s="46" t="n">
        <f aca="false">IF(Land_Inventory!C18&gt;0,C15/Land_Inventory!C18,0)</f>
        <v>0.5</v>
      </c>
      <c r="D23" s="46" t="n">
        <f aca="false">IF(Land_Inventory!D18&gt;0,D15/Land_Inventory!D18,0)</f>
        <v>0.476190476190476</v>
      </c>
      <c r="E23" s="46" t="n">
        <f aca="false">IF(Land_Inventory!E18&gt;0,E15/Land_Inventory!E18,0)</f>
        <v>0.453514739229025</v>
      </c>
      <c r="F23" s="46" t="n">
        <f aca="false">IF(Land_Inventory!F18&gt;0,F15/Land_Inventory!F18,0)</f>
        <v>0.269949249541086</v>
      </c>
      <c r="G23" s="46" t="n">
        <f aca="false">IF(Land_Inventory!G18&gt;0,G15/Land_Inventory!G18,0)</f>
        <v>0.257094523372463</v>
      </c>
      <c r="H23" s="46" t="n">
        <f aca="false">IF(Land_Inventory!H18&gt;0,H15/Land_Inventory!H18,0)</f>
        <v>0.244851927021393</v>
      </c>
      <c r="I23" s="46" t="n">
        <f aca="false">IF(Land_Inventory!I18&gt;0,I15/Land_Inventory!I18,0)</f>
        <v>0</v>
      </c>
    </row>
    <row r="24" customFormat="false" ht="15" hidden="false" customHeight="false" outlineLevel="0" collapsed="false">
      <c r="A24" s="5"/>
      <c r="B24" s="40" t="s">
        <v>170</v>
      </c>
      <c r="C24" s="51" t="n">
        <f aca="false">IF(Holding_Costs!C14&gt;0,C20/Holding_Costs!C14,0)</f>
        <v>0</v>
      </c>
      <c r="D24" s="51" t="n">
        <f aca="false">IF(Holding_Costs!D14&gt;0,D20/Holding_Costs!D14,0)</f>
        <v>1.58294639088223</v>
      </c>
      <c r="E24" s="51" t="n">
        <f aca="false">IF(Holding_Costs!E14&gt;0,E20/Holding_Costs!E14,0)</f>
        <v>1.53684115619634</v>
      </c>
      <c r="F24" s="51" t="n">
        <f aca="false">IF(Holding_Costs!F14&gt;0,F20/Holding_Costs!F14,0)</f>
        <v>1.95172391805176</v>
      </c>
      <c r="G24" s="51" t="n">
        <f aca="false">IF(Holding_Costs!G14&gt;0,G20/Holding_Costs!G14,0)</f>
        <v>2.05386560733935</v>
      </c>
      <c r="H24" s="51" t="n">
        <f aca="false">IF(Holding_Costs!H14&gt;0,H20/Holding_Costs!H14,0)</f>
        <v>2.39613551217823</v>
      </c>
      <c r="I24" s="51" t="n">
        <f aca="false">IF(Holding_Costs!I14&gt;0,I20/Holding_Costs!I14,0)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171</v>
      </c>
      <c r="C2" s="5"/>
      <c r="D2" s="5"/>
      <c r="E2" s="5"/>
      <c r="F2" s="5"/>
      <c r="G2" s="5"/>
      <c r="H2" s="5"/>
      <c r="I2" s="5"/>
    </row>
    <row r="3" customFormat="false" ht="15" hidden="false" customHeight="false" outlineLevel="0" collapsed="false">
      <c r="A3" s="5"/>
      <c r="B3" s="29" t="s">
        <v>17</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7" t="s">
        <v>64</v>
      </c>
      <c r="C5" s="38" t="n">
        <f aca="false">Base_Year</f>
        <v>2025</v>
      </c>
      <c r="D5" s="38" t="n">
        <f aca="false">Base_Year+1</f>
        <v>2026</v>
      </c>
      <c r="E5" s="38" t="n">
        <f aca="false">Base_Year+2</f>
        <v>2027</v>
      </c>
      <c r="F5" s="38" t="n">
        <f aca="false">Base_Year+3</f>
        <v>2028</v>
      </c>
      <c r="G5" s="38" t="n">
        <f aca="false">Base_Year+4</f>
        <v>2029</v>
      </c>
      <c r="H5" s="38" t="n">
        <f aca="false">Base_Year+5</f>
        <v>2030</v>
      </c>
      <c r="I5" s="38" t="n">
        <f aca="false">Base_Year+6</f>
        <v>2031</v>
      </c>
    </row>
    <row r="6" customFormat="false" ht="15" hidden="false" customHeight="false" outlineLevel="0" collapsed="false">
      <c r="A6" s="5"/>
      <c r="B6" s="8" t="s">
        <v>133</v>
      </c>
      <c r="C6" s="39" t="n">
        <f aca="false">COLUMN(C1)-3</f>
        <v>0</v>
      </c>
      <c r="D6" s="39" t="n">
        <f aca="false">COLUMN(D1)-3</f>
        <v>1</v>
      </c>
      <c r="E6" s="39" t="n">
        <f aca="false">COLUMN(E1)-3</f>
        <v>2</v>
      </c>
      <c r="F6" s="39" t="n">
        <f aca="false">COLUMN(F1)-3</f>
        <v>3</v>
      </c>
      <c r="G6" s="39" t="n">
        <f aca="false">COLUMN(G1)-3</f>
        <v>4</v>
      </c>
      <c r="H6" s="39" t="n">
        <f aca="false">COLUMN(H1)-3</f>
        <v>5</v>
      </c>
      <c r="I6" s="39" t="n">
        <f aca="false">COLUMN(I1)-3</f>
        <v>6</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172</v>
      </c>
      <c r="C8" s="16"/>
      <c r="D8" s="16"/>
      <c r="E8" s="16"/>
      <c r="F8" s="16"/>
      <c r="G8" s="16"/>
      <c r="H8" s="16"/>
      <c r="I8" s="16"/>
    </row>
    <row r="9" customFormat="false" ht="15" hidden="false" customHeight="false" outlineLevel="0" collapsed="false">
      <c r="A9" s="5"/>
      <c r="B9" s="40" t="s">
        <v>173</v>
      </c>
      <c r="C9" s="48" t="n">
        <f aca="false">IF(C6=0,-Total_Acres*Raw_Land_Cost_Acre,0)</f>
        <v>-7500000</v>
      </c>
      <c r="D9" s="48" t="n">
        <f aca="false">IF(D6=0,-Total_Acres*Raw_Land_Cost_Acre,0)</f>
        <v>0</v>
      </c>
      <c r="E9" s="48" t="n">
        <f aca="false">IF(E6=0,-Total_Acres*Raw_Land_Cost_Acre,0)</f>
        <v>0</v>
      </c>
      <c r="F9" s="48" t="n">
        <f aca="false">IF(F6=0,-Total_Acres*Raw_Land_Cost_Acre,0)</f>
        <v>0</v>
      </c>
      <c r="G9" s="48" t="n">
        <f aca="false">IF(G6=0,-Total_Acres*Raw_Land_Cost_Acre,0)</f>
        <v>0</v>
      </c>
      <c r="H9" s="48" t="n">
        <f aca="false">IF(H6=0,-Total_Acres*Raw_Land_Cost_Acre,0)</f>
        <v>0</v>
      </c>
      <c r="I9" s="48" t="n">
        <f aca="false">IF(I6=0,-Total_Acres*Raw_Land_Cost_Acre,0)</f>
        <v>0</v>
      </c>
    </row>
    <row r="10" customFormat="false" ht="15" hidden="false" customHeight="false" outlineLevel="0" collapsed="false">
      <c r="A10" s="5"/>
      <c r="B10" s="40" t="s">
        <v>75</v>
      </c>
      <c r="C10" s="48" t="n">
        <f aca="false">IF(C6=0,-Total_Acres*Raw_Land_Cost_Acre*Acquisition_Costs_Pct,0)</f>
        <v>-225000</v>
      </c>
      <c r="D10" s="48" t="n">
        <f aca="false">IF(D6=0,-Total_Acres*Raw_Land_Cost_Acre*Acquisition_Costs_Pct,0)</f>
        <v>0</v>
      </c>
      <c r="E10" s="48" t="n">
        <f aca="false">IF(E6=0,-Total_Acres*Raw_Land_Cost_Acre*Acquisition_Costs_Pct,0)</f>
        <v>0</v>
      </c>
      <c r="F10" s="48" t="n">
        <f aca="false">IF(F6=0,-Total_Acres*Raw_Land_Cost_Acre*Acquisition_Costs_Pct,0)</f>
        <v>0</v>
      </c>
      <c r="G10" s="48" t="n">
        <f aca="false">IF(G6=0,-Total_Acres*Raw_Land_Cost_Acre*Acquisition_Costs_Pct,0)</f>
        <v>0</v>
      </c>
      <c r="H10" s="48" t="n">
        <f aca="false">IF(H6=0,-Total_Acres*Raw_Land_Cost_Acre*Acquisition_Costs_Pct,0)</f>
        <v>0</v>
      </c>
      <c r="I10" s="48" t="n">
        <f aca="false">IF(I6=0,-Total_Acres*Raw_Land_Cost_Acre*Acquisition_Costs_Pct,0)</f>
        <v>0</v>
      </c>
    </row>
    <row r="11" customFormat="false" ht="15" hidden="false" customHeight="false" outlineLevel="0" collapsed="false">
      <c r="A11" s="5"/>
      <c r="B11" s="42" t="s">
        <v>174</v>
      </c>
      <c r="C11" s="47" t="n">
        <f aca="false">C9+C10</f>
        <v>-7725000</v>
      </c>
      <c r="D11" s="47" t="n">
        <f aca="false">D9+D10</f>
        <v>0</v>
      </c>
      <c r="E11" s="47" t="n">
        <f aca="false">E9+E10</f>
        <v>0</v>
      </c>
      <c r="F11" s="47" t="n">
        <f aca="false">F9+F10</f>
        <v>0</v>
      </c>
      <c r="G11" s="47" t="n">
        <f aca="false">G9+G10</f>
        <v>0</v>
      </c>
      <c r="H11" s="47" t="n">
        <f aca="false">H9+H10</f>
        <v>0</v>
      </c>
      <c r="I11" s="47" t="n">
        <f aca="false">I9+I10</f>
        <v>0</v>
      </c>
    </row>
    <row r="12" customFormat="false" ht="15" hidden="false" customHeight="false" outlineLevel="0" collapsed="false">
      <c r="A12" s="5"/>
      <c r="B12" s="5"/>
      <c r="C12" s="5"/>
      <c r="D12" s="5"/>
      <c r="E12" s="5"/>
      <c r="F12" s="5"/>
      <c r="G12" s="5"/>
      <c r="H12" s="5"/>
      <c r="I12" s="5"/>
    </row>
    <row r="13" customFormat="false" ht="15" hidden="false" customHeight="false" outlineLevel="0" collapsed="false">
      <c r="A13" s="5"/>
      <c r="B13" s="32" t="s">
        <v>175</v>
      </c>
      <c r="C13" s="16"/>
      <c r="D13" s="16"/>
      <c r="E13" s="16"/>
      <c r="F13" s="16"/>
      <c r="G13" s="16"/>
      <c r="H13" s="16"/>
      <c r="I13" s="16"/>
    </row>
    <row r="14" customFormat="false" ht="15" hidden="false" customHeight="false" outlineLevel="0" collapsed="false">
      <c r="A14" s="5"/>
      <c r="B14" s="40" t="s">
        <v>145</v>
      </c>
      <c r="C14" s="48" t="n">
        <f aca="false">-Entitlement_Costs!C13</f>
        <v>-683333.333333333</v>
      </c>
      <c r="D14" s="48" t="n">
        <f aca="false">-Entitlement_Costs!D13</f>
        <v>-533333.333333333</v>
      </c>
      <c r="E14" s="48" t="n">
        <f aca="false">-Entitlement_Costs!E13</f>
        <v>-483333.333333333</v>
      </c>
      <c r="F14" s="48" t="n">
        <f aca="false">-Entitlement_Costs!F13</f>
        <v>-0</v>
      </c>
      <c r="G14" s="48" t="n">
        <f aca="false">-Entitlement_Costs!G13</f>
        <v>-0</v>
      </c>
      <c r="H14" s="48" t="n">
        <f aca="false">-Entitlement_Costs!H13</f>
        <v>-0</v>
      </c>
      <c r="I14" s="48" t="n">
        <f aca="false">-Entitlement_Costs!I13</f>
        <v>-0</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2" t="s">
        <v>90</v>
      </c>
      <c r="C16" s="16"/>
      <c r="D16" s="16"/>
      <c r="E16" s="16"/>
      <c r="F16" s="16"/>
      <c r="G16" s="16"/>
      <c r="H16" s="16"/>
      <c r="I16" s="16"/>
    </row>
    <row r="17" customFormat="false" ht="15" hidden="false" customHeight="false" outlineLevel="0" collapsed="false">
      <c r="A17" s="5"/>
      <c r="B17" s="40" t="s">
        <v>90</v>
      </c>
      <c r="C17" s="48" t="n">
        <f aca="false">-Holding_Costs!C14</f>
        <v>-172500</v>
      </c>
      <c r="D17" s="48" t="n">
        <f aca="false">-Holding_Costs!D14</f>
        <v>-177675</v>
      </c>
      <c r="E17" s="48" t="n">
        <f aca="false">-Holding_Costs!E14</f>
        <v>-183005.25</v>
      </c>
      <c r="F17" s="48" t="n">
        <f aca="false">-Holding_Costs!F14</f>
        <v>-144103.373125</v>
      </c>
      <c r="G17" s="48" t="n">
        <f aca="false">-Holding_Costs!G14</f>
        <v>-102702.6789125</v>
      </c>
      <c r="H17" s="48" t="n">
        <f aca="false">-Holding_Costs!H14</f>
        <v>-58688.2500114375</v>
      </c>
      <c r="I17" s="48" t="n">
        <f aca="false">-Holding_Costs!I14</f>
        <v>-0</v>
      </c>
    </row>
    <row r="18" customFormat="false" ht="15" hidden="false" customHeight="false" outlineLevel="0" collapsed="false">
      <c r="A18" s="5"/>
      <c r="B18" s="5"/>
      <c r="C18" s="5"/>
      <c r="D18" s="5"/>
      <c r="E18" s="5"/>
      <c r="F18" s="5"/>
      <c r="G18" s="5"/>
      <c r="H18" s="5"/>
      <c r="I18" s="5"/>
    </row>
    <row r="19" customFormat="false" ht="15" hidden="false" customHeight="false" outlineLevel="0" collapsed="false">
      <c r="A19" s="5"/>
      <c r="B19" s="32" t="s">
        <v>113</v>
      </c>
      <c r="C19" s="16"/>
      <c r="D19" s="16"/>
      <c r="E19" s="16"/>
      <c r="F19" s="16"/>
      <c r="G19" s="16"/>
      <c r="H19" s="16"/>
      <c r="I19" s="16"/>
    </row>
    <row r="20" customFormat="false" ht="15" hidden="false" customHeight="false" outlineLevel="0" collapsed="false">
      <c r="A20" s="5"/>
      <c r="B20" s="40" t="s">
        <v>176</v>
      </c>
      <c r="C20" s="48" t="n">
        <f aca="false">Land_Inventory!C11*Land_Inventory!C15*(1+Land_Inventory!C17)</f>
        <v>0</v>
      </c>
      <c r="D20" s="48" t="n">
        <f aca="false">Land_Inventory!D11*Land_Inventory!D15*(1+Land_Inventory!D17)</f>
        <v>0</v>
      </c>
      <c r="E20" s="48" t="n">
        <f aca="false">Land_Inventory!E11*Land_Inventory!E15*(1+Land_Inventory!E17)</f>
        <v>0</v>
      </c>
      <c r="F20" s="48" t="n">
        <f aca="false">Land_Inventory!F11*Land_Inventory!F15*(1+Land_Inventory!F17)</f>
        <v>3472875</v>
      </c>
      <c r="G20" s="48" t="n">
        <f aca="false">Land_Inventory!G11*Land_Inventory!G15*(1+Land_Inventory!G17)</f>
        <v>3646518.75</v>
      </c>
      <c r="H20" s="48" t="n">
        <f aca="false">Land_Inventory!H11*Land_Inventory!H15*(1+Land_Inventory!H17)</f>
        <v>3828844.6875</v>
      </c>
      <c r="I20" s="48" t="n">
        <f aca="false">Land_Inventory!I11*Land_Inventory!I15*(1+Land_Inventory!I17)</f>
        <v>4020286.921875</v>
      </c>
    </row>
    <row r="21" customFormat="false" ht="15" hidden="false" customHeight="false" outlineLevel="0" collapsed="false">
      <c r="A21" s="5"/>
      <c r="B21" s="40" t="s">
        <v>122</v>
      </c>
      <c r="C21" s="48" t="n">
        <f aca="false">-C20*Selling_Costs_Pct</f>
        <v>-0</v>
      </c>
      <c r="D21" s="48" t="n">
        <f aca="false">-D20*Selling_Costs_Pct</f>
        <v>-0</v>
      </c>
      <c r="E21" s="48" t="n">
        <f aca="false">-E20*Selling_Costs_Pct</f>
        <v>-0</v>
      </c>
      <c r="F21" s="48" t="n">
        <f aca="false">-F20*Selling_Costs_Pct</f>
        <v>-138915</v>
      </c>
      <c r="G21" s="48" t="n">
        <f aca="false">-G20*Selling_Costs_Pct</f>
        <v>-145860.75</v>
      </c>
      <c r="H21" s="48" t="n">
        <f aca="false">-H20*Selling_Costs_Pct</f>
        <v>-153153.7875</v>
      </c>
      <c r="I21" s="48" t="n">
        <f aca="false">-I20*Selling_Costs_Pct</f>
        <v>-160811.476875</v>
      </c>
    </row>
    <row r="22" customFormat="false" ht="15" hidden="false" customHeight="false" outlineLevel="0" collapsed="false">
      <c r="A22" s="5"/>
      <c r="B22" s="42" t="s">
        <v>177</v>
      </c>
      <c r="C22" s="47" t="n">
        <f aca="false">C20+C21</f>
        <v>0</v>
      </c>
      <c r="D22" s="47" t="n">
        <f aca="false">D20+D21</f>
        <v>0</v>
      </c>
      <c r="E22" s="47" t="n">
        <f aca="false">E20+E21</f>
        <v>0</v>
      </c>
      <c r="F22" s="47" t="n">
        <f aca="false">F20+F21</f>
        <v>3333960</v>
      </c>
      <c r="G22" s="47" t="n">
        <f aca="false">G20+G21</f>
        <v>3500658</v>
      </c>
      <c r="H22" s="47" t="n">
        <f aca="false">H20+H21</f>
        <v>3675690.9</v>
      </c>
      <c r="I22" s="47" t="n">
        <f aca="false">I20+I21</f>
        <v>3859475.445</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32" t="s">
        <v>104</v>
      </c>
      <c r="C24" s="16"/>
      <c r="D24" s="16"/>
      <c r="E24" s="16"/>
      <c r="F24" s="16"/>
      <c r="G24" s="16"/>
      <c r="H24" s="16"/>
      <c r="I24" s="16"/>
    </row>
    <row r="25" customFormat="false" ht="15" hidden="false" customHeight="false" outlineLevel="0" collapsed="false">
      <c r="A25" s="5"/>
      <c r="B25" s="40" t="s">
        <v>178</v>
      </c>
      <c r="C25" s="48" t="n">
        <f aca="false">Debt_Schedule!C13</f>
        <v>3750000</v>
      </c>
      <c r="D25" s="48" t="n">
        <f aca="false">Debt_Schedule!D13</f>
        <v>0</v>
      </c>
      <c r="E25" s="48" t="n">
        <f aca="false">Debt_Schedule!E13</f>
        <v>0</v>
      </c>
      <c r="F25" s="48" t="n">
        <f aca="false">Debt_Schedule!F13</f>
        <v>0</v>
      </c>
      <c r="G25" s="48" t="n">
        <f aca="false">Debt_Schedule!G13</f>
        <v>0</v>
      </c>
      <c r="H25" s="48" t="n">
        <f aca="false">Debt_Schedule!H13</f>
        <v>0</v>
      </c>
      <c r="I25" s="48" t="n">
        <f aca="false">Debt_Schedule!I13</f>
        <v>0</v>
      </c>
    </row>
    <row r="26" customFormat="false" ht="15" hidden="false" customHeight="false" outlineLevel="0" collapsed="false">
      <c r="A26" s="5"/>
      <c r="B26" s="40" t="s">
        <v>179</v>
      </c>
      <c r="C26" s="48" t="n">
        <f aca="false">Debt_Schedule!C14</f>
        <v>-0</v>
      </c>
      <c r="D26" s="48" t="n">
        <f aca="false">Debt_Schedule!D14</f>
        <v>-0</v>
      </c>
      <c r="E26" s="48" t="n">
        <f aca="false">Debt_Schedule!E14</f>
        <v>-0</v>
      </c>
      <c r="F26" s="48" t="n">
        <f aca="false">Debt_Schedule!F14</f>
        <v>-937500</v>
      </c>
      <c r="G26" s="48" t="n">
        <f aca="false">Debt_Schedule!G14</f>
        <v>-937500</v>
      </c>
      <c r="H26" s="48" t="n">
        <f aca="false">Debt_Schedule!H14</f>
        <v>-937500</v>
      </c>
      <c r="I26" s="48" t="n">
        <f aca="false">Debt_Schedule!I14</f>
        <v>-937500</v>
      </c>
    </row>
    <row r="27" customFormat="false" ht="15" hidden="false" customHeight="false" outlineLevel="0" collapsed="false">
      <c r="A27" s="5"/>
      <c r="B27" s="40" t="s">
        <v>180</v>
      </c>
      <c r="C27" s="48" t="n">
        <f aca="false">IF(C6=0,-C11-C25,0)</f>
        <v>3975000</v>
      </c>
      <c r="D27" s="48" t="n">
        <f aca="false">IF(D6=0,-D11-D25,0)</f>
        <v>0</v>
      </c>
      <c r="E27" s="48" t="n">
        <f aca="false">IF(E6=0,-E11-E25,0)</f>
        <v>0</v>
      </c>
      <c r="F27" s="48" t="n">
        <f aca="false">IF(F6=0,-F11-F25,0)</f>
        <v>0</v>
      </c>
      <c r="G27" s="48" t="n">
        <f aca="false">IF(G6=0,-G11-G25,0)</f>
        <v>0</v>
      </c>
      <c r="H27" s="48" t="n">
        <f aca="false">IF(H6=0,-H11-H25,0)</f>
        <v>0</v>
      </c>
      <c r="I27" s="48" t="n">
        <f aca="false">IF(I6=0,-I11-I25,0)</f>
        <v>0</v>
      </c>
    </row>
    <row r="28" customFormat="false" ht="15" hidden="false" customHeight="false" outlineLevel="0" collapsed="false">
      <c r="A28" s="5"/>
      <c r="B28" s="40" t="s">
        <v>181</v>
      </c>
      <c r="C28" s="48" t="n">
        <f aca="false">-Debt_Schedule!C18</f>
        <v>-0</v>
      </c>
      <c r="D28" s="48" t="n">
        <f aca="false">-Debt_Schedule!D18</f>
        <v>-281250</v>
      </c>
      <c r="E28" s="48" t="n">
        <f aca="false">-Debt_Schedule!E18</f>
        <v>-281250</v>
      </c>
      <c r="F28" s="48" t="n">
        <f aca="false">-Debt_Schedule!F18</f>
        <v>-281250</v>
      </c>
      <c r="G28" s="48" t="n">
        <f aca="false">-Debt_Schedule!G18</f>
        <v>-210937.5</v>
      </c>
      <c r="H28" s="48" t="n">
        <f aca="false">-Debt_Schedule!H18</f>
        <v>-140625</v>
      </c>
      <c r="I28" s="48" t="n">
        <f aca="false">-Debt_Schedule!I18</f>
        <v>-70312.5</v>
      </c>
    </row>
    <row r="29" customFormat="false" ht="15" hidden="false" customHeight="false" outlineLevel="0" collapsed="false">
      <c r="A29" s="5"/>
      <c r="B29" s="40" t="s">
        <v>111</v>
      </c>
      <c r="C29" s="48" t="n">
        <f aca="false">-Debt_Schedule!C19</f>
        <v>-0</v>
      </c>
      <c r="D29" s="48" t="n">
        <f aca="false">-Debt_Schedule!D19</f>
        <v>-0</v>
      </c>
      <c r="E29" s="48" t="n">
        <f aca="false">-Debt_Schedule!E19</f>
        <v>-0</v>
      </c>
      <c r="F29" s="48" t="n">
        <f aca="false">-Debt_Schedule!F19</f>
        <v>-0</v>
      </c>
      <c r="G29" s="48" t="n">
        <f aca="false">-Debt_Schedule!G19</f>
        <v>-0</v>
      </c>
      <c r="H29" s="48" t="n">
        <f aca="false">-Debt_Schedule!H19</f>
        <v>-0</v>
      </c>
      <c r="I29" s="48" t="n">
        <f aca="false">-Debt_Schedule!I19</f>
        <v>-0</v>
      </c>
    </row>
    <row r="30" customFormat="false" ht="15" hidden="false" customHeight="false" outlineLevel="0" collapsed="false">
      <c r="A30" s="5"/>
      <c r="B30" s="42" t="s">
        <v>182</v>
      </c>
      <c r="C30" s="47" t="n">
        <f aca="false">SUM(C25:C29)</f>
        <v>7725000</v>
      </c>
      <c r="D30" s="47" t="n">
        <f aca="false">SUM(D25:D29)</f>
        <v>-281250</v>
      </c>
      <c r="E30" s="47" t="n">
        <f aca="false">SUM(E25:E29)</f>
        <v>-281250</v>
      </c>
      <c r="F30" s="47" t="n">
        <f aca="false">SUM(F25:F29)</f>
        <v>-1218750</v>
      </c>
      <c r="G30" s="47" t="n">
        <f aca="false">SUM(G25:G29)</f>
        <v>-1148437.5</v>
      </c>
      <c r="H30" s="47" t="n">
        <f aca="false">SUM(H25:H29)</f>
        <v>-1078125</v>
      </c>
      <c r="I30" s="47" t="n">
        <f aca="false">SUM(I25:I29)</f>
        <v>-1007812.5</v>
      </c>
    </row>
    <row r="31" customFormat="false" ht="15" hidden="false" customHeight="false" outlineLevel="0" collapsed="false">
      <c r="A31" s="5"/>
      <c r="B31" s="5"/>
      <c r="C31" s="5"/>
      <c r="D31" s="5"/>
      <c r="E31" s="5"/>
      <c r="F31" s="5"/>
      <c r="G31" s="5"/>
      <c r="H31" s="5"/>
      <c r="I31" s="5"/>
    </row>
    <row r="32" customFormat="false" ht="15" hidden="false" customHeight="false" outlineLevel="0" collapsed="false">
      <c r="A32" s="5"/>
      <c r="B32" s="32" t="s">
        <v>183</v>
      </c>
      <c r="C32" s="16"/>
      <c r="D32" s="16"/>
      <c r="E32" s="16"/>
      <c r="F32" s="16"/>
      <c r="G32" s="16"/>
      <c r="H32" s="16"/>
      <c r="I32" s="16"/>
    </row>
    <row r="33" customFormat="false" ht="15" hidden="false" customHeight="false" outlineLevel="0" collapsed="false">
      <c r="A33" s="5"/>
      <c r="B33" s="40" t="s">
        <v>184</v>
      </c>
      <c r="C33" s="48" t="n">
        <f aca="false">C11+C14+C17+C22+C30</f>
        <v>-855833.333333334</v>
      </c>
      <c r="D33" s="48" t="n">
        <f aca="false">D11+D14+D17+D22+D30</f>
        <v>-992258.333333333</v>
      </c>
      <c r="E33" s="48" t="n">
        <f aca="false">E11+E14+E17+E22+E30</f>
        <v>-947588.583333333</v>
      </c>
      <c r="F33" s="48" t="n">
        <f aca="false">F11+F14+F17+F22+F30</f>
        <v>1971106.626875</v>
      </c>
      <c r="G33" s="48" t="n">
        <f aca="false">G11+G14+G17+G22+G30</f>
        <v>2249517.8210875</v>
      </c>
      <c r="H33" s="48" t="n">
        <f aca="false">H11+H14+H17+H22+H30</f>
        <v>2538877.64998856</v>
      </c>
      <c r="I33" s="48" t="n">
        <f aca="false">I11+I14+I17+I22+I30</f>
        <v>2851662.945</v>
      </c>
    </row>
    <row r="34" customFormat="false" ht="15" hidden="false" customHeight="false" outlineLevel="0" collapsed="false">
      <c r="A34" s="5"/>
      <c r="B34" s="40" t="s">
        <v>185</v>
      </c>
      <c r="C34" s="48" t="n">
        <f aca="false">-MAX(0,(C20-Land_Inventory!C11*Raw_Land_Cost_Acre))*Tax_Rate</f>
        <v>-0</v>
      </c>
      <c r="D34" s="48" t="n">
        <f aca="false">-MAX(0,(D20-Land_Inventory!D11*Raw_Land_Cost_Acre))*Tax_Rate</f>
        <v>-0</v>
      </c>
      <c r="E34" s="48" t="n">
        <f aca="false">-MAX(0,(E20-Land_Inventory!E11*Raw_Land_Cost_Acre))*Tax_Rate</f>
        <v>-0</v>
      </c>
      <c r="F34" s="48" t="n">
        <f aca="false">-MAX(0,(F20-Land_Inventory!F11*Raw_Land_Cost_Acre))*Tax_Rate</f>
        <v>-399468.75</v>
      </c>
      <c r="G34" s="48" t="n">
        <f aca="false">-MAX(0,(G20-Land_Inventory!G11*Raw_Land_Cost_Acre))*Tax_Rate</f>
        <v>-442879.6875</v>
      </c>
      <c r="H34" s="48" t="n">
        <f aca="false">-MAX(0,(H20-Land_Inventory!H11*Raw_Land_Cost_Acre))*Tax_Rate</f>
        <v>-488461.171875</v>
      </c>
      <c r="I34" s="48" t="n">
        <f aca="false">-MAX(0,(I20-Land_Inventory!I11*Raw_Land_Cost_Acre))*Tax_Rate</f>
        <v>-536321.730468751</v>
      </c>
    </row>
    <row r="35" customFormat="false" ht="15" hidden="false" customHeight="false" outlineLevel="0" collapsed="false">
      <c r="A35" s="5"/>
      <c r="B35" s="49" t="s">
        <v>186</v>
      </c>
      <c r="C35" s="50" t="n">
        <f aca="false">C33+C34</f>
        <v>-855833.333333334</v>
      </c>
      <c r="D35" s="50" t="n">
        <f aca="false">D33+D34</f>
        <v>-992258.333333333</v>
      </c>
      <c r="E35" s="50" t="n">
        <f aca="false">E33+E34</f>
        <v>-947588.583333333</v>
      </c>
      <c r="F35" s="50" t="n">
        <f aca="false">F33+F34</f>
        <v>1571637.876875</v>
      </c>
      <c r="G35" s="50" t="n">
        <f aca="false">G33+G34</f>
        <v>1806638.1335875</v>
      </c>
      <c r="H35" s="50" t="n">
        <f aca="false">H33+H34</f>
        <v>2050416.47811356</v>
      </c>
      <c r="I35" s="50" t="n">
        <f aca="false">I33+I34</f>
        <v>2315341.21453125</v>
      </c>
    </row>
    <row r="36" customFormat="false" ht="15" hidden="false" customHeight="false" outlineLevel="0" collapsed="false">
      <c r="A36" s="5"/>
      <c r="B36" s="40" t="s">
        <v>187</v>
      </c>
      <c r="C36" s="48" t="n">
        <f aca="false">C35</f>
        <v>-855833.333333334</v>
      </c>
      <c r="D36" s="48" t="n">
        <f aca="false">C36+D35</f>
        <v>-1848091.66666667</v>
      </c>
      <c r="E36" s="48" t="n">
        <f aca="false">D36+E35</f>
        <v>-2795680.25</v>
      </c>
      <c r="F36" s="48" t="n">
        <f aca="false">E36+F35</f>
        <v>-1224042.373125</v>
      </c>
      <c r="G36" s="48" t="n">
        <f aca="false">F36+G35</f>
        <v>582595.760462501</v>
      </c>
      <c r="H36" s="48" t="n">
        <f aca="false">G36+H35</f>
        <v>2633012.23857606</v>
      </c>
      <c r="I36" s="48" t="n">
        <f aca="false">H36+I35</f>
        <v>4948353.45310732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188</v>
      </c>
      <c r="C2" s="5"/>
      <c r="D2" s="5"/>
      <c r="E2" s="5"/>
      <c r="F2" s="5"/>
      <c r="G2" s="5"/>
      <c r="H2" s="5"/>
      <c r="I2" s="5"/>
    </row>
    <row r="3" customFormat="false" ht="15" hidden="false" customHeight="false" outlineLevel="0" collapsed="false">
      <c r="A3" s="5"/>
      <c r="B3" s="29" t="s">
        <v>19</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7" t="s">
        <v>64</v>
      </c>
      <c r="C5" s="38" t="n">
        <f aca="false">Base_Year</f>
        <v>2025</v>
      </c>
      <c r="D5" s="38" t="n">
        <f aca="false">Base_Year+1</f>
        <v>2026</v>
      </c>
      <c r="E5" s="38" t="n">
        <f aca="false">Base_Year+2</f>
        <v>2027</v>
      </c>
      <c r="F5" s="38" t="n">
        <f aca="false">Base_Year+3</f>
        <v>2028</v>
      </c>
      <c r="G5" s="38" t="n">
        <f aca="false">Base_Year+4</f>
        <v>2029</v>
      </c>
      <c r="H5" s="38" t="n">
        <f aca="false">Base_Year+5</f>
        <v>2030</v>
      </c>
      <c r="I5" s="38" t="n">
        <f aca="false">Base_Year+6</f>
        <v>2031</v>
      </c>
    </row>
    <row r="6" customFormat="false" ht="15" hidden="false" customHeight="false" outlineLevel="0" collapsed="false">
      <c r="A6" s="5"/>
      <c r="B6" s="8" t="s">
        <v>133</v>
      </c>
      <c r="C6" s="39" t="n">
        <f aca="false">COLUMN(C1)-3</f>
        <v>0</v>
      </c>
      <c r="D6" s="39" t="n">
        <f aca="false">COLUMN(D1)-3</f>
        <v>1</v>
      </c>
      <c r="E6" s="39" t="n">
        <f aca="false">COLUMN(E1)-3</f>
        <v>2</v>
      </c>
      <c r="F6" s="39" t="n">
        <f aca="false">COLUMN(F1)-3</f>
        <v>3</v>
      </c>
      <c r="G6" s="39" t="n">
        <f aca="false">COLUMN(G1)-3</f>
        <v>4</v>
      </c>
      <c r="H6" s="39" t="n">
        <f aca="false">COLUMN(H1)-3</f>
        <v>5</v>
      </c>
      <c r="I6" s="39" t="n">
        <f aca="false">COLUMN(I1)-3</f>
        <v>6</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189</v>
      </c>
      <c r="C8" s="16"/>
      <c r="D8" s="16"/>
      <c r="E8" s="16"/>
      <c r="F8" s="16"/>
      <c r="G8" s="16"/>
      <c r="H8" s="16"/>
      <c r="I8" s="16"/>
    </row>
    <row r="9" customFormat="false" ht="15" hidden="false" customHeight="false" outlineLevel="0" collapsed="false">
      <c r="A9" s="5"/>
      <c r="B9" s="40" t="s">
        <v>190</v>
      </c>
      <c r="C9" s="48" t="n">
        <f aca="false">Cash_Flow!C11+Cash_Flow!C14+Cash_Flow!C17+Cash_Flow!C22+Cash_Flow!C34</f>
        <v>-8580833.33333333</v>
      </c>
      <c r="D9" s="48" t="n">
        <f aca="false">Cash_Flow!D11+Cash_Flow!D14+Cash_Flow!D17+Cash_Flow!D22+Cash_Flow!D34</f>
        <v>-711008.333333333</v>
      </c>
      <c r="E9" s="48" t="n">
        <f aca="false">Cash_Flow!E11+Cash_Flow!E14+Cash_Flow!E17+Cash_Flow!E22+Cash_Flow!E34</f>
        <v>-666338.583333333</v>
      </c>
      <c r="F9" s="48" t="n">
        <f aca="false">Cash_Flow!F11+Cash_Flow!F14+Cash_Flow!F17+Cash_Flow!F22+Cash_Flow!F34</f>
        <v>2790387.876875</v>
      </c>
      <c r="G9" s="48" t="n">
        <f aca="false">Cash_Flow!G11+Cash_Flow!G14+Cash_Flow!G17+Cash_Flow!G22+Cash_Flow!G34</f>
        <v>2955075.6335875</v>
      </c>
      <c r="H9" s="48" t="n">
        <f aca="false">Cash_Flow!H11+Cash_Flow!H14+Cash_Flow!H17+Cash_Flow!H22+Cash_Flow!H34</f>
        <v>3128541.47811356</v>
      </c>
      <c r="I9" s="48" t="n">
        <f aca="false">Cash_Flow!I11+Cash_Flow!I14+Cash_Flow!I17+Cash_Flow!I22+Cash_Flow!I34</f>
        <v>3323153.71453125</v>
      </c>
    </row>
    <row r="10" customFormat="false" ht="15" hidden="false" customHeight="false" outlineLevel="0" collapsed="false">
      <c r="A10" s="5"/>
      <c r="B10" s="40" t="s">
        <v>149</v>
      </c>
      <c r="C10" s="48" t="n">
        <f aca="false">C9</f>
        <v>-8580833.33333333</v>
      </c>
      <c r="D10" s="48" t="n">
        <f aca="false">C10+D9</f>
        <v>-9291841.66666667</v>
      </c>
      <c r="E10" s="48" t="n">
        <f aca="false">D10+E9</f>
        <v>-9958180.25</v>
      </c>
      <c r="F10" s="48" t="n">
        <f aca="false">E10+F9</f>
        <v>-7167792.373125</v>
      </c>
      <c r="G10" s="48" t="n">
        <f aca="false">F10+G9</f>
        <v>-4212716.7395375</v>
      </c>
      <c r="H10" s="48" t="n">
        <f aca="false">G10+H9</f>
        <v>-1084175.26142394</v>
      </c>
      <c r="I10" s="48" t="n">
        <f aca="false">H10+I9</f>
        <v>2238978.45310731</v>
      </c>
    </row>
    <row r="11" customFormat="false" ht="15" hidden="false" customHeight="false" outlineLevel="0" collapsed="false">
      <c r="A11" s="5"/>
      <c r="B11" s="52" t="s">
        <v>191</v>
      </c>
      <c r="C11" s="53" t="n">
        <f aca="false">IFERROR(IRR(C9:I9),0)</f>
        <v>0.0477823509496218</v>
      </c>
      <c r="D11" s="5"/>
      <c r="E11" s="5"/>
      <c r="F11" s="5"/>
      <c r="G11" s="5"/>
      <c r="H11" s="5"/>
      <c r="I11" s="5"/>
    </row>
    <row r="12" customFormat="false" ht="15" hidden="false" customHeight="false" outlineLevel="0" collapsed="false">
      <c r="A12" s="5"/>
      <c r="B12" s="52" t="s">
        <v>192</v>
      </c>
      <c r="C12" s="54" t="n">
        <f aca="false">IFERROR(-SUMPRODUCT((C9:I9&gt;0)*(C9:I9))/SUMPRODUCT((C9:I9&lt;0)*(C9:I9)),0)</f>
        <v>1.22483811267699</v>
      </c>
      <c r="D12" s="5"/>
      <c r="E12" s="5"/>
      <c r="F12" s="5"/>
      <c r="G12" s="5"/>
      <c r="H12" s="5"/>
      <c r="I12" s="5"/>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2" t="s">
        <v>193</v>
      </c>
      <c r="C14" s="16"/>
      <c r="D14" s="16"/>
      <c r="E14" s="16"/>
      <c r="F14" s="16"/>
      <c r="G14" s="16"/>
      <c r="H14" s="16"/>
      <c r="I14" s="16"/>
    </row>
    <row r="15" customFormat="false" ht="15" hidden="false" customHeight="false" outlineLevel="0" collapsed="false">
      <c r="A15" s="5"/>
      <c r="B15" s="40" t="s">
        <v>194</v>
      </c>
      <c r="C15" s="48" t="n">
        <f aca="false">Cash_Flow!C35</f>
        <v>-855833.333333334</v>
      </c>
      <c r="D15" s="48" t="n">
        <f aca="false">Cash_Flow!D35</f>
        <v>-992258.333333333</v>
      </c>
      <c r="E15" s="48" t="n">
        <f aca="false">Cash_Flow!E35</f>
        <v>-947588.583333333</v>
      </c>
      <c r="F15" s="48" t="n">
        <f aca="false">Cash_Flow!F35</f>
        <v>1571637.876875</v>
      </c>
      <c r="G15" s="48" t="n">
        <f aca="false">Cash_Flow!G35</f>
        <v>1806638.1335875</v>
      </c>
      <c r="H15" s="48" t="n">
        <f aca="false">Cash_Flow!H35</f>
        <v>2050416.47811356</v>
      </c>
      <c r="I15" s="48" t="n">
        <f aca="false">Cash_Flow!I35</f>
        <v>2315341.21453125</v>
      </c>
    </row>
    <row r="16" customFormat="false" ht="15" hidden="false" customHeight="false" outlineLevel="0" collapsed="false">
      <c r="A16" s="5"/>
      <c r="B16" s="40" t="s">
        <v>149</v>
      </c>
      <c r="C16" s="48" t="n">
        <f aca="false">C15</f>
        <v>-855833.333333334</v>
      </c>
      <c r="D16" s="48" t="n">
        <f aca="false">C16+D15</f>
        <v>-1848091.66666667</v>
      </c>
      <c r="E16" s="48" t="n">
        <f aca="false">D16+E15</f>
        <v>-2795680.25</v>
      </c>
      <c r="F16" s="48" t="n">
        <f aca="false">E16+F15</f>
        <v>-1224042.373125</v>
      </c>
      <c r="G16" s="48" t="n">
        <f aca="false">F16+G15</f>
        <v>582595.760462501</v>
      </c>
      <c r="H16" s="48" t="n">
        <f aca="false">G16+H15</f>
        <v>2633012.23857606</v>
      </c>
      <c r="I16" s="48" t="n">
        <f aca="false">H16+I15</f>
        <v>4948353.45310732</v>
      </c>
    </row>
    <row r="17" customFormat="false" ht="15" hidden="false" customHeight="false" outlineLevel="0" collapsed="false">
      <c r="A17" s="5"/>
      <c r="B17" s="52" t="s">
        <v>195</v>
      </c>
      <c r="C17" s="53" t="n">
        <f aca="false">IFERROR(IRR(C15:I15),0)</f>
        <v>0.333383103261971</v>
      </c>
      <c r="D17" s="5"/>
      <c r="E17" s="5"/>
      <c r="F17" s="5"/>
      <c r="G17" s="5"/>
      <c r="H17" s="5"/>
      <c r="I17" s="5"/>
    </row>
    <row r="18" customFormat="false" ht="15" hidden="false" customHeight="false" outlineLevel="0" collapsed="false">
      <c r="A18" s="5"/>
      <c r="B18" s="52" t="s">
        <v>196</v>
      </c>
      <c r="C18" s="54" t="n">
        <f aca="false">IFERROR(-SUMPRODUCT((C15:I15&gt;0)*(C15:I15))/SUMPRODUCT((C15:I15&lt;0)*(C15:I15)),0)</f>
        <v>2.76999978917736</v>
      </c>
      <c r="D18" s="5"/>
      <c r="E18" s="5"/>
      <c r="F18" s="5"/>
      <c r="G18" s="5"/>
      <c r="H18" s="5"/>
      <c r="I18" s="5"/>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2" t="s">
        <v>197</v>
      </c>
      <c r="C20" s="16"/>
      <c r="D20" s="16"/>
      <c r="E20" s="16"/>
      <c r="F20" s="16"/>
      <c r="G20" s="16"/>
      <c r="H20" s="16"/>
      <c r="I20" s="16"/>
    </row>
    <row r="21" customFormat="false" ht="15" hidden="false" customHeight="false" outlineLevel="0" collapsed="false">
      <c r="A21" s="5"/>
      <c r="B21" s="52" t="s">
        <v>198</v>
      </c>
      <c r="C21" s="55" t="str">
        <f aca="false">IF(C17&gt;=Target_IRR,"PASS","FAIL")</f>
        <v>PASS</v>
      </c>
      <c r="D21" s="5"/>
      <c r="E21" s="5"/>
      <c r="F21" s="5"/>
      <c r="G21" s="5"/>
      <c r="H21" s="5"/>
      <c r="I21" s="5"/>
    </row>
    <row r="22" customFormat="false" ht="15" hidden="false" customHeight="false" outlineLevel="0" collapsed="false">
      <c r="A22" s="5"/>
      <c r="B22" s="52" t="s">
        <v>199</v>
      </c>
      <c r="C22" s="55" t="str">
        <f aca="false">IF(C18&gt;=Target_MOIC,"PASS","FAIL")</f>
        <v>PASS</v>
      </c>
      <c r="D22" s="5"/>
      <c r="E22" s="5"/>
      <c r="F22" s="5"/>
      <c r="G22" s="5"/>
      <c r="H22" s="5"/>
      <c r="I2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2026-05-15T18:53:24Z</dcterms:created>
  <dc:creator>openpyxl</dc:creator>
  <dc:description/>
  <dc:language>en-GB</dc:language>
  <cp:lastModifiedBy/>
  <dcterms:modified xsi:type="dcterms:W3CDTF">2026-05-15T18:53:25Z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