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Case_Portfolio" sheetId="3" state="visible" r:id="rId5"/>
    <sheet name="Cashflows" sheetId="4" state="visible" r:id="rId6"/>
    <sheet name="Returns" sheetId="5" state="visible" r:id="rId7"/>
    <sheet name="Sensitivity" sheetId="6" state="visible" r:id="rId8"/>
    <sheet name="Checks" sheetId="7" state="visible" r:id="rId9"/>
    <sheet name="Disclaimer" sheetId="8" state="visible" r:id="rId10"/>
  </sheets>
  <definedNames>
    <definedName function="false" hidden="false" name="Active_Scalar" vbProcedure="false">Assumptions!$C$28</definedName>
    <definedName function="false" hidden="false" name="Carry_Pct" vbProcedure="false">Assumptions!$C$9</definedName>
    <definedName function="false" hidden="false" name="Case_Capital" vbProcedure="false">Assumptions!$D$15:$D$22</definedName>
    <definedName function="false" hidden="false" name="Case_LossRec" vbProcedure="false">Assumptions!$I$15:$I$22</definedName>
    <definedName function="false" hidden="false" name="Case_MOIC" vbProcedure="false">Assumptions!$H$15:$H$22</definedName>
    <definedName function="false" hidden="false" name="Case_WinProb" vbProcedure="false">Assumptions!$G$15:$G$22</definedName>
    <definedName function="false" hidden="false" name="CF_Carry_Tot" vbProcedure="false">Cashflows!$C$35:$H$35</definedName>
    <definedName function="false" hidden="false" name="CF_Cum_Pre_End" vbProcedure="false">Cashflows!$H$33</definedName>
    <definedName function="false" hidden="false" name="CF_Invest_Tot" vbProcedure="false">Cashflows!$C$17:$H$17</definedName>
    <definedName function="false" hidden="false" name="CF_LP_Stream" vbProcedure="false">Cashflows!$C$37:$H$37</definedName>
    <definedName function="false" hidden="false" name="CF_Mgmt_Tot" vbProcedure="false">Cashflows!$C$30:$H$30</definedName>
    <definedName function="false" hidden="false" name="CF_Period_Row" vbProcedure="false">Cashflows!$C$6:$H$6</definedName>
    <definedName function="false" hidden="false" name="CF_Pre_Stream" vbProcedure="false">Cashflows!$C$32:$H$32</definedName>
    <definedName function="false" hidden="false" name="CF_Recovery_Tot" vbProcedure="false">Cashflows!$C$28:$H$28</definedName>
    <definedName function="false" hidden="false" name="Check_Tol" vbProcedure="false">Assumptions!$C$35</definedName>
    <definedName function="false" hidden="false" name="Discount_Rate" vbProcedure="false">Assumptions!$C$11</definedName>
    <definedName function="false" hidden="false" name="Hurdle_Rate" vbProcedure="false">Assumptions!$C$10</definedName>
    <definedName function="false" hidden="false" name="Mgmt_Fee" vbProcedure="false">Assumptions!$C$8</definedName>
    <definedName function="false" hidden="false" name="Sens_MOIC_Band" vbProcedure="false">Assumptions!$C$31:$G$31</definedName>
    <definedName function="false" hidden="false" name="Sens_Win_Band" vbProcedure="false">Assumptions!$C$33:$G$33</definedName>
    <definedName function="false" hidden="false" name="Total_Capital" vbProcedure="false">Case_Portfolio!$C$15</definedName>
    <definedName function="false" hidden="false" name="Total_EV_Profit" vbProcedure="false">Case_Portfolio!$I$15</definedName>
    <definedName function="false" hidden="false" name="Total_EV_Rec" vbProcedure="false">Case_Portfolio!$H$15</definedName>
    <definedName function="false" hidden="false" name="Vintage_Year" vbProcedure="false">Assumptions!$C$7</definedName>
    <definedName function="false" hidden="false" name="Wgt_Avg_Dur" vbProcedure="false">Case_Portfolio!$E$16</definedName>
    <definedName function="false" hidden="false" name="Wgt_Avg_Win" vbProcedure="false">Case_Portfolio!$F$16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<sst xmlns="http://schemas.openxmlformats.org/spreadsheetml/2006/main" count="220" uniqueCount="187">
  <si>
    <t xml:space="preserve">Litigation Funding Portfolio</t>
  </si>
  <si>
    <t xml:space="preserve">FINAMODEL.com</t>
  </si>
  <si>
    <t xml:space="preserve">Investor-Perspective Return Model</t>
  </si>
  <si>
    <t xml:space="preserve">Sheet</t>
  </si>
  <si>
    <t xml:space="preserve">Tab</t>
  </si>
  <si>
    <t xml:space="preserve">Purpose</t>
  </si>
  <si>
    <t xml:space="preserve">Cover</t>
  </si>
  <si>
    <t xml:space="preserve">Navy</t>
  </si>
  <si>
    <t xml:space="preserve">Title and sheet index</t>
  </si>
  <si>
    <t xml:space="preserve">Assumptions</t>
  </si>
  <si>
    <t xml:space="preserve">Blue</t>
  </si>
  <si>
    <t xml:space="preserve">Case panel and portfolio inputs</t>
  </si>
  <si>
    <t xml:space="preserve">Case_Portfolio</t>
  </si>
  <si>
    <t xml:space="preserve">Per-case expected value and duration</t>
  </si>
  <si>
    <t xml:space="preserve">Cashflows</t>
  </si>
  <si>
    <t xml:space="preserve">Green</t>
  </si>
  <si>
    <t xml:space="preserve">Annual deployments and expected recoveries</t>
  </si>
  <si>
    <t xml:space="preserve">Returns</t>
  </si>
  <si>
    <t xml:space="preserve">Orange</t>
  </si>
  <si>
    <t xml:space="preserve">Gross and net IRR, MOIC, TVPI, DPI</t>
  </si>
  <si>
    <t xml:space="preserve">Sensitivity</t>
  </si>
  <si>
    <t xml:space="preserve">IRR vs win rate and MOIC on win</t>
  </si>
  <si>
    <t xml:space="preserve">Checks</t>
  </si>
  <si>
    <t xml:space="preserve">Red</t>
  </si>
  <si>
    <t xml:space="preserve">Validation: capital, EV math, balance</t>
  </si>
  <si>
    <t xml:space="preserve">Model Version: v1 (2026-05-23)</t>
  </si>
  <si>
    <t xml:space="preserve">Status: TEMPLATE - assumptions must be confirmed before use</t>
  </si>
  <si>
    <t xml:space="preserve">Parameter</t>
  </si>
  <si>
    <t xml:space="preserve">Value</t>
  </si>
  <si>
    <t xml:space="preserve">Unit</t>
  </si>
  <si>
    <t xml:space="preserve">Notes</t>
  </si>
  <si>
    <t xml:space="preserve">Scenario Selector</t>
  </si>
  <si>
    <t xml:space="preserve">1-3</t>
  </si>
  <si>
    <t xml:space="preserve">1=Base; 2=Bull (higher win rate); 3=Bear (lower win rate)</t>
  </si>
  <si>
    <t xml:space="preserve">Portfolio Economics</t>
  </si>
  <si>
    <t xml:space="preserve">Vintage Year</t>
  </si>
  <si>
    <t xml:space="preserve">year</t>
  </si>
  <si>
    <t xml:space="preserve">Fund inception year</t>
  </si>
  <si>
    <t xml:space="preserve">Management Fee</t>
  </si>
  <si>
    <t xml:space="preserve">p.a.</t>
  </si>
  <si>
    <t xml:space="preserve">% of committed capital, annual</t>
  </si>
  <si>
    <t xml:space="preserve">Carried Interest</t>
  </si>
  <si>
    <t xml:space="preserve">%</t>
  </si>
  <si>
    <t xml:space="preserve">% of profits above hurdle</t>
  </si>
  <si>
    <t xml:space="preserve">Hurdle Rate</t>
  </si>
  <si>
    <t xml:space="preserve">Preferred return before carry</t>
  </si>
  <si>
    <t xml:space="preserve">Discount Rate</t>
  </si>
  <si>
    <t xml:space="preserve">Required return for NPV</t>
  </si>
  <si>
    <t xml:space="preserve">Case Panel</t>
  </si>
  <si>
    <t xml:space="preserve">Case Name</t>
  </si>
  <si>
    <t xml:space="preserve">Type</t>
  </si>
  <si>
    <t xml:space="preserve">Capital</t>
  </si>
  <si>
    <t xml:space="preserve">Funding Yr</t>
  </si>
  <si>
    <t xml:space="preserve">Duration</t>
  </si>
  <si>
    <t xml:space="preserve">Win Prob</t>
  </si>
  <si>
    <t xml:space="preserve">MOIC on Win</t>
  </si>
  <si>
    <t xml:space="preserve">Loss Recovery</t>
  </si>
  <si>
    <t xml:space="preserve">Acme vs Beta Corp</t>
  </si>
  <si>
    <t xml:space="preserve">Commercial Breach</t>
  </si>
  <si>
    <t xml:space="preserve">Delta Patent Dispute</t>
  </si>
  <si>
    <t xml:space="preserve">IP Infringement</t>
  </si>
  <si>
    <t xml:space="preserve">Echo Class Action</t>
  </si>
  <si>
    <t xml:space="preserve">Antitrust</t>
  </si>
  <si>
    <t xml:space="preserve">Foxtrot Mass Tort</t>
  </si>
  <si>
    <t xml:space="preserve">Mass Tort</t>
  </si>
  <si>
    <t xml:space="preserve">Gamma Arbitration</t>
  </si>
  <si>
    <t xml:space="preserve">Int'l Arbitration</t>
  </si>
  <si>
    <t xml:space="preserve">Helios Securities</t>
  </si>
  <si>
    <t xml:space="preserve">Securities Fraud</t>
  </si>
  <si>
    <t xml:space="preserve">Iota Trade Secret</t>
  </si>
  <si>
    <t xml:space="preserve">Trade Secret</t>
  </si>
  <si>
    <t xml:space="preserve">Juno Construction</t>
  </si>
  <si>
    <t xml:space="preserve">Construction Lien</t>
  </si>
  <si>
    <t xml:space="preserve">Scenario Win-Rate Scalars</t>
  </si>
  <si>
    <t xml:space="preserve">Base Scenario</t>
  </si>
  <si>
    <t xml:space="preserve">x</t>
  </si>
  <si>
    <t xml:space="preserve">Multiplier on each case win prob</t>
  </si>
  <si>
    <t xml:space="preserve">Bull Scenario</t>
  </si>
  <si>
    <t xml:space="preserve">20% relative uplift in win prob</t>
  </si>
  <si>
    <t xml:space="preserve">Bear Scenario</t>
  </si>
  <si>
    <t xml:space="preserve">25% relative haircut in win prob</t>
  </si>
  <si>
    <t xml:space="preserve">Active Scalar</t>
  </si>
  <si>
    <t xml:space="preserve">Selected scenario scalar</t>
  </si>
  <si>
    <t xml:space="preserve">Sensitivity Grid Bands</t>
  </si>
  <si>
    <t xml:space="preserve">Initial MOIC Bands</t>
  </si>
  <si>
    <t xml:space="preserve">Initial Win-Rate Bands</t>
  </si>
  <si>
    <t xml:space="preserve">Check Tolerance</t>
  </si>
  <si>
    <t xml:space="preserve">pp</t>
  </si>
  <si>
    <t xml:space="preserve">Sensitivity-vs-headline IRR tolerance</t>
  </si>
  <si>
    <t xml:space="preserve">Case Portfolio</t>
  </si>
  <si>
    <t xml:space="preserve">Case</t>
  </si>
  <si>
    <t xml:space="preserve">Fund Yr</t>
  </si>
  <si>
    <t xml:space="preserve">Adj Win Prob</t>
  </si>
  <si>
    <t xml:space="preserve">EV Recovery</t>
  </si>
  <si>
    <t xml:space="preserve">EV Profit</t>
  </si>
  <si>
    <t xml:space="preserve">EV / Cost</t>
  </si>
  <si>
    <t xml:space="preserve">Resolution Yr</t>
  </si>
  <si>
    <t xml:space="preserve">Total Portfolio</t>
  </si>
  <si>
    <t xml:space="preserve">Weighted Average</t>
  </si>
  <si>
    <t xml:space="preserve">Portfolio Cashflows</t>
  </si>
  <si>
    <t xml:space="preserve">Year</t>
  </si>
  <si>
    <t xml:space="preserve">Period</t>
  </si>
  <si>
    <t xml:space="preserve">Capital Deployed (Outflows)</t>
  </si>
  <si>
    <t xml:space="preserve">Total Capital Deployed</t>
  </si>
  <si>
    <t xml:space="preserve">Expected Recoveries (Inflows)</t>
  </si>
  <si>
    <t xml:space="preserve">Total Expected Recovery</t>
  </si>
  <si>
    <t xml:space="preserve">Net Cashflow (Pre-Carry)</t>
  </si>
  <si>
    <t xml:space="preserve">Cumulative (Pre-Carry)</t>
  </si>
  <si>
    <t xml:space="preserve">GP Carry</t>
  </si>
  <si>
    <t xml:space="preserve">Carry Paid</t>
  </si>
  <si>
    <t xml:space="preserve">Net Cashflow (LP)</t>
  </si>
  <si>
    <t xml:space="preserve">Cumulative (LP)</t>
  </si>
  <si>
    <t xml:space="preserve">Metric</t>
  </si>
  <si>
    <t xml:space="preserve">Gross IRR (Pre-Fee/Carry)</t>
  </si>
  <si>
    <t xml:space="preserve">Pre-fee, pre-carry portfolio IRR</t>
  </si>
  <si>
    <t xml:space="preserve">Gross MOIC</t>
  </si>
  <si>
    <t xml:space="preserve">Gross recoveries / capital deployed</t>
  </si>
  <si>
    <t xml:space="preserve">Net IRR (LP)</t>
  </si>
  <si>
    <t xml:space="preserve">Post-fee, post-carry investor IRR</t>
  </si>
  <si>
    <t xml:space="preserve">Net MOIC</t>
  </si>
  <si>
    <t xml:space="preserve">Net distributions / capital deployed</t>
  </si>
  <si>
    <t xml:space="preserve">TVPI</t>
  </si>
  <si>
    <t xml:space="preserve">Total value / paid-in capital</t>
  </si>
  <si>
    <t xml:space="preserve">DPI</t>
  </si>
  <si>
    <t xml:space="preserve">Distributions / paid-in (realised)</t>
  </si>
  <si>
    <t xml:space="preserve">Portfolio NPV (LP)</t>
  </si>
  <si>
    <t xml:space="preserve">USD</t>
  </si>
  <si>
    <t xml:space="preserve">PV of LP cash stream at discount rate</t>
  </si>
  <si>
    <t xml:space="preserve">Portfolio Composition</t>
  </si>
  <si>
    <t xml:space="preserve">Capital-Weighted Win Rate</t>
  </si>
  <si>
    <t xml:space="preserve">Capital-weighted adjusted win probability</t>
  </si>
  <si>
    <t xml:space="preserve">Capital-Weighted Loss Rate</t>
  </si>
  <si>
    <t xml:space="preserve">Complement of weighted win rate</t>
  </si>
  <si>
    <t xml:space="preserve">Weighted Avg Duration</t>
  </si>
  <si>
    <t xml:space="preserve">yrs</t>
  </si>
  <si>
    <t xml:space="preserve">Capital-weighted case duration</t>
  </si>
  <si>
    <t xml:space="preserve">Capital Deployed</t>
  </si>
  <si>
    <t xml:space="preserve">Sum across all 8 cases</t>
  </si>
  <si>
    <t xml:space="preserve">Expected Recovery</t>
  </si>
  <si>
    <t xml:space="preserve">Probability-weighted expected recoveries</t>
  </si>
  <si>
    <t xml:space="preserve">Expected Profit</t>
  </si>
  <si>
    <t xml:space="preserve">EV recovery minus capital deployed</t>
  </si>
  <si>
    <t xml:space="preserve">Management Fees Paid</t>
  </si>
  <si>
    <t xml:space="preserve">Cumulative management fees (shown positive)</t>
  </si>
  <si>
    <t xml:space="preserve">Cumulative carry to GP (shown positive)</t>
  </si>
  <si>
    <t xml:space="preserve">Initial Net IRR Grid</t>
  </si>
  <si>
    <t xml:space="preserve">Win Scalar \ MOIC</t>
  </si>
  <si>
    <t xml:space="preserve">0.80x</t>
  </si>
  <si>
    <t xml:space="preserve">0.90x</t>
  </si>
  <si>
    <t xml:space="preserve">1.00x</t>
  </si>
  <si>
    <t xml:space="preserve">1.10x</t>
  </si>
  <si>
    <t xml:space="preserve">1.20x</t>
  </si>
  <si>
    <t xml:space="preserve">Validation Checks</t>
  </si>
  <si>
    <t xml:space="preserve">Check</t>
  </si>
  <si>
    <t xml:space="preserve">Target</t>
  </si>
  <si>
    <t xml:space="preserve">Status</t>
  </si>
  <si>
    <t xml:space="preserve">Deployed equals commitment</t>
  </si>
  <si>
    <t xml:space="preserve">Capital deployed must equal portfolio commitment</t>
  </si>
  <si>
    <t xml:space="preserve">Adjusted win prob bounded</t>
  </si>
  <si>
    <t xml:space="preserve">Zero cases exceed 100% adjusted win probability</t>
  </si>
  <si>
    <t xml:space="preserve">EV recovery non-negative</t>
  </si>
  <si>
    <t xml:space="preserve">EV is a probability-weighted positive quantity</t>
  </si>
  <si>
    <t xml:space="preserve">Carry confined to final period</t>
  </si>
  <si>
    <t xml:space="preserve">All non-final-period carry rows are zero</t>
  </si>
  <si>
    <t xml:space="preserve">Carry respects hurdle</t>
  </si>
  <si>
    <t xml:space="preserve">Carry pool tied to excess return above hurdle by duration</t>
  </si>
  <si>
    <t xml:space="preserve">Net MOIC bounded by gross</t>
  </si>
  <si>
    <t xml:space="preserve">Fees and carry can only reduce net returns</t>
  </si>
  <si>
    <t xml:space="preserve">Sensitivity centre approximates IRR</t>
  </si>
  <si>
    <t xml:space="preserve">Centre of grid (1.0x by 1.0x) within Check_Tol of headline net IRR</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</si>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</sst>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0"/>
    <numFmt numFmtId="166" formatCode="0.00%"/>
    <numFmt numFmtId="167" formatCode="#,##0"/>
    <numFmt numFmtId="168" formatCode="0.00\x"/>
    <numFmt numFmtId="169" formatCode="#,##0;\(#,##0\)"/>
  </numFmts>
  <fonts count="22">
    <font>
      <sz val="11"/>
      <name val="Arial"/>
      <family val="0"/>
      <charset val="1"/>
    </font>
    <font>
      <sz val="10"/>
      <name val="Arial"/>
      <family val="0"/>
    </font>
    <font>
      <sz val="10"/>
      <name val="Arial"/>
      <family val="0"/>
    </font>
    <font>
      <sz val="10"/>
      <name val="Arial"/>
      <family val="0"/>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b val="true"/>
      <sz val="11"/>
      <name val="Arial"/>
      <family val="0"/>
      <charset val="1"/>
    </font>
    <font>
      <i val="true"/>
      <sz val="11"/>
      <color rgb="FFC00000"/>
      <name val="Arial"/>
      <family val="0"/>
      <charset val="1"/>
    </font>
    <font>
      <b val="true"/>
      <sz val="11"/>
      <color theme="0"/>
      <name val="Arial"/>
      <family val="0"/>
      <charset val="1"/>
    </font>
    <font>
      <b val="true"/>
      <sz val="11"/>
      <color rgb="FF0070C0"/>
      <name val="Arial"/>
      <family val="0"/>
      <charset val="1"/>
    </font>
    <font>
      <b val="true"/>
      <sz val="11"/>
      <color theme="3"/>
      <name val="Arial"/>
      <family val="0"/>
      <charset val="1"/>
    </font>
    <font>
      <sz val="11"/>
      <color rgb="FF0070C0"/>
      <name val="Arial"/>
      <family val="0"/>
      <charset val="1"/>
    </font>
    <font>
      <b val="true"/>
      <sz val="18"/>
      <color rgb="FF1F4E79"/>
      <name val="Arial"/>
      <family val="0"/>
      <charset val="1"/>
    </font>
    <font>
      <sz val="11"/>
      <color theme="1"/>
      <name val="Calibri"/>
      <family val="2"/>
      <charset val="1"/>
    </font>
    <font>
      <b val="true"/>
      <sz val="11"/>
      <color rgb="FFFFFFFF"/>
      <name val="Arial"/>
      <family val="0"/>
      <charset val="1"/>
    </font>
    <font>
      <sz val="10"/>
      <color rgb="FF262626"/>
      <name val="Arial"/>
      <family val="0"/>
      <charset val="1"/>
    </font>
    <font>
      <b val="true"/>
      <sz val="10"/>
      <color rgb="FF1F4E79"/>
      <name val="Arial"/>
      <family val="0"/>
      <charset val="1"/>
    </font>
    <font>
      <b val="true"/>
      <sz val="11"/>
      <color rgb="FF1F4E79"/>
      <name val="Arial"/>
      <family val="0"/>
      <charset val="1"/>
    </font>
    <font>
      <sz val="9"/>
      <color rgb="FF404040"/>
      <name val="Arial"/>
      <family val="0"/>
      <charset val="1"/>
    </font>
    <font>
      <i val="true"/>
      <sz val="10"/>
      <color rgb="FF808080"/>
      <name val="Arial"/>
      <family val="0"/>
      <charset val="1"/>
    </font>
  </fonts>
  <fills count="6">
    <fill>
      <patternFill patternType="none"/>
    </fill>
    <fill>
      <patternFill patternType="gray125"/>
    </fill>
    <fill>
      <patternFill patternType="solid">
        <fgColor theme="3"/>
        <bgColor rgb="FF1F4E79"/>
      </patternFill>
    </fill>
    <fill>
      <patternFill patternType="solid">
        <fgColor rgb="FFDEEAF1"/>
        <bgColor rgb="FFF2F2F2"/>
      </patternFill>
    </fill>
    <fill>
      <patternFill patternType="solid">
        <fgColor rgb="FF1F4E79"/>
        <bgColor rgb="FF1F497D"/>
      </patternFill>
    </fill>
    <fill>
      <patternFill patternType="solid">
        <fgColor rgb="FFF2F2F2"/>
        <bgColor rgb="FFDEEAF1"/>
      </patternFill>
    </fill>
  </fills>
  <borders count="3">
    <border diagonalUp="false" diagonalDown="false">
      <left/>
      <right/>
      <top/>
      <bottom/>
      <diagonal/>
    </border>
    <border diagonalUp="false" diagonalDown="false">
      <left/>
      <right/>
      <top/>
      <bottom style="thin"/>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center" vertical="center" textRotation="0" wrapText="false" indent="0" shrinkToFit="false"/>
      <protection locked="true" hidden="false"/>
    </xf>
    <xf numFmtId="165" fontId="11" fillId="3" borderId="0" xfId="0" applyFont="true" applyBorder="false" applyAlignment="true" applyProtection="false">
      <alignment horizontal="righ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5" fontId="13" fillId="3" borderId="0" xfId="0" applyFont="true" applyBorder="false" applyAlignment="true" applyProtection="false">
      <alignment horizontal="right" vertical="center" textRotation="0" wrapText="false" indent="0" shrinkToFit="false"/>
      <protection locked="true" hidden="false"/>
    </xf>
    <xf numFmtId="166" fontId="13" fillId="3" borderId="0" xfId="0" applyFont="true" applyBorder="false" applyAlignment="true" applyProtection="false">
      <alignment horizontal="right" vertical="center" textRotation="0" wrapText="false" indent="0" shrinkToFit="false"/>
      <protection locked="true" hidden="false"/>
    </xf>
    <xf numFmtId="164" fontId="13" fillId="3" borderId="0" xfId="0" applyFont="true" applyBorder="false" applyAlignment="true" applyProtection="false">
      <alignment horizontal="left" vertical="center" textRotation="0" wrapText="false" indent="0" shrinkToFit="false"/>
      <protection locked="true" hidden="false"/>
    </xf>
    <xf numFmtId="167" fontId="13" fillId="3" borderId="0" xfId="0" applyFont="true" applyBorder="false" applyAlignment="true" applyProtection="false">
      <alignment horizontal="right" vertical="center" textRotation="0" wrapText="false" indent="0" shrinkToFit="false"/>
      <protection locked="true" hidden="false"/>
    </xf>
    <xf numFmtId="168" fontId="13" fillId="3" borderId="0" xfId="0" applyFont="true" applyBorder="false" applyAlignment="true" applyProtection="false">
      <alignment horizontal="right"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8" fontId="8" fillId="0" borderId="0" xfId="0" applyFont="true" applyBorder="false" applyAlignment="true" applyProtection="false">
      <alignment horizontal="right" vertical="center" textRotation="0" wrapText="false" indent="0" shrinkToFit="false"/>
      <protection locked="true" hidden="false"/>
    </xf>
    <xf numFmtId="167" fontId="0" fillId="0" borderId="0" xfId="0" applyFont="true" applyBorder="false" applyAlignment="true" applyProtection="false">
      <alignment horizontal="right" vertical="center" textRotation="0" wrapText="false" indent="0" shrinkToFit="false"/>
      <protection locked="true" hidden="false"/>
    </xf>
    <xf numFmtId="165" fontId="0" fillId="0" borderId="0" xfId="0" applyFont="true" applyBorder="false" applyAlignment="true" applyProtection="false">
      <alignment horizontal="right" vertical="center" textRotation="0" wrapText="false" indent="0" shrinkToFit="false"/>
      <protection locked="true" hidden="false"/>
    </xf>
    <xf numFmtId="166" fontId="0" fillId="0" borderId="0" xfId="0" applyFont="true" applyBorder="false" applyAlignment="true" applyProtection="false">
      <alignment horizontal="right" vertical="center" textRotation="0" wrapText="false" indent="0" shrinkToFit="false"/>
      <protection locked="true" hidden="false"/>
    </xf>
    <xf numFmtId="168" fontId="0" fillId="0" borderId="0" xfId="0" applyFont="true" applyBorder="false" applyAlignment="true" applyProtection="false">
      <alignment horizontal="right" vertical="center" textRotation="0" wrapText="false" indent="0" shrinkToFit="false"/>
      <protection locked="true" hidden="false"/>
    </xf>
    <xf numFmtId="169" fontId="0" fillId="0" borderId="0" xfId="0" applyFont="true" applyBorder="false" applyAlignment="true" applyProtection="false">
      <alignment horizontal="right" vertical="center" textRotation="0" wrapText="false" indent="0" shrinkToFit="false"/>
      <protection locked="true" hidden="false"/>
    </xf>
    <xf numFmtId="167" fontId="8" fillId="0" borderId="0" xfId="0" applyFont="true" applyBorder="false" applyAlignment="true" applyProtection="false">
      <alignment horizontal="right" vertical="center" textRotation="0" wrapText="false" indent="0" shrinkToFit="false"/>
      <protection locked="true" hidden="false"/>
    </xf>
    <xf numFmtId="169" fontId="8" fillId="0" borderId="0" xfId="0" applyFont="true" applyBorder="false" applyAlignment="true" applyProtection="false">
      <alignment horizontal="right" vertical="center" textRotation="0" wrapText="false" indent="0" shrinkToFit="false"/>
      <protection locked="true" hidden="false"/>
    </xf>
    <xf numFmtId="166" fontId="8" fillId="0" borderId="0" xfId="0" applyFont="true" applyBorder="false" applyAlignment="true" applyProtection="false">
      <alignment horizontal="right" vertical="center" textRotation="0" wrapText="false" indent="0" shrinkToFit="false"/>
      <protection locked="true" hidden="false"/>
    </xf>
    <xf numFmtId="164" fontId="8" fillId="0" borderId="1" xfId="0" applyFont="true" applyBorder="true" applyAlignment="true" applyProtection="false">
      <alignment horizontal="left" vertical="center" textRotation="0" wrapText="false" indent="0" shrinkToFit="false"/>
      <protection locked="true" hidden="false"/>
    </xf>
    <xf numFmtId="169" fontId="8" fillId="0" borderId="1" xfId="0" applyFont="true" applyBorder="true" applyAlignment="true" applyProtection="false">
      <alignment horizontal="right" vertical="center" textRotation="0" wrapText="false" indent="0" shrinkToFit="false"/>
      <protection locked="true" hidden="false"/>
    </xf>
    <xf numFmtId="167" fontId="8" fillId="0" borderId="1" xfId="0" applyFont="true" applyBorder="true" applyAlignment="true" applyProtection="false">
      <alignment horizontal="right"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0" borderId="2" xfId="0" applyFont="true" applyBorder="true" applyAlignment="false" applyProtection="false">
      <alignment horizontal="general" vertical="bottom" textRotation="0" wrapText="false" indent="0" shrinkToFit="false"/>
      <protection locked="true" hidden="false"/>
    </xf>
    <xf numFmtId="164" fontId="16" fillId="4" borderId="0" xfId="0" applyFont="true" applyBorder="false" applyAlignment="true" applyProtection="false">
      <alignment horizontal="left" vertical="center" textRotation="0" wrapText="false" indent="1" shrinkToFit="false"/>
      <protection locked="true" hidden="false"/>
    </xf>
    <xf numFmtId="164" fontId="17" fillId="0" borderId="0" xfId="0" applyFont="true" applyBorder="false" applyAlignment="true" applyProtection="false">
      <alignment horizontal="left" vertical="top" textRotation="0" wrapText="true" indent="1" shrinkToFit="false"/>
      <protection locked="true" hidden="false"/>
    </xf>
    <xf numFmtId="164" fontId="18" fillId="0" borderId="0" xfId="0" applyFont="true" applyBorder="false" applyAlignment="true" applyProtection="false">
      <alignment horizontal="left" vertical="center" textRotation="0" wrapText="false" indent="1" shrinkToFit="false"/>
      <protection locked="true" hidden="false"/>
    </xf>
    <xf numFmtId="164" fontId="19" fillId="0" borderId="0" xfId="0" applyFont="true" applyBorder="false" applyAlignment="true" applyProtection="false">
      <alignment horizontal="left" vertical="center" textRotation="0" wrapText="false" indent="1" shrinkToFit="false"/>
      <protection locked="true" hidden="false"/>
    </xf>
    <xf numFmtId="164" fontId="20" fillId="5" borderId="0" xfId="0" applyFont="true" applyBorder="false" applyAlignment="true" applyProtection="false">
      <alignment horizontal="left" vertical="top" textRotation="0" wrapText="true" indent="1" shrinkToFit="false"/>
      <protection locked="true" hidden="false"/>
    </xf>
    <xf numFmtId="164" fontId="21"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DEEAF1"/>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ED7D31"/>
      <rgbColor rgb="FF666699"/>
      <rgbColor rgb="FF70AD47"/>
      <rgbColor rgb="FF1F4E79"/>
      <rgbColor rgb="FF339966"/>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1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2"/>
    <col collapsed="false" customWidth="true" hidden="false" outlineLevel="0" max="3" min="3" style="0" width="14"/>
    <col collapsed="false" customWidth="true" hidden="false" outlineLevel="0" max="4" min="4" style="0" width="5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3</v>
      </c>
      <c r="C5" s="5" t="s">
        <v>4</v>
      </c>
      <c r="D5" s="5" t="s">
        <v>5</v>
      </c>
    </row>
    <row r="6" customFormat="false" ht="15" hidden="false" customHeight="false" outlineLevel="0" collapsed="false">
      <c r="B6" s="6" t="s">
        <v>6</v>
      </c>
      <c r="C6" s="6" t="s">
        <v>7</v>
      </c>
      <c r="D6" s="6" t="s">
        <v>8</v>
      </c>
    </row>
    <row r="7" customFormat="false" ht="15" hidden="false" customHeight="false" outlineLevel="0" collapsed="false">
      <c r="B7" s="6" t="s">
        <v>9</v>
      </c>
      <c r="C7" s="6" t="s">
        <v>10</v>
      </c>
      <c r="D7" s="6" t="s">
        <v>11</v>
      </c>
    </row>
    <row r="8" customFormat="false" ht="15" hidden="false" customHeight="false" outlineLevel="0" collapsed="false">
      <c r="B8" s="6" t="s">
        <v>12</v>
      </c>
      <c r="C8" s="6" t="s">
        <v>10</v>
      </c>
      <c r="D8" s="6" t="s">
        <v>13</v>
      </c>
    </row>
    <row r="9" customFormat="false" ht="15" hidden="false" customHeight="false" outlineLevel="0" collapsed="false">
      <c r="B9" s="6" t="s">
        <v>14</v>
      </c>
      <c r="C9" s="6" t="s">
        <v>15</v>
      </c>
      <c r="D9" s="6" t="s">
        <v>16</v>
      </c>
    </row>
    <row r="10" customFormat="false" ht="15" hidden="false" customHeight="false" outlineLevel="0" collapsed="false">
      <c r="B10" s="6" t="s">
        <v>17</v>
      </c>
      <c r="C10" s="6" t="s">
        <v>18</v>
      </c>
      <c r="D10" s="6" t="s">
        <v>19</v>
      </c>
    </row>
    <row r="11" customFormat="false" ht="15" hidden="false" customHeight="false" outlineLevel="0" collapsed="false">
      <c r="B11" s="6" t="s">
        <v>20</v>
      </c>
      <c r="C11" s="6" t="s">
        <v>18</v>
      </c>
      <c r="D11" s="6" t="s">
        <v>21</v>
      </c>
    </row>
    <row r="12" customFormat="false" ht="15" hidden="false" customHeight="false" outlineLevel="0" collapsed="false">
      <c r="B12" s="6" t="s">
        <v>22</v>
      </c>
      <c r="C12" s="6" t="s">
        <v>23</v>
      </c>
      <c r="D12" s="6" t="s">
        <v>24</v>
      </c>
    </row>
    <row r="14" customFormat="false" ht="15" hidden="false" customHeight="false" outlineLevel="0" collapsed="false">
      <c r="B14" s="7" t="s">
        <v>25</v>
      </c>
    </row>
    <row r="15" customFormat="false" ht="15" hidden="false" customHeight="false" outlineLevel="0" collapsed="false">
      <c r="B15" s="8" t="s">
        <v>26</v>
      </c>
    </row>
  </sheetData>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6"/>
    <col collapsed="false" customWidth="true" hidden="false" outlineLevel="0" max="4" min="4" style="0" width="22"/>
    <col collapsed="false" customWidth="true" hidden="false" outlineLevel="0" max="5" min="5" style="0" width="14"/>
    <col collapsed="false" customWidth="true" hidden="false" outlineLevel="0" max="8" min="6" style="0" width="12"/>
    <col collapsed="false" customWidth="true" hidden="false" outlineLevel="0" max="11" min="9"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9</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9" t="s">
        <v>27</v>
      </c>
      <c r="C4" s="9" t="s">
        <v>28</v>
      </c>
      <c r="D4" s="9" t="s">
        <v>29</v>
      </c>
      <c r="E4" s="9" t="s">
        <v>30</v>
      </c>
    </row>
    <row r="5" customFormat="false" ht="15" hidden="false" customHeight="false" outlineLevel="0" collapsed="false">
      <c r="B5" s="5" t="s">
        <v>31</v>
      </c>
      <c r="C5" s="10" t="n">
        <v>1</v>
      </c>
      <c r="D5" s="7" t="s">
        <v>32</v>
      </c>
      <c r="E5" s="7" t="s">
        <v>33</v>
      </c>
    </row>
    <row r="6" customFormat="false" ht="15" hidden="false" customHeight="false" outlineLevel="0" collapsed="false">
      <c r="B6" s="11" t="s">
        <v>34</v>
      </c>
    </row>
    <row r="7" customFormat="false" ht="15" hidden="false" customHeight="false" outlineLevel="0" collapsed="false">
      <c r="B7" s="7" t="s">
        <v>35</v>
      </c>
      <c r="C7" s="12" t="n">
        <v>2026</v>
      </c>
      <c r="D7" s="7" t="s">
        <v>36</v>
      </c>
      <c r="E7" s="7" t="s">
        <v>37</v>
      </c>
    </row>
    <row r="8" customFormat="false" ht="15" hidden="false" customHeight="false" outlineLevel="0" collapsed="false">
      <c r="B8" s="7" t="s">
        <v>38</v>
      </c>
      <c r="C8" s="13" t="n">
        <v>0.02</v>
      </c>
      <c r="D8" s="7" t="s">
        <v>39</v>
      </c>
      <c r="E8" s="7" t="s">
        <v>40</v>
      </c>
    </row>
    <row r="9" customFormat="false" ht="15" hidden="false" customHeight="false" outlineLevel="0" collapsed="false">
      <c r="B9" s="7" t="s">
        <v>41</v>
      </c>
      <c r="C9" s="13" t="n">
        <v>0.2</v>
      </c>
      <c r="D9" s="7" t="s">
        <v>42</v>
      </c>
      <c r="E9" s="7" t="s">
        <v>43</v>
      </c>
    </row>
    <row r="10" customFormat="false" ht="15" hidden="false" customHeight="false" outlineLevel="0" collapsed="false">
      <c r="B10" s="7" t="s">
        <v>44</v>
      </c>
      <c r="C10" s="13" t="n">
        <v>0.08</v>
      </c>
      <c r="D10" s="7" t="s">
        <v>39</v>
      </c>
      <c r="E10" s="7" t="s">
        <v>45</v>
      </c>
    </row>
    <row r="11" customFormat="false" ht="15" hidden="false" customHeight="false" outlineLevel="0" collapsed="false">
      <c r="B11" s="7" t="s">
        <v>46</v>
      </c>
      <c r="C11" s="13" t="n">
        <v>0.12</v>
      </c>
      <c r="D11" s="7" t="s">
        <v>39</v>
      </c>
      <c r="E11" s="7" t="s">
        <v>47</v>
      </c>
    </row>
    <row r="13" customFormat="false" ht="15" hidden="false" customHeight="false" outlineLevel="0" collapsed="false">
      <c r="B13" s="11" t="s">
        <v>48</v>
      </c>
    </row>
    <row r="14" customFormat="false" ht="15" hidden="false" customHeight="false" outlineLevel="0" collapsed="false">
      <c r="B14" s="9" t="s">
        <v>49</v>
      </c>
      <c r="C14" s="9" t="s">
        <v>50</v>
      </c>
      <c r="D14" s="9" t="s">
        <v>51</v>
      </c>
      <c r="E14" s="9" t="s">
        <v>52</v>
      </c>
      <c r="F14" s="9" t="s">
        <v>53</v>
      </c>
      <c r="G14" s="9" t="s">
        <v>54</v>
      </c>
      <c r="H14" s="9" t="s">
        <v>55</v>
      </c>
      <c r="I14" s="9" t="s">
        <v>56</v>
      </c>
    </row>
    <row r="15" customFormat="false" ht="15" hidden="false" customHeight="false" outlineLevel="0" collapsed="false">
      <c r="B15" s="14" t="s">
        <v>57</v>
      </c>
      <c r="C15" s="14" t="s">
        <v>58</v>
      </c>
      <c r="D15" s="15" t="n">
        <v>4500000</v>
      </c>
      <c r="E15" s="12" t="n">
        <v>0</v>
      </c>
      <c r="F15" s="12" t="n">
        <v>2</v>
      </c>
      <c r="G15" s="13" t="n">
        <v>0.55</v>
      </c>
      <c r="H15" s="16" t="n">
        <v>3.5</v>
      </c>
      <c r="I15" s="13" t="n">
        <v>0.1</v>
      </c>
    </row>
    <row r="16" customFormat="false" ht="15" hidden="false" customHeight="false" outlineLevel="0" collapsed="false">
      <c r="B16" s="14" t="s">
        <v>59</v>
      </c>
      <c r="C16" s="14" t="s">
        <v>60</v>
      </c>
      <c r="D16" s="15" t="n">
        <v>6000000</v>
      </c>
      <c r="E16" s="12" t="n">
        <v>0</v>
      </c>
      <c r="F16" s="12" t="n">
        <v>3</v>
      </c>
      <c r="G16" s="13" t="n">
        <v>0.4</v>
      </c>
      <c r="H16" s="16" t="n">
        <v>5</v>
      </c>
      <c r="I16" s="13" t="n">
        <v>0.05</v>
      </c>
    </row>
    <row r="17" customFormat="false" ht="15" hidden="false" customHeight="false" outlineLevel="0" collapsed="false">
      <c r="B17" s="14" t="s">
        <v>61</v>
      </c>
      <c r="C17" s="14" t="s">
        <v>62</v>
      </c>
      <c r="D17" s="15" t="n">
        <v>8000000</v>
      </c>
      <c r="E17" s="12" t="n">
        <v>1</v>
      </c>
      <c r="F17" s="12" t="n">
        <v>4</v>
      </c>
      <c r="G17" s="13" t="n">
        <v>0.35</v>
      </c>
      <c r="H17" s="16" t="n">
        <v>6</v>
      </c>
      <c r="I17" s="13" t="n">
        <v>0.05</v>
      </c>
    </row>
    <row r="18" customFormat="false" ht="15" hidden="false" customHeight="false" outlineLevel="0" collapsed="false">
      <c r="B18" s="14" t="s">
        <v>63</v>
      </c>
      <c r="C18" s="14" t="s">
        <v>64</v>
      </c>
      <c r="D18" s="15" t="n">
        <v>5500000</v>
      </c>
      <c r="E18" s="12" t="n">
        <v>1</v>
      </c>
      <c r="F18" s="12" t="n">
        <v>3</v>
      </c>
      <c r="G18" s="13" t="n">
        <v>0.5</v>
      </c>
      <c r="H18" s="16" t="n">
        <v>4</v>
      </c>
      <c r="I18" s="13" t="n">
        <v>0.08</v>
      </c>
    </row>
    <row r="19" customFormat="false" ht="15" hidden="false" customHeight="false" outlineLevel="0" collapsed="false">
      <c r="B19" s="14" t="s">
        <v>65</v>
      </c>
      <c r="C19" s="14" t="s">
        <v>66</v>
      </c>
      <c r="D19" s="15" t="n">
        <v>3500000</v>
      </c>
      <c r="E19" s="12" t="n">
        <v>2</v>
      </c>
      <c r="F19" s="12" t="n">
        <v>2</v>
      </c>
      <c r="G19" s="13" t="n">
        <v>0.6</v>
      </c>
      <c r="H19" s="16" t="n">
        <v>2.8</v>
      </c>
      <c r="I19" s="13" t="n">
        <v>0.15</v>
      </c>
    </row>
    <row r="20" customFormat="false" ht="15" hidden="false" customHeight="false" outlineLevel="0" collapsed="false">
      <c r="B20" s="14" t="s">
        <v>67</v>
      </c>
      <c r="C20" s="14" t="s">
        <v>68</v>
      </c>
      <c r="D20" s="15" t="n">
        <v>4000000</v>
      </c>
      <c r="E20" s="12" t="n">
        <v>2</v>
      </c>
      <c r="F20" s="12" t="n">
        <v>3</v>
      </c>
      <c r="G20" s="13" t="n">
        <v>0.45</v>
      </c>
      <c r="H20" s="16" t="n">
        <v>4.5</v>
      </c>
      <c r="I20" s="13" t="n">
        <v>0.1</v>
      </c>
    </row>
    <row r="21" customFormat="false" ht="15" hidden="false" customHeight="false" outlineLevel="0" collapsed="false">
      <c r="B21" s="14" t="s">
        <v>69</v>
      </c>
      <c r="C21" s="14" t="s">
        <v>70</v>
      </c>
      <c r="D21" s="15" t="n">
        <v>3000000</v>
      </c>
      <c r="E21" s="12" t="n">
        <v>0</v>
      </c>
      <c r="F21" s="12" t="n">
        <v>2</v>
      </c>
      <c r="G21" s="13" t="n">
        <v>0.5</v>
      </c>
      <c r="H21" s="16" t="n">
        <v>3.2</v>
      </c>
      <c r="I21" s="13" t="n">
        <v>0.1</v>
      </c>
    </row>
    <row r="22" customFormat="false" ht="15" hidden="false" customHeight="false" outlineLevel="0" collapsed="false">
      <c r="B22" s="14" t="s">
        <v>71</v>
      </c>
      <c r="C22" s="14" t="s">
        <v>72</v>
      </c>
      <c r="D22" s="15" t="n">
        <v>2500000</v>
      </c>
      <c r="E22" s="12" t="n">
        <v>1</v>
      </c>
      <c r="F22" s="12" t="n">
        <v>2</v>
      </c>
      <c r="G22" s="13" t="n">
        <v>0.65</v>
      </c>
      <c r="H22" s="16" t="n">
        <v>2.5</v>
      </c>
      <c r="I22" s="13" t="n">
        <v>0.2</v>
      </c>
    </row>
    <row r="24" customFormat="false" ht="15" hidden="false" customHeight="false" outlineLevel="0" collapsed="false">
      <c r="B24" s="11" t="s">
        <v>73</v>
      </c>
    </row>
    <row r="25" customFormat="false" ht="15" hidden="false" customHeight="false" outlineLevel="0" collapsed="false">
      <c r="B25" s="7" t="s">
        <v>74</v>
      </c>
      <c r="C25" s="16" t="n">
        <v>1</v>
      </c>
      <c r="D25" s="7" t="s">
        <v>75</v>
      </c>
      <c r="E25" s="7" t="s">
        <v>76</v>
      </c>
    </row>
    <row r="26" customFormat="false" ht="15" hidden="false" customHeight="false" outlineLevel="0" collapsed="false">
      <c r="B26" s="7" t="s">
        <v>77</v>
      </c>
      <c r="C26" s="16" t="n">
        <v>1.2</v>
      </c>
      <c r="D26" s="7" t="s">
        <v>75</v>
      </c>
      <c r="E26" s="7" t="s">
        <v>78</v>
      </c>
    </row>
    <row r="27" customFormat="false" ht="15" hidden="false" customHeight="false" outlineLevel="0" collapsed="false">
      <c r="B27" s="7" t="s">
        <v>79</v>
      </c>
      <c r="C27" s="16" t="n">
        <v>0.75</v>
      </c>
      <c r="D27" s="7" t="s">
        <v>75</v>
      </c>
      <c r="E27" s="7" t="s">
        <v>80</v>
      </c>
    </row>
    <row r="28" customFormat="false" ht="15" hidden="false" customHeight="false" outlineLevel="0" collapsed="false">
      <c r="B28" s="17" t="s">
        <v>81</v>
      </c>
      <c r="C28" s="18" t="n">
        <f aca="false">CHOOSE($C$5,$C$25,$C$26,$C$27)</f>
        <v>1</v>
      </c>
      <c r="D28" s="7" t="s">
        <v>75</v>
      </c>
      <c r="E28" s="7" t="s">
        <v>82</v>
      </c>
    </row>
    <row r="29" customFormat="false" ht="15" hidden="false" customHeight="false" outlineLevel="0" collapsed="false">
      <c r="B29" s="11" t="s">
        <v>83</v>
      </c>
    </row>
    <row r="30" customFormat="false" ht="15" hidden="false" customHeight="false" outlineLevel="0" collapsed="false">
      <c r="B30" s="7" t="s">
        <v>84</v>
      </c>
    </row>
    <row r="31" customFormat="false" ht="15" hidden="false" customHeight="false" outlineLevel="0" collapsed="false">
      <c r="C31" s="16" t="n">
        <v>0.8</v>
      </c>
      <c r="D31" s="16" t="n">
        <v>0.9</v>
      </c>
      <c r="E31" s="16" t="n">
        <v>1</v>
      </c>
      <c r="F31" s="16" t="n">
        <v>1.1</v>
      </c>
      <c r="G31" s="16" t="n">
        <v>1.2</v>
      </c>
    </row>
    <row r="32" customFormat="false" ht="15" hidden="false" customHeight="false" outlineLevel="0" collapsed="false">
      <c r="B32" s="7" t="s">
        <v>85</v>
      </c>
    </row>
    <row r="33" customFormat="false" ht="15" hidden="false" customHeight="false" outlineLevel="0" collapsed="false">
      <c r="C33" s="16" t="n">
        <v>0.6</v>
      </c>
      <c r="D33" s="16" t="n">
        <v>0.8</v>
      </c>
      <c r="E33" s="16" t="n">
        <v>1</v>
      </c>
      <c r="F33" s="16" t="n">
        <v>1.2</v>
      </c>
      <c r="G33" s="16" t="n">
        <v>1.4</v>
      </c>
    </row>
    <row r="35" customFormat="false" ht="15" hidden="false" customHeight="false" outlineLevel="0" collapsed="false">
      <c r="B35" s="7" t="s">
        <v>86</v>
      </c>
      <c r="C35" s="13" t="n">
        <v>0.25</v>
      </c>
      <c r="D35" s="7" t="s">
        <v>87</v>
      </c>
      <c r="E35" s="7" t="s">
        <v>88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4" min="3" style="0" width="14"/>
    <col collapsed="false" customWidth="true" hidden="false" outlineLevel="0" max="5" min="5" style="0" width="12"/>
    <col collapsed="false" customWidth="true" hidden="false" outlineLevel="0" max="12" min="6"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89</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9" t="s">
        <v>90</v>
      </c>
      <c r="C4" s="9" t="s">
        <v>51</v>
      </c>
      <c r="D4" s="9" t="s">
        <v>91</v>
      </c>
      <c r="E4" s="9" t="s">
        <v>53</v>
      </c>
      <c r="F4" s="9" t="s">
        <v>92</v>
      </c>
      <c r="G4" s="9" t="s">
        <v>55</v>
      </c>
      <c r="H4" s="9" t="s">
        <v>93</v>
      </c>
      <c r="I4" s="9" t="s">
        <v>94</v>
      </c>
      <c r="J4" s="9" t="s">
        <v>95</v>
      </c>
      <c r="K4" s="9" t="s">
        <v>96</v>
      </c>
    </row>
    <row r="6" customFormat="false" ht="15" hidden="false" customHeight="false" outlineLevel="0" collapsed="false">
      <c r="B6" s="7" t="str">
        <f aca="false">Assumptions!$B$15</f>
        <v>Acme vs Beta Corp</v>
      </c>
      <c r="C6" s="19" t="n">
        <f aca="false">Assumptions!$D$15</f>
        <v>4500000</v>
      </c>
      <c r="D6" s="20" t="n">
        <f aca="false">Assumptions!$E$15</f>
        <v>0</v>
      </c>
      <c r="E6" s="20" t="n">
        <f aca="false">Assumptions!$F$15</f>
        <v>2</v>
      </c>
      <c r="F6" s="21" t="n">
        <f aca="false">MIN(1,Assumptions!$G$15*Active_Scalar)</f>
        <v>0.55</v>
      </c>
      <c r="G6" s="22" t="n">
        <f aca="false">Assumptions!$H$15</f>
        <v>3.5</v>
      </c>
      <c r="H6" s="19" t="n">
        <f aca="false">$C6*($F6*$G6+(1-$F6)*Assumptions!$I$15)</f>
        <v>8865000</v>
      </c>
      <c r="I6" s="23" t="n">
        <f aca="false">$H6-$C6</f>
        <v>4365000</v>
      </c>
      <c r="J6" s="22" t="n">
        <f aca="false">IFERROR($H6/$C6,0)</f>
        <v>1.97</v>
      </c>
      <c r="K6" s="20" t="n">
        <f aca="false">$D6+$E6</f>
        <v>2</v>
      </c>
    </row>
    <row r="7" customFormat="false" ht="15" hidden="false" customHeight="false" outlineLevel="0" collapsed="false">
      <c r="B7" s="7" t="str">
        <f aca="false">Assumptions!$B$16</f>
        <v>Delta Patent Dispute</v>
      </c>
      <c r="C7" s="19" t="n">
        <f aca="false">Assumptions!$D$16</f>
        <v>6000000</v>
      </c>
      <c r="D7" s="20" t="n">
        <f aca="false">Assumptions!$E$16</f>
        <v>0</v>
      </c>
      <c r="E7" s="20" t="n">
        <f aca="false">Assumptions!$F$16</f>
        <v>3</v>
      </c>
      <c r="F7" s="21" t="n">
        <f aca="false">MIN(1,Assumptions!$G$16*Active_Scalar)</f>
        <v>0.4</v>
      </c>
      <c r="G7" s="22" t="n">
        <f aca="false">Assumptions!$H$16</f>
        <v>5</v>
      </c>
      <c r="H7" s="19" t="n">
        <f aca="false">$C7*($F7*$G7+(1-$F7)*Assumptions!$I$16)</f>
        <v>12180000</v>
      </c>
      <c r="I7" s="23" t="n">
        <f aca="false">$H7-$C7</f>
        <v>6180000</v>
      </c>
      <c r="J7" s="22" t="n">
        <f aca="false">IFERROR($H7/$C7,0)</f>
        <v>2.03</v>
      </c>
      <c r="K7" s="20" t="n">
        <f aca="false">$D7+$E7</f>
        <v>3</v>
      </c>
    </row>
    <row r="8" customFormat="false" ht="15" hidden="false" customHeight="false" outlineLevel="0" collapsed="false">
      <c r="B8" s="7" t="str">
        <f aca="false">Assumptions!$B$17</f>
        <v>Echo Class Action</v>
      </c>
      <c r="C8" s="19" t="n">
        <f aca="false">Assumptions!$D$17</f>
        <v>8000000</v>
      </c>
      <c r="D8" s="20" t="n">
        <f aca="false">Assumptions!$E$17</f>
        <v>1</v>
      </c>
      <c r="E8" s="20" t="n">
        <f aca="false">Assumptions!$F$17</f>
        <v>4</v>
      </c>
      <c r="F8" s="21" t="n">
        <f aca="false">MIN(1,Assumptions!$G$17*Active_Scalar)</f>
        <v>0.35</v>
      </c>
      <c r="G8" s="22" t="n">
        <f aca="false">Assumptions!$H$17</f>
        <v>6</v>
      </c>
      <c r="H8" s="19" t="n">
        <f aca="false">$C8*($F8*$G8+(1-$F8)*Assumptions!$I$17)</f>
        <v>17060000</v>
      </c>
      <c r="I8" s="23" t="n">
        <f aca="false">$H8-$C8</f>
        <v>9060000</v>
      </c>
      <c r="J8" s="22" t="n">
        <f aca="false">IFERROR($H8/$C8,0)</f>
        <v>2.1325</v>
      </c>
      <c r="K8" s="20" t="n">
        <f aca="false">$D8+$E8</f>
        <v>5</v>
      </c>
    </row>
    <row r="9" customFormat="false" ht="15" hidden="false" customHeight="false" outlineLevel="0" collapsed="false">
      <c r="B9" s="7" t="str">
        <f aca="false">Assumptions!$B$18</f>
        <v>Foxtrot Mass Tort</v>
      </c>
      <c r="C9" s="19" t="n">
        <f aca="false">Assumptions!$D$18</f>
        <v>5500000</v>
      </c>
      <c r="D9" s="20" t="n">
        <f aca="false">Assumptions!$E$18</f>
        <v>1</v>
      </c>
      <c r="E9" s="20" t="n">
        <f aca="false">Assumptions!$F$18</f>
        <v>3</v>
      </c>
      <c r="F9" s="21" t="n">
        <f aca="false">MIN(1,Assumptions!$G$18*Active_Scalar)</f>
        <v>0.5</v>
      </c>
      <c r="G9" s="22" t="n">
        <f aca="false">Assumptions!$H$18</f>
        <v>4</v>
      </c>
      <c r="H9" s="19" t="n">
        <f aca="false">$C9*($F9*$G9+(1-$F9)*Assumptions!$I$18)</f>
        <v>11220000</v>
      </c>
      <c r="I9" s="23" t="n">
        <f aca="false">$H9-$C9</f>
        <v>5720000</v>
      </c>
      <c r="J9" s="22" t="n">
        <f aca="false">IFERROR($H9/$C9,0)</f>
        <v>2.04</v>
      </c>
      <c r="K9" s="20" t="n">
        <f aca="false">$D9+$E9</f>
        <v>4</v>
      </c>
    </row>
    <row r="10" customFormat="false" ht="15" hidden="false" customHeight="false" outlineLevel="0" collapsed="false">
      <c r="B10" s="7" t="str">
        <f aca="false">Assumptions!$B$19</f>
        <v>Gamma Arbitration</v>
      </c>
      <c r="C10" s="19" t="n">
        <f aca="false">Assumptions!$D$19</f>
        <v>3500000</v>
      </c>
      <c r="D10" s="20" t="n">
        <f aca="false">Assumptions!$E$19</f>
        <v>2</v>
      </c>
      <c r="E10" s="20" t="n">
        <f aca="false">Assumptions!$F$19</f>
        <v>2</v>
      </c>
      <c r="F10" s="21" t="n">
        <f aca="false">MIN(1,Assumptions!$G$19*Active_Scalar)</f>
        <v>0.6</v>
      </c>
      <c r="G10" s="22" t="n">
        <f aca="false">Assumptions!$H$19</f>
        <v>2.8</v>
      </c>
      <c r="H10" s="19" t="n">
        <f aca="false">$C10*($F10*$G10+(1-$F10)*Assumptions!$I$19)</f>
        <v>6090000</v>
      </c>
      <c r="I10" s="23" t="n">
        <f aca="false">$H10-$C10</f>
        <v>2590000</v>
      </c>
      <c r="J10" s="22" t="n">
        <f aca="false">IFERROR($H10/$C10,0)</f>
        <v>1.74</v>
      </c>
      <c r="K10" s="20" t="n">
        <f aca="false">$D10+$E10</f>
        <v>4</v>
      </c>
    </row>
    <row r="11" customFormat="false" ht="15" hidden="false" customHeight="false" outlineLevel="0" collapsed="false">
      <c r="B11" s="7" t="str">
        <f aca="false">Assumptions!$B$20</f>
        <v>Helios Securities</v>
      </c>
      <c r="C11" s="19" t="n">
        <f aca="false">Assumptions!$D$20</f>
        <v>4000000</v>
      </c>
      <c r="D11" s="20" t="n">
        <f aca="false">Assumptions!$E$20</f>
        <v>2</v>
      </c>
      <c r="E11" s="20" t="n">
        <f aca="false">Assumptions!$F$20</f>
        <v>3</v>
      </c>
      <c r="F11" s="21" t="n">
        <f aca="false">MIN(1,Assumptions!$G$20*Active_Scalar)</f>
        <v>0.45</v>
      </c>
      <c r="G11" s="22" t="n">
        <f aca="false">Assumptions!$H$20</f>
        <v>4.5</v>
      </c>
      <c r="H11" s="19" t="n">
        <f aca="false">$C11*($F11*$G11+(1-$F11)*Assumptions!$I$20)</f>
        <v>8320000</v>
      </c>
      <c r="I11" s="23" t="n">
        <f aca="false">$H11-$C11</f>
        <v>4320000</v>
      </c>
      <c r="J11" s="22" t="n">
        <f aca="false">IFERROR($H11/$C11,0)</f>
        <v>2.08</v>
      </c>
      <c r="K11" s="20" t="n">
        <f aca="false">$D11+$E11</f>
        <v>5</v>
      </c>
    </row>
    <row r="12" customFormat="false" ht="15" hidden="false" customHeight="false" outlineLevel="0" collapsed="false">
      <c r="B12" s="7" t="str">
        <f aca="false">Assumptions!$B$21</f>
        <v>Iota Trade Secret</v>
      </c>
      <c r="C12" s="19" t="n">
        <f aca="false">Assumptions!$D$21</f>
        <v>3000000</v>
      </c>
      <c r="D12" s="20" t="n">
        <f aca="false">Assumptions!$E$21</f>
        <v>0</v>
      </c>
      <c r="E12" s="20" t="n">
        <f aca="false">Assumptions!$F$21</f>
        <v>2</v>
      </c>
      <c r="F12" s="21" t="n">
        <f aca="false">MIN(1,Assumptions!$G$21*Active_Scalar)</f>
        <v>0.5</v>
      </c>
      <c r="G12" s="22" t="n">
        <f aca="false">Assumptions!$H$21</f>
        <v>3.2</v>
      </c>
      <c r="H12" s="19" t="n">
        <f aca="false">$C12*($F12*$G12+(1-$F12)*Assumptions!$I$21)</f>
        <v>4950000</v>
      </c>
      <c r="I12" s="23" t="n">
        <f aca="false">$H12-$C12</f>
        <v>1950000</v>
      </c>
      <c r="J12" s="22" t="n">
        <f aca="false">IFERROR($H12/$C12,0)</f>
        <v>1.65</v>
      </c>
      <c r="K12" s="20" t="n">
        <f aca="false">$D12+$E12</f>
        <v>2</v>
      </c>
    </row>
    <row r="13" customFormat="false" ht="15" hidden="false" customHeight="false" outlineLevel="0" collapsed="false">
      <c r="B13" s="7" t="str">
        <f aca="false">Assumptions!$B$22</f>
        <v>Juno Construction</v>
      </c>
      <c r="C13" s="19" t="n">
        <f aca="false">Assumptions!$D$22</f>
        <v>2500000</v>
      </c>
      <c r="D13" s="20" t="n">
        <f aca="false">Assumptions!$E$22</f>
        <v>1</v>
      </c>
      <c r="E13" s="20" t="n">
        <f aca="false">Assumptions!$F$22</f>
        <v>2</v>
      </c>
      <c r="F13" s="21" t="n">
        <f aca="false">MIN(1,Assumptions!$G$22*Active_Scalar)</f>
        <v>0.65</v>
      </c>
      <c r="G13" s="22" t="n">
        <f aca="false">Assumptions!$H$22</f>
        <v>2.5</v>
      </c>
      <c r="H13" s="19" t="n">
        <f aca="false">$C13*($F13*$G13+(1-$F13)*Assumptions!$I$22)</f>
        <v>4237500</v>
      </c>
      <c r="I13" s="23" t="n">
        <f aca="false">$H13-$C13</f>
        <v>1737500</v>
      </c>
      <c r="J13" s="22" t="n">
        <f aca="false">IFERROR($H13/$C13,0)</f>
        <v>1.695</v>
      </c>
      <c r="K13" s="20" t="n">
        <f aca="false">$D13+$E13</f>
        <v>3</v>
      </c>
    </row>
    <row r="15" customFormat="false" ht="15" hidden="false" customHeight="false" outlineLevel="0" collapsed="false">
      <c r="B15" s="17" t="s">
        <v>97</v>
      </c>
      <c r="C15" s="24" t="n">
        <f aca="false">SUM(C6:C13)</f>
        <v>37000000</v>
      </c>
      <c r="H15" s="24" t="n">
        <f aca="false">SUM(H6:H13)</f>
        <v>72922500</v>
      </c>
      <c r="I15" s="25" t="n">
        <f aca="false">SUM(I6:I13)</f>
        <v>35922500</v>
      </c>
      <c r="J15" s="18" t="n">
        <f aca="false">IFERROR(H15/C15,0)</f>
        <v>1.97087837837838</v>
      </c>
    </row>
    <row r="16" customFormat="false" ht="15" hidden="false" customHeight="false" outlineLevel="0" collapsed="false">
      <c r="B16" s="17" t="s">
        <v>98</v>
      </c>
      <c r="E16" s="18" t="n">
        <f aca="false">SUMPRODUCT(E6:E13,C6:C13)/C15</f>
        <v>2.85135135135135</v>
      </c>
      <c r="F16" s="26" t="n">
        <f aca="false">SUMPRODUCT(F6:F13,C6:C13)/C15</f>
        <v>0.471621621621622</v>
      </c>
      <c r="G16" s="18" t="n">
        <f aca="false">SUMPRODUCT(G6:G13,C6:C13)/C15</f>
        <v>4.30810810810811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8" min="3" style="0" width="15"/>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99</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100</v>
      </c>
      <c r="C5" s="20" t="n">
        <f aca="false">Vintage_Year+C6</f>
        <v>2026</v>
      </c>
      <c r="D5" s="20" t="n">
        <f aca="false">Vintage_Year+D6</f>
        <v>2027</v>
      </c>
      <c r="E5" s="20" t="n">
        <f aca="false">Vintage_Year+E6</f>
        <v>2028</v>
      </c>
      <c r="F5" s="20" t="n">
        <f aca="false">Vintage_Year+F6</f>
        <v>2029</v>
      </c>
      <c r="G5" s="20" t="n">
        <f aca="false">Vintage_Year+G6</f>
        <v>2030</v>
      </c>
      <c r="H5" s="20" t="n">
        <f aca="false">Vintage_Year+H6</f>
        <v>2031</v>
      </c>
    </row>
    <row r="6" customFormat="false" ht="15" hidden="false" customHeight="false" outlineLevel="0" collapsed="false">
      <c r="B6" s="5" t="s">
        <v>101</v>
      </c>
      <c r="C6" s="20" t="n">
        <f aca="false">Vintage_Year-Vintage_Year+0</f>
        <v>0</v>
      </c>
      <c r="D6" s="20" t="n">
        <f aca="false">C6+1</f>
        <v>1</v>
      </c>
      <c r="E6" s="20" t="n">
        <f aca="false">D6+1</f>
        <v>2</v>
      </c>
      <c r="F6" s="20" t="n">
        <f aca="false">E6+1</f>
        <v>3</v>
      </c>
      <c r="G6" s="20" t="n">
        <f aca="false">F6+1</f>
        <v>4</v>
      </c>
      <c r="H6" s="20" t="n">
        <f aca="false">G6+1</f>
        <v>5</v>
      </c>
    </row>
    <row r="7" customFormat="false" ht="15" hidden="false" customHeight="false" outlineLevel="0" collapsed="false">
      <c r="B7" s="11" t="s">
        <v>102</v>
      </c>
    </row>
    <row r="8" customFormat="false" ht="15" hidden="false" customHeight="false" outlineLevel="0" collapsed="false">
      <c r="B8" s="7" t="str">
        <f aca="false">Case_Portfolio!$B$6</f>
        <v>Acme vs Beta Corp</v>
      </c>
      <c r="C8" s="23" t="n">
        <f aca="false">IF(C$6=Case_Portfolio!$D$6,-Case_Portfolio!$C$6,0)</f>
        <v>-4500000</v>
      </c>
      <c r="D8" s="23" t="n">
        <f aca="false">IF(D$6=Case_Portfolio!$D$6,-Case_Portfolio!$C$6,0)</f>
        <v>0</v>
      </c>
      <c r="E8" s="23" t="n">
        <f aca="false">IF(E$6=Case_Portfolio!$D$6,-Case_Portfolio!$C$6,0)</f>
        <v>0</v>
      </c>
      <c r="F8" s="23" t="n">
        <f aca="false">IF(F$6=Case_Portfolio!$D$6,-Case_Portfolio!$C$6,0)</f>
        <v>0</v>
      </c>
      <c r="G8" s="23" t="n">
        <f aca="false">IF(G$6=Case_Portfolio!$D$6,-Case_Portfolio!$C$6,0)</f>
        <v>0</v>
      </c>
      <c r="H8" s="23" t="n">
        <f aca="false">IF(H$6=Case_Portfolio!$D$6,-Case_Portfolio!$C$6,0)</f>
        <v>0</v>
      </c>
    </row>
    <row r="9" customFormat="false" ht="15" hidden="false" customHeight="false" outlineLevel="0" collapsed="false">
      <c r="B9" s="7" t="str">
        <f aca="false">Case_Portfolio!$B$7</f>
        <v>Delta Patent Dispute</v>
      </c>
      <c r="C9" s="23" t="n">
        <f aca="false">IF(C$6=Case_Portfolio!$D$7,-Case_Portfolio!$C$7,0)</f>
        <v>-6000000</v>
      </c>
      <c r="D9" s="23" t="n">
        <f aca="false">IF(D$6=Case_Portfolio!$D$7,-Case_Portfolio!$C$7,0)</f>
        <v>0</v>
      </c>
      <c r="E9" s="23" t="n">
        <f aca="false">IF(E$6=Case_Portfolio!$D$7,-Case_Portfolio!$C$7,0)</f>
        <v>0</v>
      </c>
      <c r="F9" s="23" t="n">
        <f aca="false">IF(F$6=Case_Portfolio!$D$7,-Case_Portfolio!$C$7,0)</f>
        <v>0</v>
      </c>
      <c r="G9" s="23" t="n">
        <f aca="false">IF(G$6=Case_Portfolio!$D$7,-Case_Portfolio!$C$7,0)</f>
        <v>0</v>
      </c>
      <c r="H9" s="23" t="n">
        <f aca="false">IF(H$6=Case_Portfolio!$D$7,-Case_Portfolio!$C$7,0)</f>
        <v>0</v>
      </c>
    </row>
    <row r="10" customFormat="false" ht="15" hidden="false" customHeight="false" outlineLevel="0" collapsed="false">
      <c r="B10" s="7" t="str">
        <f aca="false">Case_Portfolio!$B$8</f>
        <v>Echo Class Action</v>
      </c>
      <c r="C10" s="23" t="n">
        <f aca="false">IF(C$6=Case_Portfolio!$D$8,-Case_Portfolio!$C$8,0)</f>
        <v>0</v>
      </c>
      <c r="D10" s="23" t="n">
        <f aca="false">IF(D$6=Case_Portfolio!$D$8,-Case_Portfolio!$C$8,0)</f>
        <v>-8000000</v>
      </c>
      <c r="E10" s="23" t="n">
        <f aca="false">IF(E$6=Case_Portfolio!$D$8,-Case_Portfolio!$C$8,0)</f>
        <v>0</v>
      </c>
      <c r="F10" s="23" t="n">
        <f aca="false">IF(F$6=Case_Portfolio!$D$8,-Case_Portfolio!$C$8,0)</f>
        <v>0</v>
      </c>
      <c r="G10" s="23" t="n">
        <f aca="false">IF(G$6=Case_Portfolio!$D$8,-Case_Portfolio!$C$8,0)</f>
        <v>0</v>
      </c>
      <c r="H10" s="23" t="n">
        <f aca="false">IF(H$6=Case_Portfolio!$D$8,-Case_Portfolio!$C$8,0)</f>
        <v>0</v>
      </c>
    </row>
    <row r="11" customFormat="false" ht="15" hidden="false" customHeight="false" outlineLevel="0" collapsed="false">
      <c r="B11" s="7" t="str">
        <f aca="false">Case_Portfolio!$B$9</f>
        <v>Foxtrot Mass Tort</v>
      </c>
      <c r="C11" s="23" t="n">
        <f aca="false">IF(C$6=Case_Portfolio!$D$9,-Case_Portfolio!$C$9,0)</f>
        <v>0</v>
      </c>
      <c r="D11" s="23" t="n">
        <f aca="false">IF(D$6=Case_Portfolio!$D$9,-Case_Portfolio!$C$9,0)</f>
        <v>-5500000</v>
      </c>
      <c r="E11" s="23" t="n">
        <f aca="false">IF(E$6=Case_Portfolio!$D$9,-Case_Portfolio!$C$9,0)</f>
        <v>0</v>
      </c>
      <c r="F11" s="23" t="n">
        <f aca="false">IF(F$6=Case_Portfolio!$D$9,-Case_Portfolio!$C$9,0)</f>
        <v>0</v>
      </c>
      <c r="G11" s="23" t="n">
        <f aca="false">IF(G$6=Case_Portfolio!$D$9,-Case_Portfolio!$C$9,0)</f>
        <v>0</v>
      </c>
      <c r="H11" s="23" t="n">
        <f aca="false">IF(H$6=Case_Portfolio!$D$9,-Case_Portfolio!$C$9,0)</f>
        <v>0</v>
      </c>
    </row>
    <row r="12" customFormat="false" ht="15" hidden="false" customHeight="false" outlineLevel="0" collapsed="false">
      <c r="B12" s="7" t="str">
        <f aca="false">Case_Portfolio!$B$10</f>
        <v>Gamma Arbitration</v>
      </c>
      <c r="C12" s="23" t="n">
        <f aca="false">IF(C$6=Case_Portfolio!$D$10,-Case_Portfolio!$C$10,0)</f>
        <v>0</v>
      </c>
      <c r="D12" s="23" t="n">
        <f aca="false">IF(D$6=Case_Portfolio!$D$10,-Case_Portfolio!$C$10,0)</f>
        <v>0</v>
      </c>
      <c r="E12" s="23" t="n">
        <f aca="false">IF(E$6=Case_Portfolio!$D$10,-Case_Portfolio!$C$10,0)</f>
        <v>-3500000</v>
      </c>
      <c r="F12" s="23" t="n">
        <f aca="false">IF(F$6=Case_Portfolio!$D$10,-Case_Portfolio!$C$10,0)</f>
        <v>0</v>
      </c>
      <c r="G12" s="23" t="n">
        <f aca="false">IF(G$6=Case_Portfolio!$D$10,-Case_Portfolio!$C$10,0)</f>
        <v>0</v>
      </c>
      <c r="H12" s="23" t="n">
        <f aca="false">IF(H$6=Case_Portfolio!$D$10,-Case_Portfolio!$C$10,0)</f>
        <v>0</v>
      </c>
    </row>
    <row r="13" customFormat="false" ht="15" hidden="false" customHeight="false" outlineLevel="0" collapsed="false">
      <c r="B13" s="7" t="str">
        <f aca="false">Case_Portfolio!$B$11</f>
        <v>Helios Securities</v>
      </c>
      <c r="C13" s="23" t="n">
        <f aca="false">IF(C$6=Case_Portfolio!$D$11,-Case_Portfolio!$C$11,0)</f>
        <v>0</v>
      </c>
      <c r="D13" s="23" t="n">
        <f aca="false">IF(D$6=Case_Portfolio!$D$11,-Case_Portfolio!$C$11,0)</f>
        <v>0</v>
      </c>
      <c r="E13" s="23" t="n">
        <f aca="false">IF(E$6=Case_Portfolio!$D$11,-Case_Portfolio!$C$11,0)</f>
        <v>-4000000</v>
      </c>
      <c r="F13" s="23" t="n">
        <f aca="false">IF(F$6=Case_Portfolio!$D$11,-Case_Portfolio!$C$11,0)</f>
        <v>0</v>
      </c>
      <c r="G13" s="23" t="n">
        <f aca="false">IF(G$6=Case_Portfolio!$D$11,-Case_Portfolio!$C$11,0)</f>
        <v>0</v>
      </c>
      <c r="H13" s="23" t="n">
        <f aca="false">IF(H$6=Case_Portfolio!$D$11,-Case_Portfolio!$C$11,0)</f>
        <v>0</v>
      </c>
    </row>
    <row r="14" customFormat="false" ht="15" hidden="false" customHeight="false" outlineLevel="0" collapsed="false">
      <c r="B14" s="7" t="str">
        <f aca="false">Case_Portfolio!$B$12</f>
        <v>Iota Trade Secret</v>
      </c>
      <c r="C14" s="23" t="n">
        <f aca="false">IF(C$6=Case_Portfolio!$D$12,-Case_Portfolio!$C$12,0)</f>
        <v>-3000000</v>
      </c>
      <c r="D14" s="23" t="n">
        <f aca="false">IF(D$6=Case_Portfolio!$D$12,-Case_Portfolio!$C$12,0)</f>
        <v>0</v>
      </c>
      <c r="E14" s="23" t="n">
        <f aca="false">IF(E$6=Case_Portfolio!$D$12,-Case_Portfolio!$C$12,0)</f>
        <v>0</v>
      </c>
      <c r="F14" s="23" t="n">
        <f aca="false">IF(F$6=Case_Portfolio!$D$12,-Case_Portfolio!$C$12,0)</f>
        <v>0</v>
      </c>
      <c r="G14" s="23" t="n">
        <f aca="false">IF(G$6=Case_Portfolio!$D$12,-Case_Portfolio!$C$12,0)</f>
        <v>0</v>
      </c>
      <c r="H14" s="23" t="n">
        <f aca="false">IF(H$6=Case_Portfolio!$D$12,-Case_Portfolio!$C$12,0)</f>
        <v>0</v>
      </c>
    </row>
    <row r="15" customFormat="false" ht="15" hidden="false" customHeight="false" outlineLevel="0" collapsed="false">
      <c r="B15" s="7" t="str">
        <f aca="false">Case_Portfolio!$B$13</f>
        <v>Juno Construction</v>
      </c>
      <c r="C15" s="23" t="n">
        <f aca="false">IF(C$6=Case_Portfolio!$D$13,-Case_Portfolio!$C$13,0)</f>
        <v>0</v>
      </c>
      <c r="D15" s="23" t="n">
        <f aca="false">IF(D$6=Case_Portfolio!$D$13,-Case_Portfolio!$C$13,0)</f>
        <v>-2500000</v>
      </c>
      <c r="E15" s="23" t="n">
        <f aca="false">IF(E$6=Case_Portfolio!$D$13,-Case_Portfolio!$C$13,0)</f>
        <v>0</v>
      </c>
      <c r="F15" s="23" t="n">
        <f aca="false">IF(F$6=Case_Portfolio!$D$13,-Case_Portfolio!$C$13,0)</f>
        <v>0</v>
      </c>
      <c r="G15" s="23" t="n">
        <f aca="false">IF(G$6=Case_Portfolio!$D$13,-Case_Portfolio!$C$13,0)</f>
        <v>0</v>
      </c>
      <c r="H15" s="23" t="n">
        <f aca="false">IF(H$6=Case_Portfolio!$D$13,-Case_Portfolio!$C$13,0)</f>
        <v>0</v>
      </c>
    </row>
    <row r="17" customFormat="false" ht="15" hidden="false" customHeight="false" outlineLevel="0" collapsed="false">
      <c r="B17" s="27" t="s">
        <v>103</v>
      </c>
      <c r="C17" s="28" t="n">
        <f aca="false">SUM(C8:C15)</f>
        <v>-13500000</v>
      </c>
      <c r="D17" s="28" t="n">
        <f aca="false">SUM(D8:D15)</f>
        <v>-16000000</v>
      </c>
      <c r="E17" s="28" t="n">
        <f aca="false">SUM(E8:E15)</f>
        <v>-7500000</v>
      </c>
      <c r="F17" s="28" t="n">
        <f aca="false">SUM(F8:F15)</f>
        <v>0</v>
      </c>
      <c r="G17" s="28" t="n">
        <f aca="false">SUM(G8:G15)</f>
        <v>0</v>
      </c>
      <c r="H17" s="28" t="n">
        <f aca="false">SUM(H8:H15)</f>
        <v>0</v>
      </c>
    </row>
    <row r="18" customFormat="false" ht="15" hidden="false" customHeight="false" outlineLevel="0" collapsed="false">
      <c r="B18" s="11" t="s">
        <v>104</v>
      </c>
    </row>
    <row r="19" customFormat="false" ht="15" hidden="false" customHeight="false" outlineLevel="0" collapsed="false">
      <c r="B19" s="7" t="str">
        <f aca="false">Case_Portfolio!$B$6</f>
        <v>Acme vs Beta Corp</v>
      </c>
      <c r="C19" s="19" t="n">
        <f aca="false">IF(C$6=Case_Portfolio!$K$6,Case_Portfolio!$H$6,0)</f>
        <v>0</v>
      </c>
      <c r="D19" s="19" t="n">
        <f aca="false">IF(D$6=Case_Portfolio!$K$6,Case_Portfolio!$H$6,0)</f>
        <v>0</v>
      </c>
      <c r="E19" s="19" t="n">
        <f aca="false">IF(E$6=Case_Portfolio!$K$6,Case_Portfolio!$H$6,0)</f>
        <v>8865000</v>
      </c>
      <c r="F19" s="19" t="n">
        <f aca="false">IF(F$6=Case_Portfolio!$K$6,Case_Portfolio!$H$6,0)</f>
        <v>0</v>
      </c>
      <c r="G19" s="19" t="n">
        <f aca="false">IF(G$6=Case_Portfolio!$K$6,Case_Portfolio!$H$6,0)</f>
        <v>0</v>
      </c>
      <c r="H19" s="19" t="n">
        <f aca="false">IF(H$6=Case_Portfolio!$K$6,Case_Portfolio!$H$6,0)</f>
        <v>0</v>
      </c>
    </row>
    <row r="20" customFormat="false" ht="15" hidden="false" customHeight="false" outlineLevel="0" collapsed="false">
      <c r="B20" s="7" t="str">
        <f aca="false">Case_Portfolio!$B$7</f>
        <v>Delta Patent Dispute</v>
      </c>
      <c r="C20" s="19" t="n">
        <f aca="false">IF(C$6=Case_Portfolio!$K$7,Case_Portfolio!$H$7,0)</f>
        <v>0</v>
      </c>
      <c r="D20" s="19" t="n">
        <f aca="false">IF(D$6=Case_Portfolio!$K$7,Case_Portfolio!$H$7,0)</f>
        <v>0</v>
      </c>
      <c r="E20" s="19" t="n">
        <f aca="false">IF(E$6=Case_Portfolio!$K$7,Case_Portfolio!$H$7,0)</f>
        <v>0</v>
      </c>
      <c r="F20" s="19" t="n">
        <f aca="false">IF(F$6=Case_Portfolio!$K$7,Case_Portfolio!$H$7,0)</f>
        <v>12180000</v>
      </c>
      <c r="G20" s="19" t="n">
        <f aca="false">IF(G$6=Case_Portfolio!$K$7,Case_Portfolio!$H$7,0)</f>
        <v>0</v>
      </c>
      <c r="H20" s="19" t="n">
        <f aca="false">IF(H$6=Case_Portfolio!$K$7,Case_Portfolio!$H$7,0)</f>
        <v>0</v>
      </c>
    </row>
    <row r="21" customFormat="false" ht="15" hidden="false" customHeight="false" outlineLevel="0" collapsed="false">
      <c r="B21" s="7" t="str">
        <f aca="false">Case_Portfolio!$B$8</f>
        <v>Echo Class Action</v>
      </c>
      <c r="C21" s="19" t="n">
        <f aca="false">IF(C$6=Case_Portfolio!$K$8,Case_Portfolio!$H$8,0)</f>
        <v>0</v>
      </c>
      <c r="D21" s="19" t="n">
        <f aca="false">IF(D$6=Case_Portfolio!$K$8,Case_Portfolio!$H$8,0)</f>
        <v>0</v>
      </c>
      <c r="E21" s="19" t="n">
        <f aca="false">IF(E$6=Case_Portfolio!$K$8,Case_Portfolio!$H$8,0)</f>
        <v>0</v>
      </c>
      <c r="F21" s="19" t="n">
        <f aca="false">IF(F$6=Case_Portfolio!$K$8,Case_Portfolio!$H$8,0)</f>
        <v>0</v>
      </c>
      <c r="G21" s="19" t="n">
        <f aca="false">IF(G$6=Case_Portfolio!$K$8,Case_Portfolio!$H$8,0)</f>
        <v>0</v>
      </c>
      <c r="H21" s="19" t="n">
        <f aca="false">IF(H$6=Case_Portfolio!$K$8,Case_Portfolio!$H$8,0)</f>
        <v>17060000</v>
      </c>
    </row>
    <row r="22" customFormat="false" ht="15" hidden="false" customHeight="false" outlineLevel="0" collapsed="false">
      <c r="B22" s="7" t="str">
        <f aca="false">Case_Portfolio!$B$9</f>
        <v>Foxtrot Mass Tort</v>
      </c>
      <c r="C22" s="19" t="n">
        <f aca="false">IF(C$6=Case_Portfolio!$K$9,Case_Portfolio!$H$9,0)</f>
        <v>0</v>
      </c>
      <c r="D22" s="19" t="n">
        <f aca="false">IF(D$6=Case_Portfolio!$K$9,Case_Portfolio!$H$9,0)</f>
        <v>0</v>
      </c>
      <c r="E22" s="19" t="n">
        <f aca="false">IF(E$6=Case_Portfolio!$K$9,Case_Portfolio!$H$9,0)</f>
        <v>0</v>
      </c>
      <c r="F22" s="19" t="n">
        <f aca="false">IF(F$6=Case_Portfolio!$K$9,Case_Portfolio!$H$9,0)</f>
        <v>0</v>
      </c>
      <c r="G22" s="19" t="n">
        <f aca="false">IF(G$6=Case_Portfolio!$K$9,Case_Portfolio!$H$9,0)</f>
        <v>11220000</v>
      </c>
      <c r="H22" s="19" t="n">
        <f aca="false">IF(H$6=Case_Portfolio!$K$9,Case_Portfolio!$H$9,0)</f>
        <v>0</v>
      </c>
    </row>
    <row r="23" customFormat="false" ht="15" hidden="false" customHeight="false" outlineLevel="0" collapsed="false">
      <c r="B23" s="7" t="str">
        <f aca="false">Case_Portfolio!$B$10</f>
        <v>Gamma Arbitration</v>
      </c>
      <c r="C23" s="19" t="n">
        <f aca="false">IF(C$6=Case_Portfolio!$K$10,Case_Portfolio!$H$10,0)</f>
        <v>0</v>
      </c>
      <c r="D23" s="19" t="n">
        <f aca="false">IF(D$6=Case_Portfolio!$K$10,Case_Portfolio!$H$10,0)</f>
        <v>0</v>
      </c>
      <c r="E23" s="19" t="n">
        <f aca="false">IF(E$6=Case_Portfolio!$K$10,Case_Portfolio!$H$10,0)</f>
        <v>0</v>
      </c>
      <c r="F23" s="19" t="n">
        <f aca="false">IF(F$6=Case_Portfolio!$K$10,Case_Portfolio!$H$10,0)</f>
        <v>0</v>
      </c>
      <c r="G23" s="19" t="n">
        <f aca="false">IF(G$6=Case_Portfolio!$K$10,Case_Portfolio!$H$10,0)</f>
        <v>6090000</v>
      </c>
      <c r="H23" s="19" t="n">
        <f aca="false">IF(H$6=Case_Portfolio!$K$10,Case_Portfolio!$H$10,0)</f>
        <v>0</v>
      </c>
    </row>
    <row r="24" customFormat="false" ht="15" hidden="false" customHeight="false" outlineLevel="0" collapsed="false">
      <c r="B24" s="7" t="str">
        <f aca="false">Case_Portfolio!$B$11</f>
        <v>Helios Securities</v>
      </c>
      <c r="C24" s="19" t="n">
        <f aca="false">IF(C$6=Case_Portfolio!$K$11,Case_Portfolio!$H$11,0)</f>
        <v>0</v>
      </c>
      <c r="D24" s="19" t="n">
        <f aca="false">IF(D$6=Case_Portfolio!$K$11,Case_Portfolio!$H$11,0)</f>
        <v>0</v>
      </c>
      <c r="E24" s="19" t="n">
        <f aca="false">IF(E$6=Case_Portfolio!$K$11,Case_Portfolio!$H$11,0)</f>
        <v>0</v>
      </c>
      <c r="F24" s="19" t="n">
        <f aca="false">IF(F$6=Case_Portfolio!$K$11,Case_Portfolio!$H$11,0)</f>
        <v>0</v>
      </c>
      <c r="G24" s="19" t="n">
        <f aca="false">IF(G$6=Case_Portfolio!$K$11,Case_Portfolio!$H$11,0)</f>
        <v>0</v>
      </c>
      <c r="H24" s="19" t="n">
        <f aca="false">IF(H$6=Case_Portfolio!$K$11,Case_Portfolio!$H$11,0)</f>
        <v>8320000</v>
      </c>
    </row>
    <row r="25" customFormat="false" ht="15" hidden="false" customHeight="false" outlineLevel="0" collapsed="false">
      <c r="B25" s="7" t="str">
        <f aca="false">Case_Portfolio!$B$12</f>
        <v>Iota Trade Secret</v>
      </c>
      <c r="C25" s="19" t="n">
        <f aca="false">IF(C$6=Case_Portfolio!$K$12,Case_Portfolio!$H$12,0)</f>
        <v>0</v>
      </c>
      <c r="D25" s="19" t="n">
        <f aca="false">IF(D$6=Case_Portfolio!$K$12,Case_Portfolio!$H$12,0)</f>
        <v>0</v>
      </c>
      <c r="E25" s="19" t="n">
        <f aca="false">IF(E$6=Case_Portfolio!$K$12,Case_Portfolio!$H$12,0)</f>
        <v>4950000</v>
      </c>
      <c r="F25" s="19" t="n">
        <f aca="false">IF(F$6=Case_Portfolio!$K$12,Case_Portfolio!$H$12,0)</f>
        <v>0</v>
      </c>
      <c r="G25" s="19" t="n">
        <f aca="false">IF(G$6=Case_Portfolio!$K$12,Case_Portfolio!$H$12,0)</f>
        <v>0</v>
      </c>
      <c r="H25" s="19" t="n">
        <f aca="false">IF(H$6=Case_Portfolio!$K$12,Case_Portfolio!$H$12,0)</f>
        <v>0</v>
      </c>
    </row>
    <row r="26" customFormat="false" ht="15" hidden="false" customHeight="false" outlineLevel="0" collapsed="false">
      <c r="B26" s="7" t="str">
        <f aca="false">Case_Portfolio!$B$13</f>
        <v>Juno Construction</v>
      </c>
      <c r="C26" s="19" t="n">
        <f aca="false">IF(C$6=Case_Portfolio!$K$13,Case_Portfolio!$H$13,0)</f>
        <v>0</v>
      </c>
      <c r="D26" s="19" t="n">
        <f aca="false">IF(D$6=Case_Portfolio!$K$13,Case_Portfolio!$H$13,0)</f>
        <v>0</v>
      </c>
      <c r="E26" s="19" t="n">
        <f aca="false">IF(E$6=Case_Portfolio!$K$13,Case_Portfolio!$H$13,0)</f>
        <v>0</v>
      </c>
      <c r="F26" s="19" t="n">
        <f aca="false">IF(F$6=Case_Portfolio!$K$13,Case_Portfolio!$H$13,0)</f>
        <v>4237500</v>
      </c>
      <c r="G26" s="19" t="n">
        <f aca="false">IF(G$6=Case_Portfolio!$K$13,Case_Portfolio!$H$13,0)</f>
        <v>0</v>
      </c>
      <c r="H26" s="19" t="n">
        <f aca="false">IF(H$6=Case_Portfolio!$K$13,Case_Portfolio!$H$13,0)</f>
        <v>0</v>
      </c>
    </row>
    <row r="28" customFormat="false" ht="15" hidden="false" customHeight="false" outlineLevel="0" collapsed="false">
      <c r="B28" s="27" t="s">
        <v>105</v>
      </c>
      <c r="C28" s="29" t="n">
        <f aca="false">SUM(C19:C26)</f>
        <v>0</v>
      </c>
      <c r="D28" s="29" t="n">
        <f aca="false">SUM(D19:D26)</f>
        <v>0</v>
      </c>
      <c r="E28" s="29" t="n">
        <f aca="false">SUM(E19:E26)</f>
        <v>13815000</v>
      </c>
      <c r="F28" s="29" t="n">
        <f aca="false">SUM(F19:F26)</f>
        <v>16417500</v>
      </c>
      <c r="G28" s="29" t="n">
        <f aca="false">SUM(G19:G26)</f>
        <v>17310000</v>
      </c>
      <c r="H28" s="29" t="n">
        <f aca="false">SUM(H19:H26)</f>
        <v>25380000</v>
      </c>
    </row>
    <row r="30" customFormat="false" ht="15" hidden="false" customHeight="false" outlineLevel="0" collapsed="false">
      <c r="B30" s="6" t="s">
        <v>38</v>
      </c>
      <c r="C30" s="23" t="n">
        <f aca="false">-Total_Capital*Mgmt_Fee</f>
        <v>-740000</v>
      </c>
      <c r="D30" s="23" t="n">
        <f aca="false">-Total_Capital*Mgmt_Fee</f>
        <v>-740000</v>
      </c>
      <c r="E30" s="23" t="n">
        <f aca="false">-Total_Capital*Mgmt_Fee</f>
        <v>-740000</v>
      </c>
      <c r="F30" s="23" t="n">
        <f aca="false">-Total_Capital*Mgmt_Fee</f>
        <v>-740000</v>
      </c>
      <c r="G30" s="23" t="n">
        <f aca="false">-Total_Capital*Mgmt_Fee</f>
        <v>-740000</v>
      </c>
      <c r="H30" s="23" t="n">
        <f aca="false">-Total_Capital*Mgmt_Fee</f>
        <v>-740000</v>
      </c>
    </row>
    <row r="32" customFormat="false" ht="15" hidden="false" customHeight="false" outlineLevel="0" collapsed="false">
      <c r="B32" s="5" t="s">
        <v>106</v>
      </c>
      <c r="C32" s="25" t="n">
        <f aca="false">C17+C28+C30</f>
        <v>-14240000</v>
      </c>
      <c r="D32" s="25" t="n">
        <f aca="false">D17+D28+D30</f>
        <v>-16740000</v>
      </c>
      <c r="E32" s="25" t="n">
        <f aca="false">E17+E28+E30</f>
        <v>5575000</v>
      </c>
      <c r="F32" s="25" t="n">
        <f aca="false">F17+F28+F30</f>
        <v>15677500</v>
      </c>
      <c r="G32" s="25" t="n">
        <f aca="false">G17+G28+G30</f>
        <v>16570000</v>
      </c>
      <c r="H32" s="25" t="n">
        <f aca="false">H17+H28+H30</f>
        <v>24640000</v>
      </c>
    </row>
    <row r="33" customFormat="false" ht="15" hidden="false" customHeight="false" outlineLevel="0" collapsed="false">
      <c r="B33" s="17" t="s">
        <v>107</v>
      </c>
      <c r="C33" s="25" t="n">
        <f aca="false">C32</f>
        <v>-14240000</v>
      </c>
      <c r="D33" s="25" t="n">
        <f aca="false">C33+D32</f>
        <v>-30980000</v>
      </c>
      <c r="E33" s="25" t="n">
        <f aca="false">D33+E32</f>
        <v>-25405000</v>
      </c>
      <c r="F33" s="25" t="n">
        <f aca="false">E33+F32</f>
        <v>-9727500</v>
      </c>
      <c r="G33" s="25" t="n">
        <f aca="false">F33+G32</f>
        <v>6842500</v>
      </c>
      <c r="H33" s="25" t="n">
        <f aca="false">G33+H32</f>
        <v>31482500</v>
      </c>
    </row>
    <row r="34" customFormat="false" ht="15" hidden="false" customHeight="false" outlineLevel="0" collapsed="false">
      <c r="B34" s="11" t="s">
        <v>108</v>
      </c>
    </row>
    <row r="35" customFormat="false" ht="15" hidden="false" customHeight="false" outlineLevel="0" collapsed="false">
      <c r="B35" s="7" t="s">
        <v>109</v>
      </c>
      <c r="C35" s="23" t="n">
        <f aca="false">IF(C$6=$H$6,-MAX(0,$H$33-Total_Capital*Hurdle_Rate*Wgt_Avg_Dur)*Carry_Pct,0)</f>
        <v>0</v>
      </c>
      <c r="D35" s="23" t="n">
        <f aca="false">IF(D$6=$H$6,-MAX(0,$H$33-Total_Capital*Hurdle_Rate*Wgt_Avg_Dur)*Carry_Pct,0)</f>
        <v>0</v>
      </c>
      <c r="E35" s="23" t="n">
        <f aca="false">IF(E$6=$H$6,-MAX(0,$H$33-Total_Capital*Hurdle_Rate*Wgt_Avg_Dur)*Carry_Pct,0)</f>
        <v>0</v>
      </c>
      <c r="F35" s="23" t="n">
        <f aca="false">IF(F$6=$H$6,-MAX(0,$H$33-Total_Capital*Hurdle_Rate*Wgt_Avg_Dur)*Carry_Pct,0)</f>
        <v>0</v>
      </c>
      <c r="G35" s="23" t="n">
        <f aca="false">IF(G$6=$H$6,-MAX(0,$H$33-Total_Capital*Hurdle_Rate*Wgt_Avg_Dur)*Carry_Pct,0)</f>
        <v>0</v>
      </c>
      <c r="H35" s="23" t="n">
        <f aca="false">IF(H$6=$H$6,-MAX(0,$H$33-Total_Capital*Hurdle_Rate*Wgt_Avg_Dur)*Carry_Pct,0)</f>
        <v>-4608500</v>
      </c>
    </row>
    <row r="37" customFormat="false" ht="15" hidden="false" customHeight="false" outlineLevel="0" collapsed="false">
      <c r="B37" s="27" t="s">
        <v>110</v>
      </c>
      <c r="C37" s="28" t="n">
        <f aca="false">C32+C35</f>
        <v>-14240000</v>
      </c>
      <c r="D37" s="28" t="n">
        <f aca="false">D32+D35</f>
        <v>-16740000</v>
      </c>
      <c r="E37" s="28" t="n">
        <f aca="false">E32+E35</f>
        <v>5575000</v>
      </c>
      <c r="F37" s="28" t="n">
        <f aca="false">F32+F35</f>
        <v>15677500</v>
      </c>
      <c r="G37" s="28" t="n">
        <f aca="false">G32+G35</f>
        <v>16570000</v>
      </c>
      <c r="H37" s="28" t="n">
        <f aca="false">H32+H35</f>
        <v>20031500</v>
      </c>
    </row>
    <row r="38" customFormat="false" ht="15" hidden="false" customHeight="false" outlineLevel="0" collapsed="false">
      <c r="B38" s="17" t="s">
        <v>111</v>
      </c>
      <c r="C38" s="25" t="n">
        <f aca="false">C37</f>
        <v>-14240000</v>
      </c>
      <c r="D38" s="25" t="n">
        <f aca="false">C38+D37</f>
        <v>-30980000</v>
      </c>
      <c r="E38" s="25" t="n">
        <f aca="false">D38+E37</f>
        <v>-25405000</v>
      </c>
      <c r="F38" s="25" t="n">
        <f aca="false">E38+F37</f>
        <v>-9727500</v>
      </c>
      <c r="G38" s="25" t="n">
        <f aca="false">F38+G37</f>
        <v>6842500</v>
      </c>
      <c r="H38" s="25" t="n">
        <f aca="false">G38+H37</f>
        <v>26874000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3" min="3" style="0" width="18"/>
    <col collapsed="false" customWidth="true" hidden="false" outlineLevel="0" max="4" min="4" style="0" width="14"/>
    <col collapsed="false" customWidth="true" hidden="false" outlineLevel="0" max="5" min="5" style="0" width="4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17</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9" t="s">
        <v>112</v>
      </c>
      <c r="C4" s="9" t="s">
        <v>28</v>
      </c>
      <c r="D4" s="9" t="s">
        <v>29</v>
      </c>
      <c r="E4" s="9" t="s">
        <v>30</v>
      </c>
    </row>
    <row r="6" customFormat="false" ht="15" hidden="false" customHeight="false" outlineLevel="0" collapsed="false">
      <c r="B6" s="7" t="s">
        <v>113</v>
      </c>
      <c r="C6" s="26" t="n">
        <f aca="false">IFERROR(IRR(CF_Pre_Stream),0)</f>
        <v>0.233398516038079</v>
      </c>
      <c r="D6" s="7" t="s">
        <v>39</v>
      </c>
      <c r="E6" s="7" t="s">
        <v>114</v>
      </c>
    </row>
    <row r="7" customFormat="false" ht="15" hidden="false" customHeight="false" outlineLevel="0" collapsed="false">
      <c r="B7" s="7" t="s">
        <v>115</v>
      </c>
      <c r="C7" s="18" t="n">
        <f aca="false">IFERROR(SUMIF(CF_Recovery_Tot,"&gt;0")/Total_Capital,0)</f>
        <v>1.97087837837838</v>
      </c>
      <c r="D7" s="7" t="s">
        <v>75</v>
      </c>
      <c r="E7" s="7" t="s">
        <v>116</v>
      </c>
    </row>
    <row r="8" customFormat="false" ht="15" hidden="false" customHeight="false" outlineLevel="0" collapsed="false">
      <c r="B8" s="7" t="s">
        <v>117</v>
      </c>
      <c r="C8" s="26" t="n">
        <f aca="false">IFERROR(IRR(CF_LP_Stream),0)</f>
        <v>0.21048076299391</v>
      </c>
      <c r="D8" s="7" t="s">
        <v>39</v>
      </c>
      <c r="E8" s="7" t="s">
        <v>118</v>
      </c>
    </row>
    <row r="9" customFormat="false" ht="15" hidden="false" customHeight="false" outlineLevel="0" collapsed="false">
      <c r="B9" s="7" t="s">
        <v>119</v>
      </c>
      <c r="C9" s="18" t="n">
        <f aca="false">IFERROR((SUMIF(CF_Recovery_Tot,"&gt;0")+SUM(CF_Mgmt_Tot)+SUM(CF_Carry_Tot))/Total_Capital,0)</f>
        <v>1.72632432432432</v>
      </c>
      <c r="D9" s="7" t="s">
        <v>75</v>
      </c>
      <c r="E9" s="7" t="s">
        <v>120</v>
      </c>
    </row>
    <row r="10" customFormat="false" ht="15" hidden="false" customHeight="false" outlineLevel="0" collapsed="false">
      <c r="B10" s="7" t="s">
        <v>121</v>
      </c>
      <c r="C10" s="18" t="n">
        <f aca="false">IFERROR((SUMIF(CF_Recovery_Tot,"&gt;0")+SUM(CF_Mgmt_Tot)+SUM(CF_Carry_Tot))/Total_Capital,0)</f>
        <v>1.72632432432432</v>
      </c>
      <c r="D10" s="7" t="s">
        <v>75</v>
      </c>
      <c r="E10" s="7" t="s">
        <v>122</v>
      </c>
    </row>
    <row r="11" customFormat="false" ht="15" hidden="false" customHeight="false" outlineLevel="0" collapsed="false">
      <c r="B11" s="7" t="s">
        <v>123</v>
      </c>
      <c r="C11" s="18" t="n">
        <f aca="false">IFERROR((SUMIF(CF_Recovery_Tot,"&gt;0")+SUM(CF_Mgmt_Tot)+SUM(CF_Carry_Tot))/Total_Capital,0)</f>
        <v>1.72632432432432</v>
      </c>
      <c r="D11" s="7" t="s">
        <v>75</v>
      </c>
      <c r="E11" s="7" t="s">
        <v>124</v>
      </c>
    </row>
    <row r="12" customFormat="false" ht="15" hidden="false" customHeight="false" outlineLevel="0" collapsed="false">
      <c r="B12" s="7" t="s">
        <v>125</v>
      </c>
      <c r="C12" s="25" t="n">
        <f aca="false">NPV(Discount_Rate,CF_LP_Stream)</f>
        <v>7423042.6343824</v>
      </c>
      <c r="D12" s="7" t="s">
        <v>126</v>
      </c>
      <c r="E12" s="7" t="s">
        <v>127</v>
      </c>
    </row>
    <row r="13" customFormat="false" ht="15" hidden="false" customHeight="false" outlineLevel="0" collapsed="false">
      <c r="B13" s="11" t="s">
        <v>128</v>
      </c>
    </row>
    <row r="14" customFormat="false" ht="15" hidden="false" customHeight="false" outlineLevel="0" collapsed="false">
      <c r="B14" s="7" t="s">
        <v>129</v>
      </c>
      <c r="C14" s="26" t="n">
        <f aca="false">Wgt_Avg_Win</f>
        <v>0.471621621621622</v>
      </c>
      <c r="D14" s="7" t="s">
        <v>42</v>
      </c>
      <c r="E14" s="7" t="s">
        <v>130</v>
      </c>
    </row>
    <row r="15" customFormat="false" ht="15" hidden="false" customHeight="false" outlineLevel="0" collapsed="false">
      <c r="B15" s="7" t="s">
        <v>131</v>
      </c>
      <c r="C15" s="26" t="n">
        <f aca="false">1-Wgt_Avg_Win</f>
        <v>0.528378378378378</v>
      </c>
      <c r="D15" s="7" t="s">
        <v>42</v>
      </c>
      <c r="E15" s="7" t="s">
        <v>132</v>
      </c>
    </row>
    <row r="16" customFormat="false" ht="15" hidden="false" customHeight="false" outlineLevel="0" collapsed="false">
      <c r="B16" s="7" t="s">
        <v>133</v>
      </c>
      <c r="C16" s="18" t="n">
        <f aca="false">Wgt_Avg_Dur</f>
        <v>2.85135135135135</v>
      </c>
      <c r="D16" s="7" t="s">
        <v>134</v>
      </c>
      <c r="E16" s="7" t="s">
        <v>135</v>
      </c>
    </row>
    <row r="17" customFormat="false" ht="15" hidden="false" customHeight="false" outlineLevel="0" collapsed="false">
      <c r="B17" s="7" t="s">
        <v>136</v>
      </c>
      <c r="C17" s="24" t="n">
        <f aca="false">Total_Capital</f>
        <v>37000000</v>
      </c>
      <c r="D17" s="7" t="s">
        <v>126</v>
      </c>
      <c r="E17" s="7" t="s">
        <v>137</v>
      </c>
    </row>
    <row r="18" customFormat="false" ht="15" hidden="false" customHeight="false" outlineLevel="0" collapsed="false">
      <c r="B18" s="7" t="s">
        <v>138</v>
      </c>
      <c r="C18" s="24" t="n">
        <f aca="false">Total_EV_Rec</f>
        <v>72922500</v>
      </c>
      <c r="D18" s="7" t="s">
        <v>126</v>
      </c>
      <c r="E18" s="7" t="s">
        <v>139</v>
      </c>
    </row>
    <row r="19" customFormat="false" ht="15" hidden="false" customHeight="false" outlineLevel="0" collapsed="false">
      <c r="B19" s="7" t="s">
        <v>140</v>
      </c>
      <c r="C19" s="25" t="n">
        <f aca="false">Total_EV_Profit</f>
        <v>35922500</v>
      </c>
      <c r="D19" s="7" t="s">
        <v>126</v>
      </c>
      <c r="E19" s="7" t="s">
        <v>141</v>
      </c>
    </row>
    <row r="20" customFormat="false" ht="15" hidden="false" customHeight="false" outlineLevel="0" collapsed="false">
      <c r="B20" s="7" t="s">
        <v>142</v>
      </c>
      <c r="C20" s="24" t="n">
        <f aca="false">-SUM(CF_Mgmt_Tot)</f>
        <v>4440000</v>
      </c>
      <c r="D20" s="7" t="s">
        <v>126</v>
      </c>
      <c r="E20" s="7" t="s">
        <v>143</v>
      </c>
    </row>
    <row r="21" customFormat="false" ht="15" hidden="false" customHeight="false" outlineLevel="0" collapsed="false">
      <c r="B21" s="7" t="s">
        <v>109</v>
      </c>
      <c r="C21" s="24" t="n">
        <f aca="false">-SUM(CF_Carry_Tot)</f>
        <v>4608500</v>
      </c>
      <c r="D21" s="7" t="s">
        <v>126</v>
      </c>
      <c r="E21" s="7" t="s">
        <v>144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8" min="3" style="0" width="15"/>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20</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145</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9" t="s">
        <v>146</v>
      </c>
      <c r="C5" s="9" t="s">
        <v>147</v>
      </c>
      <c r="D5" s="9" t="s">
        <v>148</v>
      </c>
      <c r="E5" s="9" t="s">
        <v>149</v>
      </c>
      <c r="F5" s="9" t="s">
        <v>150</v>
      </c>
      <c r="G5" s="9" t="s">
        <v>151</v>
      </c>
    </row>
    <row r="7" customFormat="false" ht="15" hidden="false" customHeight="false" outlineLevel="0" collapsed="false">
      <c r="C7" s="18" t="n">
        <f aca="false">INDEX(Sens_MOIC_Band,1,1)</f>
        <v>0.8</v>
      </c>
      <c r="D7" s="18" t="n">
        <f aca="false">INDEX(Sens_MOIC_Band,1,2)</f>
        <v>0.9</v>
      </c>
      <c r="E7" s="18" t="n">
        <f aca="false">INDEX(Sens_MOIC_Band,1,3)</f>
        <v>1</v>
      </c>
      <c r="F7" s="18" t="n">
        <f aca="false">INDEX(Sens_MOIC_Band,1,4)</f>
        <v>1.1</v>
      </c>
      <c r="G7" s="18" t="n">
        <f aca="false">INDEX(Sens_MOIC_Band,1,5)</f>
        <v>1.2</v>
      </c>
    </row>
    <row r="8" customFormat="false" ht="15" hidden="false" customHeight="false" outlineLevel="0" collapsed="false">
      <c r="B8" s="18" t="n">
        <f aca="false">INDEX(Sens_Win_Band,1,1)</f>
        <v>0.6</v>
      </c>
      <c r="C8" s="21" t="n">
        <f aca="false">IFERROR(((SUMPRODUCT(Case_Capital,Case_WinProb*$B8*Case_MOIC*C$7+(1-Case_WinProb*$B8)*Case_LossRec)-Total_Capital*Mgmt_Fee*Wgt_Avg_Dur)/Total_Capital)^(1/Wgt_Avg_Dur)-1,0)</f>
        <v>-0.0251013646429351</v>
      </c>
      <c r="D8" s="21" t="n">
        <f aca="false">IFERROR(((SUMPRODUCT(Case_Capital,Case_WinProb*$B8*Case_MOIC*D$7+(1-Case_WinProb*$B8)*Case_LossRec)-Total_Capital*Mgmt_Fee*Wgt_Avg_Dur)/Total_Capital)^(1/Wgt_Avg_Dur)-1,0)</f>
        <v>0.0157982617314407</v>
      </c>
      <c r="E8" s="21" t="n">
        <f aca="false">IFERROR(((SUMPRODUCT(Case_Capital,Case_WinProb*$B8*Case_MOIC*E$7+(1-Case_WinProb*$B8)*Case_LossRec)-Total_Capital*Mgmt_Fee*Wgt_Avg_Dur)/Total_Capital)^(1/Wgt_Avg_Dur)-1,0)</f>
        <v>0.0538569906672108</v>
      </c>
      <c r="F8" s="21" t="n">
        <f aca="false">IFERROR(((SUMPRODUCT(Case_Capital,Case_WinProb*$B8*Case_MOIC*F$7+(1-Case_WinProb*$B8)*Case_LossRec)-Total_Capital*Mgmt_Fee*Wgt_Avg_Dur)/Total_Capital)^(1/Wgt_Avg_Dur)-1,0)</f>
        <v>0.0895281030755637</v>
      </c>
      <c r="G8" s="21" t="n">
        <f aca="false">IFERROR(((SUMPRODUCT(Case_Capital,Case_WinProb*$B8*Case_MOIC*G$7+(1-Case_WinProb*$B8)*Case_LossRec)-Total_Capital*Mgmt_Fee*Wgt_Avg_Dur)/Total_Capital)^(1/Wgt_Avg_Dur)-1,0)</f>
        <v>0.12315886017045</v>
      </c>
    </row>
    <row r="9" customFormat="false" ht="15" hidden="false" customHeight="false" outlineLevel="0" collapsed="false">
      <c r="B9" s="18" t="n">
        <f aca="false">INDEX(Sens_Win_Band,1,2)</f>
        <v>0.8</v>
      </c>
      <c r="C9" s="21" t="n">
        <f aca="false">IFERROR(((SUMPRODUCT(Case_Capital,Case_WinProb*$B9*Case_MOIC*C$7+(1-Case_WinProb*$B9)*Case_LossRec)-Total_Capital*Mgmt_Fee*Wgt_Avg_Dur)/Total_Capital)^(1/Wgt_Avg_Dur)-1,0)</f>
        <v>0.0750722051165584</v>
      </c>
      <c r="D9" s="21" t="n">
        <f aca="false">IFERROR(((SUMPRODUCT(Case_Capital,Case_WinProb*$B9*Case_MOIC*D$7+(1-Case_WinProb*$B9)*Case_LossRec)-Total_Capital*Mgmt_Fee*Wgt_Avg_Dur)/Total_Capital)^(1/Wgt_Avg_Dur)-1,0)</f>
        <v>0.120557896322138</v>
      </c>
      <c r="E9" s="21" t="n">
        <f aca="false">IFERROR(((SUMPRODUCT(Case_Capital,Case_WinProb*$B9*Case_MOIC*E$7+(1-Case_WinProb*$B9)*Case_LossRec)-Total_Capital*Mgmt_Fee*Wgt_Avg_Dur)/Total_Capital)^(1/Wgt_Avg_Dur)-1,0)</f>
        <v>0.162860105141893</v>
      </c>
      <c r="F9" s="21" t="n">
        <f aca="false">IFERROR(((SUMPRODUCT(Case_Capital,Case_WinProb*$B9*Case_MOIC*F$7+(1-Case_WinProb*$B9)*Case_LossRec)-Total_Capital*Mgmt_Fee*Wgt_Avg_Dur)/Total_Capital)^(1/Wgt_Avg_Dur)-1,0)</f>
        <v>0.202490269433112</v>
      </c>
      <c r="G9" s="21" t="n">
        <f aca="false">IFERROR(((SUMPRODUCT(Case_Capital,Case_WinProb*$B9*Case_MOIC*G$7+(1-Case_WinProb*$B9)*Case_LossRec)-Total_Capital*Mgmt_Fee*Wgt_Avg_Dur)/Total_Capital)^(1/Wgt_Avg_Dur)-1,0)</f>
        <v>0.239839453316184</v>
      </c>
    </row>
    <row r="10" customFormat="false" ht="15" hidden="false" customHeight="false" outlineLevel="0" collapsed="false">
      <c r="B10" s="18" t="n">
        <f aca="false">INDEX(Sens_Win_Band,1,3)</f>
        <v>1</v>
      </c>
      <c r="C10" s="21" t="n">
        <f aca="false">IFERROR(((SUMPRODUCT(Case_Capital,Case_WinProb*$B10*Case_MOIC*C$7+(1-Case_WinProb*$B10)*Case_LossRec)-Total_Capital*Mgmt_Fee*Wgt_Avg_Dur)/Total_Capital)^(1/Wgt_Avg_Dur)-1,0)</f>
        <v>0.16042164157203</v>
      </c>
      <c r="D10" s="21" t="n">
        <f aca="false">IFERROR(((SUMPRODUCT(Case_Capital,Case_WinProb*$B10*Case_MOIC*D$7+(1-Case_WinProb*$B10)*Case_LossRec)-Total_Capital*Mgmt_Fee*Wgt_Avg_Dur)/Total_Capital)^(1/Wgt_Avg_Dur)-1,0)</f>
        <v>0.209770194910855</v>
      </c>
      <c r="E10" s="21" t="n">
        <f aca="false">IFERROR(((SUMPRODUCT(Case_Capital,Case_WinProb*$B10*Case_MOIC*E$7+(1-Case_WinProb*$B10)*Case_LossRec)-Total_Capital*Mgmt_Fee*Wgt_Avg_Dur)/Total_Capital)^(1/Wgt_Avg_Dur)-1,0)</f>
        <v>0.25564907130456</v>
      </c>
      <c r="F10" s="21" t="n">
        <f aca="false">IFERROR(((SUMPRODUCT(Case_Capital,Case_WinProb*$B10*Case_MOIC*F$7+(1-Case_WinProb*$B10)*Case_LossRec)-Total_Capital*Mgmt_Fee*Wgt_Avg_Dur)/Total_Capital)^(1/Wgt_Avg_Dur)-1,0)</f>
        <v>0.298617998088707</v>
      </c>
      <c r="G10" s="21" t="n">
        <f aca="false">IFERROR(((SUMPRODUCT(Case_Capital,Case_WinProb*$B10*Case_MOIC*G$7+(1-Case_WinProb*$B10)*Case_LossRec)-Total_Capital*Mgmt_Fee*Wgt_Avg_Dur)/Total_Capital)^(1/Wgt_Avg_Dur)-1,0)</f>
        <v>0.339104464825469</v>
      </c>
    </row>
    <row r="11" customFormat="false" ht="15" hidden="false" customHeight="false" outlineLevel="0" collapsed="false">
      <c r="B11" s="18" t="n">
        <f aca="false">INDEX(Sens_Win_Band,1,4)</f>
        <v>1.2</v>
      </c>
      <c r="C11" s="21" t="n">
        <f aca="false">IFERROR(((SUMPRODUCT(Case_Capital,Case_WinProb*$B11*Case_MOIC*C$7+(1-Case_WinProb*$B11)*Case_LossRec)-Total_Capital*Mgmt_Fee*Wgt_Avg_Dur)/Total_Capital)^(1/Wgt_Avg_Dur)-1,0)</f>
        <v>0.2355026258107</v>
      </c>
      <c r="D11" s="21" t="n">
        <f aca="false">IFERROR(((SUMPRODUCT(Case_Capital,Case_WinProb*$B11*Case_MOIC*D$7+(1-Case_WinProb*$B11)*Case_LossRec)-Total_Capital*Mgmt_Fee*Wgt_Avg_Dur)/Total_Capital)^(1/Wgt_Avg_Dur)-1,0)</f>
        <v>0.288224348242637</v>
      </c>
      <c r="E11" s="21" t="n">
        <f aca="false">IFERROR(((SUMPRODUCT(Case_Capital,Case_WinProb*$B11*Case_MOIC*E$7+(1-Case_WinProb*$B11)*Case_LossRec)-Total_Capital*Mgmt_Fee*Wgt_Avg_Dur)/Total_Capital)^(1/Wgt_Avg_Dur)-1,0)</f>
        <v>0.337227860460928</v>
      </c>
      <c r="F11" s="21" t="n">
        <f aca="false">IFERROR(((SUMPRODUCT(Case_Capital,Case_WinProb*$B11*Case_MOIC*F$7+(1-Case_WinProb*$B11)*Case_LossRec)-Total_Capital*Mgmt_Fee*Wgt_Avg_Dur)/Total_Capital)^(1/Wgt_Avg_Dur)-1,0)</f>
        <v>0.383114645842783</v>
      </c>
      <c r="G11" s="21" t="n">
        <f aca="false">IFERROR(((SUMPRODUCT(Case_Capital,Case_WinProb*$B11*Case_MOIC*G$7+(1-Case_WinProb*$B11)*Case_LossRec)-Total_Capital*Mgmt_Fee*Wgt_Avg_Dur)/Total_Capital)^(1/Wgt_Avg_Dur)-1,0)</f>
        <v>0.426343725596273</v>
      </c>
    </row>
    <row r="12" customFormat="false" ht="15" hidden="false" customHeight="false" outlineLevel="0" collapsed="false">
      <c r="B12" s="18" t="n">
        <f aca="false">INDEX(Sens_Win_Band,1,5)</f>
        <v>1.4</v>
      </c>
      <c r="C12" s="21" t="n">
        <f aca="false">IFERROR(((SUMPRODUCT(Case_Capital,Case_WinProb*$B12*Case_MOIC*C$7+(1-Case_WinProb*$B12)*Case_LossRec)-Total_Capital*Mgmt_Fee*Wgt_Avg_Dur)/Total_Capital)^(1/Wgt_Avg_Dur)-1,0)</f>
        <v>0.302969967767916</v>
      </c>
      <c r="D12" s="21" t="n">
        <f aca="false">IFERROR(((SUMPRODUCT(Case_Capital,Case_WinProb*$B12*Case_MOIC*D$7+(1-Case_WinProb*$B12)*Case_LossRec)-Total_Capital*Mgmt_Fee*Wgt_Avg_Dur)/Total_Capital)^(1/Wgt_Avg_Dur)-1,0)</f>
        <v>0.358707254320442</v>
      </c>
      <c r="E12" s="21" t="n">
        <f aca="false">IFERROR(((SUMPRODUCT(Case_Capital,Case_WinProb*$B12*Case_MOIC*E$7+(1-Case_WinProb*$B12)*Case_LossRec)-Total_Capital*Mgmt_Fee*Wgt_Avg_Dur)/Total_Capital)^(1/Wgt_Avg_Dur)-1,0)</f>
        <v>0.410505028280137</v>
      </c>
      <c r="F12" s="21" t="n">
        <f aca="false">IFERROR(((SUMPRODUCT(Case_Capital,Case_WinProb*$B12*Case_MOIC*F$7+(1-Case_WinProb*$B12)*Case_LossRec)-Total_Capital*Mgmt_Fee*Wgt_Avg_Dur)/Total_Capital)^(1/Wgt_Avg_Dur)-1,0)</f>
        <v>0.45900183678753</v>
      </c>
      <c r="G12" s="21" t="n">
        <f aca="false">IFERROR(((SUMPRODUCT(Case_Capital,Case_WinProb*$B12*Case_MOIC*G$7+(1-Case_WinProb*$B12)*Case_LossRec)-Total_Capital*Mgmt_Fee*Wgt_Avg_Dur)/Total_Capital)^(1/Wgt_Avg_Dur)-1,0)</f>
        <v>0.504684712512387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AD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3" min="3" style="0" width="18"/>
    <col collapsed="false" customWidth="true" hidden="false" outlineLevel="0" max="4" min="4" style="0" width="14"/>
    <col collapsed="false" customWidth="true" hidden="false" outlineLevel="0" max="5" min="5" style="0" width="10"/>
    <col collapsed="false" customWidth="true" hidden="false" outlineLevel="0" max="6" min="6" style="0" width="5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152</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9" t="s">
        <v>153</v>
      </c>
      <c r="C5" s="9" t="s">
        <v>28</v>
      </c>
      <c r="D5" s="9" t="s">
        <v>154</v>
      </c>
      <c r="E5" s="9" t="s">
        <v>155</v>
      </c>
      <c r="F5" s="9" t="s">
        <v>30</v>
      </c>
    </row>
    <row r="7" customFormat="false" ht="15" hidden="false" customHeight="false" outlineLevel="0" collapsed="false">
      <c r="B7" s="7" t="s">
        <v>156</v>
      </c>
      <c r="C7" s="19" t="n">
        <f aca="false">-SUM(CF_Invest_Tot)</f>
        <v>37000000</v>
      </c>
      <c r="D7" s="19" t="n">
        <f aca="false">Total_Capital</f>
        <v>37000000</v>
      </c>
      <c r="E7" s="30" t="str">
        <f aca="false">IF(ABS(C7-D7)&lt;1,"OK","FAIL")</f>
        <v>OK</v>
      </c>
      <c r="F7" s="6" t="s">
        <v>157</v>
      </c>
    </row>
    <row r="8" customFormat="false" ht="15" hidden="false" customHeight="false" outlineLevel="0" collapsed="false">
      <c r="B8" s="7" t="s">
        <v>158</v>
      </c>
      <c r="C8" s="19" t="n">
        <f aca="false">SUMPRODUCT((Case_WinProb*Active_Scalar&gt;1)*1)</f>
        <v>0</v>
      </c>
      <c r="D8" s="19" t="n">
        <f aca="false">0</f>
        <v>0</v>
      </c>
      <c r="E8" s="30" t="str">
        <f aca="false">IF(C8&lt;=D8+0.0001,"OK","FAIL")</f>
        <v>OK</v>
      </c>
      <c r="F8" s="6" t="s">
        <v>159</v>
      </c>
    </row>
    <row r="9" customFormat="false" ht="15" hidden="false" customHeight="false" outlineLevel="0" collapsed="false">
      <c r="B9" s="7" t="s">
        <v>160</v>
      </c>
      <c r="C9" s="19" t="n">
        <f aca="false">MIN(Case_Portfolio!$H$6:$H$13)</f>
        <v>4237500</v>
      </c>
      <c r="D9" s="19" t="n">
        <f aca="false">0</f>
        <v>0</v>
      </c>
      <c r="E9" s="30" t="str">
        <f aca="false">IF(C9&gt;=D9-0.01,"OK","FAIL")</f>
        <v>OK</v>
      </c>
      <c r="F9" s="6" t="s">
        <v>161</v>
      </c>
    </row>
    <row r="10" customFormat="false" ht="15" hidden="false" customHeight="false" outlineLevel="0" collapsed="false">
      <c r="B10" s="7" t="s">
        <v>162</v>
      </c>
      <c r="C10" s="19" t="n">
        <f aca="false">SUMPRODUCT((CF_Period_Row&lt;MAX(CF_Period_Row))*CF_Carry_Tot)</f>
        <v>0</v>
      </c>
      <c r="D10" s="19" t="n">
        <f aca="false">0</f>
        <v>0</v>
      </c>
      <c r="E10" s="30" t="str">
        <f aca="false">IF(ABS(C10-D10)&lt;1,"OK","FAIL")</f>
        <v>OK</v>
      </c>
      <c r="F10" s="6" t="s">
        <v>163</v>
      </c>
    </row>
    <row r="11" customFormat="false" ht="15" hidden="false" customHeight="false" outlineLevel="0" collapsed="false">
      <c r="B11" s="7" t="s">
        <v>164</v>
      </c>
      <c r="C11" s="19" t="n">
        <f aca="false">-SUM(CF_Carry_Tot)</f>
        <v>4608500</v>
      </c>
      <c r="D11" s="19" t="n">
        <f aca="false">MAX(0,CF_Cum_Pre_End-Total_Capital*Hurdle_Rate*Wgt_Avg_Dur)*Carry_Pct</f>
        <v>4608500</v>
      </c>
      <c r="E11" s="30" t="str">
        <f aca="false">IF(ABS(C11-D11)&lt;1,"OK","FAIL")</f>
        <v>OK</v>
      </c>
      <c r="F11" s="6" t="s">
        <v>165</v>
      </c>
    </row>
    <row r="12" customFormat="false" ht="15" hidden="false" customHeight="false" outlineLevel="0" collapsed="false">
      <c r="B12" s="7" t="s">
        <v>166</v>
      </c>
      <c r="C12" s="19" t="n">
        <f aca="false">Returns!C7</f>
        <v>1.97087837837838</v>
      </c>
      <c r="D12" s="19" t="n">
        <f aca="false">Returns!C9</f>
        <v>1.72632432432432</v>
      </c>
      <c r="E12" s="30" t="str">
        <f aca="false">IF(C12+0.0001&gt;=D12,"OK","FAIL")</f>
        <v>OK</v>
      </c>
      <c r="F12" s="6" t="s">
        <v>167</v>
      </c>
    </row>
    <row r="13" customFormat="false" ht="15" hidden="false" customHeight="false" outlineLevel="0" collapsed="false">
      <c r="B13" s="7" t="s">
        <v>168</v>
      </c>
      <c r="C13" s="19" t="n">
        <f aca="false">Sensitivity!E10</f>
        <v>0.25564907130456</v>
      </c>
      <c r="D13" s="19" t="n">
        <f aca="false">Returns!C8</f>
        <v>0.21048076299391</v>
      </c>
      <c r="E13" s="30" t="str">
        <f aca="false">IF(ABS(C13-D13)&lt;Check_Tol,"OK","FAIL")</f>
        <v>OK</v>
      </c>
      <c r="F13" s="6" t="s">
        <v>169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1" t="s">
        <v>170</v>
      </c>
    </row>
    <row r="3" customFormat="false" ht="3.75" hidden="false" customHeight="true" outlineLevel="0" collapsed="false">
      <c r="B3" s="32"/>
    </row>
    <row r="6" customFormat="false" ht="19.5" hidden="false" customHeight="true" outlineLevel="0" collapsed="false">
      <c r="B6" s="33" t="s">
        <v>171</v>
      </c>
    </row>
    <row r="7" customFormat="false" ht="48" hidden="false" customHeight="true" outlineLevel="0" collapsed="false">
      <c r="B7" s="34" t="s">
        <v>172</v>
      </c>
    </row>
    <row r="9" customFormat="false" ht="19.5" hidden="false" customHeight="true" outlineLevel="0" collapsed="false">
      <c r="B9" s="33" t="s">
        <v>173</v>
      </c>
    </row>
    <row r="10" customFormat="false" ht="61.5" hidden="false" customHeight="true" outlineLevel="0" collapsed="false">
      <c r="B10" s="34" t="s">
        <v>174</v>
      </c>
    </row>
    <row r="12" customFormat="false" ht="19.5" hidden="false" customHeight="true" outlineLevel="0" collapsed="false">
      <c r="B12" s="33" t="s">
        <v>175</v>
      </c>
    </row>
    <row r="13" customFormat="false" ht="75.75" hidden="false" customHeight="true" outlineLevel="0" collapsed="false">
      <c r="B13" s="34" t="s">
        <v>176</v>
      </c>
    </row>
    <row r="15" customFormat="false" ht="19.5" hidden="false" customHeight="true" outlineLevel="0" collapsed="false">
      <c r="B15" s="33" t="s">
        <v>177</v>
      </c>
    </row>
    <row r="16" customFormat="false" ht="61.5" hidden="false" customHeight="true" outlineLevel="0" collapsed="false">
      <c r="B16" s="34" t="s">
        <v>178</v>
      </c>
    </row>
    <row r="18" customFormat="false" ht="19.5" hidden="false" customHeight="true" outlineLevel="0" collapsed="false">
      <c r="B18" s="33" t="s">
        <v>179</v>
      </c>
    </row>
    <row r="19" customFormat="false" ht="33.75" hidden="false" customHeight="true" outlineLevel="0" collapsed="false">
      <c r="B19" s="34" t="s">
        <v>180</v>
      </c>
    </row>
    <row r="21" customFormat="false" ht="19.5" hidden="false" customHeight="true" outlineLevel="0" collapsed="false">
      <c r="B21" s="33" t="s">
        <v>181</v>
      </c>
    </row>
    <row r="22" customFormat="false" ht="33.75" hidden="false" customHeight="true" outlineLevel="0" collapsed="false">
      <c r="B22" s="34" t="s">
        <v>182</v>
      </c>
    </row>
    <row r="24" customFormat="false" ht="21.75" hidden="false" customHeight="true" outlineLevel="0" collapsed="false">
      <c r="B24" s="35" t="s">
        <v>183</v>
      </c>
    </row>
    <row r="26" customFormat="false" ht="18" hidden="false" customHeight="true" outlineLevel="0" collapsed="false">
      <c r="B26" s="36" t="s">
        <v>184</v>
      </c>
    </row>
    <row r="27" customFormat="false" ht="201.75" hidden="false" customHeight="true" outlineLevel="0" collapsed="false">
      <c r="B27" s="37" t="s">
        <v>185</v>
      </c>
    </row>
    <row r="29" customFormat="false" ht="18" hidden="false" customHeight="true" outlineLevel="0" collapsed="false">
      <c r="B29" s="38" t="s">
        <v>186</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2026-05-23T05:19:40Z</dcterms:created>
  <dc:creator>openpyxl</dc:creator>
  <dc:description/>
  <dc:language>en-GB</dc:language>
  <cp:lastModifiedBy/>
  <dcterms:modified xsi:type="dcterms:W3CDTF">2026-05-23T05:19:40Z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