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Herd_Dynamics" sheetId="3" state="visible" r:id="rId5"/>
    <sheet name="Revenue" sheetId="4" state="visible" r:id="rId6"/>
    <sheet name="Operating_Costs" sheetId="5" state="visible" r:id="rId7"/>
    <sheet name="Capex_Dep" sheetId="6" state="visible" r:id="rId8"/>
    <sheet name="Working_Capital" sheetId="7" state="visible" r:id="rId9"/>
    <sheet name="Debt_Schedule" sheetId="8" state="visible" r:id="rId10"/>
    <sheet name="Income_Statement" sheetId="9" state="visible" r:id="rId11"/>
    <sheet name="Balance_Sheet" sheetId="10" state="visible" r:id="rId12"/>
    <sheet name="Cash_Flow" sheetId="11" state="visible" r:id="rId13"/>
    <sheet name="Checks" sheetId="12" state="visible" r:id="rId14"/>
    <sheet name="Disclaimer" sheetId="13" state="visible" r:id="rId15"/>
  </sheets>
  <definedNames>
    <definedName function="false" hidden="false" name="Admin_Pct" vbProcedure="false">Assumptions!$C$51</definedName>
    <definedName function="false" hidden="false" name="BS_CA" vbProcedure="false">Balance_Sheet!$C$11</definedName>
    <definedName function="false" hidden="false" name="BS_Cash" vbProcedure="false">Balance_Sheet!$C$8</definedName>
    <definedName function="false" hidden="false" name="BS_Check" vbProcedure="false">Balance_Sheet!$C$33</definedName>
    <definedName function="false" hidden="false" name="BS_CL" vbProcedure="false">Balance_Sheet!$C$20</definedName>
    <definedName function="false" hidden="false" name="BS_Div" vbProcedure="false">Balance_Sheet!$C$29</definedName>
    <definedName function="false" hidden="false" name="BS_EQ" vbProcedure="false">Balance_Sheet!$C$22</definedName>
    <definedName function="false" hidden="false" name="BS_Eq_Close" vbProcedure="false">Balance_Sheet!$C$30</definedName>
    <definedName function="false" hidden="false" name="BS_Eq_Open" vbProcedure="false">Balance_Sheet!$C$27</definedName>
    <definedName function="false" hidden="false" name="BS_Inv" vbProcedure="false">Balance_Sheet!$C$10</definedName>
    <definedName function="false" hidden="false" name="BS_Land" vbProcedure="false">Balance_Sheet!$C$13</definedName>
    <definedName function="false" hidden="false" name="BS_Mtg" vbProcedure="false">Balance_Sheet!$C$21</definedName>
    <definedName function="false" hidden="false" name="BS_NCA" vbProcedure="false">Balance_Sheet!$C$14</definedName>
    <definedName function="false" hidden="false" name="BS_NCL" vbProcedure="false">Balance_Sheet!$C$23</definedName>
    <definedName function="false" hidden="false" name="BS_NPAT_Eq" vbProcedure="false">Balance_Sheet!$C$28</definedName>
    <definedName function="false" hidden="false" name="BS_OD" vbProcedure="false">Balance_Sheet!$C$19</definedName>
    <definedName function="false" hidden="false" name="BS_Pay" vbProcedure="false">Balance_Sheet!$C$18</definedName>
    <definedName function="false" hidden="false" name="BS_PPE" vbProcedure="false">Balance_Sheet!$C$12</definedName>
    <definedName function="false" hidden="false" name="BS_Rec" vbProcedure="false">Balance_Sheet!$C$9</definedName>
    <definedName function="false" hidden="false" name="BS_TA" vbProcedure="false">Balance_Sheet!$C$15</definedName>
    <definedName function="false" hidden="false" name="BS_TL" vbProcedure="false">Balance_Sheet!$C$24</definedName>
    <definedName function="false" hidden="false" name="BS_TLE" vbProcedure="false">Balance_Sheet!$C$31</definedName>
    <definedName function="false" hidden="false" name="Cattle_Beef_Price" vbProcedure="false">Assumptions!$C$20</definedName>
    <definedName function="false" hidden="false" name="Cattle_Breeders_Y0" vbProcedure="false">Assumptions!$C$13</definedName>
    <definedName function="false" hidden="false" name="Cattle_Cull_Pct" vbProcedure="false">Assumptions!$C$17</definedName>
    <definedName function="false" hidden="false" name="Cattle_Cull_Price" vbProcedure="false">Assumptions!$C$22</definedName>
    <definedName function="false" hidden="false" name="Cattle_Dress_Pct" vbProcedure="false">Assumptions!$C$19</definedName>
    <definedName function="false" hidden="false" name="Cattle_Live_Wt" vbProcedure="false">Assumptions!$C$18</definedName>
    <definedName function="false" hidden="false" name="Cattle_Mort_Rate" vbProcedure="false">Assumptions!$C$15</definedName>
    <definedName function="false" hidden="false" name="Cattle_Price_Growth" vbProcedure="false">Assumptions!$C$21</definedName>
    <definedName function="false" hidden="false" name="Cattle_Retain_Pct" vbProcedure="false">Assumptions!$C$16</definedName>
    <definedName function="false" hidden="false" name="Cattle_Wean_Rate" vbProcedure="false">Assumptions!$C$14</definedName>
    <definedName function="false" hidden="false" name="CD_Capex" vbProcedure="false">Capex_Dep!$C$11</definedName>
    <definedName function="false" hidden="false" name="CD_Depr" vbProcedure="false">Capex_Dep!$C$12</definedName>
    <definedName function="false" hidden="false" name="CD_Growth" vbProcedure="false">Capex_Dep!$C$10</definedName>
    <definedName function="false" hidden="false" name="CD_Land" vbProcedure="false">Capex_Dep!$C$14</definedName>
    <definedName function="false" hidden="false" name="CD_Maint" vbProcedure="false">Capex_Dep!$C$9</definedName>
    <definedName function="false" hidden="false" name="CF_Capex" vbProcedure="false">Cash_Flow!$C$15</definedName>
    <definedName function="false" hidden="false" name="CF_Cash_Close" vbProcedure="false">Cash_Flow!$C$29</definedName>
    <definedName function="false" hidden="false" name="CF_Cash_Open" vbProcedure="false">Cash_Flow!$C$28</definedName>
    <definedName function="false" hidden="false" name="CF_Depr" vbProcedure="false">Cash_Flow!$C$9</definedName>
    <definedName function="false" hidden="false" name="CF_Div" vbProcedure="false">Cash_Flow!$C$24</definedName>
    <definedName function="false" hidden="false" name="CF_DNWC" vbProcedure="false">Cash_Flow!$C$10</definedName>
    <definedName function="false" hidden="false" name="CF_Eq_Prin" vbProcedure="false">Cash_Flow!$C$21</definedName>
    <definedName function="false" hidden="false" name="CF_FCF" vbProcedure="false">Cash_Flow!$C$16</definedName>
    <definedName function="false" hidden="false" name="CF_FCF_Pct" vbProcedure="false">Cash_Flow!$C$17</definedName>
    <definedName function="false" hidden="false" name="CF_Fin" vbProcedure="false">Cash_Flow!$C$25</definedName>
    <definedName function="false" hidden="false" name="CF_Mtg_Prin" vbProcedure="false">Cash_Flow!$C$20</definedName>
    <definedName function="false" hidden="false" name="CF_Net" vbProcedure="false">Cash_Flow!$C$27</definedName>
    <definedName function="false" hidden="false" name="CF_NPAT" vbProcedure="false">Cash_Flow!$C$8</definedName>
    <definedName function="false" hidden="false" name="CF_OCF" vbProcedure="false">Cash_Flow!$C$11</definedName>
    <definedName function="false" hidden="false" name="CF_OD_Draw" vbProcedure="false">Cash_Flow!$C$22</definedName>
    <definedName function="false" hidden="false" name="CF_OD_Repay" vbProcedure="false">Cash_Flow!$C$23</definedName>
    <definedName function="false" hidden="false" name="DIO" vbProcedure="false">Assumptions!$C$58</definedName>
    <definedName function="false" hidden="false" name="DPO" vbProcedure="false">Assumptions!$C$59</definedName>
    <definedName function="false" hidden="false" name="DSE_Per_Ha" vbProcedure="false">Assumptions!$C$8</definedName>
    <definedName function="false" hidden="false" name="DSO" vbProcedure="false">Assumptions!$C$57</definedName>
    <definedName function="false" hidden="false" name="DS_Debt_Service" vbProcedure="false">Debt_Schedule!$C$33</definedName>
    <definedName function="false" hidden="false" name="DS_Debt_Total" vbProcedure="false">Debt_Schedule!$C$34</definedName>
    <definedName function="false" hidden="false" name="DS_DSCR" vbProcedure="false">Debt_Schedule!$C$35</definedName>
    <definedName function="false" hidden="false" name="DS_Eq_Close" vbProcedure="false">Debt_Schedule!$C$19</definedName>
    <definedName function="false" hidden="false" name="DS_Eq_Int" vbProcedure="false">Debt_Schedule!$C$17</definedName>
    <definedName function="false" hidden="false" name="DS_Eq_Open" vbProcedure="false">Debt_Schedule!$C$16</definedName>
    <definedName function="false" hidden="false" name="DS_Eq_Prin" vbProcedure="false">Debt_Schedule!$C$18</definedName>
    <definedName function="false" hidden="false" name="DS_ICR" vbProcedure="false">Debt_Schedule!$C$36</definedName>
    <definedName function="false" hidden="false" name="DS_Int_Total" vbProcedure="false">Debt_Schedule!$C$31</definedName>
    <definedName function="false" hidden="false" name="DS_Mtg_Close" vbProcedure="false">Debt_Schedule!$C$11</definedName>
    <definedName function="false" hidden="false" name="DS_Mtg_Int" vbProcedure="false">Debt_Schedule!$C$9</definedName>
    <definedName function="false" hidden="false" name="DS_Mtg_Open" vbProcedure="false">Debt_Schedule!$C$7</definedName>
    <definedName function="false" hidden="false" name="DS_Mtg_Pmt" vbProcedure="false">Debt_Schedule!$C$8</definedName>
    <definedName function="false" hidden="false" name="DS_Mtg_Prin" vbProcedure="false">Debt_Schedule!$C$10</definedName>
    <definedName function="false" hidden="false" name="DS_OD_Close" vbProcedure="false">Debt_Schedule!$C$25</definedName>
    <definedName function="false" hidden="false" name="DS_OD_Draw" vbProcedure="false">Debt_Schedule!$C$23</definedName>
    <definedName function="false" hidden="false" name="DS_OD_Int" vbProcedure="false">Debt_Schedule!$C$26</definedName>
    <definedName function="false" hidden="false" name="DS_OD_Repay" vbProcedure="false">Debt_Schedule!$C$24</definedName>
    <definedName function="false" hidden="false" name="DS_Prin_Total" vbProcedure="false">Debt_Schedule!$C$32</definedName>
    <definedName function="false" hidden="false" name="Equip_Open" vbProcedure="false">Assumptions!$C$64</definedName>
    <definedName function="false" hidden="false" name="Equip_Rate" vbProcedure="false">Assumptions!$C$65</definedName>
    <definedName function="false" hidden="false" name="Equip_Term" vbProcedure="false">Assumptions!$C$66</definedName>
    <definedName function="false" hidden="false" name="Farm_Area" vbProcedure="false">Assumptions!$C$7</definedName>
    <definedName function="false" hidden="false" name="Feed_Daily_Kg" vbProcedure="false">Assumptions!$C$39</definedName>
    <definedName function="false" hidden="false" name="Feed_Price" vbProcedure="false">Assumptions!$C$38</definedName>
    <definedName function="false" hidden="false" name="Feed_Prop" vbProcedure="false">Assumptions!$C$40</definedName>
    <definedName function="false" hidden="false" name="Fuel_Pct" vbProcedure="false">Assumptions!$C$47</definedName>
    <definedName function="false" hidden="false" name="Growth_Capex_Y1" vbProcedure="false">Assumptions!$C$54</definedName>
    <definedName function="false" hidden="false" name="Growth_Capex_Yn" vbProcedure="false">Assumptions!$C$55</definedName>
    <definedName function="false" hidden="false" name="HD_Cattle_Births" vbProcedure="false">Herd_Dynamics!$C$8</definedName>
    <definedName function="false" hidden="false" name="HD_Cattle_CB" vbProcedure="false">Herd_Dynamics!$C$14</definedName>
    <definedName function="false" hidden="false" name="HD_Cattle_Culls" vbProcedure="false">Herd_Dynamics!$C$11</definedName>
    <definedName function="false" hidden="false" name="HD_Cattle_Deaths" vbProcedure="false">Herd_Dynamics!$C$10</definedName>
    <definedName function="false" hidden="false" name="HD_Cattle_DSE" vbProcedure="false">Herd_Dynamics!$C$18</definedName>
    <definedName function="false" hidden="false" name="HD_Cattle_DSE_Cap" vbProcedure="false">Herd_Dynamics!$C$17</definedName>
    <definedName function="false" hidden="false" name="HD_Cattle_OB" vbProcedure="false">Herd_Dynamics!$C$7</definedName>
    <definedName function="false" hidden="false" name="HD_Cattle_Purch" vbProcedure="false">Herd_Dynamics!$C$9</definedName>
    <definedName function="false" hidden="false" name="HD_Cattle_Retain" vbProcedure="false">Herd_Dynamics!$C$13</definedName>
    <definedName function="false" hidden="false" name="HD_Cattle_Sold" vbProcedure="false">Herd_Dynamics!$C$12</definedName>
    <definedName function="false" hidden="false" name="HD_Cattle_Total" vbProcedure="false">Herd_Dynamics!$C$15</definedName>
    <definedName function="false" hidden="false" name="HD_Sheep_Births" vbProcedure="false">Herd_Dynamics!$C$30</definedName>
    <definedName function="false" hidden="false" name="HD_Sheep_CB" vbProcedure="false">Herd_Dynamics!$C$36</definedName>
    <definedName function="false" hidden="false" name="HD_Sheep_Culls" vbProcedure="false">Herd_Dynamics!$C$33</definedName>
    <definedName function="false" hidden="false" name="HD_Sheep_Deaths" vbProcedure="false">Herd_Dynamics!$C$32</definedName>
    <definedName function="false" hidden="false" name="HD_Sheep_DSE" vbProcedure="false">Herd_Dynamics!$C$38</definedName>
    <definedName function="false" hidden="false" name="HD_Sheep_OB" vbProcedure="false">Herd_Dynamics!$C$29</definedName>
    <definedName function="false" hidden="false" name="HD_Sheep_Purch" vbProcedure="false">Herd_Dynamics!$C$31</definedName>
    <definedName function="false" hidden="false" name="HD_Sheep_Retain" vbProcedure="false">Herd_Dynamics!$C$35</definedName>
    <definedName function="false" hidden="false" name="HD_Sheep_Sold" vbProcedure="false">Herd_Dynamics!$C$34</definedName>
    <definedName function="false" hidden="false" name="HD_Sheep_Total" vbProcedure="false">Herd_Dynamics!$C$37</definedName>
    <definedName function="false" hidden="false" name="HD_Shorn" vbProcedure="false">Herd_Dynamics!$C$39</definedName>
    <definedName function="false" hidden="false" name="HD_Total_All" vbProcedure="false">Herd_Dynamics!$C$40</definedName>
    <definedName function="false" hidden="false" name="HD_Total_DSE" vbProcedure="false">Herd_Dynamics!$C$41</definedName>
    <definedName function="false" hidden="false" name="Insure_Pct" vbProcedure="false">Assumptions!$C$50</definedName>
    <definedName function="false" hidden="false" name="IS_COGS" vbProcedure="false">Income_Statement!$C$8</definedName>
    <definedName function="false" hidden="false" name="IS_Depr" vbProcedure="false">Income_Statement!$C$22</definedName>
    <definedName function="false" hidden="false" name="IS_EBIT" vbProcedure="false">Income_Statement!$C$23</definedName>
    <definedName function="false" hidden="false" name="IS_EBITDA" vbProcedure="false">Income_Statement!$C$19</definedName>
    <definedName function="false" hidden="false" name="IS_EBITDA_Pct" vbProcedure="false">Income_Statement!$C$20</definedName>
    <definedName function="false" hidden="false" name="IS_GP" vbProcedure="false">Income_Statement!$C$9</definedName>
    <definedName function="false" hidden="false" name="IS_GP_Pct" vbProcedure="false">Income_Statement!$C$10</definedName>
    <definedName function="false" hidden="false" name="IS_Int" vbProcedure="false">Income_Statement!$C$24</definedName>
    <definedName function="false" hidden="false" name="IS_NOL_BF" vbProcedure="false">Income_Statement!$C$27</definedName>
    <definedName function="false" hidden="false" name="IS_NOL_CF" vbProcedure="false">Income_Statement!$C$30</definedName>
    <definedName function="false" hidden="false" name="IS_NPAT" vbProcedure="false">Income_Statement!$C$31</definedName>
    <definedName function="false" hidden="false" name="IS_NPAT_Pct" vbProcedure="false">Income_Statement!$C$32</definedName>
    <definedName function="false" hidden="false" name="IS_PBT" vbProcedure="false">Income_Statement!$C$25</definedName>
    <definedName function="false" hidden="false" name="IS_Rev" vbProcedure="false">Income_Statement!$C$7</definedName>
    <definedName function="false" hidden="false" name="IS_Tax" vbProcedure="false">Income_Statement!$C$29</definedName>
    <definedName function="false" hidden="false" name="IS_Taxable" vbProcedure="false">Income_Statement!$C$28</definedName>
    <definedName function="false" hidden="false" name="Labour_FTE" vbProcedure="false">Assumptions!$C$45</definedName>
    <definedName function="false" hidden="false" name="Lamb_Carc_Wt" vbProcedure="false">Assumptions!$C$29</definedName>
    <definedName function="false" hidden="false" name="Lamb_Price" vbProcedure="false">Assumptions!$C$30</definedName>
    <definedName function="false" hidden="false" name="Lamb_Price_Growth" vbProcedure="false">Assumptions!$C$31</definedName>
    <definedName function="false" hidden="false" name="Land_Value_Ha" vbProcedure="false">Assumptions!$C$9</definedName>
    <definedName function="false" hidden="false" name="Levy_Pct" vbProcedure="false">Assumptions!$C$44</definedName>
    <definedName function="false" hidden="false" name="Maint_Capex_Pct" vbProcedure="false">Assumptions!$C$53</definedName>
    <definedName function="false" hidden="false" name="Mortgage_Open" vbProcedure="false">Assumptions!$C$61</definedName>
    <definedName function="false" hidden="false" name="Mortgage_Rate" vbProcedure="false">Assumptions!$C$62</definedName>
    <definedName function="false" hidden="false" name="Mortgage_Term" vbProcedure="false">Assumptions!$C$63</definedName>
    <definedName function="false" hidden="false" name="OC_Admin" vbProcedure="false">Operating_Costs!$C$23</definedName>
    <definedName function="false" hidden="false" name="OC_COGS" vbProcedure="false">Operating_Costs!$C$13</definedName>
    <definedName function="false" hidden="false" name="OC_EBITDA" vbProcedure="false">Operating_Costs!$C$25</definedName>
    <definedName function="false" hidden="false" name="OC_EBITDA_Pct" vbProcedure="false">Operating_Costs!$C$26</definedName>
    <definedName function="false" hidden="false" name="OC_Feed" vbProcedure="false">Operating_Costs!$C$8</definedName>
    <definedName function="false" hidden="false" name="OC_Fuel" vbProcedure="false">Operating_Costs!$C$19</definedName>
    <definedName function="false" hidden="false" name="OC_GP" vbProcedure="false">Operating_Costs!$C$14</definedName>
    <definedName function="false" hidden="false" name="OC_GP_Pct" vbProcedure="false">Operating_Costs!$C$15</definedName>
    <definedName function="false" hidden="false" name="OC_Insure" vbProcedure="false">Operating_Costs!$C$22</definedName>
    <definedName function="false" hidden="false" name="OC_Labour" vbProcedure="false">Operating_Costs!$C$18</definedName>
    <definedName function="false" hidden="false" name="OC_Levy" vbProcedure="false">Operating_Costs!$C$12</definedName>
    <definedName function="false" hidden="false" name="OC_OpEx" vbProcedure="false">Operating_Costs!$C$24</definedName>
    <definedName function="false" hidden="false" name="OC_Rates" vbProcedure="false">Operating_Costs!$C$21</definedName>
    <definedName function="false" hidden="false" name="OC_Repairs" vbProcedure="false">Operating_Costs!$C$20</definedName>
    <definedName function="false" hidden="false" name="OC_Shear" vbProcedure="false">Operating_Costs!$C$10</definedName>
    <definedName function="false" hidden="false" name="OC_Transport" vbProcedure="false">Operating_Costs!$C$11</definedName>
    <definedName function="false" hidden="false" name="OC_Vet" vbProcedure="false">Operating_Costs!$C$9</definedName>
    <definedName function="false" hidden="false" name="Overdraft_Cap" vbProcedure="false">Assumptions!$C$68</definedName>
    <definedName function="false" hidden="false" name="Overdraft_Rate" vbProcedure="false">Assumptions!$C$67</definedName>
    <definedName function="false" hidden="false" name="PPE_Life" vbProcedure="false">Assumptions!$C$11</definedName>
    <definedName function="false" hidden="false" name="PPE_NBV_Closing" vbProcedure="false">Capex_Dep!$C$13</definedName>
    <definedName function="false" hidden="false" name="PPE_NBV_Opening" vbProcedure="false">Capex_Dep!$C$8</definedName>
    <definedName function="false" hidden="false" name="PPE_Opening" vbProcedure="false">Assumptions!$C$10</definedName>
    <definedName function="false" hidden="false" name="Rates_Ha" vbProcedure="false">Assumptions!$C$49</definedName>
    <definedName function="false" hidden="false" name="Repairs_Pct" vbProcedure="false">Assumptions!$C$48</definedName>
    <definedName function="false" hidden="false" name="Rev_Beef_Price" vbProcedure="false">Revenue!$C$8</definedName>
    <definedName function="false" hidden="false" name="Rev_Cattle" vbProcedure="false">Revenue!$C$14</definedName>
    <definedName function="false" hidden="false" name="Rev_Cattle_Qty" vbProcedure="false">Revenue!$C$13</definedName>
    <definedName function="false" hidden="false" name="Rev_Cull_Cattle" vbProcedure="false">Revenue!$C$23</definedName>
    <definedName function="false" hidden="false" name="Rev_Cull_Cattle_Qty" vbProcedure="false">Revenue!$C$22</definedName>
    <definedName function="false" hidden="false" name="Rev_Cull_Sheep" vbProcedure="false">Revenue!$C$25</definedName>
    <definedName function="false" hidden="false" name="Rev_Cull_Sheep_Qty" vbProcedure="false">Revenue!$C$24</definedName>
    <definedName function="false" hidden="false" name="Rev_Lamb" vbProcedure="false">Revenue!$C$17</definedName>
    <definedName function="false" hidden="false" name="Rev_Lamb_Price" vbProcedure="false">Revenue!$C$9</definedName>
    <definedName function="false" hidden="false" name="Rev_Lamb_Qty" vbProcedure="false">Revenue!$C$16</definedName>
    <definedName function="false" hidden="false" name="Rev_Livestock" vbProcedure="false">Revenue!$C$28</definedName>
    <definedName function="false" hidden="false" name="Rev_Shorn_Qty" vbProcedure="false">Revenue!$C$19</definedName>
    <definedName function="false" hidden="false" name="Rev_Total" vbProcedure="false">Revenue!$C$27</definedName>
    <definedName function="false" hidden="false" name="Rev_Wool" vbProcedure="false">Revenue!$C$20</definedName>
    <definedName function="false" hidden="false" name="Rev_Wool_Price" vbProcedure="false">Revenue!$C$10</definedName>
    <definedName function="false" hidden="false" name="Salary_FTE" vbProcedure="false">Assumptions!$C$46</definedName>
    <definedName function="false" hidden="false" name="Shear_Cost_Hd" vbProcedure="false">Assumptions!$C$42</definedName>
    <definedName function="false" hidden="false" name="Sheep_Breeders_Y0" vbProcedure="false">Assumptions!$C$24</definedName>
    <definedName function="false" hidden="false" name="Sheep_Cull_Pct" vbProcedure="false">Assumptions!$C$28</definedName>
    <definedName function="false" hidden="false" name="Sheep_Cull_Price" vbProcedure="false">Assumptions!$C$32</definedName>
    <definedName function="false" hidden="false" name="Sheep_Mort_Rate" vbProcedure="false">Assumptions!$C$26</definedName>
    <definedName function="false" hidden="false" name="Sheep_Retain_Pct" vbProcedure="false">Assumptions!$C$27</definedName>
    <definedName function="false" hidden="false" name="Sheep_Wean_Rate" vbProcedure="false">Assumptions!$C$25</definedName>
    <definedName function="false" hidden="false" name="Tax_Rate" vbProcedure="false">Assumptions!$C$70</definedName>
    <definedName function="false" hidden="false" name="Transport_Pct" vbProcedure="false">Assumptions!$C$43</definedName>
    <definedName function="false" hidden="false" name="Vet_Cost_Hd" vbProcedure="false">Assumptions!$C$41</definedName>
    <definedName function="false" hidden="false" name="WACC" vbProcedure="false">Assumptions!$C$71</definedName>
    <definedName function="false" hidden="false" name="WC_Delta" vbProcedure="false">Working_Capital!$C$17</definedName>
    <definedName function="false" hidden="false" name="WC_Inv" vbProcedure="false">Working_Capital!$C$10</definedName>
    <definedName function="false" hidden="false" name="WC_NWC" vbProcedure="false">Working_Capital!$C$14</definedName>
    <definedName function="false" hidden="false" name="WC_Pay" vbProcedure="false">Working_Capital!$C$12</definedName>
    <definedName function="false" hidden="false" name="WC_Prev_NWC" vbProcedure="false">Working_Capital!$C$16</definedName>
    <definedName function="false" hidden="false" name="WC_Rec" vbProcedure="false">Working_Capital!$C$8</definedName>
    <definedName function="false" hidden="false" name="Wool_Clean_Yield" vbProcedure="false">Assumptions!$C$34</definedName>
    <definedName function="false" hidden="false" name="Wool_Fleece_Wt" vbProcedure="false">Assumptions!$C$33</definedName>
    <definedName function="false" hidden="false" name="Wool_Price" vbProcedure="false">Assumptions!$C$35</definedName>
    <definedName function="false" hidden="false" name="Wool_Price_Growth" vbProcedure="false">Assumptions!$C$36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<sst xmlns="http://schemas.openxmlformats.org/spreadsheetml/2006/main" count="455" uniqueCount="325">
  <si>
    <t xml:space="preserve">Livestock Farming</t>
  </si>
  <si>
    <t xml:space="preserve">FINAMODEL.com</t>
  </si>
  <si>
    <t xml:space="preserve">Commercial Cattle &amp; Sheep Operation — 5-Year Financial Model</t>
  </si>
  <si>
    <t xml:space="preserve">Model Purpose:</t>
  </si>
  <si>
    <t xml:space="preserve">Projects herd-driven revenue, costs, and cash flows for a mixed cattle and sheep grazing/finishing operation over 5 years.</t>
  </si>
  <si>
    <t xml:space="preserve">Biological Asset Note:</t>
  </si>
  <si>
    <t xml:space="preserve">Livestock carried at cost. IAS 41 fair value adjustments excluded. P&amp;L reflects cash earnings only.</t>
  </si>
  <si>
    <t xml:space="preserve">Data Sources:</t>
  </si>
  <si>
    <t xml:space="preserve">MLA, AHDB, USDA benchmarks. No live data fetched.</t>
  </si>
  <si>
    <t xml:space="preserve">Version:</t>
  </si>
  <si>
    <t xml:space="preserve">1.0</t>
  </si>
  <si>
    <t xml:space="preserve">Date:</t>
  </si>
  <si>
    <t xml:space="preserve">2026-04-18</t>
  </si>
  <si>
    <t xml:space="preserve">About this model</t>
  </si>
  <si>
    <t xml:space="preserve">A Livestock Operation Model projects the financial returns of commercial cattle and sheep farming based on herd dynamics, commodity prices, and operating costs. The model drives revenue from breeding herd size, weaning rates, live weight, and commodity prices (beef at $/kg carcass, lamb at carcass weight, wool at clean weight after yield %). A typical operation with 2,000 breeding cows and 1,500 breeding ewes on 5,000 hectares generates $2-3M annual revenue with 25-30% EBITDA margin in normal seasons. The model captures biological production cycles, feed economics, and debt service to assess whether cash flows sustain the operation and provide acceptable equity returns.
The Herd Dynamics sheet tracks opening inventory, births/purchases, deaths, sales, and closing by cohort (cows, heifers, calves; ewes, lambs, wethers). Revenue links to animals sold at target finish weight, adjusted for dressing percentage and commodity prices escalating at 2% annually. Operating costsâsupplementary feed (typically 15-20% of revenue in normal seasons), veterinary, shearing, freight, and commissionsâescalate with herd size and inflation. A Land Mortgage ($3.75M at 6.5% over 20 years), Equipment Finance ($400K at 7%), and Seasonal Overdraft ($0 base, drawn if needed at 8%) structure the debt. The Cash Flow projects whether annual operating cash covers debt service and capital reserves; covenant tests check interest coverage (minimum 2.0Ã) and loan-to-value on land (maximum 50%).
This model suits agricultural lenders, farm management companies, and rural investors. Key metrics include EBITDA margin (25-32% in steady state), livestock carrying capacity (DSE per hectare, typically 6-12), debt service coverage ratio (minimum 1.5Ã), and land-to-value (typically 40-50% for mid-tier operations). Sensitivity to commodity prices is acute: a 10% beef price decline can halve EBITDA margin.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</si>
  <si>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</si>
  <si>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</si>
  <si>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</si>
  <si>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</si>
  <si>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</si>
  <si>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 — Livestock Farming</t>
  </si>
  <si>
    <t xml:space="preserve">Parameter</t>
  </si>
  <si>
    <t xml:space="preserve">Value</t>
  </si>
  <si>
    <t xml:space="preserve">Unit</t>
  </si>
  <si>
    <t xml:space="preserve">Notes</t>
  </si>
  <si>
    <t xml:space="preserve">Section A: Farm Structure</t>
  </si>
  <si>
    <t xml:space="preserve">Farm Area</t>
  </si>
  <si>
    <t xml:space="preserve">hectares</t>
  </si>
  <si>
    <t xml:space="preserve">DSE per Ha</t>
  </si>
  <si>
    <t xml:space="preserve">DSE/ha</t>
  </si>
  <si>
    <t xml:space="preserve">Land Value</t>
  </si>
  <si>
    <t xml:space="preserve">$/ha</t>
  </si>
  <si>
    <t xml:space="preserve">PP&amp;E Opening (net)</t>
  </si>
  <si>
    <t xml:space="preserve">$</t>
  </si>
  <si>
    <t xml:space="preserve">PP&amp;E Useful Life</t>
  </si>
  <si>
    <t xml:space="preserve">years</t>
  </si>
  <si>
    <t xml:space="preserve">Section B: Cattle Herd</t>
  </si>
  <si>
    <t xml:space="preserve">Cattle Breeders Y0</t>
  </si>
  <si>
    <t xml:space="preserve">head</t>
  </si>
  <si>
    <t xml:space="preserve">Wean Rate</t>
  </si>
  <si>
    <t xml:space="preserve">%</t>
  </si>
  <si>
    <t xml:space="preserve">Mortality Rate</t>
  </si>
  <si>
    <t xml:space="preserve">Replacement Retain %</t>
  </si>
  <si>
    <t xml:space="preserve">Cull Rate</t>
  </si>
  <si>
    <t xml:space="preserve">Live Weight</t>
  </si>
  <si>
    <t xml:space="preserve">kg/head</t>
  </si>
  <si>
    <t xml:space="preserve">Dressing %</t>
  </si>
  <si>
    <t xml:space="preserve">Beef Price Y1</t>
  </si>
  <si>
    <t xml:space="preserve">$/kg carc</t>
  </si>
  <si>
    <t xml:space="preserve">Beef Price Growth</t>
  </si>
  <si>
    <t xml:space="preserve">% pa</t>
  </si>
  <si>
    <t xml:space="preserve">Cull Cow Price</t>
  </si>
  <si>
    <t xml:space="preserve">$/head</t>
  </si>
  <si>
    <t xml:space="preserve">Section C: Sheep Herd</t>
  </si>
  <si>
    <t xml:space="preserve">Sheep Breeders Y0</t>
  </si>
  <si>
    <t xml:space="preserve">Lamb Carc Weight</t>
  </si>
  <si>
    <t xml:space="preserve">kg/head carc</t>
  </si>
  <si>
    <t xml:space="preserve">Lamb Price Y1</t>
  </si>
  <si>
    <t xml:space="preserve">Lamb Price Growth</t>
  </si>
  <si>
    <t xml:space="preserve">Cull Ewe Price</t>
  </si>
  <si>
    <t xml:space="preserve">Fleece Weight</t>
  </si>
  <si>
    <t xml:space="preserve">kg/head greasy</t>
  </si>
  <si>
    <t xml:space="preserve">Clean Yield</t>
  </si>
  <si>
    <t xml:space="preserve">Wool Price Y1</t>
  </si>
  <si>
    <t xml:space="preserve">$/kg clean</t>
  </si>
  <si>
    <t xml:space="preserve">Wool Price Growth</t>
  </si>
  <si>
    <t xml:space="preserve">Section D: Operating Costs</t>
  </si>
  <si>
    <t xml:space="preserve">Feed Price</t>
  </si>
  <si>
    <t xml:space="preserve">$/tonne</t>
  </si>
  <si>
    <t xml:space="preserve">Feed Daily kg/head</t>
  </si>
  <si>
    <t xml:space="preserve">kg/head/day</t>
  </si>
  <si>
    <t xml:space="preserve">Feed Proportion</t>
  </si>
  <si>
    <t xml:space="preserve">Vet &amp; Medicines</t>
  </si>
  <si>
    <t xml:space="preserve">$/head/yr</t>
  </si>
  <si>
    <t xml:space="preserve">Shearing Cost</t>
  </si>
  <si>
    <t xml:space="preserve">Transport %</t>
  </si>
  <si>
    <t xml:space="preserve">% revenue</t>
  </si>
  <si>
    <t xml:space="preserve">Commission &amp; Levies</t>
  </si>
  <si>
    <t xml:space="preserve">Labour FTE</t>
  </si>
  <si>
    <t xml:space="preserve">FTE</t>
  </si>
  <si>
    <t xml:space="preserve">Salary per FTE</t>
  </si>
  <si>
    <t xml:space="preserve">$/FTE/yr</t>
  </si>
  <si>
    <t xml:space="preserve">Fuel &amp; Oil %</t>
  </si>
  <si>
    <t xml:space="preserve">Repairs % PPE</t>
  </si>
  <si>
    <t xml:space="preserve">% PPE NBV</t>
  </si>
  <si>
    <t xml:space="preserve">Rates &amp; Taxes</t>
  </si>
  <si>
    <t xml:space="preserve">$/ha/yr</t>
  </si>
  <si>
    <t xml:space="preserve">Insurance %</t>
  </si>
  <si>
    <t xml:space="preserve">Admin &amp; IT %</t>
  </si>
  <si>
    <t xml:space="preserve">Section E: Capex</t>
  </si>
  <si>
    <t xml:space="preserve">Maint Capex %</t>
  </si>
  <si>
    <t xml:space="preserve">% opening NBV</t>
  </si>
  <si>
    <t xml:space="preserve">Growth Capex Y1</t>
  </si>
  <si>
    <t xml:space="preserve">Growth Capex Y2-5</t>
  </si>
  <si>
    <t xml:space="preserve">Section F: Working Capital</t>
  </si>
  <si>
    <t xml:space="preserve">DSO (days)</t>
  </si>
  <si>
    <t xml:space="preserve">days</t>
  </si>
  <si>
    <t xml:space="preserve">DIO (days)</t>
  </si>
  <si>
    <t xml:space="preserve">DPO (days)</t>
  </si>
  <si>
    <t xml:space="preserve">Section G: Debt</t>
  </si>
  <si>
    <t xml:space="preserve">Mortgage Opening</t>
  </si>
  <si>
    <t xml:space="preserve">Mortgage Rate</t>
  </si>
  <si>
    <t xml:space="preserve">Mortgage Term</t>
  </si>
  <si>
    <t xml:space="preserve">Equipment Opening</t>
  </si>
  <si>
    <t xml:space="preserve">Equipment Rate</t>
  </si>
  <si>
    <t xml:space="preserve">Equipment Term</t>
  </si>
  <si>
    <t xml:space="preserve">Overdraft Rate</t>
  </si>
  <si>
    <t xml:space="preserve">Overdraft Cap</t>
  </si>
  <si>
    <t xml:space="preserve">Section H: Tax &amp; Valuation</t>
  </si>
  <si>
    <t xml:space="preserve">Tax Rate</t>
  </si>
  <si>
    <t xml:space="preserve">WACC</t>
  </si>
  <si>
    <t xml:space="preserve">Herd Dynamics</t>
  </si>
  <si>
    <t xml:space="preserve">Cattle &amp; Sheep Roll-Forward</t>
  </si>
  <si>
    <t xml:space="preserve">Cattle Herd Roll-Forward</t>
  </si>
  <si>
    <t xml:space="preserve">Year 1</t>
  </si>
  <si>
    <t xml:space="preserve">Year 2</t>
  </si>
  <si>
    <t xml:space="preserve">Year 3</t>
  </si>
  <si>
    <t xml:space="preserve">Year 4</t>
  </si>
  <si>
    <t xml:space="preserve">Year 5</t>
  </si>
  <si>
    <t xml:space="preserve">Opening Breeders</t>
  </si>
  <si>
    <t xml:space="preserve">  Births (weaners)</t>
  </si>
  <si>
    <t xml:space="preserve">  Purchases</t>
  </si>
  <si>
    <t xml:space="preserve">  Deaths</t>
  </si>
  <si>
    <t xml:space="preserve">  Cull Sales</t>
  </si>
  <si>
    <t xml:space="preserve">Finisher Sales</t>
  </si>
  <si>
    <t xml:space="preserve">  Replacements Retained</t>
  </si>
  <si>
    <t xml:space="preserve">Closing Breeders</t>
  </si>
  <si>
    <t xml:space="preserve">Total on Farm (avg)</t>
  </si>
  <si>
    <t xml:space="preserve">DSE Check</t>
  </si>
  <si>
    <t xml:space="preserve">Max DSE Capacity</t>
  </si>
  <si>
    <t xml:space="preserve">  Cattle DSE (6/head)</t>
  </si>
  <si>
    <t xml:space="preserve">Sheep Herd Roll-Forward</t>
  </si>
  <si>
    <t xml:space="preserve">  Births (lambs)</t>
  </si>
  <si>
    <t xml:space="preserve">Lamb Sales</t>
  </si>
  <si>
    <t xml:space="preserve">  Sheep DSE (1.5/head)</t>
  </si>
  <si>
    <t xml:space="preserve">Head Shorn</t>
  </si>
  <si>
    <t xml:space="preserve">Total Herd (all species)</t>
  </si>
  <si>
    <t xml:space="preserve">Total DSE</t>
  </si>
  <si>
    <t xml:space="preserve">Combined</t>
  </si>
  <si>
    <t xml:space="preserve">Revenue</t>
  </si>
  <si>
    <t xml:space="preserve">Livestock &amp; Wool Revenue Build</t>
  </si>
  <si>
    <t xml:space="preserve">Revenue Build</t>
  </si>
  <si>
    <t xml:space="preserve">Prices</t>
  </si>
  <si>
    <t xml:space="preserve">  Beef Price ($/kg carc)</t>
  </si>
  <si>
    <t xml:space="preserve">  Lamb Price ($/kg carc)</t>
  </si>
  <si>
    <t xml:space="preserve">  Wool Price ($/kg clean)</t>
  </si>
  <si>
    <t xml:space="preserve">Cattle Revenue</t>
  </si>
  <si>
    <t xml:space="preserve">  Head Sold (finishers)</t>
  </si>
  <si>
    <t xml:space="preserve">  Cattle Revenue</t>
  </si>
  <si>
    <t xml:space="preserve">Lamb Revenue</t>
  </si>
  <si>
    <t xml:space="preserve">  Head Sold (lambs)</t>
  </si>
  <si>
    <t xml:space="preserve">  Lamb Revenue</t>
  </si>
  <si>
    <t xml:space="preserve">Wool Revenue</t>
  </si>
  <si>
    <t xml:space="preserve">  Head Shorn</t>
  </si>
  <si>
    <t xml:space="preserve">  Wool Revenue</t>
  </si>
  <si>
    <t xml:space="preserve">Cull Revenue</t>
  </si>
  <si>
    <t xml:space="preserve">  Cull Cattle Head</t>
  </si>
  <si>
    <t xml:space="preserve">  Cull Cattle Revenue</t>
  </si>
  <si>
    <t xml:space="preserve">  Cull Sheep Head</t>
  </si>
  <si>
    <t xml:space="preserve">  Cull Sheep Revenue</t>
  </si>
  <si>
    <t xml:space="preserve">TOTAL REVENUE</t>
  </si>
  <si>
    <t xml:space="preserve">Livestock Revenue (excl wool)</t>
  </si>
  <si>
    <t xml:space="preserve">Operating Costs</t>
  </si>
  <si>
    <t xml:space="preserve">COGS &amp; OpEx Build</t>
  </si>
  <si>
    <t xml:space="preserve">Cost of Goods Sold</t>
  </si>
  <si>
    <t xml:space="preserve">  Supplementary Feed</t>
  </si>
  <si>
    <t xml:space="preserve">  Vet &amp; Medicines</t>
  </si>
  <si>
    <t xml:space="preserve">  Shearing Costs</t>
  </si>
  <si>
    <t xml:space="preserve">  Transport &amp; Freight</t>
  </si>
  <si>
    <t xml:space="preserve">  Commission &amp; Levies</t>
  </si>
  <si>
    <t xml:space="preserve">TOTAL COGS</t>
  </si>
  <si>
    <t xml:space="preserve">Gross Profit</t>
  </si>
  <si>
    <t xml:space="preserve">Gross Margin %</t>
  </si>
  <si>
    <t xml:space="preserve">Operating Expenses</t>
  </si>
  <si>
    <t xml:space="preserve">  Farm Labour</t>
  </si>
  <si>
    <t xml:space="preserve">  Fuel &amp; Oil</t>
  </si>
  <si>
    <t xml:space="preserve">  Repairs &amp; Maint (exp)</t>
  </si>
  <si>
    <t xml:space="preserve">  Land Rates &amp; Taxes</t>
  </si>
  <si>
    <t xml:space="preserve">  Insurance</t>
  </si>
  <si>
    <t xml:space="preserve">  Administration &amp; IT</t>
  </si>
  <si>
    <t xml:space="preserve">TOTAL OPEX</t>
  </si>
  <si>
    <t xml:space="preserve">EBITDA</t>
  </si>
  <si>
    <t xml:space="preserve">EBITDA Margin %</t>
  </si>
  <si>
    <t xml:space="preserve">Capex &amp; Depreciation</t>
  </si>
  <si>
    <t xml:space="preserve">PP&amp;E Roll-Forward</t>
  </si>
  <si>
    <t xml:space="preserve">Opening PP&amp;E (net)</t>
  </si>
  <si>
    <t xml:space="preserve">  Maintenance Capex</t>
  </si>
  <si>
    <t xml:space="preserve">  Growth Capex</t>
  </si>
  <si>
    <t xml:space="preserve">Total Capex</t>
  </si>
  <si>
    <t xml:space="preserve">Depreciation</t>
  </si>
  <si>
    <t xml:space="preserve">Closing PP&amp;E (net)</t>
  </si>
  <si>
    <t xml:space="preserve">Land (at cost, not depr)</t>
  </si>
  <si>
    <t xml:space="preserve">Working Capital</t>
  </si>
  <si>
    <t xml:space="preserve">Receivables, Inventory &amp; Payables</t>
  </si>
  <si>
    <t xml:space="preserve">Receivables</t>
  </si>
  <si>
    <t xml:space="preserve">Closing Receivables</t>
  </si>
  <si>
    <t xml:space="preserve">Inventory — Feed</t>
  </si>
  <si>
    <t xml:space="preserve">Closing Feed Inventory</t>
  </si>
  <si>
    <t xml:space="preserve">Payables</t>
  </si>
  <si>
    <t xml:space="preserve">Closing Payables</t>
  </si>
  <si>
    <t xml:space="preserve">Net Working Capital</t>
  </si>
  <si>
    <t xml:space="preserve">NWC Movement</t>
  </si>
  <si>
    <t xml:space="preserve">Prior NWC</t>
  </si>
  <si>
    <t xml:space="preserve">Change in NWC</t>
  </si>
  <si>
    <t xml:space="preserve">Debt Schedule</t>
  </si>
  <si>
    <t xml:space="preserve">Land Mortgage, Equipment Finance &amp; Seasonal Overdraft</t>
  </si>
  <si>
    <t xml:space="preserve">Land Mortgage</t>
  </si>
  <si>
    <t xml:space="preserve">Opening Balance</t>
  </si>
  <si>
    <t xml:space="preserve">Annual Payment (PMT)</t>
  </si>
  <si>
    <t xml:space="preserve">  Interest</t>
  </si>
  <si>
    <t xml:space="preserve">  Principal Repayment</t>
  </si>
  <si>
    <t xml:space="preserve">Closing Balance</t>
  </si>
  <si>
    <t xml:space="preserve">Equipment Finance</t>
  </si>
  <si>
    <t xml:space="preserve">Seasonal Overdraft</t>
  </si>
  <si>
    <t xml:space="preserve">Overdraft Drawn</t>
  </si>
  <si>
    <t xml:space="preserve">Overdraft Repaid</t>
  </si>
  <si>
    <t xml:space="preserve">Summary</t>
  </si>
  <si>
    <t xml:space="preserve">Total Interest Expense</t>
  </si>
  <si>
    <t xml:space="preserve">Total Principal Repaid</t>
  </si>
  <si>
    <t xml:space="preserve">Total Debt Service</t>
  </si>
  <si>
    <t xml:space="preserve">Total Closing Debt</t>
  </si>
  <si>
    <t xml:space="preserve">DSCR</t>
  </si>
  <si>
    <t xml:space="preserve">Interest Cover (EBIT/Int)</t>
  </si>
  <si>
    <t xml:space="preserve">Income Statement</t>
  </si>
  <si>
    <t xml:space="preserve">5-Year P&amp;L — Livestock Farming</t>
  </si>
  <si>
    <t xml:space="preserve">  COGS</t>
  </si>
  <si>
    <t xml:space="preserve">GROSS PROFIT</t>
  </si>
  <si>
    <t xml:space="preserve">  Repairs &amp; Maint</t>
  </si>
  <si>
    <t xml:space="preserve">  Depreciation</t>
  </si>
  <si>
    <t xml:space="preserve">EBIT</t>
  </si>
  <si>
    <t xml:space="preserve">  Interest Expense</t>
  </si>
  <si>
    <t xml:space="preserve">PBT</t>
  </si>
  <si>
    <t xml:space="preserve">Tax &amp; NOL</t>
  </si>
  <si>
    <t xml:space="preserve">  NOL Brought Forward</t>
  </si>
  <si>
    <t xml:space="preserve">  Taxable Income</t>
  </si>
  <si>
    <t xml:space="preserve">  Income Tax</t>
  </si>
  <si>
    <t xml:space="preserve">  NOL Carry-Forward</t>
  </si>
  <si>
    <t xml:space="preserve">NPAT</t>
  </si>
  <si>
    <t xml:space="preserve">Net Margin %</t>
  </si>
  <si>
    <t xml:space="preserve">Balance Sheet</t>
  </si>
  <si>
    <t xml:space="preserve">Year-End Positions</t>
  </si>
  <si>
    <t xml:space="preserve">Assets</t>
  </si>
  <si>
    <t xml:space="preserve">  Cash</t>
  </si>
  <si>
    <t xml:space="preserve">  Receivables</t>
  </si>
  <si>
    <t xml:space="preserve">  Feed Inventory</t>
  </si>
  <si>
    <t xml:space="preserve">TOTAL CURRENT ASSETS</t>
  </si>
  <si>
    <t xml:space="preserve">  PP&amp;E (net)</t>
  </si>
  <si>
    <t xml:space="preserve">  Land (at cost)</t>
  </si>
  <si>
    <t xml:space="preserve">TOTAL NON-CURRENT ASSETS</t>
  </si>
  <si>
    <t xml:space="preserve">TOTAL ASSETS</t>
  </si>
  <si>
    <t xml:space="preserve">Liabilities</t>
  </si>
  <si>
    <t xml:space="preserve">  Payables</t>
  </si>
  <si>
    <t xml:space="preserve">  Seasonal Overdraft</t>
  </si>
  <si>
    <t xml:space="preserve">TOTAL CURRENT LIABILITIES</t>
  </si>
  <si>
    <t xml:space="preserve">  Land Mortgage</t>
  </si>
  <si>
    <t xml:space="preserve">  Equipment Finance</t>
  </si>
  <si>
    <t xml:space="preserve">TOTAL NON-CURRENT LIABILITIES</t>
  </si>
  <si>
    <t xml:space="preserve">TOTAL LIABILITIES</t>
  </si>
  <si>
    <t xml:space="preserve">Equity</t>
  </si>
  <si>
    <t xml:space="preserve">  Opening Equity</t>
  </si>
  <si>
    <t xml:space="preserve">  NPAT</t>
  </si>
  <si>
    <t xml:space="preserve">  Dividends</t>
  </si>
  <si>
    <t xml:space="preserve">CLOSING EQUITY</t>
  </si>
  <si>
    <t xml:space="preserve">TOTAL LIABILITIES &amp; EQUITY</t>
  </si>
  <si>
    <t xml:space="preserve">BS CHECK (must = 0)</t>
  </si>
  <si>
    <t xml:space="preserve">Cash Flow Statement</t>
  </si>
  <si>
    <t xml:space="preserve">Indirect Method</t>
  </si>
  <si>
    <t xml:space="preserve">Operating Activities</t>
  </si>
  <si>
    <t xml:space="preserve">  Add: Depreciation</t>
  </si>
  <si>
    <t xml:space="preserve">  Less: Change in NWC</t>
  </si>
  <si>
    <t xml:space="preserve">OPERATING CASH FLOW</t>
  </si>
  <si>
    <t xml:space="preserve">OCF / EBITDA conversion</t>
  </si>
  <si>
    <t xml:space="preserve">Investing Activities</t>
  </si>
  <si>
    <t xml:space="preserve">  Capex</t>
  </si>
  <si>
    <t xml:space="preserve">FREE CASH FLOW</t>
  </si>
  <si>
    <t xml:space="preserve">FCF Margin</t>
  </si>
  <si>
    <t xml:space="preserve">Financing Activities</t>
  </si>
  <si>
    <t xml:space="preserve">  Mortgage Principal Repaid</t>
  </si>
  <si>
    <t xml:space="preserve">  Equipment Principal Repaid</t>
  </si>
  <si>
    <t xml:space="preserve">  Overdraft Drawn</t>
  </si>
  <si>
    <t xml:space="preserve">  Overdraft Repaid</t>
  </si>
  <si>
    <t xml:space="preserve">  Dividends Paid</t>
  </si>
  <si>
    <t xml:space="preserve">NET FINANCING CASH FLOW</t>
  </si>
  <si>
    <t xml:space="preserve">NET CASH MOVEMENT</t>
  </si>
  <si>
    <t xml:space="preserve">Opening Cash</t>
  </si>
  <si>
    <t xml:space="preserve">CLOSING CASH</t>
  </si>
  <si>
    <t xml:space="preserve">Model Checks</t>
  </si>
  <si>
    <t xml:space="preserve">All checks must show TRUE. Any FALSE = model error.</t>
  </si>
  <si>
    <t xml:space="preserve">Check</t>
  </si>
  <si>
    <t xml:space="preserve">Result</t>
  </si>
  <si>
    <t xml:space="preserve">Expected</t>
  </si>
  <si>
    <t xml:space="preserve">BS Balance Y1</t>
  </si>
  <si>
    <t xml:space="preserve">TRUE</t>
  </si>
  <si>
    <t xml:space="preserve">BS Balance Y2</t>
  </si>
  <si>
    <t xml:space="preserve">BS Balance Y3</t>
  </si>
  <si>
    <t xml:space="preserve">BS Balance Y4</t>
  </si>
  <si>
    <t xml:space="preserve">BS Balance Y5</t>
  </si>
  <si>
    <t xml:space="preserve">Cattle Herd Balance Y1</t>
  </si>
  <si>
    <t xml:space="preserve">Cattle Herd Balance Y5</t>
  </si>
  <si>
    <t xml:space="preserve">Sheep Herd Balance Y1</t>
  </si>
  <si>
    <t xml:space="preserve">Sheep Herd Balance Y5</t>
  </si>
  <si>
    <t xml:space="preserve">Cash Positive (all years)</t>
  </si>
  <si>
    <t xml:space="preserve">DSCR min &gt;= 1.5x</t>
  </si>
  <si>
    <t xml:space="preserve">LVR &lt;= 50%</t>
  </si>
  <si>
    <t xml:space="preserve">Mortgage Declining</t>
  </si>
  <si>
    <t xml:space="preserve">Gross Margin &gt;= 40%</t>
  </si>
  <si>
    <t xml:space="preserve">DSE within Capacity</t>
  </si>
  <si>
    <t xml:space="preserve">NOL Non-Negative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</si>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</sst>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
    <numFmt numFmtId="169" formatCode="0.00\x"/>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i val="true"/>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b val="true"/>
      <sz val="10"/>
      <color theme="3"/>
      <name val="Arial"/>
      <family val="0"/>
      <charset val="1"/>
    </font>
    <font>
      <sz val="10"/>
      <color theme="3"/>
      <name val="Arial"/>
      <family val="0"/>
      <charset val="1"/>
    </font>
    <font>
      <i val="true"/>
      <sz val="10"/>
      <color rgb="FF595959"/>
      <name val="Arial"/>
      <family val="0"/>
      <charset val="1"/>
    </font>
    <font>
      <sz val="10"/>
      <color rgb="FF000000"/>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2F2F2"/>
        <bgColor rgb="FFFFFFFF"/>
      </patternFill>
    </fill>
    <fill>
      <patternFill patternType="solid">
        <fgColor rgb="FFFFF2CC"/>
        <bgColor rgb="FFF2F2F2"/>
      </patternFill>
    </fill>
    <fill>
      <patternFill patternType="solid">
        <fgColor theme="3" tint="0.8"/>
        <bgColor rgb="FFD6E4F0"/>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medium"/>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9"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20" fillId="5"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20" fillId="5" borderId="0" xfId="0" applyFont="true" applyBorder="false" applyAlignment="true" applyProtection="false">
      <alignment horizontal="right" vertical="center" textRotation="0" wrapText="false" indent="0" shrinkToFit="false"/>
      <protection locked="true" hidden="false"/>
    </xf>
    <xf numFmtId="167" fontId="20" fillId="5" borderId="0" xfId="0" applyFont="true" applyBorder="false" applyAlignment="true" applyProtection="false">
      <alignment horizontal="right" vertical="center" textRotation="0" wrapText="false" indent="0" shrinkToFit="false"/>
      <protection locked="true" hidden="false"/>
    </xf>
    <xf numFmtId="168" fontId="20" fillId="5" borderId="0" xfId="0" applyFont="true" applyBorder="false" applyAlignment="true" applyProtection="false">
      <alignment horizontal="right"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0" shrinkToFit="false"/>
      <protection locked="true" hidden="false"/>
    </xf>
    <xf numFmtId="164" fontId="19" fillId="6" borderId="0" xfId="0" applyFont="true" applyBorder="false" applyAlignment="false" applyProtection="false">
      <alignment horizontal="general" vertical="bottom"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0" shrinkToFit="false"/>
      <protection locked="true" hidden="false"/>
    </xf>
    <xf numFmtId="165" fontId="21" fillId="0" borderId="0" xfId="0" applyFont="true" applyBorder="fals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4" fontId="19" fillId="6" borderId="0" xfId="0" applyFont="true" applyBorder="false" applyAlignment="true" applyProtection="false">
      <alignment horizontal="center" vertical="center" textRotation="0" wrapText="false" indent="0"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5" fillId="7"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8" fillId="4"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DC3E6"/>
      <rgbColor rgb="FFFF99CC"/>
      <rgbColor rgb="FFCC99FF"/>
      <rgbColor rgb="FFFFCC99"/>
      <rgbColor rgb="FF2E75B6"/>
      <rgbColor rgb="FF33CCCC"/>
      <rgbColor rgb="FF99CC00"/>
      <rgbColor rgb="FFFFCC00"/>
      <rgbColor rgb="FFFF9900"/>
      <rgbColor rgb="FFFF6600"/>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3" min="3" style="0" width="65"/>
    <col collapsed="false" customWidth="true" hidden="false" outlineLevel="0" max="4" min="4" style="0" width="10"/>
    <col collapsed="false" customWidth="true" hidden="false" outlineLevel="0" max="5" min="5" style="0" width="14"/>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7" t="s">
        <v>3</v>
      </c>
      <c r="C5" s="8" t="s">
        <v>4</v>
      </c>
      <c r="D5" s="6"/>
      <c r="E5" s="6"/>
    </row>
    <row r="6" customFormat="false" ht="15" hidden="false" customHeight="false" outlineLevel="0" collapsed="false">
      <c r="A6" s="6"/>
      <c r="B6" s="7" t="s">
        <v>5</v>
      </c>
      <c r="C6" s="9" t="s">
        <v>6</v>
      </c>
      <c r="D6" s="6"/>
      <c r="E6" s="6"/>
    </row>
    <row r="7" customFormat="false" ht="15" hidden="false" customHeight="false" outlineLevel="0" collapsed="false">
      <c r="A7" s="6"/>
      <c r="B7" s="7" t="s">
        <v>7</v>
      </c>
      <c r="C7" s="8" t="s">
        <v>8</v>
      </c>
      <c r="D7" s="6"/>
      <c r="E7" s="6"/>
    </row>
    <row r="8" customFormat="false" ht="15" hidden="false" customHeight="false" outlineLevel="0" collapsed="false">
      <c r="A8" s="6"/>
      <c r="B8" s="6"/>
      <c r="C8" s="6"/>
      <c r="D8" s="6"/>
      <c r="E8" s="6"/>
    </row>
    <row r="9" customFormat="false" ht="15" hidden="false" customHeight="false" outlineLevel="0" collapsed="false">
      <c r="A9" s="6"/>
      <c r="B9" s="7" t="s">
        <v>9</v>
      </c>
      <c r="C9" s="8" t="s">
        <v>10</v>
      </c>
      <c r="D9" s="7" t="s">
        <v>11</v>
      </c>
      <c r="E9" s="8" t="s">
        <v>12</v>
      </c>
    </row>
    <row r="12" customFormat="false" ht="19.5" hidden="false" customHeight="true" outlineLevel="0" collapsed="false">
      <c r="B12" s="10" t="s">
        <v>13</v>
      </c>
      <c r="C12" s="11"/>
      <c r="D12" s="11"/>
      <c r="E12" s="11"/>
      <c r="F12" s="11"/>
      <c r="G12" s="11"/>
    </row>
    <row r="13" customFormat="false" ht="271.5" hidden="false" customHeight="true" outlineLevel="0" collapsed="false">
      <c r="B13" s="12" t="s">
        <v>14</v>
      </c>
      <c r="C13" s="12"/>
      <c r="D13" s="12"/>
      <c r="E13" s="12"/>
      <c r="F13" s="12"/>
      <c r="G13" s="12"/>
    </row>
    <row r="15" customFormat="false" ht="19.5" hidden="false" customHeight="true" outlineLevel="0" collapsed="false">
      <c r="B15" s="10" t="s">
        <v>15</v>
      </c>
      <c r="C15" s="11"/>
      <c r="D15" s="11"/>
      <c r="E15" s="11"/>
      <c r="F15" s="11"/>
      <c r="G15" s="11"/>
    </row>
    <row r="16" customFormat="false" ht="57" hidden="false" customHeight="true" outlineLevel="0" collapsed="false">
      <c r="B16" s="12" t="s">
        <v>16</v>
      </c>
      <c r="C16" s="12"/>
      <c r="D16" s="12"/>
      <c r="E16" s="12"/>
      <c r="F16" s="12"/>
      <c r="G16" s="12"/>
    </row>
    <row r="17" customFormat="false" ht="15" hidden="false" customHeight="false" outlineLevel="0" collapsed="false">
      <c r="B17" s="13" t="s">
        <v>17</v>
      </c>
      <c r="C17" s="13"/>
      <c r="D17" s="13"/>
      <c r="E17" s="13"/>
      <c r="F17" s="13"/>
      <c r="G17" s="13"/>
    </row>
    <row r="18" customFormat="false" ht="15" hidden="false" customHeight="false" outlineLevel="0" collapsed="false">
      <c r="B18" s="14" t="s">
        <v>18</v>
      </c>
    </row>
  </sheetData>
  <mergeCells count="3">
    <mergeCell ref="B13:G13"/>
    <mergeCell ref="B16:G16"/>
    <mergeCell ref="B17:G1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239</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9" t="s">
        <v>241</v>
      </c>
      <c r="C7" s="30"/>
      <c r="D7" s="30"/>
      <c r="E7" s="30"/>
      <c r="F7" s="30"/>
      <c r="G7" s="30"/>
    </row>
    <row r="8" customFormat="false" ht="15" hidden="false" customHeight="false" outlineLevel="0" collapsed="false">
      <c r="A8" s="6"/>
      <c r="B8" s="18" t="s">
        <v>242</v>
      </c>
      <c r="C8" s="26" t="n">
        <f aca="false">Cash_Flow!C29</f>
        <v>568238.640100565</v>
      </c>
      <c r="D8" s="26" t="n">
        <f aca="false">Cash_Flow!D29</f>
        <v>977443.647894442</v>
      </c>
      <c r="E8" s="26" t="n">
        <f aca="false">Cash_Flow!E29</f>
        <v>1181308.69576588</v>
      </c>
      <c r="F8" s="26" t="n">
        <f aca="false">Cash_Flow!F29</f>
        <v>1216048.9576976</v>
      </c>
      <c r="G8" s="26" t="n">
        <f aca="false">Cash_Flow!G29</f>
        <v>1111431.59197446</v>
      </c>
    </row>
    <row r="9" customFormat="false" ht="15" hidden="false" customHeight="false" outlineLevel="0" collapsed="false">
      <c r="A9" s="6"/>
      <c r="B9" s="18" t="s">
        <v>243</v>
      </c>
      <c r="C9" s="26" t="n">
        <f aca="false">Working_Capital!C8</f>
        <v>73022.7657534247</v>
      </c>
      <c r="D9" s="26" t="n">
        <f aca="false">Working_Capital!D8</f>
        <v>59948.6317722534</v>
      </c>
      <c r="E9" s="26" t="n">
        <f aca="false">Working_Capital!E8</f>
        <v>49242.3948021971</v>
      </c>
      <c r="F9" s="26" t="n">
        <f aca="false">Working_Capital!F8</f>
        <v>40469.273946245</v>
      </c>
      <c r="G9" s="26" t="n">
        <f aca="false">Working_Capital!G8</f>
        <v>33275.6046118954</v>
      </c>
    </row>
    <row r="10" customFormat="false" ht="15" hidden="false" customHeight="false" outlineLevel="0" collapsed="false">
      <c r="A10" s="6"/>
      <c r="B10" s="18" t="s">
        <v>244</v>
      </c>
      <c r="C10" s="26" t="n">
        <f aca="false">Working_Capital!C10</f>
        <v>24654.65625</v>
      </c>
      <c r="D10" s="26" t="n">
        <f aca="false">Working_Capital!D10</f>
        <v>19463.10778125</v>
      </c>
      <c r="E10" s="26" t="n">
        <f aca="false">Working_Capital!E10</f>
        <v>15383.5929194062</v>
      </c>
      <c r="F10" s="26" t="n">
        <f aca="false">Working_Capital!F10</f>
        <v>12173.8463674675</v>
      </c>
      <c r="G10" s="26" t="n">
        <f aca="false">Working_Capital!G10</f>
        <v>9645.24498701172</v>
      </c>
    </row>
    <row r="11" customFormat="false" ht="15" hidden="false" customHeight="false" outlineLevel="0" collapsed="false">
      <c r="A11" s="6"/>
      <c r="B11" s="27" t="s">
        <v>245</v>
      </c>
      <c r="C11" s="28" t="n">
        <f aca="false">C8+C9+C10</f>
        <v>665916.06210399</v>
      </c>
      <c r="D11" s="28" t="n">
        <f aca="false">D8+D9+D10</f>
        <v>1056855.38744795</v>
      </c>
      <c r="E11" s="28" t="n">
        <f aca="false">E8+E9+E10</f>
        <v>1245934.68348748</v>
      </c>
      <c r="F11" s="28" t="n">
        <f aca="false">F8+F9+F10</f>
        <v>1268692.07801131</v>
      </c>
      <c r="G11" s="28" t="n">
        <f aca="false">G8+G9+G10</f>
        <v>1154352.44157337</v>
      </c>
    </row>
    <row r="12" customFormat="false" ht="15" hidden="false" customHeight="false" outlineLevel="0" collapsed="false">
      <c r="A12" s="6"/>
      <c r="B12" s="18" t="s">
        <v>246</v>
      </c>
      <c r="C12" s="26" t="n">
        <f aca="false">Capex_Dep!C13</f>
        <v>3521666.66666667</v>
      </c>
      <c r="D12" s="26" t="n">
        <f aca="false">Capex_Dep!D13</f>
        <v>3442538.88888889</v>
      </c>
      <c r="E12" s="26" t="n">
        <f aca="false">Capex_Dep!E13</f>
        <v>3366312.46296296</v>
      </c>
      <c r="F12" s="26" t="n">
        <f aca="false">Capex_Dep!F13</f>
        <v>3292881.00598765</v>
      </c>
      <c r="G12" s="26" t="n">
        <f aca="false">Capex_Dep!G13</f>
        <v>3222142.03576811</v>
      </c>
    </row>
    <row r="13" customFormat="false" ht="15" hidden="false" customHeight="false" outlineLevel="0" collapsed="false">
      <c r="A13" s="6"/>
      <c r="B13" s="18" t="s">
        <v>247</v>
      </c>
      <c r="C13" s="26" t="n">
        <f aca="false">Capex_Dep!C14</f>
        <v>7500000</v>
      </c>
      <c r="D13" s="26" t="n">
        <f aca="false">Capex_Dep!D14</f>
        <v>7500000</v>
      </c>
      <c r="E13" s="26" t="n">
        <f aca="false">Capex_Dep!E14</f>
        <v>7500000</v>
      </c>
      <c r="F13" s="26" t="n">
        <f aca="false">Capex_Dep!F14</f>
        <v>7500000</v>
      </c>
      <c r="G13" s="26" t="n">
        <f aca="false">Capex_Dep!G14</f>
        <v>7500000</v>
      </c>
    </row>
    <row r="14" customFormat="false" ht="15" hidden="false" customHeight="false" outlineLevel="0" collapsed="false">
      <c r="A14" s="6"/>
      <c r="B14" s="27" t="s">
        <v>248</v>
      </c>
      <c r="C14" s="28" t="n">
        <f aca="false">C12+C13</f>
        <v>11021666.6666667</v>
      </c>
      <c r="D14" s="28" t="n">
        <f aca="false">D12+D13</f>
        <v>10942538.8888889</v>
      </c>
      <c r="E14" s="28" t="n">
        <f aca="false">E12+E13</f>
        <v>10866312.462963</v>
      </c>
      <c r="F14" s="28" t="n">
        <f aca="false">F12+F13</f>
        <v>10792881.0059877</v>
      </c>
      <c r="G14" s="28" t="n">
        <f aca="false">G12+G13</f>
        <v>10722142.0357681</v>
      </c>
    </row>
    <row r="15" customFormat="false" ht="15" hidden="false" customHeight="false" outlineLevel="0" collapsed="false">
      <c r="A15" s="6"/>
      <c r="B15" s="27" t="s">
        <v>249</v>
      </c>
      <c r="C15" s="32" t="n">
        <f aca="false">C11+C14</f>
        <v>11687582.7287707</v>
      </c>
      <c r="D15" s="32" t="n">
        <f aca="false">D11+D14</f>
        <v>11999394.2763368</v>
      </c>
      <c r="E15" s="32" t="n">
        <f aca="false">E11+E14</f>
        <v>12112247.1464504</v>
      </c>
      <c r="F15" s="32" t="n">
        <f aca="false">F11+F14</f>
        <v>12061573.083999</v>
      </c>
      <c r="G15" s="32" t="n">
        <f aca="false">G11+G14</f>
        <v>11876494.4773415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9" t="s">
        <v>250</v>
      </c>
      <c r="C17" s="30"/>
      <c r="D17" s="30"/>
      <c r="E17" s="30"/>
      <c r="F17" s="30"/>
      <c r="G17" s="30"/>
    </row>
    <row r="18" customFormat="false" ht="15" hidden="false" customHeight="false" outlineLevel="0" collapsed="false">
      <c r="A18" s="6"/>
      <c r="B18" s="18" t="s">
        <v>251</v>
      </c>
      <c r="C18" s="26" t="n">
        <f aca="false">Working_Capital!C12</f>
        <v>110829.644145548</v>
      </c>
      <c r="D18" s="26" t="n">
        <f aca="false">Working_Capital!D12</f>
        <v>97428.3831935523</v>
      </c>
      <c r="E18" s="26" t="n">
        <f aca="false">Working_Capital!E12</f>
        <v>86545.2582294985</v>
      </c>
      <c r="F18" s="26" t="n">
        <f aca="false">Working_Capital!F12</f>
        <v>77819.3726565145</v>
      </c>
      <c r="G18" s="26" t="n">
        <f aca="false">Working_Capital!G12</f>
        <v>70809.02160064</v>
      </c>
    </row>
    <row r="19" customFormat="false" ht="15" hidden="false" customHeight="false" outlineLevel="0" collapsed="false">
      <c r="A19" s="6"/>
      <c r="B19" s="18" t="s">
        <v>252</v>
      </c>
      <c r="C19" s="26" t="n">
        <f aca="false">Debt_Schedule!C25</f>
        <v>0</v>
      </c>
      <c r="D19" s="26" t="n">
        <f aca="false">Debt_Schedule!D25</f>
        <v>0</v>
      </c>
      <c r="E19" s="26" t="n">
        <f aca="false">Debt_Schedule!E25</f>
        <v>0</v>
      </c>
      <c r="F19" s="26" t="n">
        <f aca="false">Debt_Schedule!F25</f>
        <v>0</v>
      </c>
      <c r="G19" s="26" t="n">
        <f aca="false">Debt_Schedule!G25</f>
        <v>0</v>
      </c>
    </row>
    <row r="20" customFormat="false" ht="15" hidden="false" customHeight="false" outlineLevel="0" collapsed="false">
      <c r="A20" s="6"/>
      <c r="B20" s="27" t="s">
        <v>253</v>
      </c>
      <c r="C20" s="28" t="n">
        <f aca="false">C18+C19</f>
        <v>110829.644145548</v>
      </c>
      <c r="D20" s="28" t="n">
        <f aca="false">D18+D19</f>
        <v>97428.3831935523</v>
      </c>
      <c r="E20" s="28" t="n">
        <f aca="false">E18+E19</f>
        <v>86545.2582294985</v>
      </c>
      <c r="F20" s="28" t="n">
        <f aca="false">F18+F19</f>
        <v>77819.3726565145</v>
      </c>
      <c r="G20" s="28" t="n">
        <f aca="false">G18+G19</f>
        <v>70809.02160064</v>
      </c>
    </row>
    <row r="21" customFormat="false" ht="15" hidden="false" customHeight="false" outlineLevel="0" collapsed="false">
      <c r="A21" s="6"/>
      <c r="B21" s="18" t="s">
        <v>254</v>
      </c>
      <c r="C21" s="26" t="n">
        <f aca="false">Debt_Schedule!C11</f>
        <v>3653413.51740636</v>
      </c>
      <c r="D21" s="26" t="n">
        <f aca="false">Debt_Schedule!D11</f>
        <v>3550548.91344413</v>
      </c>
      <c r="E21" s="26" t="n">
        <f aca="false">Debt_Schedule!E11</f>
        <v>3440998.11022436</v>
      </c>
      <c r="F21" s="26" t="n">
        <f aca="false">Debt_Schedule!F11</f>
        <v>3324326.5047953</v>
      </c>
      <c r="G21" s="26" t="n">
        <f aca="false">Debt_Schedule!G11</f>
        <v>3200071.24501335</v>
      </c>
    </row>
    <row r="22" customFormat="false" ht="15" hidden="false" customHeight="false" outlineLevel="0" collapsed="false">
      <c r="A22" s="6"/>
      <c r="B22" s="18" t="s">
        <v>255</v>
      </c>
      <c r="C22" s="26" t="n">
        <f aca="false">Debt_Schedule!C19</f>
        <v>320000</v>
      </c>
      <c r="D22" s="26" t="n">
        <f aca="false">Debt_Schedule!D19</f>
        <v>240000</v>
      </c>
      <c r="E22" s="26" t="n">
        <f aca="false">Debt_Schedule!E19</f>
        <v>160000</v>
      </c>
      <c r="F22" s="26" t="n">
        <f aca="false">Debt_Schedule!F19</f>
        <v>80000</v>
      </c>
      <c r="G22" s="26" t="n">
        <f aca="false">Debt_Schedule!G19</f>
        <v>0</v>
      </c>
    </row>
    <row r="23" customFormat="false" ht="15" hidden="false" customHeight="false" outlineLevel="0" collapsed="false">
      <c r="A23" s="6"/>
      <c r="B23" s="27" t="s">
        <v>256</v>
      </c>
      <c r="C23" s="28" t="n">
        <f aca="false">C21+C22</f>
        <v>3973413.51740636</v>
      </c>
      <c r="D23" s="28" t="n">
        <f aca="false">D21+D22</f>
        <v>3790548.91344413</v>
      </c>
      <c r="E23" s="28" t="n">
        <f aca="false">E21+E22</f>
        <v>3600998.11022436</v>
      </c>
      <c r="F23" s="28" t="n">
        <f aca="false">F21+F22</f>
        <v>3404326.5047953</v>
      </c>
      <c r="G23" s="28" t="n">
        <f aca="false">G21+G22</f>
        <v>3200071.24501335</v>
      </c>
    </row>
    <row r="24" customFormat="false" ht="15" hidden="false" customHeight="false" outlineLevel="0" collapsed="false">
      <c r="A24" s="6"/>
      <c r="B24" s="27" t="s">
        <v>257</v>
      </c>
      <c r="C24" s="32" t="n">
        <f aca="false">C20+C23</f>
        <v>4084243.16155191</v>
      </c>
      <c r="D24" s="32" t="n">
        <f aca="false">D20+D23</f>
        <v>3887977.29663768</v>
      </c>
      <c r="E24" s="32" t="n">
        <f aca="false">E20+E23</f>
        <v>3687543.36845385</v>
      </c>
      <c r="F24" s="32" t="n">
        <f aca="false">F20+F23</f>
        <v>3482145.87745181</v>
      </c>
      <c r="G24" s="32" t="n">
        <f aca="false">G20+G23</f>
        <v>3270880.26661399</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29" t="s">
        <v>258</v>
      </c>
      <c r="C26" s="30"/>
      <c r="D26" s="30"/>
      <c r="E26" s="30"/>
      <c r="F26" s="30"/>
      <c r="G26" s="30"/>
    </row>
    <row r="27" customFormat="false" ht="15" hidden="false" customHeight="false" outlineLevel="0" collapsed="false">
      <c r="A27" s="6"/>
      <c r="B27" s="18" t="s">
        <v>259</v>
      </c>
      <c r="C27" s="26" t="n">
        <f aca="false">6850000</f>
        <v>6850000</v>
      </c>
      <c r="D27" s="26" t="n">
        <f aca="false">C30</f>
        <v>7603339.56721875</v>
      </c>
      <c r="E27" s="26" t="n">
        <f aca="false">D30</f>
        <v>8111416.97969915</v>
      </c>
      <c r="F27" s="26" t="n">
        <f aca="false">E30</f>
        <v>8424703.77799659</v>
      </c>
      <c r="G27" s="26" t="n">
        <f aca="false">F30</f>
        <v>8579427.20654715</v>
      </c>
    </row>
    <row r="28" customFormat="false" ht="15" hidden="false" customHeight="false" outlineLevel="0" collapsed="false">
      <c r="A28" s="6"/>
      <c r="B28" s="18" t="s">
        <v>260</v>
      </c>
      <c r="C28" s="26" t="n">
        <f aca="false">Income_Statement!C31</f>
        <v>753339.56721875</v>
      </c>
      <c r="D28" s="26" t="n">
        <f aca="false">Income_Statement!D31</f>
        <v>508077.412480403</v>
      </c>
      <c r="E28" s="26" t="n">
        <f aca="false">Income_Statement!E31</f>
        <v>313286.798297436</v>
      </c>
      <c r="F28" s="26" t="n">
        <f aca="false">Income_Statement!F31</f>
        <v>154723.428550562</v>
      </c>
      <c r="G28" s="26" t="n">
        <f aca="false">Income_Statement!G31</f>
        <v>26187.0041803342</v>
      </c>
    </row>
    <row r="29" customFormat="false" ht="15" hidden="false" customHeight="false" outlineLevel="0" collapsed="false">
      <c r="A29" s="6"/>
      <c r="B29" s="18" t="s">
        <v>261</v>
      </c>
      <c r="C29" s="33" t="n">
        <f aca="false">0</f>
        <v>0</v>
      </c>
      <c r="D29" s="33" t="n">
        <f aca="false">0</f>
        <v>0</v>
      </c>
      <c r="E29" s="33" t="n">
        <f aca="false">0</f>
        <v>0</v>
      </c>
      <c r="F29" s="33" t="n">
        <f aca="false">0</f>
        <v>0</v>
      </c>
      <c r="G29" s="33" t="n">
        <f aca="false">0</f>
        <v>0</v>
      </c>
    </row>
    <row r="30" customFormat="false" ht="15" hidden="false" customHeight="false" outlineLevel="0" collapsed="false">
      <c r="A30" s="6"/>
      <c r="B30" s="27" t="s">
        <v>262</v>
      </c>
      <c r="C30" s="32" t="n">
        <f aca="false">C27+C28+C29</f>
        <v>7603339.56721875</v>
      </c>
      <c r="D30" s="32" t="n">
        <f aca="false">D27+D28+D29</f>
        <v>8111416.97969915</v>
      </c>
      <c r="E30" s="32" t="n">
        <f aca="false">E27+E28+E29</f>
        <v>8424703.77799659</v>
      </c>
      <c r="F30" s="32" t="n">
        <f aca="false">F27+F28+F29</f>
        <v>8579427.20654715</v>
      </c>
      <c r="G30" s="32" t="n">
        <f aca="false">G27+G28+G29</f>
        <v>8605614.21072749</v>
      </c>
    </row>
    <row r="31" customFormat="false" ht="15" hidden="false" customHeight="false" outlineLevel="0" collapsed="false">
      <c r="A31" s="6"/>
      <c r="B31" s="27" t="s">
        <v>263</v>
      </c>
      <c r="C31" s="32" t="n">
        <f aca="false">C24+C30</f>
        <v>11687582.7287707</v>
      </c>
      <c r="D31" s="32" t="n">
        <f aca="false">D24+D30</f>
        <v>11999394.2763368</v>
      </c>
      <c r="E31" s="32" t="n">
        <f aca="false">E24+E30</f>
        <v>12112247.1464504</v>
      </c>
      <c r="F31" s="32" t="n">
        <f aca="false">F24+F30</f>
        <v>12061573.083999</v>
      </c>
      <c r="G31" s="32" t="n">
        <f aca="false">G24+G30</f>
        <v>11876494.4773415</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37" t="s">
        <v>264</v>
      </c>
      <c r="C33" s="38" t="n">
        <f aca="false">C15-C31</f>
        <v>0</v>
      </c>
      <c r="D33" s="38" t="n">
        <f aca="false">D15-D31</f>
        <v>0</v>
      </c>
      <c r="E33" s="38" t="n">
        <f aca="false">E15-E31</f>
        <v>0</v>
      </c>
      <c r="F33" s="38" t="n">
        <f aca="false">F15-F31</f>
        <v>0</v>
      </c>
      <c r="G33" s="38" t="n">
        <f aca="false">G15-G31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265</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9" t="s">
        <v>267</v>
      </c>
      <c r="C7" s="30"/>
      <c r="D7" s="30"/>
      <c r="E7" s="30"/>
      <c r="F7" s="30"/>
      <c r="G7" s="30"/>
    </row>
    <row r="8" customFormat="false" ht="15" hidden="false" customHeight="false" outlineLevel="0" collapsed="false">
      <c r="A8" s="6"/>
      <c r="B8" s="18" t="s">
        <v>260</v>
      </c>
      <c r="C8" s="26" t="n">
        <f aca="false">Income_Statement!C31</f>
        <v>753339.56721875</v>
      </c>
      <c r="D8" s="26" t="n">
        <f aca="false">Income_Statement!D31</f>
        <v>508077.412480403</v>
      </c>
      <c r="E8" s="26" t="n">
        <f aca="false">Income_Statement!E31</f>
        <v>313286.798297436</v>
      </c>
      <c r="F8" s="26" t="n">
        <f aca="false">Income_Statement!F31</f>
        <v>154723.428550562</v>
      </c>
      <c r="G8" s="26" t="n">
        <f aca="false">Income_Statement!G31</f>
        <v>26187.0041803342</v>
      </c>
    </row>
    <row r="9" customFormat="false" ht="15" hidden="false" customHeight="false" outlineLevel="0" collapsed="false">
      <c r="A9" s="6"/>
      <c r="B9" s="18" t="s">
        <v>268</v>
      </c>
      <c r="C9" s="26" t="n">
        <f aca="false">Capex_Dep!C12</f>
        <v>233333.333333333</v>
      </c>
      <c r="D9" s="26" t="n">
        <f aca="false">Capex_Dep!D12</f>
        <v>234777.777777778</v>
      </c>
      <c r="E9" s="26" t="n">
        <f aca="false">Capex_Dep!E12</f>
        <v>229502.592592593</v>
      </c>
      <c r="F9" s="26" t="n">
        <f aca="false">Capex_Dep!F12</f>
        <v>224420.830864198</v>
      </c>
      <c r="G9" s="26" t="n">
        <f aca="false">Capex_Dep!G12</f>
        <v>219525.400399177</v>
      </c>
    </row>
    <row r="10" customFormat="false" ht="15" hidden="false" customHeight="false" outlineLevel="0" collapsed="false">
      <c r="A10" s="6"/>
      <c r="B10" s="18" t="s">
        <v>269</v>
      </c>
      <c r="C10" s="26" t="n">
        <f aca="false">-Working_Capital!C17</f>
        <v>13152.2221421233</v>
      </c>
      <c r="D10" s="26" t="n">
        <f aca="false">-Working_Capital!D17</f>
        <v>4864.42149792558</v>
      </c>
      <c r="E10" s="26" t="n">
        <f aca="false">-Working_Capital!E17</f>
        <v>3902.62686784629</v>
      </c>
      <c r="F10" s="26" t="n">
        <f aca="false">-Working_Capital!F17</f>
        <v>3256.98183490679</v>
      </c>
      <c r="G10" s="26" t="n">
        <f aca="false">-Working_Capital!G17</f>
        <v>2711.91965893094</v>
      </c>
    </row>
    <row r="11" customFormat="false" ht="15" hidden="false" customHeight="false" outlineLevel="0" collapsed="false">
      <c r="A11" s="6"/>
      <c r="B11" s="27" t="s">
        <v>270</v>
      </c>
      <c r="C11" s="32" t="n">
        <f aca="false">C8+C9+C10</f>
        <v>999825.122694207</v>
      </c>
      <c r="D11" s="32" t="n">
        <f aca="false">D8+D9+D10</f>
        <v>747719.611756106</v>
      </c>
      <c r="E11" s="32" t="n">
        <f aca="false">E8+E9+E10</f>
        <v>546692.017757875</v>
      </c>
      <c r="F11" s="32" t="n">
        <f aca="false">F8+F9+F10</f>
        <v>382401.241249666</v>
      </c>
      <c r="G11" s="32" t="n">
        <f aca="false">G8+G9+G10</f>
        <v>248424.324238442</v>
      </c>
    </row>
    <row r="12" customFormat="false" ht="15" hidden="false" customHeight="false" outlineLevel="0" collapsed="false">
      <c r="A12" s="6"/>
      <c r="B12" s="18" t="s">
        <v>271</v>
      </c>
      <c r="C12" s="34" t="n">
        <f aca="false">C11/Income_Statement!C19</f>
        <v>0.66233933031875</v>
      </c>
      <c r="D12" s="34" t="n">
        <f aca="false">D11/Income_Statement!D19</f>
        <v>0.637939093288618</v>
      </c>
      <c r="E12" s="34" t="n">
        <f aca="false">E11/Income_Statement!E19</f>
        <v>0.610962865506675</v>
      </c>
      <c r="F12" s="34" t="n">
        <f aca="false">F11/Income_Statement!F19</f>
        <v>0.574535240827676</v>
      </c>
      <c r="G12" s="34" t="n">
        <f aca="false">G11/Income_Statement!G19</f>
        <v>0.521765421804399</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9" t="s">
        <v>272</v>
      </c>
      <c r="C14" s="30"/>
      <c r="D14" s="30"/>
      <c r="E14" s="30"/>
      <c r="F14" s="30"/>
      <c r="G14" s="30"/>
    </row>
    <row r="15" customFormat="false" ht="15" hidden="false" customHeight="false" outlineLevel="0" collapsed="false">
      <c r="A15" s="6"/>
      <c r="B15" s="18" t="s">
        <v>273</v>
      </c>
      <c r="C15" s="26" t="n">
        <f aca="false">-Capex_Dep!C11</f>
        <v>-255000</v>
      </c>
      <c r="D15" s="26" t="n">
        <f aca="false">-Capex_Dep!D11</f>
        <v>-155650</v>
      </c>
      <c r="E15" s="26" t="n">
        <f aca="false">-Capex_Dep!E11</f>
        <v>-153276.166666667</v>
      </c>
      <c r="F15" s="26" t="n">
        <f aca="false">-Capex_Dep!F11</f>
        <v>-150989.373888889</v>
      </c>
      <c r="G15" s="26" t="n">
        <f aca="false">-Capex_Dep!G11</f>
        <v>-148786.43017963</v>
      </c>
    </row>
    <row r="16" customFormat="false" ht="15" hidden="false" customHeight="false" outlineLevel="0" collapsed="false">
      <c r="A16" s="6"/>
      <c r="B16" s="27" t="s">
        <v>274</v>
      </c>
      <c r="C16" s="32" t="n">
        <f aca="false">C11+C15</f>
        <v>744825.122694207</v>
      </c>
      <c r="D16" s="32" t="n">
        <f aca="false">D11+D15</f>
        <v>592069.611756106</v>
      </c>
      <c r="E16" s="32" t="n">
        <f aca="false">E11+E15</f>
        <v>393415.851091208</v>
      </c>
      <c r="F16" s="32" t="n">
        <f aca="false">F11+F15</f>
        <v>231411.867360777</v>
      </c>
      <c r="G16" s="32" t="n">
        <f aca="false">G11+G15</f>
        <v>99637.8940588125</v>
      </c>
    </row>
    <row r="17" customFormat="false" ht="15" hidden="false" customHeight="false" outlineLevel="0" collapsed="false">
      <c r="A17" s="6"/>
      <c r="B17" s="18" t="s">
        <v>275</v>
      </c>
      <c r="C17" s="34" t="n">
        <f aca="false">C16/Income_Statement!C7</f>
        <v>0.279449395465958</v>
      </c>
      <c r="D17" s="34" t="n">
        <f aca="false">D16/Income_Statement!D7</f>
        <v>0.270583077112023</v>
      </c>
      <c r="E17" s="34" t="n">
        <f aca="false">E16/Income_Statement!E7</f>
        <v>0.218886926835073</v>
      </c>
      <c r="F17" s="34" t="n">
        <f aca="false">F16/Income_Statement!F7</f>
        <v>0.156663328553674</v>
      </c>
      <c r="G17" s="34" t="n">
        <f aca="false">G16/Income_Statement!G7</f>
        <v>0.0820362349089802</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29" t="s">
        <v>276</v>
      </c>
      <c r="C19" s="30"/>
      <c r="D19" s="30"/>
      <c r="E19" s="30"/>
      <c r="F19" s="30"/>
      <c r="G19" s="30"/>
    </row>
    <row r="20" customFormat="false" ht="15" hidden="false" customHeight="false" outlineLevel="0" collapsed="false">
      <c r="A20" s="6"/>
      <c r="B20" s="18" t="s">
        <v>277</v>
      </c>
      <c r="C20" s="26" t="n">
        <f aca="false">-Debt_Schedule!C10</f>
        <v>-96586.482593642</v>
      </c>
      <c r="D20" s="26" t="n">
        <f aca="false">-Debt_Schedule!D10</f>
        <v>-102864.603962229</v>
      </c>
      <c r="E20" s="26" t="n">
        <f aca="false">-Debt_Schedule!E10</f>
        <v>-109550.803219774</v>
      </c>
      <c r="F20" s="26" t="n">
        <f aca="false">-Debt_Schedule!F10</f>
        <v>-116671.605429059</v>
      </c>
      <c r="G20" s="26" t="n">
        <f aca="false">-Debt_Schedule!G10</f>
        <v>-124255.259781948</v>
      </c>
    </row>
    <row r="21" customFormat="false" ht="15" hidden="false" customHeight="false" outlineLevel="0" collapsed="false">
      <c r="A21" s="6"/>
      <c r="B21" s="18" t="s">
        <v>278</v>
      </c>
      <c r="C21" s="26" t="n">
        <f aca="false">-Debt_Schedule!C18</f>
        <v>-80000</v>
      </c>
      <c r="D21" s="26" t="n">
        <f aca="false">-Debt_Schedule!D18</f>
        <v>-80000</v>
      </c>
      <c r="E21" s="26" t="n">
        <f aca="false">-Debt_Schedule!E18</f>
        <v>-80000</v>
      </c>
      <c r="F21" s="26" t="n">
        <f aca="false">-Debt_Schedule!F18</f>
        <v>-80000</v>
      </c>
      <c r="G21" s="26" t="n">
        <f aca="false">-Debt_Schedule!G18</f>
        <v>-80000</v>
      </c>
    </row>
    <row r="22" customFormat="false" ht="15" hidden="false" customHeight="false" outlineLevel="0" collapsed="false">
      <c r="A22" s="6"/>
      <c r="B22" s="18" t="s">
        <v>279</v>
      </c>
      <c r="C22" s="26" t="n">
        <f aca="false">Debt_Schedule!C23</f>
        <v>0</v>
      </c>
      <c r="D22" s="26" t="n">
        <f aca="false">Debt_Schedule!D23</f>
        <v>0</v>
      </c>
      <c r="E22" s="26" t="n">
        <f aca="false">Debt_Schedule!E23</f>
        <v>0</v>
      </c>
      <c r="F22" s="26" t="n">
        <f aca="false">Debt_Schedule!F23</f>
        <v>0</v>
      </c>
      <c r="G22" s="26" t="n">
        <f aca="false">Debt_Schedule!G23</f>
        <v>0</v>
      </c>
    </row>
    <row r="23" customFormat="false" ht="15" hidden="false" customHeight="false" outlineLevel="0" collapsed="false">
      <c r="A23" s="6"/>
      <c r="B23" s="18" t="s">
        <v>280</v>
      </c>
      <c r="C23" s="26" t="n">
        <f aca="false">-Debt_Schedule!C24</f>
        <v>-0</v>
      </c>
      <c r="D23" s="26" t="n">
        <f aca="false">-Debt_Schedule!D24</f>
        <v>-0</v>
      </c>
      <c r="E23" s="26" t="n">
        <f aca="false">-Debt_Schedule!E24</f>
        <v>-0</v>
      </c>
      <c r="F23" s="26" t="n">
        <f aca="false">-Debt_Schedule!F24</f>
        <v>-0</v>
      </c>
      <c r="G23" s="26" t="n">
        <f aca="false">-Debt_Schedule!G24</f>
        <v>-0</v>
      </c>
    </row>
    <row r="24" customFormat="false" ht="15" hidden="false" customHeight="false" outlineLevel="0" collapsed="false">
      <c r="A24" s="6"/>
      <c r="B24" s="18" t="s">
        <v>281</v>
      </c>
      <c r="C24" s="33" t="n">
        <f aca="false">0</f>
        <v>0</v>
      </c>
      <c r="D24" s="33" t="n">
        <f aca="false">0</f>
        <v>0</v>
      </c>
      <c r="E24" s="33" t="n">
        <f aca="false">0</f>
        <v>0</v>
      </c>
      <c r="F24" s="33" t="n">
        <f aca="false">0</f>
        <v>0</v>
      </c>
      <c r="G24" s="33" t="n">
        <f aca="false">0</f>
        <v>0</v>
      </c>
    </row>
    <row r="25" customFormat="false" ht="15" hidden="false" customHeight="false" outlineLevel="0" collapsed="false">
      <c r="A25" s="6"/>
      <c r="B25" s="27" t="s">
        <v>282</v>
      </c>
      <c r="C25" s="32" t="n">
        <f aca="false">C20+C21+C22+C23+C24</f>
        <v>-176586.482593642</v>
      </c>
      <c r="D25" s="32" t="n">
        <f aca="false">D20+D21+D22+D23+D24</f>
        <v>-182864.603962229</v>
      </c>
      <c r="E25" s="32" t="n">
        <f aca="false">E20+E21+E22+E23+E24</f>
        <v>-189550.803219774</v>
      </c>
      <c r="F25" s="32" t="n">
        <f aca="false">F20+F21+F22+F23+F24</f>
        <v>-196671.605429059</v>
      </c>
      <c r="G25" s="32" t="n">
        <f aca="false">G20+G21+G22+G23+G24</f>
        <v>-204255.259781948</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27" t="s">
        <v>283</v>
      </c>
      <c r="C27" s="32" t="n">
        <f aca="false">C16+C25</f>
        <v>568238.640100565</v>
      </c>
      <c r="D27" s="32" t="n">
        <f aca="false">D16+D25</f>
        <v>409205.007793877</v>
      </c>
      <c r="E27" s="32" t="n">
        <f aca="false">E16+E25</f>
        <v>203865.047871435</v>
      </c>
      <c r="F27" s="32" t="n">
        <f aca="false">F16+F25</f>
        <v>34740.2619317184</v>
      </c>
      <c r="G27" s="32" t="n">
        <f aca="false">G16+G25</f>
        <v>-104617.365723135</v>
      </c>
    </row>
    <row r="28" customFormat="false" ht="15" hidden="false" customHeight="false" outlineLevel="0" collapsed="false">
      <c r="A28" s="6"/>
      <c r="B28" s="18" t="s">
        <v>284</v>
      </c>
      <c r="C28" s="33" t="n">
        <f aca="false">0</f>
        <v>0</v>
      </c>
      <c r="D28" s="33" t="n">
        <f aca="false">C29</f>
        <v>568238.640100565</v>
      </c>
      <c r="E28" s="33" t="n">
        <f aca="false">D29</f>
        <v>977443.647894442</v>
      </c>
      <c r="F28" s="33" t="n">
        <f aca="false">E29</f>
        <v>1181308.69576588</v>
      </c>
      <c r="G28" s="33" t="n">
        <f aca="false">F29</f>
        <v>1216048.9576976</v>
      </c>
    </row>
    <row r="29" customFormat="false" ht="15" hidden="false" customHeight="false" outlineLevel="0" collapsed="false">
      <c r="A29" s="6"/>
      <c r="B29" s="27" t="s">
        <v>285</v>
      </c>
      <c r="C29" s="32" t="n">
        <f aca="false">C28+C27</f>
        <v>568238.640100565</v>
      </c>
      <c r="D29" s="32" t="n">
        <f aca="false">D28+D27</f>
        <v>977443.647894442</v>
      </c>
      <c r="E29" s="32" t="n">
        <f aca="false">E28+E27</f>
        <v>1181308.69576588</v>
      </c>
      <c r="F29" s="32" t="n">
        <f aca="false">F28+F27</f>
        <v>1216048.9576976</v>
      </c>
      <c r="G29" s="32" t="n">
        <f aca="false">G28+G27</f>
        <v>1111431.59197446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4"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5" t="s">
        <v>288</v>
      </c>
      <c r="C4" s="15" t="s">
        <v>289</v>
      </c>
      <c r="D4" s="15" t="s">
        <v>290</v>
      </c>
      <c r="E4" s="25"/>
      <c r="F4" s="25"/>
      <c r="G4" s="25"/>
    </row>
    <row r="5" customFormat="false" ht="15" hidden="false" customHeight="false" outlineLevel="0" collapsed="false">
      <c r="A5" s="6"/>
      <c r="B5" s="18" t="s">
        <v>291</v>
      </c>
      <c r="C5" s="39" t="b">
        <f aca="false">ABS(Balance_Sheet!C33)&lt;1</f>
        <v>1</v>
      </c>
      <c r="D5" s="40" t="s">
        <v>292</v>
      </c>
      <c r="E5" s="6"/>
      <c r="F5" s="6"/>
      <c r="G5" s="6"/>
    </row>
    <row r="6" customFormat="false" ht="15" hidden="false" customHeight="false" outlineLevel="0" collapsed="false">
      <c r="A6" s="6"/>
      <c r="B6" s="18" t="s">
        <v>293</v>
      </c>
      <c r="C6" s="39" t="b">
        <f aca="false">ABS(Balance_Sheet!D33)&lt;1</f>
        <v>1</v>
      </c>
      <c r="D6" s="40" t="s">
        <v>292</v>
      </c>
      <c r="E6" s="6"/>
      <c r="F6" s="6"/>
      <c r="G6" s="6"/>
    </row>
    <row r="7" customFormat="false" ht="15" hidden="false" customHeight="false" outlineLevel="0" collapsed="false">
      <c r="A7" s="6"/>
      <c r="B7" s="18" t="s">
        <v>294</v>
      </c>
      <c r="C7" s="39" t="b">
        <f aca="false">ABS(Balance_Sheet!E33)&lt;1</f>
        <v>1</v>
      </c>
      <c r="D7" s="40" t="s">
        <v>292</v>
      </c>
      <c r="E7" s="6"/>
      <c r="F7" s="6"/>
      <c r="G7" s="6"/>
    </row>
    <row r="8" customFormat="false" ht="15" hidden="false" customHeight="false" outlineLevel="0" collapsed="false">
      <c r="A8" s="6"/>
      <c r="B8" s="18" t="s">
        <v>295</v>
      </c>
      <c r="C8" s="39" t="b">
        <f aca="false">ABS(Balance_Sheet!F33)&lt;1</f>
        <v>1</v>
      </c>
      <c r="D8" s="40" t="s">
        <v>292</v>
      </c>
      <c r="E8" s="6"/>
      <c r="F8" s="6"/>
      <c r="G8" s="6"/>
    </row>
    <row r="9" customFormat="false" ht="15" hidden="false" customHeight="false" outlineLevel="0" collapsed="false">
      <c r="A9" s="6"/>
      <c r="B9" s="18" t="s">
        <v>296</v>
      </c>
      <c r="C9" s="39" t="b">
        <f aca="false">ABS(Balance_Sheet!G33)&lt;1</f>
        <v>1</v>
      </c>
      <c r="D9" s="40" t="s">
        <v>292</v>
      </c>
      <c r="E9" s="6"/>
      <c r="F9" s="6"/>
      <c r="G9" s="6"/>
    </row>
    <row r="10" customFormat="false" ht="15" hidden="false" customHeight="false" outlineLevel="0" collapsed="false">
      <c r="A10" s="6"/>
      <c r="B10" s="6"/>
      <c r="C10" s="6"/>
      <c r="D10" s="6"/>
      <c r="E10" s="6"/>
      <c r="F10" s="6"/>
      <c r="G10" s="6"/>
    </row>
    <row r="11" customFormat="false" ht="15" hidden="false" customHeight="false" outlineLevel="0" collapsed="false">
      <c r="A11" s="6"/>
      <c r="B11" s="18" t="s">
        <v>297</v>
      </c>
      <c r="C11" s="39" t="b">
        <f aca="false">(Herd_Dynamics!C7+Herd_Dynamics!C8+Herd_Dynamics!C9+Herd_Dynamics!C10+Herd_Dynamics!C11+Herd_Dynamics!C12+Herd_Dynamics!C13-Herd_Dynamics!C14)=0</f>
        <v>1</v>
      </c>
      <c r="D11" s="40" t="s">
        <v>292</v>
      </c>
      <c r="E11" s="6"/>
      <c r="F11" s="6"/>
      <c r="G11" s="6"/>
    </row>
    <row r="12" customFormat="false" ht="15" hidden="false" customHeight="false" outlineLevel="0" collapsed="false">
      <c r="A12" s="6"/>
      <c r="B12" s="18" t="s">
        <v>298</v>
      </c>
      <c r="C12" s="39" t="b">
        <f aca="false">(Herd_Dynamics!G7+Herd_Dynamics!G8+Herd_Dynamics!G9+Herd_Dynamics!G10+Herd_Dynamics!G11+Herd_Dynamics!G12+Herd_Dynamics!G13-Herd_Dynamics!G14)=0</f>
        <v>1</v>
      </c>
      <c r="D12" s="40" t="s">
        <v>292</v>
      </c>
      <c r="E12" s="6"/>
      <c r="F12" s="6"/>
      <c r="G12" s="6"/>
    </row>
    <row r="13" customFormat="false" ht="15" hidden="false" customHeight="false" outlineLevel="0" collapsed="false">
      <c r="A13" s="6"/>
      <c r="B13" s="18" t="s">
        <v>299</v>
      </c>
      <c r="C13" s="39" t="b">
        <f aca="false">(Herd_Dynamics!C29+Herd_Dynamics!C30+Herd_Dynamics!C31+Herd_Dynamics!C32+Herd_Dynamics!C33+Herd_Dynamics!C34+Herd_Dynamics!C35-Herd_Dynamics!C36)=0</f>
        <v>1</v>
      </c>
      <c r="D13" s="40" t="s">
        <v>292</v>
      </c>
      <c r="E13" s="6"/>
      <c r="F13" s="6"/>
      <c r="G13" s="6"/>
    </row>
    <row r="14" customFormat="false" ht="15" hidden="false" customHeight="false" outlineLevel="0" collapsed="false">
      <c r="A14" s="6"/>
      <c r="B14" s="18" t="s">
        <v>300</v>
      </c>
      <c r="C14" s="39" t="b">
        <f aca="false">(Herd_Dynamics!G29+Herd_Dynamics!G30+Herd_Dynamics!G31+Herd_Dynamics!G32+Herd_Dynamics!G33+Herd_Dynamics!G34+Herd_Dynamics!G35-Herd_Dynamics!G36)=0</f>
        <v>1</v>
      </c>
      <c r="D14" s="40" t="s">
        <v>292</v>
      </c>
      <c r="E14" s="6"/>
      <c r="F14" s="6"/>
      <c r="G14" s="6"/>
    </row>
    <row r="15" customFormat="false" ht="15" hidden="false" customHeight="false" outlineLevel="0" collapsed="false">
      <c r="A15" s="6"/>
      <c r="B15" s="6"/>
      <c r="C15" s="6"/>
      <c r="D15" s="6"/>
      <c r="E15" s="6"/>
      <c r="F15" s="6"/>
      <c r="G15" s="6"/>
    </row>
    <row r="16" customFormat="false" ht="15" hidden="false" customHeight="false" outlineLevel="0" collapsed="false">
      <c r="A16" s="6"/>
      <c r="B16" s="18" t="s">
        <v>301</v>
      </c>
      <c r="C16" s="39" t="b">
        <f aca="false">MIN(Cash_Flow!C29,Cash_Flow!D29,Cash_Flow!E29,Cash_Flow!F29,Cash_Flow!G29)&gt;=0</f>
        <v>1</v>
      </c>
      <c r="D16" s="40" t="s">
        <v>292</v>
      </c>
      <c r="E16" s="6"/>
      <c r="F16" s="6"/>
      <c r="G16" s="6"/>
    </row>
    <row r="17" customFormat="false" ht="15" hidden="false" customHeight="false" outlineLevel="0" collapsed="false">
      <c r="A17" s="6"/>
      <c r="B17" s="6"/>
      <c r="C17" s="6"/>
      <c r="D17" s="6"/>
      <c r="E17" s="6"/>
      <c r="F17" s="6"/>
      <c r="G17" s="6"/>
    </row>
    <row r="18" customFormat="false" ht="15" hidden="false" customHeight="false" outlineLevel="0" collapsed="false">
      <c r="A18" s="6"/>
      <c r="B18" s="18" t="s">
        <v>302</v>
      </c>
      <c r="C18" s="39" t="b">
        <f aca="false">MIN(Debt_Schedule!C35,Debt_Schedule!D35,Debt_Schedule!E35,Debt_Schedule!F35,Debt_Schedule!G35)&gt;=1.5</f>
        <v>0</v>
      </c>
      <c r="D18" s="40" t="s">
        <v>292</v>
      </c>
      <c r="E18" s="6"/>
      <c r="F18" s="6"/>
      <c r="G18" s="6"/>
    </row>
    <row r="19" customFormat="false" ht="15" hidden="false" customHeight="false" outlineLevel="0" collapsed="false">
      <c r="A19" s="6"/>
      <c r="B19" s="18" t="s">
        <v>303</v>
      </c>
      <c r="C19" s="39" t="b">
        <f aca="false">MAX(Debt_Schedule!C11/Capex_Dep!C14,Debt_Schedule!D11/Capex_Dep!D14,Debt_Schedule!E11/Capex_Dep!E14,Debt_Schedule!F11/Capex_Dep!F14,Debt_Schedule!G11/Capex_Dep!G14)&lt;=0.5</f>
        <v>1</v>
      </c>
      <c r="D19" s="40" t="s">
        <v>292</v>
      </c>
      <c r="E19" s="6"/>
      <c r="F19" s="6"/>
      <c r="G19" s="6"/>
    </row>
    <row r="20" customFormat="false" ht="15" hidden="false" customHeight="false" outlineLevel="0" collapsed="false">
      <c r="A20" s="6"/>
      <c r="B20" s="18" t="s">
        <v>304</v>
      </c>
      <c r="C20" s="39" t="b">
        <f aca="false">AND(Debt_Schedule!D11&lt;=Debt_Schedule!C11,Debt_Schedule!E11&lt;=Debt_Schedule!D11,Debt_Schedule!F11&lt;=Debt_Schedule!E11,Debt_Schedule!G11&lt;=Debt_Schedule!F11)</f>
        <v>1</v>
      </c>
      <c r="D20" s="40" t="s">
        <v>292</v>
      </c>
      <c r="E20" s="6"/>
      <c r="F20" s="6"/>
      <c r="G20" s="6"/>
    </row>
    <row r="21" customFormat="false" ht="15" hidden="false" customHeight="false" outlineLevel="0" collapsed="false">
      <c r="A21" s="6"/>
      <c r="B21" s="6"/>
      <c r="C21" s="6"/>
      <c r="D21" s="6"/>
      <c r="E21" s="6"/>
      <c r="F21" s="6"/>
      <c r="G21" s="6"/>
    </row>
    <row r="22" customFormat="false" ht="15" hidden="false" customHeight="false" outlineLevel="0" collapsed="false">
      <c r="A22" s="6"/>
      <c r="B22" s="18" t="s">
        <v>305</v>
      </c>
      <c r="C22" s="39" t="b">
        <f aca="false">MIN(Income_Statement!C10,Income_Statement!D10,Income_Statement!E10,Income_Statement!F10,Income_Statement!G10)&gt;=0.4</f>
        <v>1</v>
      </c>
      <c r="D22" s="40" t="s">
        <v>292</v>
      </c>
      <c r="E22" s="6"/>
      <c r="F22" s="6"/>
      <c r="G22" s="6"/>
    </row>
    <row r="23" customFormat="false" ht="15" hidden="false" customHeight="false" outlineLevel="0" collapsed="false">
      <c r="A23" s="6"/>
      <c r="B23" s="18" t="s">
        <v>306</v>
      </c>
      <c r="C23" s="39" t="b">
        <f aca="false">MAX(Herd_Dynamics!C41,Herd_Dynamics!D41,Herd_Dynamics!E41,Herd_Dynamics!F41,Herd_Dynamics!G41)&lt;=Herd_Dynamics!C17</f>
        <v>1</v>
      </c>
      <c r="D23" s="40" t="s">
        <v>292</v>
      </c>
      <c r="E23" s="6"/>
      <c r="F23" s="6"/>
      <c r="G23" s="6"/>
    </row>
    <row r="24" customFormat="false" ht="15" hidden="false" customHeight="false" outlineLevel="0" collapsed="false">
      <c r="A24" s="6"/>
      <c r="B24" s="18" t="s">
        <v>307</v>
      </c>
      <c r="C24" s="39" t="b">
        <f aca="false">MIN(Income_Statement!C30,Income_Statement!D30,Income_Statement!E30,Income_Statement!F30,Income_Statement!G30)&gt;=0</f>
        <v>1</v>
      </c>
      <c r="D24" s="40" t="s">
        <v>292</v>
      </c>
      <c r="E24" s="6"/>
      <c r="F24" s="6"/>
      <c r="G24"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1" t="s">
        <v>308</v>
      </c>
    </row>
    <row r="3" customFormat="false" ht="3.75" hidden="false" customHeight="true" outlineLevel="0" collapsed="false">
      <c r="B3" s="42"/>
    </row>
    <row r="5" customFormat="false" ht="19.5" hidden="false" customHeight="true" outlineLevel="0" collapsed="false">
      <c r="B5" s="43" t="s">
        <v>309</v>
      </c>
    </row>
    <row r="6" customFormat="false" ht="48" hidden="false" customHeight="true" outlineLevel="0" collapsed="false">
      <c r="B6" s="44" t="s">
        <v>310</v>
      </c>
    </row>
    <row r="8" customFormat="false" ht="19.5" hidden="false" customHeight="true" outlineLevel="0" collapsed="false">
      <c r="B8" s="43" t="s">
        <v>311</v>
      </c>
    </row>
    <row r="9" customFormat="false" ht="61.5" hidden="false" customHeight="true" outlineLevel="0" collapsed="false">
      <c r="B9" s="44" t="s">
        <v>312</v>
      </c>
    </row>
    <row r="11" customFormat="false" ht="19.5" hidden="false" customHeight="true" outlineLevel="0" collapsed="false">
      <c r="B11" s="43" t="s">
        <v>313</v>
      </c>
    </row>
    <row r="12" customFormat="false" ht="75.75" hidden="false" customHeight="true" outlineLevel="0" collapsed="false">
      <c r="B12" s="44" t="s">
        <v>314</v>
      </c>
    </row>
    <row r="14" customFormat="false" ht="19.5" hidden="false" customHeight="true" outlineLevel="0" collapsed="false">
      <c r="B14" s="43" t="s">
        <v>315</v>
      </c>
    </row>
    <row r="15" customFormat="false" ht="61.5" hidden="false" customHeight="true" outlineLevel="0" collapsed="false">
      <c r="B15" s="44" t="s">
        <v>316</v>
      </c>
    </row>
    <row r="17" customFormat="false" ht="19.5" hidden="false" customHeight="true" outlineLevel="0" collapsed="false">
      <c r="B17" s="43" t="s">
        <v>317</v>
      </c>
    </row>
    <row r="18" customFormat="false" ht="33.75" hidden="false" customHeight="true" outlineLevel="0" collapsed="false">
      <c r="B18" s="44" t="s">
        <v>318</v>
      </c>
    </row>
    <row r="20" customFormat="false" ht="19.5" hidden="false" customHeight="true" outlineLevel="0" collapsed="false">
      <c r="B20" s="43" t="s">
        <v>319</v>
      </c>
    </row>
    <row r="21" customFormat="false" ht="33.75" hidden="false" customHeight="true" outlineLevel="0" collapsed="false">
      <c r="B21" s="44" t="s">
        <v>320</v>
      </c>
    </row>
    <row r="23" customFormat="false" ht="21.75" hidden="false" customHeight="true" outlineLevel="0" collapsed="false">
      <c r="B23" s="45" t="s">
        <v>321</v>
      </c>
    </row>
    <row r="25" customFormat="false" ht="18" hidden="false" customHeight="true" outlineLevel="0" collapsed="false">
      <c r="B25" s="46" t="s">
        <v>322</v>
      </c>
    </row>
    <row r="26" customFormat="false" ht="201.75" hidden="false" customHeight="true" outlineLevel="0" collapsed="false">
      <c r="B26" s="47" t="s">
        <v>323</v>
      </c>
    </row>
    <row r="28" customFormat="false" ht="18" hidden="false" customHeight="true" outlineLevel="0" collapsed="false">
      <c r="B28" s="48" t="s">
        <v>324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7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6"/>
    <col collapsed="false" customWidth="true" hidden="false" outlineLevel="0" max="4" min="4" style="0" width="18"/>
    <col collapsed="false" customWidth="true" hidden="false" outlineLevel="0" max="5" min="5" style="0" width="35"/>
  </cols>
  <sheetData>
    <row r="1" customFormat="false" ht="15" hidden="false" customHeight="false" outlineLevel="0" collapsed="false">
      <c r="A1" s="1"/>
      <c r="B1" s="1"/>
      <c r="C1" s="1"/>
      <c r="D1" s="1"/>
      <c r="E1" s="1"/>
      <c r="F1" s="1"/>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v>
      </c>
      <c r="C2" s="1"/>
      <c r="D2" s="1"/>
      <c r="E2" s="1"/>
      <c r="F2" s="1"/>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v>
      </c>
      <c r="C3" s="1"/>
      <c r="D3" s="1"/>
      <c r="E3" s="1"/>
      <c r="F3" s="1"/>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row>
    <row r="5" customFormat="false" ht="15" hidden="false" customHeight="false" outlineLevel="0" collapsed="false">
      <c r="A5" s="6"/>
      <c r="B5" s="15" t="s">
        <v>21</v>
      </c>
      <c r="C5" s="15" t="s">
        <v>22</v>
      </c>
      <c r="D5" s="15" t="s">
        <v>23</v>
      </c>
      <c r="E5" s="15" t="s">
        <v>24</v>
      </c>
      <c r="F5" s="6"/>
    </row>
    <row r="6" customFormat="false" ht="15" hidden="false" customHeight="false" outlineLevel="0" collapsed="false">
      <c r="A6" s="6"/>
      <c r="B6" s="16" t="s">
        <v>25</v>
      </c>
      <c r="C6" s="17"/>
      <c r="D6" s="17"/>
      <c r="E6" s="17"/>
      <c r="F6" s="17"/>
    </row>
    <row r="7" customFormat="false" ht="15" hidden="false" customHeight="false" outlineLevel="0" collapsed="false">
      <c r="A7" s="6"/>
      <c r="B7" s="18" t="s">
        <v>26</v>
      </c>
      <c r="C7" s="19" t="n">
        <v>5000</v>
      </c>
      <c r="D7" s="20" t="s">
        <v>27</v>
      </c>
      <c r="E7" s="6"/>
      <c r="F7" s="6"/>
    </row>
    <row r="8" customFormat="false" ht="15" hidden="false" customHeight="false" outlineLevel="0" collapsed="false">
      <c r="A8" s="6"/>
      <c r="B8" s="18" t="s">
        <v>28</v>
      </c>
      <c r="C8" s="19" t="n">
        <v>8</v>
      </c>
      <c r="D8" s="20" t="s">
        <v>29</v>
      </c>
      <c r="E8" s="6"/>
      <c r="F8" s="6"/>
    </row>
    <row r="9" customFormat="false" ht="15" hidden="false" customHeight="false" outlineLevel="0" collapsed="false">
      <c r="A9" s="6"/>
      <c r="B9" s="18" t="s">
        <v>30</v>
      </c>
      <c r="C9" s="19" t="n">
        <v>1500</v>
      </c>
      <c r="D9" s="20" t="s">
        <v>31</v>
      </c>
      <c r="E9" s="6"/>
      <c r="F9" s="6"/>
    </row>
    <row r="10" customFormat="false" ht="15" hidden="false" customHeight="false" outlineLevel="0" collapsed="false">
      <c r="A10" s="6"/>
      <c r="B10" s="18" t="s">
        <v>32</v>
      </c>
      <c r="C10" s="19" t="n">
        <v>3500000</v>
      </c>
      <c r="D10" s="20" t="s">
        <v>33</v>
      </c>
      <c r="E10" s="6"/>
      <c r="F10" s="6"/>
    </row>
    <row r="11" customFormat="false" ht="15" hidden="false" customHeight="false" outlineLevel="0" collapsed="false">
      <c r="A11" s="6"/>
      <c r="B11" s="18" t="s">
        <v>34</v>
      </c>
      <c r="C11" s="19" t="n">
        <v>15</v>
      </c>
      <c r="D11" s="20" t="s">
        <v>35</v>
      </c>
      <c r="E11" s="6"/>
      <c r="F11" s="6"/>
    </row>
    <row r="12" customFormat="false" ht="15" hidden="false" customHeight="false" outlineLevel="0" collapsed="false">
      <c r="A12" s="6"/>
      <c r="B12" s="16" t="s">
        <v>36</v>
      </c>
      <c r="C12" s="17"/>
      <c r="D12" s="17"/>
      <c r="E12" s="17"/>
      <c r="F12" s="17"/>
    </row>
    <row r="13" customFormat="false" ht="15" hidden="false" customHeight="false" outlineLevel="0" collapsed="false">
      <c r="A13" s="6"/>
      <c r="B13" s="18" t="s">
        <v>37</v>
      </c>
      <c r="C13" s="19" t="n">
        <v>2000</v>
      </c>
      <c r="D13" s="20" t="s">
        <v>38</v>
      </c>
      <c r="E13" s="6"/>
      <c r="F13" s="6"/>
    </row>
    <row r="14" customFormat="false" ht="15" hidden="false" customHeight="false" outlineLevel="0" collapsed="false">
      <c r="A14" s="6"/>
      <c r="B14" s="18" t="s">
        <v>39</v>
      </c>
      <c r="C14" s="21" t="n">
        <v>0.85</v>
      </c>
      <c r="D14" s="20" t="s">
        <v>40</v>
      </c>
      <c r="E14" s="6"/>
      <c r="F14" s="6"/>
    </row>
    <row r="15" customFormat="false" ht="15" hidden="false" customHeight="false" outlineLevel="0" collapsed="false">
      <c r="A15" s="6"/>
      <c r="B15" s="18" t="s">
        <v>41</v>
      </c>
      <c r="C15" s="21" t="n">
        <v>0.02</v>
      </c>
      <c r="D15" s="20" t="s">
        <v>40</v>
      </c>
      <c r="E15" s="6"/>
      <c r="F15" s="6"/>
    </row>
    <row r="16" customFormat="false" ht="15" hidden="false" customHeight="false" outlineLevel="0" collapsed="false">
      <c r="A16" s="6"/>
      <c r="B16" s="18" t="s">
        <v>42</v>
      </c>
      <c r="C16" s="21" t="n">
        <v>0.2</v>
      </c>
      <c r="D16" s="20" t="s">
        <v>40</v>
      </c>
      <c r="E16" s="6"/>
      <c r="F16" s="6"/>
    </row>
    <row r="17" customFormat="false" ht="15" hidden="false" customHeight="false" outlineLevel="0" collapsed="false">
      <c r="A17" s="6"/>
      <c r="B17" s="18" t="s">
        <v>43</v>
      </c>
      <c r="C17" s="21" t="n">
        <v>0.15</v>
      </c>
      <c r="D17" s="20" t="s">
        <v>40</v>
      </c>
      <c r="E17" s="6"/>
      <c r="F17" s="6"/>
    </row>
    <row r="18" customFormat="false" ht="15" hidden="false" customHeight="false" outlineLevel="0" collapsed="false">
      <c r="A18" s="6"/>
      <c r="B18" s="18" t="s">
        <v>44</v>
      </c>
      <c r="C18" s="19" t="n">
        <v>450</v>
      </c>
      <c r="D18" s="20" t="s">
        <v>45</v>
      </c>
      <c r="E18" s="6"/>
      <c r="F18" s="6"/>
    </row>
    <row r="19" customFormat="false" ht="15" hidden="false" customHeight="false" outlineLevel="0" collapsed="false">
      <c r="A19" s="6"/>
      <c r="B19" s="18" t="s">
        <v>46</v>
      </c>
      <c r="C19" s="21" t="n">
        <v>0.54</v>
      </c>
      <c r="D19" s="20" t="s">
        <v>40</v>
      </c>
      <c r="E19" s="6"/>
      <c r="F19" s="6"/>
    </row>
    <row r="20" customFormat="false" ht="15" hidden="false" customHeight="false" outlineLevel="0" collapsed="false">
      <c r="A20" s="6"/>
      <c r="B20" s="18" t="s">
        <v>47</v>
      </c>
      <c r="C20" s="22" t="n">
        <v>6.5</v>
      </c>
      <c r="D20" s="20" t="s">
        <v>48</v>
      </c>
      <c r="E20" s="6"/>
      <c r="F20" s="6"/>
    </row>
    <row r="21" customFormat="false" ht="15" hidden="false" customHeight="false" outlineLevel="0" collapsed="false">
      <c r="A21" s="6"/>
      <c r="B21" s="18" t="s">
        <v>49</v>
      </c>
      <c r="C21" s="21" t="n">
        <v>0.02</v>
      </c>
      <c r="D21" s="20" t="s">
        <v>50</v>
      </c>
      <c r="E21" s="6"/>
      <c r="F21" s="6"/>
    </row>
    <row r="22" customFormat="false" ht="15" hidden="false" customHeight="false" outlineLevel="0" collapsed="false">
      <c r="A22" s="6"/>
      <c r="B22" s="18" t="s">
        <v>51</v>
      </c>
      <c r="C22" s="19" t="n">
        <v>650</v>
      </c>
      <c r="D22" s="20" t="s">
        <v>52</v>
      </c>
      <c r="E22" s="6"/>
      <c r="F22" s="6"/>
    </row>
    <row r="23" customFormat="false" ht="15" hidden="false" customHeight="false" outlineLevel="0" collapsed="false">
      <c r="A23" s="6"/>
      <c r="B23" s="16" t="s">
        <v>53</v>
      </c>
      <c r="C23" s="17"/>
      <c r="D23" s="17"/>
      <c r="E23" s="17"/>
      <c r="F23" s="17"/>
    </row>
    <row r="24" customFormat="false" ht="15" hidden="false" customHeight="false" outlineLevel="0" collapsed="false">
      <c r="A24" s="6"/>
      <c r="B24" s="18" t="s">
        <v>54</v>
      </c>
      <c r="C24" s="19" t="n">
        <v>1500</v>
      </c>
      <c r="D24" s="20" t="s">
        <v>38</v>
      </c>
      <c r="E24" s="6"/>
      <c r="F24" s="6"/>
    </row>
    <row r="25" customFormat="false" ht="15" hidden="false" customHeight="false" outlineLevel="0" collapsed="false">
      <c r="A25" s="6"/>
      <c r="B25" s="18" t="s">
        <v>39</v>
      </c>
      <c r="C25" s="19" t="n">
        <v>1.15</v>
      </c>
      <c r="D25" s="20" t="s">
        <v>40</v>
      </c>
      <c r="E25" s="6"/>
      <c r="F25" s="6"/>
    </row>
    <row r="26" customFormat="false" ht="15" hidden="false" customHeight="false" outlineLevel="0" collapsed="false">
      <c r="A26" s="6"/>
      <c r="B26" s="18" t="s">
        <v>41</v>
      </c>
      <c r="C26" s="21" t="n">
        <v>0.02</v>
      </c>
      <c r="D26" s="20" t="s">
        <v>40</v>
      </c>
      <c r="E26" s="6"/>
      <c r="F26" s="6"/>
    </row>
    <row r="27" customFormat="false" ht="15" hidden="false" customHeight="false" outlineLevel="0" collapsed="false">
      <c r="A27" s="6"/>
      <c r="B27" s="18" t="s">
        <v>42</v>
      </c>
      <c r="C27" s="21" t="n">
        <v>0.2</v>
      </c>
      <c r="D27" s="20" t="s">
        <v>40</v>
      </c>
      <c r="E27" s="6"/>
      <c r="F27" s="6"/>
    </row>
    <row r="28" customFormat="false" ht="15" hidden="false" customHeight="false" outlineLevel="0" collapsed="false">
      <c r="A28" s="6"/>
      <c r="B28" s="18" t="s">
        <v>43</v>
      </c>
      <c r="C28" s="21" t="n">
        <v>0.2</v>
      </c>
      <c r="D28" s="20" t="s">
        <v>40</v>
      </c>
      <c r="E28" s="6"/>
      <c r="F28" s="6"/>
    </row>
    <row r="29" customFormat="false" ht="15" hidden="false" customHeight="false" outlineLevel="0" collapsed="false">
      <c r="A29" s="6"/>
      <c r="B29" s="18" t="s">
        <v>55</v>
      </c>
      <c r="C29" s="19" t="n">
        <v>24</v>
      </c>
      <c r="D29" s="20" t="s">
        <v>56</v>
      </c>
      <c r="E29" s="6"/>
      <c r="F29" s="6"/>
    </row>
    <row r="30" customFormat="false" ht="15" hidden="false" customHeight="false" outlineLevel="0" collapsed="false">
      <c r="A30" s="6"/>
      <c r="B30" s="18" t="s">
        <v>57</v>
      </c>
      <c r="C30" s="22" t="n">
        <v>7.5</v>
      </c>
      <c r="D30" s="20" t="s">
        <v>48</v>
      </c>
      <c r="E30" s="6"/>
      <c r="F30" s="6"/>
    </row>
    <row r="31" customFormat="false" ht="15" hidden="false" customHeight="false" outlineLevel="0" collapsed="false">
      <c r="A31" s="6"/>
      <c r="B31" s="18" t="s">
        <v>58</v>
      </c>
      <c r="C31" s="21" t="n">
        <v>0.02</v>
      </c>
      <c r="D31" s="20" t="s">
        <v>50</v>
      </c>
      <c r="E31" s="6"/>
      <c r="F31" s="6"/>
    </row>
    <row r="32" customFormat="false" ht="15" hidden="false" customHeight="false" outlineLevel="0" collapsed="false">
      <c r="A32" s="6"/>
      <c r="B32" s="18" t="s">
        <v>59</v>
      </c>
      <c r="C32" s="19" t="n">
        <v>80</v>
      </c>
      <c r="D32" s="20" t="s">
        <v>52</v>
      </c>
      <c r="E32" s="6"/>
      <c r="F32" s="6"/>
    </row>
    <row r="33" customFormat="false" ht="15" hidden="false" customHeight="false" outlineLevel="0" collapsed="false">
      <c r="A33" s="6"/>
      <c r="B33" s="18" t="s">
        <v>60</v>
      </c>
      <c r="C33" s="23" t="n">
        <v>4.5</v>
      </c>
      <c r="D33" s="20" t="s">
        <v>61</v>
      </c>
      <c r="E33" s="6"/>
      <c r="F33" s="6"/>
    </row>
    <row r="34" customFormat="false" ht="15" hidden="false" customHeight="false" outlineLevel="0" collapsed="false">
      <c r="A34" s="6"/>
      <c r="B34" s="18" t="s">
        <v>62</v>
      </c>
      <c r="C34" s="21" t="n">
        <v>0.7</v>
      </c>
      <c r="D34" s="20" t="s">
        <v>40</v>
      </c>
      <c r="E34" s="6"/>
      <c r="F34" s="6"/>
    </row>
    <row r="35" customFormat="false" ht="15" hidden="false" customHeight="false" outlineLevel="0" collapsed="false">
      <c r="A35" s="6"/>
      <c r="B35" s="18" t="s">
        <v>63</v>
      </c>
      <c r="C35" s="22" t="n">
        <v>12</v>
      </c>
      <c r="D35" s="20" t="s">
        <v>64</v>
      </c>
      <c r="E35" s="6"/>
      <c r="F35" s="6"/>
    </row>
    <row r="36" customFormat="false" ht="15" hidden="false" customHeight="false" outlineLevel="0" collapsed="false">
      <c r="A36" s="6"/>
      <c r="B36" s="18" t="s">
        <v>65</v>
      </c>
      <c r="C36" s="21" t="n">
        <v>0.015</v>
      </c>
      <c r="D36" s="20" t="s">
        <v>50</v>
      </c>
      <c r="E36" s="6"/>
      <c r="F36" s="6"/>
    </row>
    <row r="37" customFormat="false" ht="15" hidden="false" customHeight="false" outlineLevel="0" collapsed="false">
      <c r="A37" s="6"/>
      <c r="B37" s="16" t="s">
        <v>66</v>
      </c>
      <c r="C37" s="17"/>
      <c r="D37" s="17"/>
      <c r="E37" s="17"/>
      <c r="F37" s="17"/>
    </row>
    <row r="38" customFormat="false" ht="15" hidden="false" customHeight="false" outlineLevel="0" collapsed="false">
      <c r="A38" s="6"/>
      <c r="B38" s="18" t="s">
        <v>67</v>
      </c>
      <c r="C38" s="19" t="n">
        <v>350</v>
      </c>
      <c r="D38" s="20" t="s">
        <v>68</v>
      </c>
      <c r="E38" s="6"/>
      <c r="F38" s="6"/>
    </row>
    <row r="39" customFormat="false" ht="15" hidden="false" customHeight="false" outlineLevel="0" collapsed="false">
      <c r="A39" s="6"/>
      <c r="B39" s="18" t="s">
        <v>69</v>
      </c>
      <c r="C39" s="23" t="n">
        <v>2.5</v>
      </c>
      <c r="D39" s="20" t="s">
        <v>70</v>
      </c>
      <c r="E39" s="6"/>
      <c r="F39" s="6"/>
    </row>
    <row r="40" customFormat="false" ht="15" hidden="false" customHeight="false" outlineLevel="0" collapsed="false">
      <c r="A40" s="6"/>
      <c r="B40" s="18" t="s">
        <v>71</v>
      </c>
      <c r="C40" s="21" t="n">
        <v>0.3</v>
      </c>
      <c r="D40" s="20" t="s">
        <v>40</v>
      </c>
      <c r="E40" s="6"/>
      <c r="F40" s="6"/>
    </row>
    <row r="41" customFormat="false" ht="15" hidden="false" customHeight="false" outlineLevel="0" collapsed="false">
      <c r="A41" s="6"/>
      <c r="B41" s="18" t="s">
        <v>72</v>
      </c>
      <c r="C41" s="19" t="n">
        <v>15</v>
      </c>
      <c r="D41" s="20" t="s">
        <v>73</v>
      </c>
      <c r="E41" s="6"/>
      <c r="F41" s="6"/>
    </row>
    <row r="42" customFormat="false" ht="15" hidden="false" customHeight="false" outlineLevel="0" collapsed="false">
      <c r="A42" s="6"/>
      <c r="B42" s="18" t="s">
        <v>74</v>
      </c>
      <c r="C42" s="19" t="n">
        <v>25</v>
      </c>
      <c r="D42" s="20" t="s">
        <v>52</v>
      </c>
      <c r="E42" s="6"/>
      <c r="F42" s="6"/>
    </row>
    <row r="43" customFormat="false" ht="15" hidden="false" customHeight="false" outlineLevel="0" collapsed="false">
      <c r="A43" s="6"/>
      <c r="B43" s="18" t="s">
        <v>75</v>
      </c>
      <c r="C43" s="21" t="n">
        <v>0.025</v>
      </c>
      <c r="D43" s="20" t="s">
        <v>76</v>
      </c>
      <c r="E43" s="6"/>
      <c r="F43" s="6"/>
    </row>
    <row r="44" customFormat="false" ht="15" hidden="false" customHeight="false" outlineLevel="0" collapsed="false">
      <c r="A44" s="6"/>
      <c r="B44" s="18" t="s">
        <v>77</v>
      </c>
      <c r="C44" s="21" t="n">
        <v>0.02</v>
      </c>
      <c r="D44" s="20" t="s">
        <v>76</v>
      </c>
      <c r="E44" s="6"/>
      <c r="F44" s="6"/>
    </row>
    <row r="45" customFormat="false" ht="15" hidden="false" customHeight="false" outlineLevel="0" collapsed="false">
      <c r="A45" s="6"/>
      <c r="B45" s="18" t="s">
        <v>78</v>
      </c>
      <c r="C45" s="19" t="n">
        <v>3</v>
      </c>
      <c r="D45" s="20" t="s">
        <v>79</v>
      </c>
      <c r="E45" s="6"/>
      <c r="F45" s="6"/>
    </row>
    <row r="46" customFormat="false" ht="15" hidden="false" customHeight="false" outlineLevel="0" collapsed="false">
      <c r="A46" s="6"/>
      <c r="B46" s="18" t="s">
        <v>80</v>
      </c>
      <c r="C46" s="19" t="n">
        <v>75000</v>
      </c>
      <c r="D46" s="20" t="s">
        <v>81</v>
      </c>
      <c r="E46" s="6"/>
      <c r="F46" s="6"/>
    </row>
    <row r="47" customFormat="false" ht="15" hidden="false" customHeight="false" outlineLevel="0" collapsed="false">
      <c r="A47" s="6"/>
      <c r="B47" s="18" t="s">
        <v>82</v>
      </c>
      <c r="C47" s="21" t="n">
        <v>0.03</v>
      </c>
      <c r="D47" s="20" t="s">
        <v>76</v>
      </c>
      <c r="E47" s="6"/>
      <c r="F47" s="6"/>
    </row>
    <row r="48" customFormat="false" ht="15" hidden="false" customHeight="false" outlineLevel="0" collapsed="false">
      <c r="A48" s="6"/>
      <c r="B48" s="18" t="s">
        <v>83</v>
      </c>
      <c r="C48" s="21" t="n">
        <v>0.02</v>
      </c>
      <c r="D48" s="20" t="s">
        <v>84</v>
      </c>
      <c r="E48" s="6"/>
      <c r="F48" s="6"/>
    </row>
    <row r="49" customFormat="false" ht="15" hidden="false" customHeight="false" outlineLevel="0" collapsed="false">
      <c r="A49" s="6"/>
      <c r="B49" s="18" t="s">
        <v>85</v>
      </c>
      <c r="C49" s="19" t="n">
        <v>30</v>
      </c>
      <c r="D49" s="20" t="s">
        <v>86</v>
      </c>
      <c r="E49" s="6"/>
      <c r="F49" s="6"/>
    </row>
    <row r="50" customFormat="false" ht="15" hidden="false" customHeight="false" outlineLevel="0" collapsed="false">
      <c r="A50" s="6"/>
      <c r="B50" s="18" t="s">
        <v>87</v>
      </c>
      <c r="C50" s="21" t="n">
        <v>0.035</v>
      </c>
      <c r="D50" s="20" t="s">
        <v>76</v>
      </c>
      <c r="E50" s="6"/>
      <c r="F50" s="6"/>
    </row>
    <row r="51" customFormat="false" ht="15" hidden="false" customHeight="false" outlineLevel="0" collapsed="false">
      <c r="A51" s="6"/>
      <c r="B51" s="18" t="s">
        <v>88</v>
      </c>
      <c r="C51" s="21" t="n">
        <v>0.015</v>
      </c>
      <c r="D51" s="20" t="s">
        <v>76</v>
      </c>
      <c r="E51" s="6"/>
      <c r="F51" s="6"/>
    </row>
    <row r="52" customFormat="false" ht="15" hidden="false" customHeight="false" outlineLevel="0" collapsed="false">
      <c r="A52" s="6"/>
      <c r="B52" s="16" t="s">
        <v>89</v>
      </c>
      <c r="C52" s="17"/>
      <c r="D52" s="17"/>
      <c r="E52" s="17"/>
      <c r="F52" s="17"/>
    </row>
    <row r="53" customFormat="false" ht="15" hidden="false" customHeight="false" outlineLevel="0" collapsed="false">
      <c r="A53" s="6"/>
      <c r="B53" s="18" t="s">
        <v>90</v>
      </c>
      <c r="C53" s="21" t="n">
        <v>0.03</v>
      </c>
      <c r="D53" s="20" t="s">
        <v>91</v>
      </c>
      <c r="E53" s="6"/>
      <c r="F53" s="6"/>
    </row>
    <row r="54" customFormat="false" ht="15" hidden="false" customHeight="false" outlineLevel="0" collapsed="false">
      <c r="A54" s="6"/>
      <c r="B54" s="18" t="s">
        <v>92</v>
      </c>
      <c r="C54" s="19" t="n">
        <v>150000</v>
      </c>
      <c r="D54" s="20" t="s">
        <v>33</v>
      </c>
      <c r="E54" s="6"/>
      <c r="F54" s="6"/>
    </row>
    <row r="55" customFormat="false" ht="15" hidden="false" customHeight="false" outlineLevel="0" collapsed="false">
      <c r="A55" s="6"/>
      <c r="B55" s="18" t="s">
        <v>93</v>
      </c>
      <c r="C55" s="19" t="n">
        <v>50000</v>
      </c>
      <c r="D55" s="20" t="s">
        <v>33</v>
      </c>
      <c r="E55" s="6"/>
      <c r="F55" s="6"/>
    </row>
    <row r="56" customFormat="false" ht="15" hidden="false" customHeight="false" outlineLevel="0" collapsed="false">
      <c r="A56" s="6"/>
      <c r="B56" s="16" t="s">
        <v>94</v>
      </c>
      <c r="C56" s="17"/>
      <c r="D56" s="17"/>
      <c r="E56" s="17"/>
      <c r="F56" s="17"/>
    </row>
    <row r="57" customFormat="false" ht="15" hidden="false" customHeight="false" outlineLevel="0" collapsed="false">
      <c r="A57" s="6"/>
      <c r="B57" s="18" t="s">
        <v>95</v>
      </c>
      <c r="C57" s="19" t="n">
        <v>10</v>
      </c>
      <c r="D57" s="20" t="s">
        <v>96</v>
      </c>
      <c r="E57" s="6"/>
      <c r="F57" s="6"/>
    </row>
    <row r="58" customFormat="false" ht="15" hidden="false" customHeight="false" outlineLevel="0" collapsed="false">
      <c r="A58" s="6"/>
      <c r="B58" s="18" t="s">
        <v>97</v>
      </c>
      <c r="C58" s="19" t="n">
        <v>30</v>
      </c>
      <c r="D58" s="20" t="s">
        <v>96</v>
      </c>
      <c r="E58" s="6"/>
      <c r="F58" s="6"/>
    </row>
    <row r="59" customFormat="false" ht="15" hidden="false" customHeight="false" outlineLevel="0" collapsed="false">
      <c r="A59" s="6"/>
      <c r="B59" s="18" t="s">
        <v>98</v>
      </c>
      <c r="C59" s="19" t="n">
        <v>35</v>
      </c>
      <c r="D59" s="20" t="s">
        <v>96</v>
      </c>
      <c r="E59" s="6"/>
      <c r="F59" s="6"/>
    </row>
    <row r="60" customFormat="false" ht="15" hidden="false" customHeight="false" outlineLevel="0" collapsed="false">
      <c r="A60" s="6"/>
      <c r="B60" s="16" t="s">
        <v>99</v>
      </c>
      <c r="C60" s="17"/>
      <c r="D60" s="17"/>
      <c r="E60" s="17"/>
      <c r="F60" s="17"/>
    </row>
    <row r="61" customFormat="false" ht="15" hidden="false" customHeight="false" outlineLevel="0" collapsed="false">
      <c r="A61" s="6"/>
      <c r="B61" s="18" t="s">
        <v>100</v>
      </c>
      <c r="C61" s="19" t="n">
        <v>3750000</v>
      </c>
      <c r="D61" s="20" t="s">
        <v>33</v>
      </c>
      <c r="E61" s="6"/>
      <c r="F61" s="6"/>
    </row>
    <row r="62" customFormat="false" ht="15" hidden="false" customHeight="false" outlineLevel="0" collapsed="false">
      <c r="A62" s="6"/>
      <c r="B62" s="18" t="s">
        <v>101</v>
      </c>
      <c r="C62" s="21" t="n">
        <v>0.065</v>
      </c>
      <c r="D62" s="20" t="s">
        <v>50</v>
      </c>
      <c r="E62" s="6"/>
      <c r="F62" s="6"/>
    </row>
    <row r="63" customFormat="false" ht="15" hidden="false" customHeight="false" outlineLevel="0" collapsed="false">
      <c r="A63" s="6"/>
      <c r="B63" s="18" t="s">
        <v>102</v>
      </c>
      <c r="C63" s="19" t="n">
        <v>20</v>
      </c>
      <c r="D63" s="20" t="s">
        <v>35</v>
      </c>
      <c r="E63" s="6"/>
      <c r="F63" s="6"/>
    </row>
    <row r="64" customFormat="false" ht="15" hidden="false" customHeight="false" outlineLevel="0" collapsed="false">
      <c r="A64" s="6"/>
      <c r="B64" s="18" t="s">
        <v>103</v>
      </c>
      <c r="C64" s="19" t="n">
        <v>400000</v>
      </c>
      <c r="D64" s="20" t="s">
        <v>33</v>
      </c>
      <c r="E64" s="6"/>
      <c r="F64" s="6"/>
    </row>
    <row r="65" customFormat="false" ht="15" hidden="false" customHeight="false" outlineLevel="0" collapsed="false">
      <c r="A65" s="6"/>
      <c r="B65" s="18" t="s">
        <v>104</v>
      </c>
      <c r="C65" s="21" t="n">
        <v>0.07</v>
      </c>
      <c r="D65" s="20" t="s">
        <v>50</v>
      </c>
      <c r="E65" s="6"/>
      <c r="F65" s="6"/>
    </row>
    <row r="66" customFormat="false" ht="15" hidden="false" customHeight="false" outlineLevel="0" collapsed="false">
      <c r="A66" s="6"/>
      <c r="B66" s="18" t="s">
        <v>105</v>
      </c>
      <c r="C66" s="19" t="n">
        <v>5</v>
      </c>
      <c r="D66" s="20" t="s">
        <v>35</v>
      </c>
      <c r="E66" s="6"/>
      <c r="F66" s="6"/>
    </row>
    <row r="67" customFormat="false" ht="15" hidden="false" customHeight="false" outlineLevel="0" collapsed="false">
      <c r="A67" s="6"/>
      <c r="B67" s="18" t="s">
        <v>106</v>
      </c>
      <c r="C67" s="21" t="n">
        <v>0.08</v>
      </c>
      <c r="D67" s="20" t="s">
        <v>50</v>
      </c>
      <c r="E67" s="6"/>
      <c r="F67" s="6"/>
    </row>
    <row r="68" customFormat="false" ht="15" hidden="false" customHeight="false" outlineLevel="0" collapsed="false">
      <c r="A68" s="6"/>
      <c r="B68" s="18" t="s">
        <v>107</v>
      </c>
      <c r="C68" s="19" t="n">
        <v>250000</v>
      </c>
      <c r="D68" s="20" t="s">
        <v>33</v>
      </c>
      <c r="E68" s="6"/>
      <c r="F68" s="6"/>
    </row>
    <row r="69" customFormat="false" ht="15" hidden="false" customHeight="false" outlineLevel="0" collapsed="false">
      <c r="A69" s="6"/>
      <c r="B69" s="16" t="s">
        <v>108</v>
      </c>
      <c r="C69" s="17"/>
      <c r="D69" s="17"/>
      <c r="E69" s="17"/>
      <c r="F69" s="17"/>
    </row>
    <row r="70" customFormat="false" ht="15" hidden="false" customHeight="false" outlineLevel="0" collapsed="false">
      <c r="A70" s="6"/>
      <c r="B70" s="18" t="s">
        <v>109</v>
      </c>
      <c r="C70" s="21" t="n">
        <v>0.25</v>
      </c>
      <c r="D70" s="20" t="s">
        <v>40</v>
      </c>
      <c r="E70" s="6"/>
      <c r="F70" s="6"/>
    </row>
    <row r="71" customFormat="false" ht="15" hidden="false" customHeight="false" outlineLevel="0" collapsed="false">
      <c r="A71" s="6"/>
      <c r="B71" s="18" t="s">
        <v>110</v>
      </c>
      <c r="C71" s="21" t="n">
        <v>0.085</v>
      </c>
      <c r="D71" s="20" t="s">
        <v>40</v>
      </c>
      <c r="E71" s="6"/>
      <c r="F7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113</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18" t="s">
        <v>119</v>
      </c>
      <c r="C7" s="26" t="n">
        <f aca="false">Cattle_Breeders_Y0</f>
        <v>2000</v>
      </c>
      <c r="D7" s="26" t="n">
        <f aca="false">C14</f>
        <v>1626</v>
      </c>
      <c r="E7" s="26" t="n">
        <f aca="false">D14</f>
        <v>1321.938</v>
      </c>
      <c r="F7" s="26" t="n">
        <f aca="false">E14</f>
        <v>1074.735594</v>
      </c>
      <c r="G7" s="26" t="n">
        <f aca="false">F14</f>
        <v>873.760037922</v>
      </c>
    </row>
    <row r="8" customFormat="false" ht="15" hidden="false" customHeight="false" outlineLevel="0" collapsed="false">
      <c r="A8" s="6"/>
      <c r="B8" s="18" t="s">
        <v>120</v>
      </c>
      <c r="C8" s="26" t="n">
        <f aca="false">C7*Cattle_Wean_Rate</f>
        <v>1700</v>
      </c>
      <c r="D8" s="26" t="n">
        <f aca="false">D7*Cattle_Wean_Rate</f>
        <v>1382.1</v>
      </c>
      <c r="E8" s="26" t="n">
        <f aca="false">E7*Cattle_Wean_Rate</f>
        <v>1123.6473</v>
      </c>
      <c r="F8" s="26" t="n">
        <f aca="false">F7*Cattle_Wean_Rate</f>
        <v>913.5252549</v>
      </c>
      <c r="G8" s="26" t="n">
        <f aca="false">G7*Cattle_Wean_Rate</f>
        <v>742.6960322337</v>
      </c>
    </row>
    <row r="9" customFormat="false" ht="15" hidden="false" customHeight="false" outlineLevel="0" collapsed="false">
      <c r="A9" s="6"/>
      <c r="B9" s="18" t="s">
        <v>121</v>
      </c>
      <c r="C9" s="26" t="n">
        <f aca="false">0</f>
        <v>0</v>
      </c>
      <c r="D9" s="26" t="n">
        <f aca="false">0</f>
        <v>0</v>
      </c>
      <c r="E9" s="26" t="n">
        <f aca="false">0</f>
        <v>0</v>
      </c>
      <c r="F9" s="26" t="n">
        <f aca="false">0</f>
        <v>0</v>
      </c>
      <c r="G9" s="26" t="n">
        <f aca="false">0</f>
        <v>0</v>
      </c>
    </row>
    <row r="10" customFormat="false" ht="15" hidden="false" customHeight="false" outlineLevel="0" collapsed="false">
      <c r="A10" s="6"/>
      <c r="B10" s="18" t="s">
        <v>122</v>
      </c>
      <c r="C10" s="26" t="n">
        <f aca="false">-(C7+C8)*Cattle_Mort_Rate</f>
        <v>-74</v>
      </c>
      <c r="D10" s="26" t="n">
        <f aca="false">-(D7+D8)*Cattle_Mort_Rate</f>
        <v>-60.162</v>
      </c>
      <c r="E10" s="26" t="n">
        <f aca="false">-(E7+E8)*Cattle_Mort_Rate</f>
        <v>-48.911706</v>
      </c>
      <c r="F10" s="26" t="n">
        <f aca="false">-(F7+F8)*Cattle_Mort_Rate</f>
        <v>-39.765216978</v>
      </c>
      <c r="G10" s="26" t="n">
        <f aca="false">-(G7+G8)*Cattle_Mort_Rate</f>
        <v>-32.329121403114</v>
      </c>
    </row>
    <row r="11" customFormat="false" ht="15" hidden="false" customHeight="false" outlineLevel="0" collapsed="false">
      <c r="A11" s="6"/>
      <c r="B11" s="18" t="s">
        <v>123</v>
      </c>
      <c r="C11" s="26" t="n">
        <f aca="false">-C7*Cattle_Cull_Pct</f>
        <v>-300</v>
      </c>
      <c r="D11" s="26" t="n">
        <f aca="false">-D7*Cattle_Cull_Pct</f>
        <v>-243.9</v>
      </c>
      <c r="E11" s="26" t="n">
        <f aca="false">-E7*Cattle_Cull_Pct</f>
        <v>-198.2907</v>
      </c>
      <c r="F11" s="26" t="n">
        <f aca="false">-F7*Cattle_Cull_Pct</f>
        <v>-161.2103391</v>
      </c>
      <c r="G11" s="26" t="n">
        <f aca="false">-G7*Cattle_Cull_Pct</f>
        <v>-131.0640056883</v>
      </c>
    </row>
    <row r="12" customFormat="false" ht="15" hidden="false" customHeight="false" outlineLevel="0" collapsed="false">
      <c r="A12" s="6"/>
      <c r="B12" s="18" t="s">
        <v>124</v>
      </c>
      <c r="C12" s="26" t="n">
        <f aca="false">-MAX(0,C8*(1-Cattle_Retain_Pct))</f>
        <v>-1360</v>
      </c>
      <c r="D12" s="26" t="n">
        <f aca="false">-MAX(0,D8*(1-Cattle_Retain_Pct))</f>
        <v>-1105.68</v>
      </c>
      <c r="E12" s="26" t="n">
        <f aca="false">-MAX(0,E8*(1-Cattle_Retain_Pct))</f>
        <v>-898.91784</v>
      </c>
      <c r="F12" s="26" t="n">
        <f aca="false">-MAX(0,F8*(1-Cattle_Retain_Pct))</f>
        <v>-730.82020392</v>
      </c>
      <c r="G12" s="26" t="n">
        <f aca="false">-MAX(0,G8*(1-Cattle_Retain_Pct))</f>
        <v>-594.15682578696</v>
      </c>
    </row>
    <row r="13" customFormat="false" ht="15" hidden="false" customHeight="false" outlineLevel="0" collapsed="false">
      <c r="A13" s="6"/>
      <c r="B13" s="18" t="s">
        <v>125</v>
      </c>
      <c r="C13" s="26" t="n">
        <f aca="false">-C8*Cattle_Retain_Pct</f>
        <v>-340</v>
      </c>
      <c r="D13" s="26" t="n">
        <f aca="false">-D8*Cattle_Retain_Pct</f>
        <v>-276.42</v>
      </c>
      <c r="E13" s="26" t="n">
        <f aca="false">-E8*Cattle_Retain_Pct</f>
        <v>-224.72946</v>
      </c>
      <c r="F13" s="26" t="n">
        <f aca="false">-F8*Cattle_Retain_Pct</f>
        <v>-182.70505098</v>
      </c>
      <c r="G13" s="26" t="n">
        <f aca="false">-G8*Cattle_Retain_Pct</f>
        <v>-148.53920644674</v>
      </c>
    </row>
    <row r="14" customFormat="false" ht="15" hidden="false" customHeight="false" outlineLevel="0" collapsed="false">
      <c r="A14" s="6"/>
      <c r="B14" s="27" t="s">
        <v>126</v>
      </c>
      <c r="C14" s="28" t="n">
        <f aca="false">C7+C8+C9+C10+C11+C12+C13</f>
        <v>1626</v>
      </c>
      <c r="D14" s="28" t="n">
        <f aca="false">D7+D8+D9+D10+D11+D12+D13</f>
        <v>1321.938</v>
      </c>
      <c r="E14" s="28" t="n">
        <f aca="false">E7+E8+E9+E10+E11+E12+E13</f>
        <v>1074.735594</v>
      </c>
      <c r="F14" s="28" t="n">
        <f aca="false">F7+F8+F9+F10+F11+F12+F13</f>
        <v>873.760037922</v>
      </c>
      <c r="G14" s="28" t="n">
        <f aca="false">G7+G8+G9+G10+G11+G12+G13</f>
        <v>710.366910830586</v>
      </c>
    </row>
    <row r="15" customFormat="false" ht="15" hidden="false" customHeight="false" outlineLevel="0" collapsed="false">
      <c r="A15" s="6"/>
      <c r="B15" s="27" t="s">
        <v>127</v>
      </c>
      <c r="C15" s="28" t="n">
        <f aca="false">(C7+C14)/2</f>
        <v>1813</v>
      </c>
      <c r="D15" s="28" t="n">
        <f aca="false">(D7+D14)/2</f>
        <v>1473.969</v>
      </c>
      <c r="E15" s="28" t="n">
        <f aca="false">(E7+E14)/2</f>
        <v>1198.336797</v>
      </c>
      <c r="F15" s="28" t="n">
        <f aca="false">(F7+F14)/2</f>
        <v>974.247815961</v>
      </c>
      <c r="G15" s="28" t="n">
        <f aca="false">(G7+G14)/2</f>
        <v>792.063474376293</v>
      </c>
    </row>
    <row r="16" customFormat="false" ht="15" hidden="false" customHeight="false" outlineLevel="0" collapsed="false">
      <c r="A16" s="6"/>
      <c r="B16" s="24" t="s">
        <v>128</v>
      </c>
      <c r="C16" s="25"/>
      <c r="D16" s="25"/>
      <c r="E16" s="25"/>
      <c r="F16" s="25"/>
      <c r="G16" s="25"/>
    </row>
    <row r="17" customFormat="false" ht="15" hidden="false" customHeight="false" outlineLevel="0" collapsed="false">
      <c r="A17" s="6"/>
      <c r="B17" s="18" t="s">
        <v>129</v>
      </c>
      <c r="C17" s="26" t="n">
        <f aca="false">Farm_Area*DSE_Per_Ha</f>
        <v>40000</v>
      </c>
      <c r="D17" s="26" t="n">
        <f aca="false">Farm_Area*DSE_Per_Ha</f>
        <v>40000</v>
      </c>
      <c r="E17" s="26" t="n">
        <f aca="false">Farm_Area*DSE_Per_Ha</f>
        <v>40000</v>
      </c>
      <c r="F17" s="26" t="n">
        <f aca="false">Farm_Area*DSE_Per_Ha</f>
        <v>40000</v>
      </c>
      <c r="G17" s="26" t="n">
        <f aca="false">Farm_Area*DSE_Per_Ha</f>
        <v>40000</v>
      </c>
    </row>
    <row r="18" customFormat="false" ht="15" hidden="false" customHeight="false" outlineLevel="0" collapsed="false">
      <c r="A18" s="6"/>
      <c r="B18" s="18" t="s">
        <v>130</v>
      </c>
      <c r="C18" s="26" t="n">
        <f aca="false">C15*6</f>
        <v>10878</v>
      </c>
      <c r="D18" s="26" t="n">
        <f aca="false">D15*6</f>
        <v>8843.814</v>
      </c>
      <c r="E18" s="26" t="n">
        <f aca="false">E15*6</f>
        <v>7190.020782</v>
      </c>
      <c r="F18" s="26" t="n">
        <f aca="false">F15*6</f>
        <v>5845.486895766</v>
      </c>
      <c r="G18" s="26" t="n">
        <f aca="false">G15*6</f>
        <v>4752.38084625776</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6"/>
      <c r="C20" s="6"/>
      <c r="D20" s="6"/>
      <c r="E20" s="6"/>
      <c r="F20" s="6"/>
      <c r="G20" s="6"/>
    </row>
    <row r="21" customFormat="false" ht="15" hidden="false" customHeight="false" outlineLevel="0" collapsed="false">
      <c r="A21" s="6"/>
      <c r="B21" s="6"/>
      <c r="C21" s="6"/>
      <c r="D21" s="6"/>
      <c r="E21" s="6"/>
      <c r="F21" s="6"/>
      <c r="G21" s="6"/>
    </row>
    <row r="22" customFormat="false" ht="15" hidden="false" customHeight="false" outlineLevel="0" collapsed="false">
      <c r="A22" s="6"/>
      <c r="B22" s="6"/>
      <c r="C22" s="6"/>
      <c r="D22" s="6"/>
      <c r="E22" s="6"/>
      <c r="F22" s="6"/>
      <c r="G22" s="6"/>
    </row>
    <row r="23" customFormat="false" ht="15" hidden="false" customHeight="false" outlineLevel="0" collapsed="false">
      <c r="A23" s="6"/>
      <c r="B23" s="6"/>
      <c r="C23" s="6"/>
      <c r="D23" s="6"/>
      <c r="E23" s="6"/>
      <c r="F23" s="6"/>
      <c r="G23" s="6"/>
    </row>
    <row r="24" customFormat="false" ht="15" hidden="false" customHeight="false" outlineLevel="0" collapsed="false">
      <c r="A24" s="6"/>
      <c r="B24" s="6"/>
      <c r="C24" s="6"/>
      <c r="D24" s="6"/>
      <c r="E24" s="6"/>
      <c r="F24" s="6"/>
      <c r="G24" s="6"/>
    </row>
    <row r="25" customFormat="false" ht="15" hidden="false" customHeight="false" outlineLevel="0" collapsed="false">
      <c r="A25" s="6"/>
      <c r="B25" s="6"/>
      <c r="C25" s="6"/>
      <c r="D25" s="6"/>
      <c r="E25" s="6"/>
      <c r="F25" s="6"/>
      <c r="G25" s="6"/>
    </row>
    <row r="26" customFormat="false" ht="15" hidden="false" customHeight="false" outlineLevel="0" collapsed="false">
      <c r="A26" s="6"/>
      <c r="B26" s="6"/>
      <c r="C26" s="6"/>
      <c r="D26" s="6"/>
      <c r="E26" s="6"/>
      <c r="F26" s="6"/>
      <c r="G26" s="6"/>
    </row>
    <row r="27" customFormat="false" ht="15" hidden="false" customHeight="false" outlineLevel="0" collapsed="false">
      <c r="A27" s="6"/>
      <c r="B27" s="24" t="s">
        <v>131</v>
      </c>
      <c r="C27" s="25"/>
      <c r="D27" s="25"/>
      <c r="E27" s="25"/>
      <c r="F27" s="25"/>
      <c r="G27" s="25"/>
    </row>
    <row r="28" customFormat="false" ht="15" hidden="false" customHeight="false" outlineLevel="0" collapsed="false">
      <c r="A28" s="6"/>
      <c r="B28" s="25"/>
      <c r="C28" s="15" t="s">
        <v>114</v>
      </c>
      <c r="D28" s="15" t="s">
        <v>115</v>
      </c>
      <c r="E28" s="15" t="s">
        <v>116</v>
      </c>
      <c r="F28" s="15" t="s">
        <v>117</v>
      </c>
      <c r="G28" s="15" t="s">
        <v>118</v>
      </c>
    </row>
    <row r="29" customFormat="false" ht="15" hidden="false" customHeight="false" outlineLevel="0" collapsed="false">
      <c r="A29" s="6"/>
      <c r="B29" s="18" t="s">
        <v>119</v>
      </c>
      <c r="C29" s="26" t="n">
        <f aca="false">Sheep_Breeders_Y0</f>
        <v>1500</v>
      </c>
      <c r="D29" s="26" t="n">
        <f aca="false">C36</f>
        <v>1135.5</v>
      </c>
      <c r="E29" s="26" t="n">
        <f aca="false">D36</f>
        <v>859.5735</v>
      </c>
      <c r="F29" s="26" t="n">
        <f aca="false">E36</f>
        <v>650.6971395</v>
      </c>
      <c r="G29" s="26" t="n">
        <f aca="false">F36</f>
        <v>492.5777346015</v>
      </c>
    </row>
    <row r="30" customFormat="false" ht="15" hidden="false" customHeight="false" outlineLevel="0" collapsed="false">
      <c r="A30" s="6"/>
      <c r="B30" s="18" t="s">
        <v>132</v>
      </c>
      <c r="C30" s="26" t="n">
        <f aca="false">C29*Sheep_Wean_Rate</f>
        <v>1725</v>
      </c>
      <c r="D30" s="26" t="n">
        <f aca="false">D29*Sheep_Wean_Rate</f>
        <v>1305.825</v>
      </c>
      <c r="E30" s="26" t="n">
        <f aca="false">E29*Sheep_Wean_Rate</f>
        <v>988.509525</v>
      </c>
      <c r="F30" s="26" t="n">
        <f aca="false">F29*Sheep_Wean_Rate</f>
        <v>748.301710425</v>
      </c>
      <c r="G30" s="26" t="n">
        <f aca="false">G29*Sheep_Wean_Rate</f>
        <v>566.464394791725</v>
      </c>
    </row>
    <row r="31" customFormat="false" ht="15" hidden="false" customHeight="false" outlineLevel="0" collapsed="false">
      <c r="A31" s="6"/>
      <c r="B31" s="18" t="s">
        <v>121</v>
      </c>
      <c r="C31" s="26" t="n">
        <f aca="false">0</f>
        <v>0</v>
      </c>
      <c r="D31" s="26" t="n">
        <f aca="false">0</f>
        <v>0</v>
      </c>
      <c r="E31" s="26" t="n">
        <f aca="false">0</f>
        <v>0</v>
      </c>
      <c r="F31" s="26" t="n">
        <f aca="false">0</f>
        <v>0</v>
      </c>
      <c r="G31" s="26" t="n">
        <f aca="false">0</f>
        <v>0</v>
      </c>
    </row>
    <row r="32" customFormat="false" ht="15" hidden="false" customHeight="false" outlineLevel="0" collapsed="false">
      <c r="A32" s="6"/>
      <c r="B32" s="18" t="s">
        <v>122</v>
      </c>
      <c r="C32" s="26" t="n">
        <f aca="false">-(C29+C30)*Sheep_Mort_Rate</f>
        <v>-64.5</v>
      </c>
      <c r="D32" s="26" t="n">
        <f aca="false">-(D29+D30)*Sheep_Mort_Rate</f>
        <v>-48.8265</v>
      </c>
      <c r="E32" s="26" t="n">
        <f aca="false">-(E29+E30)*Sheep_Mort_Rate</f>
        <v>-36.9616605</v>
      </c>
      <c r="F32" s="26" t="n">
        <f aca="false">-(F29+F30)*Sheep_Mort_Rate</f>
        <v>-27.9799769985</v>
      </c>
      <c r="G32" s="26" t="n">
        <f aca="false">-(G29+G30)*Sheep_Mort_Rate</f>
        <v>-21.1808425878645</v>
      </c>
    </row>
    <row r="33" customFormat="false" ht="15" hidden="false" customHeight="false" outlineLevel="0" collapsed="false">
      <c r="A33" s="6"/>
      <c r="B33" s="18" t="s">
        <v>123</v>
      </c>
      <c r="C33" s="26" t="n">
        <f aca="false">-C29*Sheep_Cull_Pct</f>
        <v>-300</v>
      </c>
      <c r="D33" s="26" t="n">
        <f aca="false">-D29*Sheep_Cull_Pct</f>
        <v>-227.1</v>
      </c>
      <c r="E33" s="26" t="n">
        <f aca="false">-E29*Sheep_Cull_Pct</f>
        <v>-171.9147</v>
      </c>
      <c r="F33" s="26" t="n">
        <f aca="false">-F29*Sheep_Cull_Pct</f>
        <v>-130.1394279</v>
      </c>
      <c r="G33" s="26" t="n">
        <f aca="false">-G29*Sheep_Cull_Pct</f>
        <v>-98.5155469203</v>
      </c>
    </row>
    <row r="34" customFormat="false" ht="15" hidden="false" customHeight="false" outlineLevel="0" collapsed="false">
      <c r="A34" s="6"/>
      <c r="B34" s="18" t="s">
        <v>133</v>
      </c>
      <c r="C34" s="26" t="n">
        <f aca="false">-MAX(0,C30*(1-Sheep_Retain_Pct))</f>
        <v>-1380</v>
      </c>
      <c r="D34" s="26" t="n">
        <f aca="false">-MAX(0,D30*(1-Sheep_Retain_Pct))</f>
        <v>-1044.66</v>
      </c>
      <c r="E34" s="26" t="n">
        <f aca="false">-MAX(0,E30*(1-Sheep_Retain_Pct))</f>
        <v>-790.80762</v>
      </c>
      <c r="F34" s="26" t="n">
        <f aca="false">-MAX(0,F30*(1-Sheep_Retain_Pct))</f>
        <v>-598.64136834</v>
      </c>
      <c r="G34" s="26" t="n">
        <f aca="false">-MAX(0,G30*(1-Sheep_Retain_Pct))</f>
        <v>-453.17151583338</v>
      </c>
    </row>
    <row r="35" customFormat="false" ht="15" hidden="false" customHeight="false" outlineLevel="0" collapsed="false">
      <c r="A35" s="6"/>
      <c r="B35" s="18" t="s">
        <v>125</v>
      </c>
      <c r="C35" s="26" t="n">
        <f aca="false">-C30*Sheep_Retain_Pct</f>
        <v>-345</v>
      </c>
      <c r="D35" s="26" t="n">
        <f aca="false">-D30*Sheep_Retain_Pct</f>
        <v>-261.165</v>
      </c>
      <c r="E35" s="26" t="n">
        <f aca="false">-E30*Sheep_Retain_Pct</f>
        <v>-197.701905</v>
      </c>
      <c r="F35" s="26" t="n">
        <f aca="false">-F30*Sheep_Retain_Pct</f>
        <v>-149.660342085</v>
      </c>
      <c r="G35" s="26" t="n">
        <f aca="false">-G30*Sheep_Retain_Pct</f>
        <v>-113.292878958345</v>
      </c>
    </row>
    <row r="36" customFormat="false" ht="15" hidden="false" customHeight="false" outlineLevel="0" collapsed="false">
      <c r="A36" s="6"/>
      <c r="B36" s="27" t="s">
        <v>126</v>
      </c>
      <c r="C36" s="28" t="n">
        <f aca="false">C29+C30+C31+C32+C33+C34+C35</f>
        <v>1135.5</v>
      </c>
      <c r="D36" s="28" t="n">
        <f aca="false">D29+D30+D31+D32+D33+D34+D35</f>
        <v>859.5735</v>
      </c>
      <c r="E36" s="28" t="n">
        <f aca="false">E29+E30+E31+E32+E33+E34+E35</f>
        <v>650.6971395</v>
      </c>
      <c r="F36" s="28" t="n">
        <f aca="false">F29+F30+F31+F32+F33+F34+F35</f>
        <v>492.5777346015</v>
      </c>
      <c r="G36" s="28" t="n">
        <f aca="false">G29+G30+G31+G32+G33+G34+G35</f>
        <v>372.881345093336</v>
      </c>
    </row>
    <row r="37" customFormat="false" ht="15" hidden="false" customHeight="false" outlineLevel="0" collapsed="false">
      <c r="A37" s="6"/>
      <c r="B37" s="27" t="s">
        <v>127</v>
      </c>
      <c r="C37" s="28" t="n">
        <f aca="false">(C29+C36)/2</f>
        <v>1317.75</v>
      </c>
      <c r="D37" s="28" t="n">
        <f aca="false">(D29+D36)/2</f>
        <v>997.53675</v>
      </c>
      <c r="E37" s="28" t="n">
        <f aca="false">(E29+E36)/2</f>
        <v>755.13531975</v>
      </c>
      <c r="F37" s="28" t="n">
        <f aca="false">(F29+F36)/2</f>
        <v>571.63743705075</v>
      </c>
      <c r="G37" s="28" t="n">
        <f aca="false">(G29+G36)/2</f>
        <v>432.729539847418</v>
      </c>
    </row>
    <row r="38" customFormat="false" ht="15" hidden="false" customHeight="false" outlineLevel="0" collapsed="false">
      <c r="A38" s="6"/>
      <c r="B38" s="18" t="s">
        <v>134</v>
      </c>
      <c r="C38" s="26" t="n">
        <f aca="false">C37*1.5</f>
        <v>1976.625</v>
      </c>
      <c r="D38" s="26" t="n">
        <f aca="false">D37*1.5</f>
        <v>1496.305125</v>
      </c>
      <c r="E38" s="26" t="n">
        <f aca="false">E37*1.5</f>
        <v>1132.702979625</v>
      </c>
      <c r="F38" s="26" t="n">
        <f aca="false">F37*1.5</f>
        <v>857.456155576125</v>
      </c>
      <c r="G38" s="26" t="n">
        <f aca="false">G37*1.5</f>
        <v>649.094309771127</v>
      </c>
    </row>
    <row r="39" customFormat="false" ht="15" hidden="false" customHeight="false" outlineLevel="0" collapsed="false">
      <c r="A39" s="6"/>
      <c r="B39" s="18" t="s">
        <v>135</v>
      </c>
      <c r="C39" s="26" t="n">
        <f aca="false">C37</f>
        <v>1317.75</v>
      </c>
      <c r="D39" s="26" t="n">
        <f aca="false">D37</f>
        <v>997.53675</v>
      </c>
      <c r="E39" s="26" t="n">
        <f aca="false">E37</f>
        <v>755.13531975</v>
      </c>
      <c r="F39" s="26" t="n">
        <f aca="false">F37</f>
        <v>571.63743705075</v>
      </c>
      <c r="G39" s="26" t="n">
        <f aca="false">G37</f>
        <v>432.729539847418</v>
      </c>
    </row>
    <row r="40" customFormat="false" ht="15" hidden="false" customHeight="false" outlineLevel="0" collapsed="false">
      <c r="A40" s="6"/>
      <c r="B40" s="18" t="s">
        <v>136</v>
      </c>
      <c r="C40" s="26" t="n">
        <f aca="false">C15+C37</f>
        <v>3130.75</v>
      </c>
      <c r="D40" s="26" t="n">
        <f aca="false">D15+D37</f>
        <v>2471.50575</v>
      </c>
      <c r="E40" s="26" t="n">
        <f aca="false">E15+E37</f>
        <v>1953.47211675</v>
      </c>
      <c r="F40" s="26" t="n">
        <f aca="false">F15+F37</f>
        <v>1545.88525301175</v>
      </c>
      <c r="G40" s="26" t="n">
        <f aca="false">G15+G37</f>
        <v>1224.79301422371</v>
      </c>
    </row>
    <row r="41" customFormat="false" ht="15" hidden="false" customHeight="false" outlineLevel="0" collapsed="false">
      <c r="A41" s="6"/>
      <c r="B41" s="18" t="s">
        <v>137</v>
      </c>
      <c r="C41" s="26" t="n">
        <f aca="false">C18+C38</f>
        <v>12854.625</v>
      </c>
      <c r="D41" s="26" t="n">
        <f aca="false">D18+D38</f>
        <v>10340.119125</v>
      </c>
      <c r="E41" s="26" t="n">
        <f aca="false">E18+E38</f>
        <v>8322.723761625</v>
      </c>
      <c r="F41" s="26" t="n">
        <f aca="false">F18+F38</f>
        <v>6702.94305134212</v>
      </c>
      <c r="G41" s="26" t="n">
        <f aca="false">G18+G38</f>
        <v>5401.47515602888</v>
      </c>
    </row>
    <row r="42" customFormat="false" ht="15" hidden="false" customHeight="false" outlineLevel="0" collapsed="false">
      <c r="A42" s="6"/>
      <c r="B42" s="24" t="s">
        <v>138</v>
      </c>
      <c r="C42" s="25"/>
      <c r="D42" s="25"/>
      <c r="E42" s="25"/>
      <c r="F42" s="25"/>
      <c r="G42" s="2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141</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9" t="s">
        <v>142</v>
      </c>
      <c r="C7" s="30"/>
      <c r="D7" s="30"/>
      <c r="E7" s="30"/>
      <c r="F7" s="30"/>
      <c r="G7" s="30"/>
    </row>
    <row r="8" customFormat="false" ht="15" hidden="false" customHeight="false" outlineLevel="0" collapsed="false">
      <c r="A8" s="6"/>
      <c r="B8" s="18" t="s">
        <v>143</v>
      </c>
      <c r="C8" s="31" t="n">
        <f aca="false">Cattle_Beef_Price</f>
        <v>6.5</v>
      </c>
      <c r="D8" s="31" t="n">
        <f aca="false">C8*(1+Cattle_Price_Growth)</f>
        <v>6.63</v>
      </c>
      <c r="E8" s="31" t="n">
        <f aca="false">D8*(1+Cattle_Price_Growth)</f>
        <v>6.7626</v>
      </c>
      <c r="F8" s="31" t="n">
        <f aca="false">E8*(1+Cattle_Price_Growth)</f>
        <v>6.897852</v>
      </c>
      <c r="G8" s="31" t="n">
        <f aca="false">F8*(1+Cattle_Price_Growth)</f>
        <v>7.03580904</v>
      </c>
    </row>
    <row r="9" customFormat="false" ht="15" hidden="false" customHeight="false" outlineLevel="0" collapsed="false">
      <c r="A9" s="6"/>
      <c r="B9" s="18" t="s">
        <v>144</v>
      </c>
      <c r="C9" s="31" t="n">
        <f aca="false">Lamb_Price</f>
        <v>7.5</v>
      </c>
      <c r="D9" s="31" t="n">
        <f aca="false">C9*(1+Lamb_Price_Growth)</f>
        <v>7.65</v>
      </c>
      <c r="E9" s="31" t="n">
        <f aca="false">D9*(1+Lamb_Price_Growth)</f>
        <v>7.803</v>
      </c>
      <c r="F9" s="31" t="n">
        <f aca="false">E9*(1+Lamb_Price_Growth)</f>
        <v>7.95906</v>
      </c>
      <c r="G9" s="31" t="n">
        <f aca="false">F9*(1+Lamb_Price_Growth)</f>
        <v>8.1182412</v>
      </c>
    </row>
    <row r="10" customFormat="false" ht="15" hidden="false" customHeight="false" outlineLevel="0" collapsed="false">
      <c r="A10" s="6"/>
      <c r="B10" s="18" t="s">
        <v>145</v>
      </c>
      <c r="C10" s="31" t="n">
        <f aca="false">Wool_Price</f>
        <v>12</v>
      </c>
      <c r="D10" s="31" t="n">
        <f aca="false">C10*(1+Wool_Price_Growth)</f>
        <v>12.18</v>
      </c>
      <c r="E10" s="31" t="n">
        <f aca="false">D10*(1+Wool_Price_Growth)</f>
        <v>12.3627</v>
      </c>
      <c r="F10" s="31" t="n">
        <f aca="false">E10*(1+Wool_Price_Growth)</f>
        <v>12.5481405</v>
      </c>
      <c r="G10" s="31" t="n">
        <f aca="false">F10*(1+Wool_Price_Growth)</f>
        <v>12.7363626075</v>
      </c>
    </row>
    <row r="11" customFormat="false" ht="15" hidden="false" customHeight="false" outlineLevel="0" collapsed="false">
      <c r="A11" s="6"/>
      <c r="B11" s="29" t="s">
        <v>146</v>
      </c>
      <c r="C11" s="30"/>
      <c r="D11" s="30"/>
      <c r="E11" s="30"/>
      <c r="F11" s="30"/>
      <c r="G11" s="30"/>
    </row>
    <row r="12" customFormat="false" ht="15" hidden="false" customHeight="false" outlineLevel="0" collapsed="false">
      <c r="A12" s="6"/>
      <c r="B12" s="6"/>
      <c r="C12" s="6"/>
      <c r="D12" s="6"/>
      <c r="E12" s="6"/>
      <c r="F12" s="6"/>
      <c r="G12" s="6"/>
    </row>
    <row r="13" customFormat="false" ht="15" hidden="false" customHeight="false" outlineLevel="0" collapsed="false">
      <c r="A13" s="6"/>
      <c r="B13" s="18" t="s">
        <v>147</v>
      </c>
      <c r="C13" s="26" t="n">
        <f aca="false">ABS(Herd_Dynamics!C12)</f>
        <v>1360</v>
      </c>
      <c r="D13" s="26" t="n">
        <f aca="false">ABS(Herd_Dynamics!D12)</f>
        <v>1105.68</v>
      </c>
      <c r="E13" s="26" t="n">
        <f aca="false">ABS(Herd_Dynamics!E12)</f>
        <v>898.91784</v>
      </c>
      <c r="F13" s="26" t="n">
        <f aca="false">ABS(Herd_Dynamics!F12)</f>
        <v>730.82020392</v>
      </c>
      <c r="G13" s="26" t="n">
        <f aca="false">ABS(Herd_Dynamics!G12)</f>
        <v>594.15682578696</v>
      </c>
    </row>
    <row r="14" customFormat="false" ht="15" hidden="false" customHeight="false" outlineLevel="0" collapsed="false">
      <c r="A14" s="6"/>
      <c r="B14" s="27" t="s">
        <v>148</v>
      </c>
      <c r="C14" s="28" t="n">
        <f aca="false">C13*Cattle_Live_Wt*Cattle_Dress_Pct*C8</f>
        <v>2148120</v>
      </c>
      <c r="D14" s="28" t="n">
        <f aca="false">D13*Cattle_Live_Wt*Cattle_Dress_Pct*D8</f>
        <v>1781349.9912</v>
      </c>
      <c r="E14" s="28" t="n">
        <f aca="false">E13*Cattle_Live_Wt*Cattle_Dress_Pct*E8</f>
        <v>1477202.29370251</v>
      </c>
      <c r="F14" s="28" t="n">
        <f aca="false">F13*Cattle_Live_Wt*Cattle_Dress_Pct*F8</f>
        <v>1224984.77407575</v>
      </c>
      <c r="G14" s="28" t="n">
        <f aca="false">G13*Cattle_Live_Wt*Cattle_Dress_Pct*G8</f>
        <v>1015830.87375005</v>
      </c>
    </row>
    <row r="15" customFormat="false" ht="15" hidden="false" customHeight="false" outlineLevel="0" collapsed="false">
      <c r="A15" s="6"/>
      <c r="B15" s="29" t="s">
        <v>149</v>
      </c>
      <c r="C15" s="30"/>
      <c r="D15" s="30"/>
      <c r="E15" s="30"/>
      <c r="F15" s="30"/>
      <c r="G15" s="30"/>
    </row>
    <row r="16" customFormat="false" ht="15" hidden="false" customHeight="false" outlineLevel="0" collapsed="false">
      <c r="A16" s="6"/>
      <c r="B16" s="18" t="s">
        <v>150</v>
      </c>
      <c r="C16" s="26" t="n">
        <f aca="false">ABS(Herd_Dynamics!C34)</f>
        <v>1380</v>
      </c>
      <c r="D16" s="26" t="n">
        <f aca="false">ABS(Herd_Dynamics!D34)</f>
        <v>1044.66</v>
      </c>
      <c r="E16" s="26" t="n">
        <f aca="false">ABS(Herd_Dynamics!E34)</f>
        <v>790.80762</v>
      </c>
      <c r="F16" s="26" t="n">
        <f aca="false">ABS(Herd_Dynamics!F34)</f>
        <v>598.64136834</v>
      </c>
      <c r="G16" s="26" t="n">
        <f aca="false">ABS(Herd_Dynamics!G34)</f>
        <v>453.17151583338</v>
      </c>
    </row>
    <row r="17" customFormat="false" ht="15" hidden="false" customHeight="false" outlineLevel="0" collapsed="false">
      <c r="A17" s="6"/>
      <c r="B17" s="27" t="s">
        <v>151</v>
      </c>
      <c r="C17" s="28" t="n">
        <f aca="false">C16*Lamb_Carc_Wt*C9</f>
        <v>248400</v>
      </c>
      <c r="D17" s="28" t="n">
        <f aca="false">D16*Lamb_Carc_Wt*D9</f>
        <v>191799.576</v>
      </c>
      <c r="E17" s="28" t="n">
        <f aca="false">E16*Lamb_Carc_Wt*E9</f>
        <v>148096.12461264</v>
      </c>
      <c r="F17" s="28" t="n">
        <f aca="false">F16*Lamb_Carc_Wt*F9</f>
        <v>114350.941658404</v>
      </c>
      <c r="G17" s="28" t="n">
        <f aca="false">G16*Lamb_Carc_Wt*G9</f>
        <v>88294.93609212</v>
      </c>
    </row>
    <row r="18" customFormat="false" ht="15" hidden="false" customHeight="false" outlineLevel="0" collapsed="false">
      <c r="A18" s="6"/>
      <c r="B18" s="29" t="s">
        <v>152</v>
      </c>
      <c r="C18" s="30"/>
      <c r="D18" s="30"/>
      <c r="E18" s="30"/>
      <c r="F18" s="30"/>
      <c r="G18" s="30"/>
    </row>
    <row r="19" customFormat="false" ht="15" hidden="false" customHeight="false" outlineLevel="0" collapsed="false">
      <c r="A19" s="6"/>
      <c r="B19" s="18" t="s">
        <v>153</v>
      </c>
      <c r="C19" s="26" t="n">
        <f aca="false">Herd_Dynamics!C39</f>
        <v>1317.75</v>
      </c>
      <c r="D19" s="26" t="n">
        <f aca="false">Herd_Dynamics!D39</f>
        <v>997.53675</v>
      </c>
      <c r="E19" s="26" t="n">
        <f aca="false">Herd_Dynamics!E39</f>
        <v>755.13531975</v>
      </c>
      <c r="F19" s="26" t="n">
        <f aca="false">Herd_Dynamics!F39</f>
        <v>571.63743705075</v>
      </c>
      <c r="G19" s="26" t="n">
        <f aca="false">Herd_Dynamics!G39</f>
        <v>432.729539847418</v>
      </c>
    </row>
    <row r="20" customFormat="false" ht="15" hidden="false" customHeight="false" outlineLevel="0" collapsed="false">
      <c r="A20" s="6"/>
      <c r="B20" s="27" t="s">
        <v>154</v>
      </c>
      <c r="C20" s="28" t="n">
        <f aca="false">C19*Wool_Fleece_Wt*Wool_Clean_Yield*C10</f>
        <v>49810.95</v>
      </c>
      <c r="D20" s="28" t="n">
        <f aca="false">D19*Wool_Fleece_Wt*Wool_Clean_Yield*D10</f>
        <v>38272.49248725</v>
      </c>
      <c r="E20" s="28" t="n">
        <f aca="false">E19*Wool_Fleece_Wt*Wool_Clean_Yield*E10</f>
        <v>29406.860965041</v>
      </c>
      <c r="F20" s="28" t="n">
        <f aca="false">F19*Wool_Fleece_Wt*Wool_Clean_Yield*F10</f>
        <v>22594.908656794</v>
      </c>
      <c r="G20" s="28" t="n">
        <f aca="false">G19*Wool_Fleece_Wt*Wool_Clean_Yield*G10</f>
        <v>17360.911040991</v>
      </c>
    </row>
    <row r="21" customFormat="false" ht="15" hidden="false" customHeight="false" outlineLevel="0" collapsed="false">
      <c r="A21" s="6"/>
      <c r="B21" s="29" t="s">
        <v>155</v>
      </c>
      <c r="C21" s="30"/>
      <c r="D21" s="30"/>
      <c r="E21" s="30"/>
      <c r="F21" s="30"/>
      <c r="G21" s="30"/>
    </row>
    <row r="22" customFormat="false" ht="15" hidden="false" customHeight="false" outlineLevel="0" collapsed="false">
      <c r="A22" s="6"/>
      <c r="B22" s="18" t="s">
        <v>156</v>
      </c>
      <c r="C22" s="26" t="n">
        <f aca="false">ABS(Herd_Dynamics!C11)</f>
        <v>300</v>
      </c>
      <c r="D22" s="26" t="n">
        <f aca="false">ABS(Herd_Dynamics!D11)</f>
        <v>243.9</v>
      </c>
      <c r="E22" s="26" t="n">
        <f aca="false">ABS(Herd_Dynamics!E11)</f>
        <v>198.2907</v>
      </c>
      <c r="F22" s="26" t="n">
        <f aca="false">ABS(Herd_Dynamics!F11)</f>
        <v>161.2103391</v>
      </c>
      <c r="G22" s="26" t="n">
        <f aca="false">ABS(Herd_Dynamics!G11)</f>
        <v>131.0640056883</v>
      </c>
    </row>
    <row r="23" customFormat="false" ht="15" hidden="false" customHeight="false" outlineLevel="0" collapsed="false">
      <c r="A23" s="6"/>
      <c r="B23" s="18" t="s">
        <v>157</v>
      </c>
      <c r="C23" s="26" t="n">
        <f aca="false">C22*Cattle_Cull_Price</f>
        <v>195000</v>
      </c>
      <c r="D23" s="26" t="n">
        <f aca="false">D22*Cattle_Cull_Price</f>
        <v>158535</v>
      </c>
      <c r="E23" s="26" t="n">
        <f aca="false">E22*Cattle_Cull_Price</f>
        <v>128888.955</v>
      </c>
      <c r="F23" s="26" t="n">
        <f aca="false">F22*Cattle_Cull_Price</f>
        <v>104786.720415</v>
      </c>
      <c r="G23" s="26" t="n">
        <f aca="false">G22*Cattle_Cull_Price</f>
        <v>85191.6036973949</v>
      </c>
    </row>
    <row r="24" customFormat="false" ht="15" hidden="false" customHeight="false" outlineLevel="0" collapsed="false">
      <c r="A24" s="6"/>
      <c r="B24" s="18" t="s">
        <v>158</v>
      </c>
      <c r="C24" s="26" t="n">
        <f aca="false">ABS(Herd_Dynamics!C33)</f>
        <v>300</v>
      </c>
      <c r="D24" s="26" t="n">
        <f aca="false">ABS(Herd_Dynamics!D33)</f>
        <v>227.1</v>
      </c>
      <c r="E24" s="26" t="n">
        <f aca="false">ABS(Herd_Dynamics!E33)</f>
        <v>171.9147</v>
      </c>
      <c r="F24" s="26" t="n">
        <f aca="false">ABS(Herd_Dynamics!F33)</f>
        <v>130.1394279</v>
      </c>
      <c r="G24" s="26" t="n">
        <f aca="false">ABS(Herd_Dynamics!G33)</f>
        <v>98.5155469203</v>
      </c>
    </row>
    <row r="25" customFormat="false" ht="15" hidden="false" customHeight="false" outlineLevel="0" collapsed="false">
      <c r="A25" s="6"/>
      <c r="B25" s="18" t="s">
        <v>159</v>
      </c>
      <c r="C25" s="26" t="n">
        <f aca="false">C24*Sheep_Cull_Price</f>
        <v>24000</v>
      </c>
      <c r="D25" s="26" t="n">
        <f aca="false">D24*Sheep_Cull_Price</f>
        <v>18168</v>
      </c>
      <c r="E25" s="26" t="n">
        <f aca="false">E24*Sheep_Cull_Price</f>
        <v>13753.176</v>
      </c>
      <c r="F25" s="26" t="n">
        <f aca="false">F24*Sheep_Cull_Price</f>
        <v>10411.154232</v>
      </c>
      <c r="G25" s="26" t="n">
        <f aca="false">G24*Sheep_Cull_Price</f>
        <v>7881.243753624</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27" t="s">
        <v>160</v>
      </c>
      <c r="C27" s="32" t="n">
        <f aca="false">C14+C17+C20+C23+C25</f>
        <v>2665330.95</v>
      </c>
      <c r="D27" s="32" t="n">
        <f aca="false">D14+D17+D20+D23+D25</f>
        <v>2188125.05968725</v>
      </c>
      <c r="E27" s="32" t="n">
        <f aca="false">E14+E17+E20+E23+E25</f>
        <v>1797347.41028019</v>
      </c>
      <c r="F27" s="32" t="n">
        <f aca="false">F14+F17+F20+F23+F25</f>
        <v>1477128.49903794</v>
      </c>
      <c r="G27" s="32" t="n">
        <f aca="false">G14+G17+G20+G23+G25</f>
        <v>1214559.56833418</v>
      </c>
    </row>
    <row r="28" customFormat="false" ht="15" hidden="false" customHeight="false" outlineLevel="0" collapsed="false">
      <c r="A28" s="6"/>
      <c r="B28" s="18" t="s">
        <v>161</v>
      </c>
      <c r="C28" s="33" t="n">
        <f aca="false">C14+C17+C23+C25</f>
        <v>2615520</v>
      </c>
      <c r="D28" s="33" t="n">
        <f aca="false">D14+D17+D23+D25</f>
        <v>2149852.5672</v>
      </c>
      <c r="E28" s="33" t="n">
        <f aca="false">E14+E17+E23+E25</f>
        <v>1767940.54931515</v>
      </c>
      <c r="F28" s="33" t="n">
        <f aca="false">F14+F17+F23+F25</f>
        <v>1454533.59038115</v>
      </c>
      <c r="G28" s="33" t="n">
        <f aca="false">G14+G17+G23+G25</f>
        <v>1197198.65729319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162</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9" t="s">
        <v>164</v>
      </c>
      <c r="C7" s="30"/>
      <c r="D7" s="30"/>
      <c r="E7" s="30"/>
      <c r="F7" s="30"/>
      <c r="G7" s="30"/>
    </row>
    <row r="8" customFormat="false" ht="15" hidden="false" customHeight="false" outlineLevel="0" collapsed="false">
      <c r="A8" s="6"/>
      <c r="B8" s="18" t="s">
        <v>165</v>
      </c>
      <c r="C8" s="26" t="n">
        <f aca="false">Herd_Dynamics!C40*Feed_Daily_Kg*365*Feed_Prop*Feed_Price/1000</f>
        <v>299964.984375</v>
      </c>
      <c r="D8" s="26" t="n">
        <f aca="false">Herd_Dynamics!D40*Feed_Daily_Kg*365*Feed_Prop*Feed_Price/1000</f>
        <v>236801.144671875</v>
      </c>
      <c r="E8" s="26" t="n">
        <f aca="false">Herd_Dynamics!E40*Feed_Daily_Kg*365*Feed_Prop*Feed_Price/1000</f>
        <v>187167.047186109</v>
      </c>
      <c r="F8" s="26" t="n">
        <f aca="false">Herd_Dynamics!F40*Feed_Daily_Kg*365*Feed_Prop*Feed_Price/1000</f>
        <v>148115.130804188</v>
      </c>
      <c r="G8" s="26" t="n">
        <f aca="false">Herd_Dynamics!G40*Feed_Daily_Kg*365*Feed_Prop*Feed_Price/1000</f>
        <v>117350.480675309</v>
      </c>
    </row>
    <row r="9" customFormat="false" ht="15" hidden="false" customHeight="false" outlineLevel="0" collapsed="false">
      <c r="A9" s="6"/>
      <c r="B9" s="18" t="s">
        <v>166</v>
      </c>
      <c r="C9" s="26" t="n">
        <f aca="false">Herd_Dynamics!C40*Vet_Cost_Hd</f>
        <v>46961.25</v>
      </c>
      <c r="D9" s="26" t="n">
        <f aca="false">Herd_Dynamics!D40*Vet_Cost_Hd</f>
        <v>37072.58625</v>
      </c>
      <c r="E9" s="26" t="n">
        <f aca="false">Herd_Dynamics!E40*Vet_Cost_Hd</f>
        <v>29302.08175125</v>
      </c>
      <c r="F9" s="26" t="n">
        <f aca="false">Herd_Dynamics!F40*Vet_Cost_Hd</f>
        <v>23188.2787951762</v>
      </c>
      <c r="G9" s="26" t="n">
        <f aca="false">Herd_Dynamics!G40*Vet_Cost_Hd</f>
        <v>18371.8952133557</v>
      </c>
    </row>
    <row r="10" customFormat="false" ht="15" hidden="false" customHeight="false" outlineLevel="0" collapsed="false">
      <c r="A10" s="6"/>
      <c r="B10" s="18" t="s">
        <v>167</v>
      </c>
      <c r="C10" s="26" t="n">
        <f aca="false">Revenue!C19*Shear_Cost_Hd</f>
        <v>32943.75</v>
      </c>
      <c r="D10" s="26" t="n">
        <f aca="false">Revenue!D19*Shear_Cost_Hd</f>
        <v>24938.41875</v>
      </c>
      <c r="E10" s="26" t="n">
        <f aca="false">Revenue!E19*Shear_Cost_Hd</f>
        <v>18878.38299375</v>
      </c>
      <c r="F10" s="26" t="n">
        <f aca="false">Revenue!F19*Shear_Cost_Hd</f>
        <v>14290.9359262687</v>
      </c>
      <c r="G10" s="26" t="n">
        <f aca="false">Revenue!G19*Shear_Cost_Hd</f>
        <v>10818.2384961854</v>
      </c>
    </row>
    <row r="11" customFormat="false" ht="15" hidden="false" customHeight="false" outlineLevel="0" collapsed="false">
      <c r="A11" s="6"/>
      <c r="B11" s="18" t="s">
        <v>168</v>
      </c>
      <c r="C11" s="26" t="n">
        <f aca="false">Revenue!C28*Transport_Pct</f>
        <v>65388</v>
      </c>
      <c r="D11" s="26" t="n">
        <f aca="false">Revenue!D28*Transport_Pct</f>
        <v>53746.31418</v>
      </c>
      <c r="E11" s="26" t="n">
        <f aca="false">Revenue!E28*Transport_Pct</f>
        <v>44198.5137328788</v>
      </c>
      <c r="F11" s="26" t="n">
        <f aca="false">Revenue!F28*Transport_Pct</f>
        <v>36363.3397595287</v>
      </c>
      <c r="G11" s="26" t="n">
        <f aca="false">Revenue!G28*Transport_Pct</f>
        <v>29929.9664323298</v>
      </c>
    </row>
    <row r="12" customFormat="false" ht="15" hidden="false" customHeight="false" outlineLevel="0" collapsed="false">
      <c r="A12" s="6"/>
      <c r="B12" s="18" t="s">
        <v>169</v>
      </c>
      <c r="C12" s="26" t="n">
        <f aca="false">Revenue!C28*Levy_Pct</f>
        <v>52310.4</v>
      </c>
      <c r="D12" s="26" t="n">
        <f aca="false">Revenue!D28*Levy_Pct</f>
        <v>42997.051344</v>
      </c>
      <c r="E12" s="26" t="n">
        <f aca="false">Revenue!E28*Levy_Pct</f>
        <v>35358.8109863031</v>
      </c>
      <c r="F12" s="26" t="n">
        <f aca="false">Revenue!F28*Levy_Pct</f>
        <v>29090.671807623</v>
      </c>
      <c r="G12" s="26" t="n">
        <f aca="false">Revenue!G28*Levy_Pct</f>
        <v>23943.9731458638</v>
      </c>
    </row>
    <row r="13" customFormat="false" ht="15" hidden="false" customHeight="false" outlineLevel="0" collapsed="false">
      <c r="A13" s="6"/>
      <c r="B13" s="27" t="s">
        <v>170</v>
      </c>
      <c r="C13" s="32" t="n">
        <f aca="false">C8+C9+C10+C11+C12</f>
        <v>497568.384375</v>
      </c>
      <c r="D13" s="32" t="n">
        <f aca="false">D8+D9+D10+D11+D12</f>
        <v>395555.515195875</v>
      </c>
      <c r="E13" s="32" t="n">
        <f aca="false">E8+E9+E10+E11+E12</f>
        <v>314904.836650291</v>
      </c>
      <c r="F13" s="32" t="n">
        <f aca="false">F8+F9+F10+F11+F12</f>
        <v>251048.357092785</v>
      </c>
      <c r="G13" s="32" t="n">
        <f aca="false">G8+G9+G10+G11+G12</f>
        <v>200414.553963044</v>
      </c>
    </row>
    <row r="14" customFormat="false" ht="15" hidden="false" customHeight="false" outlineLevel="0" collapsed="false">
      <c r="A14" s="6"/>
      <c r="B14" s="27" t="s">
        <v>171</v>
      </c>
      <c r="C14" s="28" t="n">
        <f aca="false">Revenue!C27-C13</f>
        <v>2167762.565625</v>
      </c>
      <c r="D14" s="28" t="n">
        <f aca="false">Revenue!D27-D13</f>
        <v>1792569.54449137</v>
      </c>
      <c r="E14" s="28" t="n">
        <f aca="false">Revenue!E27-E13</f>
        <v>1482442.5736299</v>
      </c>
      <c r="F14" s="28" t="n">
        <f aca="false">Revenue!F27-F13</f>
        <v>1226080.14194516</v>
      </c>
      <c r="G14" s="28" t="n">
        <f aca="false">Revenue!G27-G13</f>
        <v>1014145.01437114</v>
      </c>
    </row>
    <row r="15" customFormat="false" ht="15" hidden="false" customHeight="false" outlineLevel="0" collapsed="false">
      <c r="A15" s="6"/>
      <c r="B15" s="18" t="s">
        <v>172</v>
      </c>
      <c r="C15" s="34" t="n">
        <f aca="false">C14/Revenue!C27</f>
        <v>0.813318348186742</v>
      </c>
      <c r="D15" s="34" t="n">
        <f aca="false">D14/Revenue!D27</f>
        <v>0.819226276192636</v>
      </c>
      <c r="E15" s="34" t="n">
        <f aca="false">E14/Revenue!E27</f>
        <v>0.824794675281392</v>
      </c>
      <c r="F15" s="34" t="n">
        <f aca="false">F14/Revenue!F27</f>
        <v>0.830042980515038</v>
      </c>
      <c r="G15" s="34" t="n">
        <f aca="false">G14/Revenue!G27</f>
        <v>0.834989934468245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9" t="s">
        <v>173</v>
      </c>
      <c r="C17" s="30"/>
      <c r="D17" s="30"/>
      <c r="E17" s="30"/>
      <c r="F17" s="30"/>
      <c r="G17" s="30"/>
    </row>
    <row r="18" customFormat="false" ht="15" hidden="false" customHeight="false" outlineLevel="0" collapsed="false">
      <c r="A18" s="6"/>
      <c r="B18" s="18" t="s">
        <v>174</v>
      </c>
      <c r="C18" s="26" t="n">
        <f aca="false">Labour_FTE*Salary_FTE</f>
        <v>225000</v>
      </c>
      <c r="D18" s="26" t="n">
        <f aca="false">Labour_FTE*Salary_FTE</f>
        <v>225000</v>
      </c>
      <c r="E18" s="26" t="n">
        <f aca="false">Labour_FTE*Salary_FTE</f>
        <v>225000</v>
      </c>
      <c r="F18" s="26" t="n">
        <f aca="false">Labour_FTE*Salary_FTE</f>
        <v>225000</v>
      </c>
      <c r="G18" s="26" t="n">
        <f aca="false">Labour_FTE*Salary_FTE</f>
        <v>225000</v>
      </c>
    </row>
    <row r="19" customFormat="false" ht="15" hidden="false" customHeight="false" outlineLevel="0" collapsed="false">
      <c r="A19" s="6"/>
      <c r="B19" s="18" t="s">
        <v>175</v>
      </c>
      <c r="C19" s="26" t="n">
        <f aca="false">Revenue!C27*Fuel_Pct</f>
        <v>79959.9285</v>
      </c>
      <c r="D19" s="26" t="n">
        <f aca="false">Revenue!D27*Fuel_Pct</f>
        <v>65643.7517906175</v>
      </c>
      <c r="E19" s="26" t="n">
        <f aca="false">Revenue!E27*Fuel_Pct</f>
        <v>53920.4223084058</v>
      </c>
      <c r="F19" s="26" t="n">
        <f aca="false">Revenue!F27*Fuel_Pct</f>
        <v>44313.8549711383</v>
      </c>
      <c r="G19" s="26" t="n">
        <f aca="false">Revenue!G27*Fuel_Pct</f>
        <v>36436.7870500255</v>
      </c>
    </row>
    <row r="20" customFormat="false" ht="15" hidden="false" customHeight="false" outlineLevel="0" collapsed="false">
      <c r="A20" s="6"/>
      <c r="B20" s="18" t="s">
        <v>176</v>
      </c>
      <c r="C20" s="26" t="n">
        <f aca="false">Capex_Dep!C8*Repairs_Pct</f>
        <v>70000</v>
      </c>
      <c r="D20" s="26" t="n">
        <f aca="false">Capex_Dep!D8*Repairs_Pct</f>
        <v>70433.3333333333</v>
      </c>
      <c r="E20" s="26" t="n">
        <f aca="false">Capex_Dep!E8*Repairs_Pct</f>
        <v>68850.7777777778</v>
      </c>
      <c r="F20" s="26" t="n">
        <f aca="false">Capex_Dep!F8*Repairs_Pct</f>
        <v>67326.2492592593</v>
      </c>
      <c r="G20" s="26" t="n">
        <f aca="false">Capex_Dep!G8*Repairs_Pct</f>
        <v>65857.6201197531</v>
      </c>
    </row>
    <row r="21" customFormat="false" ht="15" hidden="false" customHeight="false" outlineLevel="0" collapsed="false">
      <c r="A21" s="6"/>
      <c r="B21" s="18" t="s">
        <v>177</v>
      </c>
      <c r="C21" s="26" t="n">
        <f aca="false">Farm_Area*Rates_Ha</f>
        <v>150000</v>
      </c>
      <c r="D21" s="26" t="n">
        <f aca="false">Farm_Area*Rates_Ha</f>
        <v>150000</v>
      </c>
      <c r="E21" s="26" t="n">
        <f aca="false">Farm_Area*Rates_Ha</f>
        <v>150000</v>
      </c>
      <c r="F21" s="26" t="n">
        <f aca="false">Farm_Area*Rates_Ha</f>
        <v>150000</v>
      </c>
      <c r="G21" s="26" t="n">
        <f aca="false">Farm_Area*Rates_Ha</f>
        <v>150000</v>
      </c>
    </row>
    <row r="22" customFormat="false" ht="15" hidden="false" customHeight="false" outlineLevel="0" collapsed="false">
      <c r="A22" s="6"/>
      <c r="B22" s="18" t="s">
        <v>178</v>
      </c>
      <c r="C22" s="26" t="n">
        <f aca="false">Revenue!C27*Insure_Pct</f>
        <v>93286.58325</v>
      </c>
      <c r="D22" s="26" t="n">
        <f aca="false">Revenue!D27*Insure_Pct</f>
        <v>76584.3770890537</v>
      </c>
      <c r="E22" s="26" t="n">
        <f aca="false">Revenue!E27*Insure_Pct</f>
        <v>62907.1593598068</v>
      </c>
      <c r="F22" s="26" t="n">
        <f aca="false">Revenue!F27*Insure_Pct</f>
        <v>51699.497466328</v>
      </c>
      <c r="G22" s="26" t="n">
        <f aca="false">Revenue!G27*Insure_Pct</f>
        <v>42509.5848916964</v>
      </c>
    </row>
    <row r="23" customFormat="false" ht="15" hidden="false" customHeight="false" outlineLevel="0" collapsed="false">
      <c r="A23" s="6"/>
      <c r="B23" s="18" t="s">
        <v>179</v>
      </c>
      <c r="C23" s="26" t="n">
        <f aca="false">Revenue!C27*Admin_Pct</f>
        <v>39979.96425</v>
      </c>
      <c r="D23" s="26" t="n">
        <f aca="false">Revenue!D27*Admin_Pct</f>
        <v>32821.8758953087</v>
      </c>
      <c r="E23" s="26" t="n">
        <f aca="false">Revenue!E27*Admin_Pct</f>
        <v>26960.2111542029</v>
      </c>
      <c r="F23" s="26" t="n">
        <f aca="false">Revenue!F27*Admin_Pct</f>
        <v>22156.9274855691</v>
      </c>
      <c r="G23" s="26" t="n">
        <f aca="false">Revenue!G27*Admin_Pct</f>
        <v>18218.3935250127</v>
      </c>
    </row>
    <row r="24" customFormat="false" ht="15" hidden="false" customHeight="false" outlineLevel="0" collapsed="false">
      <c r="A24" s="6"/>
      <c r="B24" s="27" t="s">
        <v>180</v>
      </c>
      <c r="C24" s="32" t="n">
        <f aca="false">C18+C19+C20+C21+C22+C23</f>
        <v>658226.476</v>
      </c>
      <c r="D24" s="32" t="n">
        <f aca="false">D18+D19+D20+D21+D22+D23</f>
        <v>620483.338108313</v>
      </c>
      <c r="E24" s="32" t="n">
        <f aca="false">E18+E19+E20+E21+E22+E23</f>
        <v>587638.570600193</v>
      </c>
      <c r="F24" s="32" t="n">
        <f aca="false">F18+F19+F20+F21+F22+F23</f>
        <v>560496.529182295</v>
      </c>
      <c r="G24" s="32" t="n">
        <f aca="false">G18+G19+G20+G21+G22+G23</f>
        <v>538022.385586488</v>
      </c>
    </row>
    <row r="25" customFormat="false" ht="15" hidden="false" customHeight="false" outlineLevel="0" collapsed="false">
      <c r="A25" s="6"/>
      <c r="B25" s="27" t="s">
        <v>181</v>
      </c>
      <c r="C25" s="28" t="n">
        <f aca="false">C14-C24</f>
        <v>1509536.089625</v>
      </c>
      <c r="D25" s="28" t="n">
        <f aca="false">D14-D24</f>
        <v>1172086.20638306</v>
      </c>
      <c r="E25" s="28" t="n">
        <f aca="false">E14-E24</f>
        <v>894804.003029709</v>
      </c>
      <c r="F25" s="28" t="n">
        <f aca="false">F14-F24</f>
        <v>665583.612762863</v>
      </c>
      <c r="G25" s="28" t="n">
        <f aca="false">G14-G24</f>
        <v>476122.62878465</v>
      </c>
    </row>
    <row r="26" customFormat="false" ht="15" hidden="false" customHeight="false" outlineLevel="0" collapsed="false">
      <c r="A26" s="6"/>
      <c r="B26" s="18" t="s">
        <v>182</v>
      </c>
      <c r="C26" s="34" t="n">
        <f aca="false">C25/Revenue!C27</f>
        <v>0.566359719653201</v>
      </c>
      <c r="D26" s="34" t="n">
        <f aca="false">D25/Revenue!D27</f>
        <v>0.535657777508653</v>
      </c>
      <c r="E26" s="34" t="n">
        <f aca="false">E25/Revenue!E27</f>
        <v>0.497846992691422</v>
      </c>
      <c r="F26" s="34" t="n">
        <f aca="false">F25/Revenue!F27</f>
        <v>0.45059289912581</v>
      </c>
      <c r="G26" s="34" t="n">
        <f aca="false">G25/Revenue!G27</f>
        <v>0.392012579043506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BFBF"/>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184</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6"/>
      <c r="C7" s="6"/>
      <c r="D7" s="6"/>
      <c r="E7" s="6"/>
      <c r="F7" s="6"/>
      <c r="G7" s="6"/>
    </row>
    <row r="8" customFormat="false" ht="15" hidden="false" customHeight="false" outlineLevel="0" collapsed="false">
      <c r="A8" s="6"/>
      <c r="B8" s="18" t="s">
        <v>185</v>
      </c>
      <c r="C8" s="26" t="n">
        <f aca="false">PPE_Opening</f>
        <v>3500000</v>
      </c>
      <c r="D8" s="26" t="n">
        <f aca="false">C13</f>
        <v>3521666.66666667</v>
      </c>
      <c r="E8" s="26" t="n">
        <f aca="false">D13</f>
        <v>3442538.88888889</v>
      </c>
      <c r="F8" s="26" t="n">
        <f aca="false">E13</f>
        <v>3366312.46296296</v>
      </c>
      <c r="G8" s="26" t="n">
        <f aca="false">F13</f>
        <v>3292881.00598765</v>
      </c>
    </row>
    <row r="9" customFormat="false" ht="15" hidden="false" customHeight="false" outlineLevel="0" collapsed="false">
      <c r="A9" s="6"/>
      <c r="B9" s="18" t="s">
        <v>186</v>
      </c>
      <c r="C9" s="26" t="n">
        <f aca="false">C8*Maint_Capex_Pct</f>
        <v>105000</v>
      </c>
      <c r="D9" s="26" t="n">
        <f aca="false">D8*Maint_Capex_Pct</f>
        <v>105650</v>
      </c>
      <c r="E9" s="26" t="n">
        <f aca="false">E8*Maint_Capex_Pct</f>
        <v>103276.166666667</v>
      </c>
      <c r="F9" s="26" t="n">
        <f aca="false">F8*Maint_Capex_Pct</f>
        <v>100989.373888889</v>
      </c>
      <c r="G9" s="26" t="n">
        <f aca="false">G8*Maint_Capex_Pct</f>
        <v>98786.4301796296</v>
      </c>
    </row>
    <row r="10" customFormat="false" ht="15" hidden="false" customHeight="false" outlineLevel="0" collapsed="false">
      <c r="A10" s="6"/>
      <c r="B10" s="18" t="s">
        <v>187</v>
      </c>
      <c r="C10" s="26" t="n">
        <f aca="false">Growth_Capex_Y1</f>
        <v>150000</v>
      </c>
      <c r="D10" s="26" t="n">
        <f aca="false">Growth_Capex_Yn</f>
        <v>50000</v>
      </c>
      <c r="E10" s="26" t="n">
        <f aca="false">Growth_Capex_Yn</f>
        <v>50000</v>
      </c>
      <c r="F10" s="26" t="n">
        <f aca="false">Growth_Capex_Yn</f>
        <v>50000</v>
      </c>
      <c r="G10" s="26" t="n">
        <f aca="false">Growth_Capex_Yn</f>
        <v>50000</v>
      </c>
    </row>
    <row r="11" customFormat="false" ht="15" hidden="false" customHeight="false" outlineLevel="0" collapsed="false">
      <c r="A11" s="6"/>
      <c r="B11" s="27" t="s">
        <v>188</v>
      </c>
      <c r="C11" s="28" t="n">
        <f aca="false">C9+C10</f>
        <v>255000</v>
      </c>
      <c r="D11" s="28" t="n">
        <f aca="false">D9+D10</f>
        <v>155650</v>
      </c>
      <c r="E11" s="28" t="n">
        <f aca="false">E9+E10</f>
        <v>153276.166666667</v>
      </c>
      <c r="F11" s="28" t="n">
        <f aca="false">F9+F10</f>
        <v>150989.373888889</v>
      </c>
      <c r="G11" s="28" t="n">
        <f aca="false">G9+G10</f>
        <v>148786.43017963</v>
      </c>
    </row>
    <row r="12" customFormat="false" ht="15" hidden="false" customHeight="false" outlineLevel="0" collapsed="false">
      <c r="A12" s="6"/>
      <c r="B12" s="18" t="s">
        <v>189</v>
      </c>
      <c r="C12" s="26" t="n">
        <f aca="false">C8/PPE_Life</f>
        <v>233333.333333333</v>
      </c>
      <c r="D12" s="26" t="n">
        <f aca="false">D8/PPE_Life</f>
        <v>234777.777777778</v>
      </c>
      <c r="E12" s="26" t="n">
        <f aca="false">E8/PPE_Life</f>
        <v>229502.592592593</v>
      </c>
      <c r="F12" s="26" t="n">
        <f aca="false">F8/PPE_Life</f>
        <v>224420.830864198</v>
      </c>
      <c r="G12" s="26" t="n">
        <f aca="false">G8/PPE_Life</f>
        <v>219525.400399177</v>
      </c>
    </row>
    <row r="13" customFormat="false" ht="15" hidden="false" customHeight="false" outlineLevel="0" collapsed="false">
      <c r="A13" s="6"/>
      <c r="B13" s="27" t="s">
        <v>190</v>
      </c>
      <c r="C13" s="28" t="n">
        <f aca="false">C8+C11-C12</f>
        <v>3521666.66666667</v>
      </c>
      <c r="D13" s="28" t="n">
        <f aca="false">D8+D11-D12</f>
        <v>3442538.88888889</v>
      </c>
      <c r="E13" s="28" t="n">
        <f aca="false">E8+E11-E12</f>
        <v>3366312.46296296</v>
      </c>
      <c r="F13" s="28" t="n">
        <f aca="false">F8+F11-F12</f>
        <v>3292881.00598765</v>
      </c>
      <c r="G13" s="28" t="n">
        <f aca="false">G8+G11-G12</f>
        <v>3222142.03576811</v>
      </c>
    </row>
    <row r="14" customFormat="false" ht="15" hidden="false" customHeight="false" outlineLevel="0" collapsed="false">
      <c r="A14" s="6"/>
      <c r="B14" s="18" t="s">
        <v>191</v>
      </c>
      <c r="C14" s="33" t="n">
        <f aca="false">Farm_Area*Land_Value_Ha</f>
        <v>7500000</v>
      </c>
      <c r="D14" s="33" t="n">
        <f aca="false">Farm_Area*Land_Value_Ha</f>
        <v>7500000</v>
      </c>
      <c r="E14" s="33" t="n">
        <f aca="false">Farm_Area*Land_Value_Ha</f>
        <v>7500000</v>
      </c>
      <c r="F14" s="33" t="n">
        <f aca="false">Farm_Area*Land_Value_Ha</f>
        <v>7500000</v>
      </c>
      <c r="G14" s="33" t="n">
        <f aca="false">Farm_Area*Land_Value_Ha</f>
        <v>7500000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BFBF"/>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192</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9" t="s">
        <v>194</v>
      </c>
      <c r="C7" s="30"/>
      <c r="D7" s="30"/>
      <c r="E7" s="30"/>
      <c r="F7" s="30"/>
      <c r="G7" s="30"/>
    </row>
    <row r="8" customFormat="false" ht="15" hidden="false" customHeight="false" outlineLevel="0" collapsed="false">
      <c r="A8" s="6"/>
      <c r="B8" s="18" t="s">
        <v>195</v>
      </c>
      <c r="C8" s="26" t="n">
        <f aca="false">Revenue!C27/365*DSO</f>
        <v>73022.7657534247</v>
      </c>
      <c r="D8" s="26" t="n">
        <f aca="false">Revenue!D27/365*DSO</f>
        <v>59948.6317722534</v>
      </c>
      <c r="E8" s="26" t="n">
        <f aca="false">Revenue!E27/365*DSO</f>
        <v>49242.3948021971</v>
      </c>
      <c r="F8" s="26" t="n">
        <f aca="false">Revenue!F27/365*DSO</f>
        <v>40469.273946245</v>
      </c>
      <c r="G8" s="26" t="n">
        <f aca="false">Revenue!G27/365*DSO</f>
        <v>33275.6046118954</v>
      </c>
    </row>
    <row r="9" customFormat="false" ht="15" hidden="false" customHeight="false" outlineLevel="0" collapsed="false">
      <c r="A9" s="6"/>
      <c r="B9" s="29" t="s">
        <v>196</v>
      </c>
      <c r="C9" s="30"/>
      <c r="D9" s="30"/>
      <c r="E9" s="30"/>
      <c r="F9" s="30"/>
      <c r="G9" s="30"/>
    </row>
    <row r="10" customFormat="false" ht="15" hidden="false" customHeight="false" outlineLevel="0" collapsed="false">
      <c r="A10" s="6"/>
      <c r="B10" s="18" t="s">
        <v>197</v>
      </c>
      <c r="C10" s="26" t="n">
        <f aca="false">Operating_Costs!C8/365*DIO</f>
        <v>24654.65625</v>
      </c>
      <c r="D10" s="26" t="n">
        <f aca="false">Operating_Costs!D8/365*DIO</f>
        <v>19463.10778125</v>
      </c>
      <c r="E10" s="26" t="n">
        <f aca="false">Operating_Costs!E8/365*DIO</f>
        <v>15383.5929194062</v>
      </c>
      <c r="F10" s="26" t="n">
        <f aca="false">Operating_Costs!F8/365*DIO</f>
        <v>12173.8463674675</v>
      </c>
      <c r="G10" s="26" t="n">
        <f aca="false">Operating_Costs!G8/365*DIO</f>
        <v>9645.24498701172</v>
      </c>
    </row>
    <row r="11" customFormat="false" ht="15" hidden="false" customHeight="false" outlineLevel="0" collapsed="false">
      <c r="A11" s="6"/>
      <c r="B11" s="29" t="s">
        <v>198</v>
      </c>
      <c r="C11" s="30"/>
      <c r="D11" s="30"/>
      <c r="E11" s="30"/>
      <c r="F11" s="30"/>
      <c r="G11" s="30"/>
    </row>
    <row r="12" customFormat="false" ht="15" hidden="false" customHeight="false" outlineLevel="0" collapsed="false">
      <c r="A12" s="6"/>
      <c r="B12" s="18" t="s">
        <v>199</v>
      </c>
      <c r="C12" s="26" t="n">
        <f aca="false">(Operating_Costs!C13+Operating_Costs!C24)/365*DPO</f>
        <v>110829.644145548</v>
      </c>
      <c r="D12" s="26" t="n">
        <f aca="false">(Operating_Costs!D13+Operating_Costs!D24)/365*DPO</f>
        <v>97428.3831935523</v>
      </c>
      <c r="E12" s="26" t="n">
        <f aca="false">(Operating_Costs!E13+Operating_Costs!E24)/365*DPO</f>
        <v>86545.2582294985</v>
      </c>
      <c r="F12" s="26" t="n">
        <f aca="false">(Operating_Costs!F13+Operating_Costs!F24)/365*DPO</f>
        <v>77819.3726565145</v>
      </c>
      <c r="G12" s="26" t="n">
        <f aca="false">(Operating_Costs!G13+Operating_Costs!G24)/365*DPO</f>
        <v>70809.02160064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7" t="s">
        <v>200</v>
      </c>
      <c r="C14" s="28" t="n">
        <f aca="false">C8+C10-C12</f>
        <v>-13152.2221421233</v>
      </c>
      <c r="D14" s="28" t="n">
        <f aca="false">D8+D10-D12</f>
        <v>-18016.6436400489</v>
      </c>
      <c r="E14" s="28" t="n">
        <f aca="false">E8+E10-E12</f>
        <v>-21919.2705078952</v>
      </c>
      <c r="F14" s="28" t="n">
        <f aca="false">F8+F10-F12</f>
        <v>-25176.252342802</v>
      </c>
      <c r="G14" s="28" t="n">
        <f aca="false">G8+G10-G12</f>
        <v>-27888.1720017329</v>
      </c>
    </row>
    <row r="15" customFormat="false" ht="15" hidden="false" customHeight="false" outlineLevel="0" collapsed="false">
      <c r="A15" s="6"/>
      <c r="B15" s="29" t="s">
        <v>201</v>
      </c>
      <c r="C15" s="30"/>
      <c r="D15" s="30"/>
      <c r="E15" s="30"/>
      <c r="F15" s="30"/>
      <c r="G15" s="30"/>
    </row>
    <row r="16" customFormat="false" ht="15" hidden="false" customHeight="false" outlineLevel="0" collapsed="false">
      <c r="A16" s="6"/>
      <c r="B16" s="18" t="s">
        <v>202</v>
      </c>
      <c r="C16" s="33" t="n">
        <f aca="false">0</f>
        <v>0</v>
      </c>
      <c r="D16" s="33" t="n">
        <f aca="false">C14</f>
        <v>-13152.2221421233</v>
      </c>
      <c r="E16" s="33" t="n">
        <f aca="false">D14</f>
        <v>-18016.6436400489</v>
      </c>
      <c r="F16" s="33" t="n">
        <f aca="false">E14</f>
        <v>-21919.2705078952</v>
      </c>
      <c r="G16" s="33" t="n">
        <f aca="false">F14</f>
        <v>-25176.252342802</v>
      </c>
    </row>
    <row r="17" customFormat="false" ht="15" hidden="false" customHeight="false" outlineLevel="0" collapsed="false">
      <c r="A17" s="6"/>
      <c r="B17" s="27" t="s">
        <v>203</v>
      </c>
      <c r="C17" s="28" t="n">
        <f aca="false">C14-C16</f>
        <v>-13152.2221421233</v>
      </c>
      <c r="D17" s="28" t="n">
        <f aca="false">D14-D16</f>
        <v>-4864.42149792558</v>
      </c>
      <c r="E17" s="28" t="n">
        <f aca="false">E14-E16</f>
        <v>-3902.62686784629</v>
      </c>
      <c r="F17" s="28" t="n">
        <f aca="false">F14-F16</f>
        <v>-3256.98183490679</v>
      </c>
      <c r="G17" s="28" t="n">
        <f aca="false">G14-G16</f>
        <v>-2711.91965893094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DC3E6"/>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204</v>
      </c>
      <c r="C5" s="25"/>
      <c r="D5" s="25"/>
      <c r="E5" s="25"/>
      <c r="F5" s="25"/>
      <c r="G5" s="25"/>
    </row>
    <row r="6" customFormat="false" ht="15" hidden="false" customHeight="false" outlineLevel="0" collapsed="false">
      <c r="A6" s="6"/>
      <c r="B6" s="29" t="s">
        <v>206</v>
      </c>
      <c r="C6" s="35" t="s">
        <v>114</v>
      </c>
      <c r="D6" s="35" t="s">
        <v>115</v>
      </c>
      <c r="E6" s="35" t="s">
        <v>116</v>
      </c>
      <c r="F6" s="35" t="s">
        <v>117</v>
      </c>
      <c r="G6" s="35" t="s">
        <v>118</v>
      </c>
    </row>
    <row r="7" customFormat="false" ht="15" hidden="false" customHeight="false" outlineLevel="0" collapsed="false">
      <c r="A7" s="6"/>
      <c r="B7" s="18" t="s">
        <v>207</v>
      </c>
      <c r="C7" s="26" t="n">
        <f aca="false">Mortgage_Open</f>
        <v>3750000</v>
      </c>
      <c r="D7" s="26" t="n">
        <f aca="false">C11</f>
        <v>3653413.51740636</v>
      </c>
      <c r="E7" s="26" t="n">
        <f aca="false">D11</f>
        <v>3550548.91344413</v>
      </c>
      <c r="F7" s="26" t="n">
        <f aca="false">E11</f>
        <v>3440998.11022436</v>
      </c>
      <c r="G7" s="26" t="n">
        <f aca="false">F11</f>
        <v>3324326.5047953</v>
      </c>
    </row>
    <row r="8" customFormat="false" ht="15" hidden="false" customHeight="false" outlineLevel="0" collapsed="false">
      <c r="A8" s="6"/>
      <c r="B8" s="18" t="s">
        <v>208</v>
      </c>
      <c r="C8" s="26" t="n">
        <f aca="false">-PMT(Mortgage_Rate,Mortgage_Term,Mortgage_Open)</f>
        <v>340336.482593642</v>
      </c>
      <c r="D8" s="26" t="n">
        <f aca="false">-PMT(Mortgage_Rate,Mortgage_Term,Mortgage_Open)</f>
        <v>340336.482593642</v>
      </c>
      <c r="E8" s="26" t="n">
        <f aca="false">-PMT(Mortgage_Rate,Mortgage_Term,Mortgage_Open)</f>
        <v>340336.482593642</v>
      </c>
      <c r="F8" s="26" t="n">
        <f aca="false">-PMT(Mortgage_Rate,Mortgage_Term,Mortgage_Open)</f>
        <v>340336.482593642</v>
      </c>
      <c r="G8" s="26" t="n">
        <f aca="false">-PMT(Mortgage_Rate,Mortgage_Term,Mortgage_Open)</f>
        <v>340336.482593642</v>
      </c>
    </row>
    <row r="9" customFormat="false" ht="15" hidden="false" customHeight="false" outlineLevel="0" collapsed="false">
      <c r="A9" s="6"/>
      <c r="B9" s="18" t="s">
        <v>209</v>
      </c>
      <c r="C9" s="26" t="n">
        <f aca="false">C7*Mortgage_Rate</f>
        <v>243750</v>
      </c>
      <c r="D9" s="26" t="n">
        <f aca="false">D7*Mortgage_Rate</f>
        <v>237471.878631413</v>
      </c>
      <c r="E9" s="26" t="n">
        <f aca="false">E7*Mortgage_Rate</f>
        <v>230785.679373868</v>
      </c>
      <c r="F9" s="26" t="n">
        <f aca="false">F7*Mortgage_Rate</f>
        <v>223664.877164583</v>
      </c>
      <c r="G9" s="26" t="n">
        <f aca="false">G7*Mortgage_Rate</f>
        <v>216081.222811694</v>
      </c>
    </row>
    <row r="10" customFormat="false" ht="15" hidden="false" customHeight="false" outlineLevel="0" collapsed="false">
      <c r="A10" s="6"/>
      <c r="B10" s="18" t="s">
        <v>210</v>
      </c>
      <c r="C10" s="26" t="n">
        <f aca="false">C8-C9</f>
        <v>96586.482593642</v>
      </c>
      <c r="D10" s="26" t="n">
        <f aca="false">D8-D9</f>
        <v>102864.603962229</v>
      </c>
      <c r="E10" s="26" t="n">
        <f aca="false">E8-E9</f>
        <v>109550.803219774</v>
      </c>
      <c r="F10" s="26" t="n">
        <f aca="false">F8-F9</f>
        <v>116671.605429059</v>
      </c>
      <c r="G10" s="26" t="n">
        <f aca="false">G8-G9</f>
        <v>124255.259781948</v>
      </c>
    </row>
    <row r="11" customFormat="false" ht="15" hidden="false" customHeight="false" outlineLevel="0" collapsed="false">
      <c r="A11" s="6"/>
      <c r="B11" s="27" t="s">
        <v>211</v>
      </c>
      <c r="C11" s="28" t="n">
        <f aca="false">MAX(0,C7-C10)</f>
        <v>3653413.51740636</v>
      </c>
      <c r="D11" s="28" t="n">
        <f aca="false">MAX(0,D7-D10)</f>
        <v>3550548.91344413</v>
      </c>
      <c r="E11" s="28" t="n">
        <f aca="false">MAX(0,E7-E10)</f>
        <v>3440998.11022436</v>
      </c>
      <c r="F11" s="28" t="n">
        <f aca="false">MAX(0,F7-F10)</f>
        <v>3324326.5047953</v>
      </c>
      <c r="G11" s="28" t="n">
        <f aca="false">MAX(0,G7-G10)</f>
        <v>3200071.24501335</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6"/>
      <c r="C13" s="6"/>
      <c r="D13" s="6"/>
      <c r="E13" s="6"/>
      <c r="F13" s="6"/>
      <c r="G13" s="6"/>
    </row>
    <row r="14" customFormat="false" ht="15" hidden="false" customHeight="false" outlineLevel="0" collapsed="false">
      <c r="A14" s="6"/>
      <c r="B14" s="6"/>
      <c r="C14" s="6"/>
      <c r="D14" s="6"/>
      <c r="E14" s="6"/>
      <c r="F14" s="6"/>
      <c r="G14" s="6"/>
    </row>
    <row r="15" customFormat="false" ht="15" hidden="false" customHeight="false" outlineLevel="0" collapsed="false">
      <c r="A15" s="6"/>
      <c r="B15" s="29" t="s">
        <v>212</v>
      </c>
      <c r="C15" s="30"/>
      <c r="D15" s="30"/>
      <c r="E15" s="30"/>
      <c r="F15" s="30"/>
      <c r="G15" s="30"/>
    </row>
    <row r="16" customFormat="false" ht="15" hidden="false" customHeight="false" outlineLevel="0" collapsed="false">
      <c r="A16" s="6"/>
      <c r="B16" s="18" t="s">
        <v>207</v>
      </c>
      <c r="C16" s="26" t="n">
        <f aca="false">Equip_Open</f>
        <v>400000</v>
      </c>
      <c r="D16" s="26" t="n">
        <f aca="false">C19</f>
        <v>320000</v>
      </c>
      <c r="E16" s="26" t="n">
        <f aca="false">D19</f>
        <v>240000</v>
      </c>
      <c r="F16" s="26" t="n">
        <f aca="false">E19</f>
        <v>160000</v>
      </c>
      <c r="G16" s="26" t="n">
        <f aca="false">F19</f>
        <v>80000</v>
      </c>
    </row>
    <row r="17" customFormat="false" ht="15" hidden="false" customHeight="false" outlineLevel="0" collapsed="false">
      <c r="A17" s="6"/>
      <c r="B17" s="18" t="s">
        <v>209</v>
      </c>
      <c r="C17" s="26" t="n">
        <f aca="false">C16*Equip_Rate</f>
        <v>28000</v>
      </c>
      <c r="D17" s="26" t="n">
        <f aca="false">D16*Equip_Rate</f>
        <v>22400</v>
      </c>
      <c r="E17" s="26" t="n">
        <f aca="false">E16*Equip_Rate</f>
        <v>16800</v>
      </c>
      <c r="F17" s="26" t="n">
        <f aca="false">F16*Equip_Rate</f>
        <v>11200</v>
      </c>
      <c r="G17" s="26" t="n">
        <f aca="false">G16*Equip_Rate</f>
        <v>5600</v>
      </c>
    </row>
    <row r="18" customFormat="false" ht="15" hidden="false" customHeight="false" outlineLevel="0" collapsed="false">
      <c r="A18" s="6"/>
      <c r="B18" s="18" t="s">
        <v>210</v>
      </c>
      <c r="C18" s="26" t="n">
        <f aca="false">MIN(Equip_Open/Equip_Term,C16)</f>
        <v>80000</v>
      </c>
      <c r="D18" s="26" t="n">
        <f aca="false">MIN(Equip_Open/Equip_Term,D16)</f>
        <v>80000</v>
      </c>
      <c r="E18" s="26" t="n">
        <f aca="false">MIN(Equip_Open/Equip_Term,E16)</f>
        <v>80000</v>
      </c>
      <c r="F18" s="26" t="n">
        <f aca="false">MIN(Equip_Open/Equip_Term,F16)</f>
        <v>80000</v>
      </c>
      <c r="G18" s="26" t="n">
        <f aca="false">MIN(Equip_Open/Equip_Term,G16)</f>
        <v>80000</v>
      </c>
    </row>
    <row r="19" customFormat="false" ht="15" hidden="false" customHeight="false" outlineLevel="0" collapsed="false">
      <c r="A19" s="6"/>
      <c r="B19" s="27" t="s">
        <v>211</v>
      </c>
      <c r="C19" s="28" t="n">
        <f aca="false">MAX(0,C16-C18)</f>
        <v>320000</v>
      </c>
      <c r="D19" s="28" t="n">
        <f aca="false">MAX(0,D16-D18)</f>
        <v>240000</v>
      </c>
      <c r="E19" s="28" t="n">
        <f aca="false">MAX(0,E16-E18)</f>
        <v>160000</v>
      </c>
      <c r="F19" s="28" t="n">
        <f aca="false">MAX(0,F16-F18)</f>
        <v>80000</v>
      </c>
      <c r="G19" s="28" t="n">
        <f aca="false">MAX(0,G16-G18)</f>
        <v>0</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6"/>
      <c r="C21" s="6"/>
      <c r="D21" s="6"/>
      <c r="E21" s="6"/>
      <c r="F21" s="6"/>
      <c r="G21" s="6"/>
    </row>
    <row r="22" customFormat="false" ht="15" hidden="false" customHeight="false" outlineLevel="0" collapsed="false">
      <c r="A22" s="6"/>
      <c r="B22" s="29" t="s">
        <v>213</v>
      </c>
      <c r="C22" s="30"/>
      <c r="D22" s="30"/>
      <c r="E22" s="30"/>
      <c r="F22" s="30"/>
      <c r="G22" s="30"/>
    </row>
    <row r="23" customFormat="false" ht="15" hidden="false" customHeight="false" outlineLevel="0" collapsed="false">
      <c r="A23" s="6"/>
      <c r="B23" s="18" t="s">
        <v>214</v>
      </c>
      <c r="C23" s="26" t="n">
        <f aca="false">MAX(0,MIN(Overdraft_Cap,-(Income_Statement!C23-Capex_Dep!C11-Working_Capital!C17)))</f>
        <v>0</v>
      </c>
      <c r="D23" s="26" t="n">
        <f aca="false">MAX(0,MIN(Overdraft_Cap,-(Income_Statement!D23-Capex_Dep!D11-Working_Capital!D17)))</f>
        <v>0</v>
      </c>
      <c r="E23" s="26" t="n">
        <f aca="false">MAX(0,MIN(Overdraft_Cap,-(Income_Statement!E23-Capex_Dep!E11-Working_Capital!E17)))</f>
        <v>0</v>
      </c>
      <c r="F23" s="26" t="n">
        <f aca="false">MAX(0,MIN(Overdraft_Cap,-(Income_Statement!F23-Capex_Dep!F11-Working_Capital!F17)))</f>
        <v>0</v>
      </c>
      <c r="G23" s="26" t="n">
        <f aca="false">MAX(0,MIN(Overdraft_Cap,-(Income_Statement!G23-Capex_Dep!G11-Working_Capital!G17)))</f>
        <v>0</v>
      </c>
    </row>
    <row r="24" customFormat="false" ht="15" hidden="false" customHeight="false" outlineLevel="0" collapsed="false">
      <c r="A24" s="6"/>
      <c r="B24" s="18" t="s">
        <v>215</v>
      </c>
      <c r="C24" s="26" t="n">
        <f aca="false">0</f>
        <v>0</v>
      </c>
      <c r="D24" s="26" t="n">
        <f aca="false">C23</f>
        <v>0</v>
      </c>
      <c r="E24" s="26" t="n">
        <f aca="false">D23</f>
        <v>0</v>
      </c>
      <c r="F24" s="26" t="n">
        <f aca="false">E23</f>
        <v>0</v>
      </c>
      <c r="G24" s="26" t="n">
        <f aca="false">F23</f>
        <v>0</v>
      </c>
    </row>
    <row r="25" customFormat="false" ht="15" hidden="false" customHeight="false" outlineLevel="0" collapsed="false">
      <c r="A25" s="6"/>
      <c r="B25" s="27" t="s">
        <v>211</v>
      </c>
      <c r="C25" s="28" t="n">
        <f aca="false">C23-C24</f>
        <v>0</v>
      </c>
      <c r="D25" s="28" t="n">
        <f aca="false">D23-D24</f>
        <v>0</v>
      </c>
      <c r="E25" s="28" t="n">
        <f aca="false">E23-E24</f>
        <v>0</v>
      </c>
      <c r="F25" s="28" t="n">
        <f aca="false">F23-F24</f>
        <v>0</v>
      </c>
      <c r="G25" s="28" t="n">
        <f aca="false">G23-G24</f>
        <v>0</v>
      </c>
    </row>
    <row r="26" customFormat="false" ht="15" hidden="false" customHeight="false" outlineLevel="0" collapsed="false">
      <c r="A26" s="6"/>
      <c r="B26" s="18" t="s">
        <v>209</v>
      </c>
      <c r="C26" s="26" t="n">
        <f aca="false">C25*Overdraft_Rate</f>
        <v>0</v>
      </c>
      <c r="D26" s="26" t="n">
        <f aca="false">D25*Overdraft_Rate</f>
        <v>0</v>
      </c>
      <c r="E26" s="26" t="n">
        <f aca="false">E25*Overdraft_Rate</f>
        <v>0</v>
      </c>
      <c r="F26" s="26" t="n">
        <f aca="false">F25*Overdraft_Rate</f>
        <v>0</v>
      </c>
      <c r="G26" s="26" t="n">
        <f aca="false">G25*Overdraft_Rate</f>
        <v>0</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6"/>
      <c r="C28" s="6"/>
      <c r="D28" s="6"/>
      <c r="E28" s="6"/>
      <c r="F28" s="6"/>
      <c r="G28" s="6"/>
    </row>
    <row r="29" customFormat="false" ht="15" hidden="false" customHeight="false" outlineLevel="0" collapsed="false">
      <c r="A29" s="6"/>
      <c r="B29" s="6"/>
      <c r="C29" s="6"/>
      <c r="D29" s="6"/>
      <c r="E29" s="6"/>
      <c r="F29" s="6"/>
      <c r="G29" s="6"/>
    </row>
    <row r="30" customFormat="false" ht="15" hidden="false" customHeight="false" outlineLevel="0" collapsed="false">
      <c r="A30" s="6"/>
      <c r="B30" s="24" t="s">
        <v>216</v>
      </c>
      <c r="C30" s="25"/>
      <c r="D30" s="25"/>
      <c r="E30" s="25"/>
      <c r="F30" s="25"/>
      <c r="G30" s="25"/>
    </row>
    <row r="31" customFormat="false" ht="15" hidden="false" customHeight="false" outlineLevel="0" collapsed="false">
      <c r="A31" s="6"/>
      <c r="B31" s="27" t="s">
        <v>217</v>
      </c>
      <c r="C31" s="28" t="n">
        <f aca="false">C9+C17+C26</f>
        <v>271750</v>
      </c>
      <c r="D31" s="28" t="n">
        <f aca="false">D9+D17+D26</f>
        <v>259871.878631413</v>
      </c>
      <c r="E31" s="28" t="n">
        <f aca="false">E9+E17+E26</f>
        <v>247585.679373868</v>
      </c>
      <c r="F31" s="28" t="n">
        <f aca="false">F9+F17+F26</f>
        <v>234864.877164583</v>
      </c>
      <c r="G31" s="28" t="n">
        <f aca="false">G9+G17+G26</f>
        <v>221681.222811694</v>
      </c>
    </row>
    <row r="32" customFormat="false" ht="15" hidden="false" customHeight="false" outlineLevel="0" collapsed="false">
      <c r="A32" s="6"/>
      <c r="B32" s="27" t="s">
        <v>218</v>
      </c>
      <c r="C32" s="28" t="n">
        <f aca="false">C10+C18+C24</f>
        <v>176586.482593642</v>
      </c>
      <c r="D32" s="28" t="n">
        <f aca="false">D10+D18+D24</f>
        <v>182864.603962229</v>
      </c>
      <c r="E32" s="28" t="n">
        <f aca="false">E10+E18+E24</f>
        <v>189550.803219774</v>
      </c>
      <c r="F32" s="28" t="n">
        <f aca="false">F10+F18+F24</f>
        <v>196671.605429059</v>
      </c>
      <c r="G32" s="28" t="n">
        <f aca="false">G10+G18+G24</f>
        <v>204255.259781948</v>
      </c>
    </row>
    <row r="33" customFormat="false" ht="15" hidden="false" customHeight="false" outlineLevel="0" collapsed="false">
      <c r="A33" s="6"/>
      <c r="B33" s="27" t="s">
        <v>219</v>
      </c>
      <c r="C33" s="32" t="n">
        <f aca="false">C31+C32</f>
        <v>448336.482593642</v>
      </c>
      <c r="D33" s="32" t="n">
        <f aca="false">D31+D32</f>
        <v>442736.482593642</v>
      </c>
      <c r="E33" s="32" t="n">
        <f aca="false">E31+E32</f>
        <v>437136.482593642</v>
      </c>
      <c r="F33" s="32" t="n">
        <f aca="false">F31+F32</f>
        <v>431536.482593642</v>
      </c>
      <c r="G33" s="32" t="n">
        <f aca="false">G31+G32</f>
        <v>425936.482593642</v>
      </c>
    </row>
    <row r="34" customFormat="false" ht="15" hidden="false" customHeight="false" outlineLevel="0" collapsed="false">
      <c r="A34" s="6"/>
      <c r="B34" s="18" t="s">
        <v>220</v>
      </c>
      <c r="C34" s="26" t="n">
        <f aca="false">C11+C19+C25</f>
        <v>3973413.51740636</v>
      </c>
      <c r="D34" s="26" t="n">
        <f aca="false">D11+D19+D25</f>
        <v>3790548.91344413</v>
      </c>
      <c r="E34" s="26" t="n">
        <f aca="false">E11+E19+E25</f>
        <v>3600998.11022436</v>
      </c>
      <c r="F34" s="26" t="n">
        <f aca="false">F11+F19+F25</f>
        <v>3404326.5047953</v>
      </c>
      <c r="G34" s="26" t="n">
        <f aca="false">G11+G19+G25</f>
        <v>3200071.24501335</v>
      </c>
    </row>
    <row r="35" customFormat="false" ht="15" hidden="false" customHeight="false" outlineLevel="0" collapsed="false">
      <c r="A35" s="6"/>
      <c r="B35" s="18" t="s">
        <v>221</v>
      </c>
      <c r="C35" s="36" t="n">
        <f aca="false">Cash_Flow!C11/C33</f>
        <v>2.23007754557511</v>
      </c>
      <c r="D35" s="36" t="n">
        <f aca="false">Cash_Flow!D11/D33</f>
        <v>1.68885926765242</v>
      </c>
      <c r="E35" s="36" t="n">
        <f aca="false">Cash_Flow!E11/E33</f>
        <v>1.25062089193337</v>
      </c>
      <c r="F35" s="36" t="n">
        <f aca="false">Cash_Flow!F11/F33</f>
        <v>0.886138847291286</v>
      </c>
      <c r="G35" s="36" t="n">
        <f aca="false">Cash_Flow!G11/G33</f>
        <v>0.583242653284169</v>
      </c>
    </row>
    <row r="36" customFormat="false" ht="15" hidden="false" customHeight="false" outlineLevel="0" collapsed="false">
      <c r="A36" s="6"/>
      <c r="B36" s="18" t="s">
        <v>222</v>
      </c>
      <c r="C36" s="36" t="n">
        <f aca="false">Income_Statement!C23/C31</f>
        <v>4.69623829362159</v>
      </c>
      <c r="D36" s="36" t="n">
        <f aca="false">Income_Statement!D23/D31</f>
        <v>3.60680976156988</v>
      </c>
      <c r="E36" s="36" t="n">
        <f aca="false">Income_Statement!E23/E31</f>
        <v>2.68715626897173</v>
      </c>
      <c r="F36" s="36" t="n">
        <f aca="false">Income_Statement!F23/F31</f>
        <v>1.87836847818466</v>
      </c>
      <c r="G36" s="36" t="n">
        <f aca="false">Income_Statement!G23/G31</f>
        <v>1.15750547173514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t="s">
        <v>223</v>
      </c>
      <c r="C5" s="25"/>
      <c r="D5" s="25"/>
      <c r="E5" s="25"/>
      <c r="F5" s="25"/>
      <c r="G5" s="25"/>
    </row>
    <row r="6" customFormat="false" ht="15" hidden="false" customHeight="false" outlineLevel="0" collapsed="false">
      <c r="A6" s="6"/>
      <c r="B6" s="25"/>
      <c r="C6" s="15" t="s">
        <v>114</v>
      </c>
      <c r="D6" s="15" t="s">
        <v>115</v>
      </c>
      <c r="E6" s="15" t="s">
        <v>116</v>
      </c>
      <c r="F6" s="15" t="s">
        <v>117</v>
      </c>
      <c r="G6" s="15" t="s">
        <v>118</v>
      </c>
    </row>
    <row r="7" customFormat="false" ht="15" hidden="false" customHeight="false" outlineLevel="0" collapsed="false">
      <c r="A7" s="6"/>
      <c r="B7" s="27" t="s">
        <v>139</v>
      </c>
      <c r="C7" s="32" t="n">
        <f aca="false">Revenue!C27</f>
        <v>2665330.95</v>
      </c>
      <c r="D7" s="32" t="n">
        <f aca="false">Revenue!D27</f>
        <v>2188125.05968725</v>
      </c>
      <c r="E7" s="32" t="n">
        <f aca="false">Revenue!E27</f>
        <v>1797347.41028019</v>
      </c>
      <c r="F7" s="32" t="n">
        <f aca="false">Revenue!F27</f>
        <v>1477128.49903794</v>
      </c>
      <c r="G7" s="32" t="n">
        <f aca="false">Revenue!G27</f>
        <v>1214559.56833418</v>
      </c>
    </row>
    <row r="8" customFormat="false" ht="15" hidden="false" customHeight="false" outlineLevel="0" collapsed="false">
      <c r="A8" s="6"/>
      <c r="B8" s="18" t="s">
        <v>225</v>
      </c>
      <c r="C8" s="26" t="n">
        <f aca="false">-Operating_Costs!C13</f>
        <v>-497568.384375</v>
      </c>
      <c r="D8" s="26" t="n">
        <f aca="false">-Operating_Costs!D13</f>
        <v>-395555.515195875</v>
      </c>
      <c r="E8" s="26" t="n">
        <f aca="false">-Operating_Costs!E13</f>
        <v>-314904.836650291</v>
      </c>
      <c r="F8" s="26" t="n">
        <f aca="false">-Operating_Costs!F13</f>
        <v>-251048.357092785</v>
      </c>
      <c r="G8" s="26" t="n">
        <f aca="false">-Operating_Costs!G13</f>
        <v>-200414.553963044</v>
      </c>
    </row>
    <row r="9" customFormat="false" ht="15" hidden="false" customHeight="false" outlineLevel="0" collapsed="false">
      <c r="A9" s="6"/>
      <c r="B9" s="27" t="s">
        <v>226</v>
      </c>
      <c r="C9" s="32" t="n">
        <f aca="false">C7+C8</f>
        <v>2167762.565625</v>
      </c>
      <c r="D9" s="32" t="n">
        <f aca="false">D7+D8</f>
        <v>1792569.54449137</v>
      </c>
      <c r="E9" s="32" t="n">
        <f aca="false">E7+E8</f>
        <v>1482442.5736299</v>
      </c>
      <c r="F9" s="32" t="n">
        <f aca="false">F7+F8</f>
        <v>1226080.14194516</v>
      </c>
      <c r="G9" s="32" t="n">
        <f aca="false">G7+G8</f>
        <v>1014145.01437114</v>
      </c>
    </row>
    <row r="10" customFormat="false" ht="15" hidden="false" customHeight="false" outlineLevel="0" collapsed="false">
      <c r="A10" s="6"/>
      <c r="B10" s="18" t="s">
        <v>172</v>
      </c>
      <c r="C10" s="34" t="n">
        <f aca="false">C9/C7</f>
        <v>0.813318348186742</v>
      </c>
      <c r="D10" s="34" t="n">
        <f aca="false">D9/D7</f>
        <v>0.819226276192636</v>
      </c>
      <c r="E10" s="34" t="n">
        <f aca="false">E9/E7</f>
        <v>0.824794675281392</v>
      </c>
      <c r="F10" s="34" t="n">
        <f aca="false">F9/F7</f>
        <v>0.830042980515038</v>
      </c>
      <c r="G10" s="34" t="n">
        <f aca="false">G9/G7</f>
        <v>0.834989934468245</v>
      </c>
    </row>
    <row r="11" customFormat="false" ht="15" hidden="false" customHeight="false" outlineLevel="0" collapsed="false">
      <c r="A11" s="6"/>
      <c r="B11" s="29" t="s">
        <v>173</v>
      </c>
      <c r="C11" s="30"/>
      <c r="D11" s="30"/>
      <c r="E11" s="30"/>
      <c r="F11" s="30"/>
      <c r="G11" s="30"/>
    </row>
    <row r="12" customFormat="false" ht="15" hidden="false" customHeight="false" outlineLevel="0" collapsed="false">
      <c r="A12" s="6"/>
      <c r="B12" s="18" t="s">
        <v>174</v>
      </c>
      <c r="C12" s="26" t="n">
        <f aca="false">-Operating_Costs!C18</f>
        <v>-225000</v>
      </c>
      <c r="D12" s="26" t="n">
        <f aca="false">-Operating_Costs!D18</f>
        <v>-225000</v>
      </c>
      <c r="E12" s="26" t="n">
        <f aca="false">-Operating_Costs!E18</f>
        <v>-225000</v>
      </c>
      <c r="F12" s="26" t="n">
        <f aca="false">-Operating_Costs!F18</f>
        <v>-225000</v>
      </c>
      <c r="G12" s="26" t="n">
        <f aca="false">-Operating_Costs!G18</f>
        <v>-225000</v>
      </c>
    </row>
    <row r="13" customFormat="false" ht="15" hidden="false" customHeight="false" outlineLevel="0" collapsed="false">
      <c r="A13" s="6"/>
      <c r="B13" s="18" t="s">
        <v>175</v>
      </c>
      <c r="C13" s="26" t="n">
        <f aca="false">-Operating_Costs!C19</f>
        <v>-79959.9285</v>
      </c>
      <c r="D13" s="26" t="n">
        <f aca="false">-Operating_Costs!D19</f>
        <v>-65643.7517906175</v>
      </c>
      <c r="E13" s="26" t="n">
        <f aca="false">-Operating_Costs!E19</f>
        <v>-53920.4223084058</v>
      </c>
      <c r="F13" s="26" t="n">
        <f aca="false">-Operating_Costs!F19</f>
        <v>-44313.8549711383</v>
      </c>
      <c r="G13" s="26" t="n">
        <f aca="false">-Operating_Costs!G19</f>
        <v>-36436.7870500255</v>
      </c>
    </row>
    <row r="14" customFormat="false" ht="15" hidden="false" customHeight="false" outlineLevel="0" collapsed="false">
      <c r="A14" s="6"/>
      <c r="B14" s="18" t="s">
        <v>227</v>
      </c>
      <c r="C14" s="26" t="n">
        <f aca="false">-Operating_Costs!C20</f>
        <v>-70000</v>
      </c>
      <c r="D14" s="26" t="n">
        <f aca="false">-Operating_Costs!D20</f>
        <v>-70433.3333333333</v>
      </c>
      <c r="E14" s="26" t="n">
        <f aca="false">-Operating_Costs!E20</f>
        <v>-68850.7777777778</v>
      </c>
      <c r="F14" s="26" t="n">
        <f aca="false">-Operating_Costs!F20</f>
        <v>-67326.2492592593</v>
      </c>
      <c r="G14" s="26" t="n">
        <f aca="false">-Operating_Costs!G20</f>
        <v>-65857.6201197531</v>
      </c>
    </row>
    <row r="15" customFormat="false" ht="15" hidden="false" customHeight="false" outlineLevel="0" collapsed="false">
      <c r="A15" s="6"/>
      <c r="B15" s="18" t="s">
        <v>177</v>
      </c>
      <c r="C15" s="26" t="n">
        <f aca="false">-Operating_Costs!C21</f>
        <v>-150000</v>
      </c>
      <c r="D15" s="26" t="n">
        <f aca="false">-Operating_Costs!D21</f>
        <v>-150000</v>
      </c>
      <c r="E15" s="26" t="n">
        <f aca="false">-Operating_Costs!E21</f>
        <v>-150000</v>
      </c>
      <c r="F15" s="26" t="n">
        <f aca="false">-Operating_Costs!F21</f>
        <v>-150000</v>
      </c>
      <c r="G15" s="26" t="n">
        <f aca="false">-Operating_Costs!G21</f>
        <v>-150000</v>
      </c>
    </row>
    <row r="16" customFormat="false" ht="15" hidden="false" customHeight="false" outlineLevel="0" collapsed="false">
      <c r="A16" s="6"/>
      <c r="B16" s="18" t="s">
        <v>178</v>
      </c>
      <c r="C16" s="26" t="n">
        <f aca="false">-Operating_Costs!C22</f>
        <v>-93286.58325</v>
      </c>
      <c r="D16" s="26" t="n">
        <f aca="false">-Operating_Costs!D22</f>
        <v>-76584.3770890537</v>
      </c>
      <c r="E16" s="26" t="n">
        <f aca="false">-Operating_Costs!E22</f>
        <v>-62907.1593598068</v>
      </c>
      <c r="F16" s="26" t="n">
        <f aca="false">-Operating_Costs!F22</f>
        <v>-51699.497466328</v>
      </c>
      <c r="G16" s="26" t="n">
        <f aca="false">-Operating_Costs!G22</f>
        <v>-42509.5848916964</v>
      </c>
    </row>
    <row r="17" customFormat="false" ht="15" hidden="false" customHeight="false" outlineLevel="0" collapsed="false">
      <c r="A17" s="6"/>
      <c r="B17" s="18" t="s">
        <v>179</v>
      </c>
      <c r="C17" s="26" t="n">
        <f aca="false">-Operating_Costs!C23</f>
        <v>-39979.96425</v>
      </c>
      <c r="D17" s="26" t="n">
        <f aca="false">-Operating_Costs!D23</f>
        <v>-32821.8758953087</v>
      </c>
      <c r="E17" s="26" t="n">
        <f aca="false">-Operating_Costs!E23</f>
        <v>-26960.2111542029</v>
      </c>
      <c r="F17" s="26" t="n">
        <f aca="false">-Operating_Costs!F23</f>
        <v>-22156.9274855691</v>
      </c>
      <c r="G17" s="26" t="n">
        <f aca="false">-Operating_Costs!G23</f>
        <v>-18218.3935250127</v>
      </c>
    </row>
    <row r="18" customFormat="false" ht="15" hidden="false" customHeight="false" outlineLevel="0" collapsed="false">
      <c r="A18" s="6"/>
      <c r="B18" s="27" t="s">
        <v>180</v>
      </c>
      <c r="C18" s="32" t="n">
        <f aca="false">C12+C13+C14+C15+C16+C17</f>
        <v>-658226.476</v>
      </c>
      <c r="D18" s="32" t="n">
        <f aca="false">D12+D13+D14+D15+D16+D17</f>
        <v>-620483.338108313</v>
      </c>
      <c r="E18" s="32" t="n">
        <f aca="false">E12+E13+E14+E15+E16+E17</f>
        <v>-587638.570600193</v>
      </c>
      <c r="F18" s="32" t="n">
        <f aca="false">F12+F13+F14+F15+F16+F17</f>
        <v>-560496.529182295</v>
      </c>
      <c r="G18" s="32" t="n">
        <f aca="false">G12+G13+G14+G15+G16+G17</f>
        <v>-538022.385586488</v>
      </c>
    </row>
    <row r="19" customFormat="false" ht="15" hidden="false" customHeight="false" outlineLevel="0" collapsed="false">
      <c r="A19" s="6"/>
      <c r="B19" s="27" t="s">
        <v>181</v>
      </c>
      <c r="C19" s="32" t="n">
        <f aca="false">C9+C18</f>
        <v>1509536.089625</v>
      </c>
      <c r="D19" s="32" t="n">
        <f aca="false">D9+D18</f>
        <v>1172086.20638306</v>
      </c>
      <c r="E19" s="32" t="n">
        <f aca="false">E9+E18</f>
        <v>894804.003029709</v>
      </c>
      <c r="F19" s="32" t="n">
        <f aca="false">F9+F18</f>
        <v>665583.612762863</v>
      </c>
      <c r="G19" s="32" t="n">
        <f aca="false">G9+G18</f>
        <v>476122.62878465</v>
      </c>
    </row>
    <row r="20" customFormat="false" ht="15" hidden="false" customHeight="false" outlineLevel="0" collapsed="false">
      <c r="A20" s="6"/>
      <c r="B20" s="18" t="s">
        <v>182</v>
      </c>
      <c r="C20" s="34" t="n">
        <f aca="false">C19/C7</f>
        <v>0.566359719653201</v>
      </c>
      <c r="D20" s="34" t="n">
        <f aca="false">D19/D7</f>
        <v>0.535657777508653</v>
      </c>
      <c r="E20" s="34" t="n">
        <f aca="false">E19/E7</f>
        <v>0.497846992691422</v>
      </c>
      <c r="F20" s="34" t="n">
        <f aca="false">F19/F7</f>
        <v>0.45059289912581</v>
      </c>
      <c r="G20" s="34" t="n">
        <f aca="false">G19/G7</f>
        <v>0.392012579043506</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18" t="s">
        <v>228</v>
      </c>
      <c r="C22" s="26" t="n">
        <f aca="false">-Capex_Dep!C12</f>
        <v>-233333.333333333</v>
      </c>
      <c r="D22" s="26" t="n">
        <f aca="false">-Capex_Dep!D12</f>
        <v>-234777.777777778</v>
      </c>
      <c r="E22" s="26" t="n">
        <f aca="false">-Capex_Dep!E12</f>
        <v>-229502.592592593</v>
      </c>
      <c r="F22" s="26" t="n">
        <f aca="false">-Capex_Dep!F12</f>
        <v>-224420.830864198</v>
      </c>
      <c r="G22" s="26" t="n">
        <f aca="false">-Capex_Dep!G12</f>
        <v>-219525.400399177</v>
      </c>
    </row>
    <row r="23" customFormat="false" ht="15" hidden="false" customHeight="false" outlineLevel="0" collapsed="false">
      <c r="A23" s="6"/>
      <c r="B23" s="27" t="s">
        <v>229</v>
      </c>
      <c r="C23" s="32" t="n">
        <f aca="false">C19+C22</f>
        <v>1276202.75629167</v>
      </c>
      <c r="D23" s="32" t="n">
        <f aca="false">D19+D22</f>
        <v>937308.428605283</v>
      </c>
      <c r="E23" s="32" t="n">
        <f aca="false">E19+E22</f>
        <v>665301.410437116</v>
      </c>
      <c r="F23" s="32" t="n">
        <f aca="false">F19+F22</f>
        <v>441162.781898665</v>
      </c>
      <c r="G23" s="32" t="n">
        <f aca="false">G19+G22</f>
        <v>256597.228385473</v>
      </c>
    </row>
    <row r="24" customFormat="false" ht="15" hidden="false" customHeight="false" outlineLevel="0" collapsed="false">
      <c r="A24" s="6"/>
      <c r="B24" s="18" t="s">
        <v>230</v>
      </c>
      <c r="C24" s="26" t="n">
        <f aca="false">-Debt_Schedule!C31</f>
        <v>-271750</v>
      </c>
      <c r="D24" s="26" t="n">
        <f aca="false">-Debt_Schedule!D31</f>
        <v>-259871.878631413</v>
      </c>
      <c r="E24" s="26" t="n">
        <f aca="false">-Debt_Schedule!E31</f>
        <v>-247585.679373868</v>
      </c>
      <c r="F24" s="26" t="n">
        <f aca="false">-Debt_Schedule!F31</f>
        <v>-234864.877164583</v>
      </c>
      <c r="G24" s="26" t="n">
        <f aca="false">-Debt_Schedule!G31</f>
        <v>-221681.222811694</v>
      </c>
    </row>
    <row r="25" customFormat="false" ht="15" hidden="false" customHeight="false" outlineLevel="0" collapsed="false">
      <c r="A25" s="6"/>
      <c r="B25" s="27" t="s">
        <v>231</v>
      </c>
      <c r="C25" s="32" t="n">
        <f aca="false">C23+C24</f>
        <v>1004452.75629167</v>
      </c>
      <c r="D25" s="32" t="n">
        <f aca="false">D23+D24</f>
        <v>677436.54997387</v>
      </c>
      <c r="E25" s="32" t="n">
        <f aca="false">E23+E24</f>
        <v>417715.731063248</v>
      </c>
      <c r="F25" s="32" t="n">
        <f aca="false">F23+F24</f>
        <v>206297.904734082</v>
      </c>
      <c r="G25" s="32" t="n">
        <f aca="false">G23+G24</f>
        <v>34916.005573779</v>
      </c>
    </row>
    <row r="26" customFormat="false" ht="15" hidden="false" customHeight="false" outlineLevel="0" collapsed="false">
      <c r="A26" s="6"/>
      <c r="B26" s="29" t="s">
        <v>232</v>
      </c>
      <c r="C26" s="30"/>
      <c r="D26" s="30"/>
      <c r="E26" s="30"/>
      <c r="F26" s="30"/>
      <c r="G26" s="30"/>
    </row>
    <row r="27" customFormat="false" ht="15" hidden="false" customHeight="false" outlineLevel="0" collapsed="false">
      <c r="A27" s="6"/>
      <c r="B27" s="18" t="s">
        <v>233</v>
      </c>
      <c r="C27" s="33" t="n">
        <f aca="false">0</f>
        <v>0</v>
      </c>
      <c r="D27" s="33" t="n">
        <f aca="false">C30</f>
        <v>0</v>
      </c>
      <c r="E27" s="33" t="n">
        <f aca="false">D30</f>
        <v>0</v>
      </c>
      <c r="F27" s="33" t="n">
        <f aca="false">E30</f>
        <v>0</v>
      </c>
      <c r="G27" s="33" t="n">
        <f aca="false">F30</f>
        <v>0</v>
      </c>
    </row>
    <row r="28" customFormat="false" ht="15" hidden="false" customHeight="false" outlineLevel="0" collapsed="false">
      <c r="A28" s="6"/>
      <c r="B28" s="18" t="s">
        <v>234</v>
      </c>
      <c r="C28" s="26" t="n">
        <f aca="false">MAX(0,C25-C27)</f>
        <v>1004452.75629167</v>
      </c>
      <c r="D28" s="26" t="n">
        <f aca="false">MAX(0,D25-D27)</f>
        <v>677436.54997387</v>
      </c>
      <c r="E28" s="26" t="n">
        <f aca="false">MAX(0,E25-E27)</f>
        <v>417715.731063248</v>
      </c>
      <c r="F28" s="26" t="n">
        <f aca="false">MAX(0,F25-F27)</f>
        <v>206297.904734082</v>
      </c>
      <c r="G28" s="26" t="n">
        <f aca="false">MAX(0,G25-G27)</f>
        <v>34916.005573779</v>
      </c>
    </row>
    <row r="29" customFormat="false" ht="15" hidden="false" customHeight="false" outlineLevel="0" collapsed="false">
      <c r="A29" s="6"/>
      <c r="B29" s="18" t="s">
        <v>235</v>
      </c>
      <c r="C29" s="26" t="n">
        <f aca="false">-C28*Tax_Rate</f>
        <v>-251113.189072917</v>
      </c>
      <c r="D29" s="26" t="n">
        <f aca="false">-D28*Tax_Rate</f>
        <v>-169359.137493468</v>
      </c>
      <c r="E29" s="26" t="n">
        <f aca="false">-E28*Tax_Rate</f>
        <v>-104428.932765812</v>
      </c>
      <c r="F29" s="26" t="n">
        <f aca="false">-F28*Tax_Rate</f>
        <v>-51574.4761835206</v>
      </c>
      <c r="G29" s="26" t="n">
        <f aca="false">-G28*Tax_Rate</f>
        <v>-8729.00139344475</v>
      </c>
    </row>
    <row r="30" customFormat="false" ht="15" hidden="false" customHeight="false" outlineLevel="0" collapsed="false">
      <c r="A30" s="6"/>
      <c r="B30" s="18" t="s">
        <v>236</v>
      </c>
      <c r="C30" s="33" t="n">
        <f aca="false">MAX(0,-(C25-C27))</f>
        <v>0</v>
      </c>
      <c r="D30" s="33" t="n">
        <f aca="false">MAX(0,-(D25-D27))</f>
        <v>0</v>
      </c>
      <c r="E30" s="33" t="n">
        <f aca="false">MAX(0,-(E25-E27))</f>
        <v>0</v>
      </c>
      <c r="F30" s="33" t="n">
        <f aca="false">MAX(0,-(F25-F27))</f>
        <v>0</v>
      </c>
      <c r="G30" s="33" t="n">
        <f aca="false">MAX(0,-(G25-G27))</f>
        <v>0</v>
      </c>
    </row>
    <row r="31" customFormat="false" ht="15" hidden="false" customHeight="false" outlineLevel="0" collapsed="false">
      <c r="A31" s="6"/>
      <c r="B31" s="27" t="s">
        <v>237</v>
      </c>
      <c r="C31" s="32" t="n">
        <f aca="false">C25+C29</f>
        <v>753339.56721875</v>
      </c>
      <c r="D31" s="32" t="n">
        <f aca="false">D25+D29</f>
        <v>508077.412480403</v>
      </c>
      <c r="E31" s="32" t="n">
        <f aca="false">E25+E29</f>
        <v>313286.798297436</v>
      </c>
      <c r="F31" s="32" t="n">
        <f aca="false">F25+F29</f>
        <v>154723.428550562</v>
      </c>
      <c r="G31" s="32" t="n">
        <f aca="false">G25+G29</f>
        <v>26187.0041803342</v>
      </c>
    </row>
    <row r="32" customFormat="false" ht="15" hidden="false" customHeight="false" outlineLevel="0" collapsed="false">
      <c r="A32" s="6"/>
      <c r="B32" s="18" t="s">
        <v>238</v>
      </c>
      <c r="C32" s="34" t="n">
        <f aca="false">C31/C7</f>
        <v>0.282643912276166</v>
      </c>
      <c r="D32" s="34" t="n">
        <f aca="false">D31/D7</f>
        <v>0.232197611480681</v>
      </c>
      <c r="E32" s="34" t="n">
        <f aca="false">E31/E7</f>
        <v>0.174305087878696</v>
      </c>
      <c r="F32" s="34" t="n">
        <f aca="false">F31/F7</f>
        <v>0.104746085835683</v>
      </c>
      <c r="G32" s="34" t="n">
        <f aca="false">G31/G7</f>
        <v>0.0215609055851009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2026-05-15T18:53:26Z</dcterms:created>
  <dc:creator>openpyxl</dc:creator>
  <dc:description/>
  <dc:language>en-GB</dc:language>
  <cp:lastModifiedBy/>
  <dcterms:modified xsi:type="dcterms:W3CDTF">2026-05-15T18:53:27Z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