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Construction" sheetId="4" state="visible" r:id="rId6"/>
    <sheet name="Revenue" sheetId="5" state="visible" r:id="rId7"/>
    <sheet name="Operating_Costs" sheetId="6" state="visible" r:id="rId8"/>
    <sheet name="Depreciation" sheetId="7" state="visible" r:id="rId9"/>
    <sheet name="Debt_Schedule" sheetId="8" state="visible" r:id="rId10"/>
    <sheet name="Income_Statement" sheetId="9" state="visible" r:id="rId11"/>
    <sheet name="Cash_Flow" sheetId="10" state="visible" r:id="rId12"/>
    <sheet name="Returns" sheetId="11" state="visible" r:id="rId13"/>
    <sheet name="Checks" sheetId="12" state="visible" r:id="rId14"/>
  </sheets>
  <definedNames>
    <definedName function="false" hidden="false" name="Ancillary_Escalation" vbProcedure="false">Assumptions!$C$25</definedName>
    <definedName function="false" hidden="false" name="Base_Year" vbProcedure="false">Assumptions!$C$7</definedName>
    <definedName function="false" hidden="false" name="Berthing_Fee" vbProcedure="false">Assumptions!$C$23</definedName>
    <definedName function="false" hidden="false" name="Capacity_Tariff" vbProcedure="false">Assumptions!$C$20</definedName>
    <definedName function="false" hidden="false" name="Capex_Contingency" vbProcedure="false">Assumptions!$C$32</definedName>
    <definedName function="false" hidden="false" name="Capex_Marine" vbProcedure="false">Assumptions!$C$27</definedName>
    <definedName function="false" hidden="false" name="Capex_Pipeline" vbProcedure="false">Assumptions!$C$30</definedName>
    <definedName function="false" hidden="false" name="Capex_Regas" vbProcedure="false">Assumptions!$C$29</definedName>
    <definedName function="false" hidden="false" name="Capex_Tanks" vbProcedure="false">Assumptions!$C$28</definedName>
    <definedName function="false" hidden="false" name="Capex_Utilities" vbProcedure="false">Assumptions!$C$31</definedName>
    <definedName function="false" hidden="false" name="CF_CFADS" vbProcedure="false">Cash_Flow!$C$43:$AA$43</definedName>
    <definedName function="false" hidden="false" name="CF_CFF" vbProcedure="false">Cash_Flow!$C$36:$AA$36</definedName>
    <definedName function="false" hidden="false" name="CF_CFI" vbProcedure="false">Cash_Flow!$C$27:$AA$27</definedName>
    <definedName function="false" hidden="false" name="CF_CFO" vbProcedure="false">Cash_Flow!$C$22:$AA$22</definedName>
    <definedName function="false" hidden="false" name="CF_Closing_Cash" vbProcedure="false">Cash_Flow!$C$41:$AA$41</definedName>
    <definedName function="false" hidden="false" name="CF_Constr_Capex" vbProcedure="false">Cash_Flow!$C$25:$AA$25</definedName>
    <definedName function="false" hidden="false" name="CF_Debt_Repay" vbProcedure="false">Cash_Flow!$C$32:$AA$32</definedName>
    <definedName function="false" hidden="false" name="CF_Distrib" vbProcedure="false">Cash_Flow!$C$35:$AA$35</definedName>
    <definedName function="false" hidden="false" name="CF_EBITDA" vbProcedure="false">Cash_Flow!$C$19:$AA$19</definedName>
    <definedName function="false" hidden="false" name="CF_EQ_Inject" vbProcedure="false">Cash_Flow!$C$30:$AA$30</definedName>
    <definedName function="false" hidden="false" name="CF_Interest_Paid" vbProcedure="false">Cash_Flow!$C$33:$AA$33</definedName>
    <definedName function="false" hidden="false" name="CF_Maint_Capex" vbProcedure="false">Cash_Flow!$C$26:$AA$26</definedName>
    <definedName function="false" hidden="false" name="CF_Net_CF" vbProcedure="false">Cash_Flow!$C$40:$AA$40</definedName>
    <definedName function="false" hidden="false" name="CF_Opening_Cash" vbProcedure="false">Cash_Flow!$C$39:$AA$39</definedName>
    <definedName function="false" hidden="false" name="CF_SU_Check" vbProcedure="false">Cash_Flow!$C$16:$AA$16</definedName>
    <definedName function="false" hidden="false" name="CF_SU_Debt" vbProcedure="false">Cash_Flow!$C$10:$AA$10</definedName>
    <definedName function="false" hidden="false" name="CF_SU_Equity" vbProcedure="false">Cash_Flow!$C$9:$AA$9</definedName>
    <definedName function="false" hidden="false" name="CF_Tax" vbProcedure="false">Cash_Flow!$C$20:$AA$20</definedName>
    <definedName function="false" hidden="false" name="CF_Year_Num" vbProcedure="false">Cash_Flow!$C$6:$AA$6</definedName>
    <definedName function="false" hidden="false" name="COD_Year" vbProcedure="false">Assumptions!$C$10</definedName>
    <definedName function="false" hidden="false" name="Commitment_Fee_Rate" vbProcedure="false">Assumptions!$C$54</definedName>
    <definedName function="false" hidden="false" name="Concession_Life" vbProcedure="false">Assumptions!$C$8</definedName>
    <definedName function="false" hidden="false" name="Construction_Yrs" vbProcedure="false">Assumptions!$C$9</definedName>
    <definedName function="false" hidden="false" name="Contracted_Pct" vbProcedure="false">Assumptions!$C$14</definedName>
    <definedName function="false" hidden="false" name="CON_Base_Total" vbProcedure="false">Construction!$C$15:$AA$15</definedName>
    <definedName function="false" hidden="false" name="CON_Cum_Capex" vbProcedure="false">Construction!$C$18:$AA$18</definedName>
    <definedName function="false" hidden="false" name="CON_Cum_IDC" vbProcedure="false">Construction!$C$21:$AA$21</definedName>
    <definedName function="false" hidden="false" name="CON_Debt_Drawn" vbProcedure="false">Construction!$C$19:$AA$19</definedName>
    <definedName function="false" hidden="false" name="CON_Draw_Pct" vbProcedure="false">Construction!$C$26:$AA$26</definedName>
    <definedName function="false" hidden="false" name="CON_IDC" vbProcedure="false">Construction!$C$20:$AA$20</definedName>
    <definedName function="false" hidden="false" name="CON_Marine" vbProcedure="false">Construction!$C$9:$AA$9</definedName>
    <definedName function="false" hidden="false" name="CON_Pipeline" vbProcedure="false">Construction!$C$12:$AA$12</definedName>
    <definedName function="false" hidden="false" name="CON_Regas" vbProcedure="false">Construction!$C$11:$AA$11</definedName>
    <definedName function="false" hidden="false" name="CON_Tanks" vbProcedure="false">Construction!$C$10:$AA$10</definedName>
    <definedName function="false" hidden="false" name="CON_Total_Proj" vbProcedure="false">Construction!$C$24:$AA$24</definedName>
    <definedName function="false" hidden="false" name="CON_Utilities" vbProcedure="false">Construction!$C$13:$AA$13</definedName>
    <definedName function="false" hidden="false" name="Debt_Pct" vbProcedure="false">Assumptions!$C$51</definedName>
    <definedName function="false" hidden="false" name="Debt_Tenor" vbProcedure="false">Assumptions!$C$55</definedName>
    <definedName function="false" hidden="false" name="DEP_Cum_Total" vbProcedure="false">Depreciation!$C$31:$AA$31</definedName>
    <definedName function="false" hidden="false" name="DEP_NBV" vbProcedure="false">Depreciation!$C$32:$AA$32</definedName>
    <definedName function="false" hidden="false" name="DEP_Ops_Flag" vbProcedure="false">Depreciation!$C$7:$AA$7</definedName>
    <definedName function="false" hidden="false" name="DEP_Total" vbProcedure="false">Depreciation!$C$30:$AA$30</definedName>
    <definedName function="false" hidden="false" name="Discount_Rate" vbProcedure="false">Assumptions!$C$64</definedName>
    <definedName function="false" hidden="false" name="Draw_Y1" vbProcedure="false">Assumptions!$C$35</definedName>
    <definedName function="false" hidden="false" name="Draw_Y2" vbProcedure="false">Assumptions!$C$36</definedName>
    <definedName function="false" hidden="false" name="Draw_Y3" vbProcedure="false">Assumptions!$C$37</definedName>
    <definedName function="false" hidden="false" name="Draw_Y4" vbProcedure="false">Assumptions!$C$38</definedName>
    <definedName function="false" hidden="false" name="DSRA_Months" vbProcedure="false">Assumptions!$C$57</definedName>
    <definedName function="false" hidden="false" name="DS_Closing" vbProcedure="false">Debt_Schedule!$C$18:$AA$18</definedName>
    <definedName function="false" hidden="false" name="DS_Commit_Fee" vbProcedure="false">Debt_Schedule!$C$24:$AA$24</definedName>
    <definedName function="false" hidden="false" name="DS_Cum_Drawn" vbProcedure="false">Debt_Schedule!$C$13:$AA$13</definedName>
    <definedName function="false" hidden="false" name="DS_Drawdown" vbProcedure="false">Debt_Schedule!$C$12:$AA$12</definedName>
    <definedName function="false" hidden="false" name="DS_DSCR" vbProcedure="false">Debt_Schedule!$C$32:$AA$32</definedName>
    <definedName function="false" hidden="false" name="DS_DSRA_Balance" vbProcedure="false">Debt_Schedule!$C$28:$AA$28</definedName>
    <definedName function="false" hidden="false" name="DS_Facility_Size" vbProcedure="false">Debt_Schedule!$C$9:$AA$9</definedName>
    <definedName function="false" hidden="false" name="DS_IDC_Flag" vbProcedure="false">Debt_Schedule!$C$22:$AA$22</definedName>
    <definedName function="false" hidden="false" name="DS_Interest" vbProcedure="false">Debt_Schedule!$C$21:$AA$21</definedName>
    <definedName function="false" hidden="false" name="DS_Interest_Expd" vbProcedure="false">Debt_Schedule!$C$23:$AA$23</definedName>
    <definedName function="false" hidden="false" name="DS_Opening" vbProcedure="false">Debt_Schedule!$C$16:$AA$16</definedName>
    <definedName function="false" hidden="false" name="DS_Principal" vbProcedure="false">Debt_Schedule!$C$17:$AA$17</definedName>
    <definedName function="false" hidden="false" name="DS_Total_DS" vbProcedure="false">Debt_Schedule!$C$31:$AA$31</definedName>
    <definedName function="false" hidden="false" name="DS_Total_Int" vbProcedure="false">Debt_Schedule!$C$25:$AA$25</definedName>
    <definedName function="false" hidden="false" name="Enviro_Compliance" vbProcedure="false">Assumptions!$C$45</definedName>
    <definedName function="false" hidden="false" name="Equity_Pct" vbProcedure="false">Assumptions!$C$52</definedName>
    <definedName function="false" hidden="false" name="Gas_Shrinkage" vbProcedure="false">Assumptions!$C$18</definedName>
    <definedName function="false" hidden="false" name="Insurance_Pct" vbProcedure="false">Assumptions!$C$42</definedName>
    <definedName function="false" hidden="false" name="Interest_Rate" vbProcedure="false">Assumptions!$C$53</definedName>
    <definedName function="false" hidden="false" name="IO_Period" vbProcedure="false">Assumptions!$C$56</definedName>
    <definedName function="false" hidden="false" name="IS_COGS" vbProcedure="false">Income_Statement!$C$16:$AA$16</definedName>
    <definedName function="false" hidden="false" name="IS_Depreciation" vbProcedure="false">Income_Statement!$C$25:$AA$25</definedName>
    <definedName function="false" hidden="false" name="IS_EBIT" vbProcedure="false">Income_Statement!$C$26:$AA$26</definedName>
    <definedName function="false" hidden="false" name="IS_EBITDA" vbProcedure="false">Income_Statement!$C$22:$AA$22</definedName>
    <definedName function="false" hidden="false" name="IS_EBT" vbProcedure="false">Income_Statement!$C$29:$AA$29</definedName>
    <definedName function="false" hidden="false" name="IS_Gross_Profit" vbProcedure="false">Income_Statement!$C$17:$AA$17</definedName>
    <definedName function="false" hidden="false" name="IS_Interest" vbProcedure="false">Income_Statement!$C$28:$AA$28</definedName>
    <definedName function="false" hidden="false" name="IS_Net_Income" vbProcedure="false">Income_Statement!$C$31:$AA$31</definedName>
    <definedName function="false" hidden="false" name="IS_Ops_Flag" vbProcedure="false">Income_Statement!$C$7:$AA$7</definedName>
    <definedName function="false" hidden="false" name="IS_Tax" vbProcedure="false">Income_Statement!$C$30:$AA$30</definedName>
    <definedName function="false" hidden="false" name="IS_Total_Rev" vbProcedure="false">Income_Statement!$C$13:$AA$13</definedName>
    <definedName function="false" hidden="false" name="Land_Lease" vbProcedure="false">Assumptions!$C$43</definedName>
    <definedName function="false" hidden="false" name="Life_Marine" vbProcedure="false">Assumptions!$C$66</definedName>
    <definedName function="false" hidden="false" name="Life_Pipeline" vbProcedure="false">Assumptions!$C$69</definedName>
    <definedName function="false" hidden="false" name="Life_Regas" vbProcedure="false">Assumptions!$C$68</definedName>
    <definedName function="false" hidden="false" name="Life_Tanks" vbProcedure="false">Assumptions!$C$67</definedName>
    <definedName function="false" hidden="false" name="Life_Utilities" vbProcedure="false">Assumptions!$C$70</definedName>
    <definedName function="false" hidden="false" name="Maintenance_Pct" vbProcedure="false">Assumptions!$C$41</definedName>
    <definedName function="false" hidden="false" name="Nameplate_Capacity" vbProcedure="false">Assumptions!$C$13</definedName>
    <definedName function="false" hidden="false" name="OC_Maintenance" vbProcedure="false">Operating_Costs!$C$16:$AA$16</definedName>
    <definedName function="false" hidden="false" name="OC_Ops_Flag" vbProcedure="false">Operating_Costs!$C$7:$AA$7</definedName>
    <definedName function="false" hidden="false" name="OC_Total_COGS" vbProcedure="false">Operating_Costs!$C$12:$AA$12</definedName>
    <definedName function="false" hidden="false" name="OC_Total_Costs" vbProcedure="false">Operating_Costs!$C$25:$AA$25</definedName>
    <definedName function="false" hidden="false" name="OC_Total_OpEx" vbProcedure="false">Operating_Costs!$C$23:$AA$23</definedName>
    <definedName function="false" hidden="false" name="Operations_Yrs" vbProcedure="false">Assumptions!$C$11</definedName>
    <definedName function="false" hidden="false" name="OpEx_Escalation" vbProcedure="false">Assumptions!$C$47</definedName>
    <definedName function="false" hidden="false" name="Ramp_Years" vbProcedure="false">Assumptions!$C$17</definedName>
    <definedName function="false" hidden="false" name="REV_Actual_Vol" vbProcedure="false">Revenue!$C$16:$AA$16</definedName>
    <definedName function="false" hidden="false" name="REV_Anc_Revenue" vbProcedure="false">Revenue!$C$22:$AA$22</definedName>
    <definedName function="false" hidden="false" name="REV_Cap_Revenue" vbProcedure="false">Revenue!$C$12:$AA$12</definedName>
    <definedName function="false" hidden="false" name="REV_Ops_Flag" vbProcedure="false">Revenue!$C$7:$AA$7</definedName>
    <definedName function="false" hidden="false" name="REV_Throughput" vbProcedure="false">Revenue!$C$15:$AA$15</definedName>
    <definedName function="false" hidden="false" name="REV_Total" vbProcedure="false">Revenue!$C$24:$AA$24</definedName>
    <definedName function="false" hidden="false" name="REV_Var_Revenue" vbProcedure="false">Revenue!$C$18:$AA$18</definedName>
    <definedName function="false" hidden="false" name="REV_Year_Num" vbProcedure="false">Revenue!$C$6:$AA$6</definedName>
    <definedName function="false" hidden="false" name="RT_Avg_DSCR" vbProcedure="false">Returns!$C$25</definedName>
    <definedName function="false" hidden="false" name="RT_Cum_Distrib" vbProcedure="false">Returns!$C$30:$AA$30</definedName>
    <definedName function="false" hidden="false" name="RT_Distrib_Row" vbProcedure="false">Returns!$C$29:$AA$29</definedName>
    <definedName function="false" hidden="false" name="RT_DSCR_Row" vbProcedure="false">Returns!$C$24:$AA$24</definedName>
    <definedName function="false" hidden="false" name="RT_Eq_CF_Row" vbProcedure="false">Returns!$C$16:$AA$16</definedName>
    <definedName function="false" hidden="false" name="RT_Eq_IRR" vbProcedure="false">Returns!$C$19</definedName>
    <definedName function="false" hidden="false" name="RT_Eq_MOIC" vbProcedure="false">Returns!$C$20</definedName>
    <definedName function="false" hidden="false" name="RT_Min_DSCR" vbProcedure="false">Returns!$C$26</definedName>
    <definedName function="false" hidden="false" name="RT_Proj_CF_Row" vbProcedure="false">Returns!$C$9:$AA$9</definedName>
    <definedName function="false" hidden="false" name="RT_Proj_IRR" vbProcedure="false">Returns!$C$12</definedName>
    <definedName function="false" hidden="false" name="RT_Proj_NPV" vbProcedure="false">Returns!$C$13</definedName>
    <definedName function="false" hidden="false" name="Security_Cost" vbProcedure="false">Assumptions!$C$46</definedName>
    <definedName function="false" hidden="false" name="SGA_Pct" vbProcedure="false">Assumptions!$C$44</definedName>
    <definedName function="false" hidden="false" name="Ship_Calls_Yr" vbProcedure="false">Assumptions!$C$24</definedName>
    <definedName function="false" hidden="false" name="Staff_Cost" vbProcedure="false">Assumptions!$C$40</definedName>
    <definedName function="false" hidden="false" name="Target_DSCR" vbProcedure="false">Assumptions!$C$63</definedName>
    <definedName function="false" hidden="false" name="Target_Eq_IRR" vbProcedure="false">Assumptions!$C$62</definedName>
    <definedName function="false" hidden="false" name="Target_Proj_IRR" vbProcedure="false">Assumptions!$C$61</definedName>
    <definedName function="false" hidden="false" name="Tariff_Escalation" vbProcedure="false">Assumptions!$C$22</definedName>
    <definedName function="false" hidden="false" name="Tax_Rate" vbProcedure="false">Assumptions!$C$58</definedName>
    <definedName function="false" hidden="false" name="Total_Base_Capex" vbProcedure="false">Assumptions!$C$33</definedName>
    <definedName function="false" hidden="false" name="Turnaround_Cost" vbProcedure="false">Assumptions!$C$48</definedName>
    <definedName function="false" hidden="false" name="Turnaround_Interval" vbProcedure="false">Assumptions!$C$49</definedName>
    <definedName function="false" hidden="false" name="Util_SS" vbProcedure="false">Assumptions!$C$16</definedName>
    <definedName function="false" hidden="false" name="Util_Y1" vbProcedure="false">Assumptions!$C$15</definedName>
    <definedName function="false" hidden="false" name="Variable_Tariff" vbProcedure="false">Assumptions!$C$21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<sst xmlns="http://schemas.openxmlformats.org/spreadsheetml/2006/main" count="443" uniqueCount="339">
  <si>
    <t xml:space="preserve">LNG Import Terminal</t>
  </si>
  <si>
    <t xml:space="preserve">FINAMODEL.com</t>
  </si>
  <si>
    <t xml:space="preserve">Project finance model</t>
  </si>
  <si>
    <t xml:space="preserve">Model Structure</t>
  </si>
  <si>
    <t xml:space="preserve">Cover</t>
  </si>
  <si>
    <t xml:space="preserve">Title and navigation</t>
  </si>
  <si>
    <t xml:space="preserve">Assumptions</t>
  </si>
  <si>
    <t xml:space="preserve">Input parameters</t>
  </si>
  <si>
    <t xml:space="preserve">Construction</t>
  </si>
  <si>
    <t xml:space="preserve">Capex and IDC</t>
  </si>
  <si>
    <t xml:space="preserve">Revenue</t>
  </si>
  <si>
    <t xml:space="preserve">Capacity and throughput</t>
  </si>
  <si>
    <t xml:space="preserve">Operating_Costs</t>
  </si>
  <si>
    <t xml:space="preserve">COGS and OpEx</t>
  </si>
  <si>
    <t xml:space="preserve">Depreciation</t>
  </si>
  <si>
    <t xml:space="preserve">Asset depreciation</t>
  </si>
  <si>
    <t xml:space="preserve">Debt_Schedule</t>
  </si>
  <si>
    <t xml:space="preserve">Financing and DSCR</t>
  </si>
  <si>
    <t xml:space="preserve">Income_Statement</t>
  </si>
  <si>
    <t xml:space="preserve">Profit and loss</t>
  </si>
  <si>
    <t xml:space="preserve">Cash_Flow</t>
  </si>
  <si>
    <t xml:space="preserve">Sources, uses, cash</t>
  </si>
  <si>
    <t xml:space="preserve">Returns</t>
  </si>
  <si>
    <t xml:space="preserve">IRR, NPV, payback</t>
  </si>
  <si>
    <t xml:space="preserve">Checks</t>
  </si>
  <si>
    <t xml:space="preserve">Validation checks</t>
  </si>
  <si>
    <t xml:space="preserve">Tab Colour Legend</t>
  </si>
  <si>
    <t xml:space="preserve">Dark Blue</t>
  </si>
  <si>
    <t xml:space="preserve">Light Blue</t>
  </si>
  <si>
    <t xml:space="preserve">Inputs</t>
  </si>
  <si>
    <t xml:space="preserve">Green</t>
  </si>
  <si>
    <t xml:space="preserve">Orange</t>
  </si>
  <si>
    <t xml:space="preserve">Cost / Construction</t>
  </si>
  <si>
    <t xml:space="preserve">Grey</t>
  </si>
  <si>
    <t xml:space="preserve">Summary / Output</t>
  </si>
  <si>
    <t xml:space="preserve">Red</t>
  </si>
  <si>
    <t xml:space="preserve">Debt / Risk / Checks</t>
  </si>
  <si>
    <t xml:space="preserve">About this model</t>
  </si>
  <si>
    <t xml:space="preserve">An LNG Terminal Model evaluates the project finance viability of a liquefied natural gas import or export terminal with ship-or-pay tolling contracts. The model captures capacity reservation fees (fixed, regardless of volume), variable throughput fees, and ancillary revenue (berthing, truck loading) to project 20-30 year cash flows. A typical 3 MTPA terminal generates $300-500M revenue annually at full utilization, with 75-90% gross margin because the variable cost (gas shrinkage, power, water) is minimal and the capacity fee is largely decoupled from operational costs. EBITDA margins of 55-75% support 5.0-7.0x debt-to-EBITDA leverage, requiring strict DSCR covenants (minimum 1.20-1.35x) and loan-life coverage ratios (minimum 1.30x).
The workbook models a 3-5 year construction phase with capex draws, capitalized interest, and IDC (interest during construction). Commercial operations begin at a defined COD (Commercial Operations Date), gating all revenue and opex. Revenue derives from contracted capacity Ã tariff (fixed, inflation-escalated) for contracted shippers, plus variable volume Ã tariff on spot cargoes. Capex is split by component: jetty/marine ($60-80M), LNG tanks ($75-100M), vaporizers ($45-60M), and balance of plant. Maintenance capex (1-2% of initial capex annually) sustains operations; major turnarounds every 4-5 years add step-up costs. The Debt Schedule models construction period drawdowns and interest capitalization, then post-COD amortizing repayments sculpted to maintain target DSCR (typically 1.25-1.30x). A Debt Service Reserve Account (6 months forward) ensures covenant cushion.
This model applies to infrastructure funds, sponsors, lenders, and NOCs evaluating terminal investments or expansions. Typical equity IRR targets 10-15%; project IRR 7-12%. Key sensitivities are LNG spreads (contracted vs. spot prices), utilization rates, and commodity price pass-through mechanisms embedded in contracts.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</si>
  <si>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</si>
  <si>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</si>
  <si>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</si>
  <si>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</si>
  <si>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</si>
  <si>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</si>
  <si>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</si>
  <si>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</si>
  <si>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</si>
  <si>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</si>
  <si>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</si>
  <si>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</si>
  <si>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</si>
  <si>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</si>
  <si>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</si>
  <si>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</si>
  <si>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</si>
  <si>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</si>
  <si>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</si>
  <si>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</si>
  <si>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</si>
  <si>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Parameter</t>
  </si>
  <si>
    <t xml:space="preserve">Value</t>
  </si>
  <si>
    <t xml:space="preserve">Unit</t>
  </si>
  <si>
    <t xml:space="preserve">Notes</t>
  </si>
  <si>
    <t xml:space="preserve">Project</t>
  </si>
  <si>
    <t xml:space="preserve">Base Year</t>
  </si>
  <si>
    <t xml:space="preserve">Year</t>
  </si>
  <si>
    <t xml:space="preserve">Construction start year</t>
  </si>
  <si>
    <t xml:space="preserve">Concession Life</t>
  </si>
  <si>
    <t xml:space="preserve">Years</t>
  </si>
  <si>
    <t xml:space="preserve">Total licence period</t>
  </si>
  <si>
    <t xml:space="preserve">Construction Period</t>
  </si>
  <si>
    <t xml:space="preserve">Years to build</t>
  </si>
  <si>
    <t xml:space="preserve">COD Year</t>
  </si>
  <si>
    <t xml:space="preserve">Base Year + Construction</t>
  </si>
  <si>
    <t xml:space="preserve">Operations Period</t>
  </si>
  <si>
    <t xml:space="preserve">Concession - Construction</t>
  </si>
  <si>
    <t xml:space="preserve">Capacity</t>
  </si>
  <si>
    <t xml:space="preserve">Nameplate Capacity</t>
  </si>
  <si>
    <t xml:space="preserve">TBtu/yr</t>
  </si>
  <si>
    <t xml:space="preserve">Max annual throughput</t>
  </si>
  <si>
    <t xml:space="preserve">Contracted Capacity</t>
  </si>
  <si>
    <t xml:space="preserve">%</t>
  </si>
  <si>
    <t xml:space="preserve">Ship-or-pay contracts</t>
  </si>
  <si>
    <t xml:space="preserve">Utilisation Year 1</t>
  </si>
  <si>
    <t xml:space="preserve">First year of operations</t>
  </si>
  <si>
    <t xml:space="preserve">Steady-State Util</t>
  </si>
  <si>
    <t xml:space="preserve">Reached after ramp</t>
  </si>
  <si>
    <t xml:space="preserve">Ramp-Up Period</t>
  </si>
  <si>
    <t xml:space="preserve">Years to reach steady state</t>
  </si>
  <si>
    <t xml:space="preserve">Gas Shrinkage</t>
  </si>
  <si>
    <t xml:space="preserve">Fuel gas consumed</t>
  </si>
  <si>
    <t xml:space="preserve">Capacity Tariff</t>
  </si>
  <si>
    <t xml:space="preserve">$/MMBtu</t>
  </si>
  <si>
    <t xml:space="preserve">Ship-or-pay reservation</t>
  </si>
  <si>
    <t xml:space="preserve">Variable Tariff</t>
  </si>
  <si>
    <t xml:space="preserve">Per unit throughput</t>
  </si>
  <si>
    <t xml:space="preserve">Tariff Escalation</t>
  </si>
  <si>
    <t xml:space="preserve">%/yr</t>
  </si>
  <si>
    <t xml:space="preserve">Annual CPI adjustment</t>
  </si>
  <si>
    <t xml:space="preserve">Berthing Fee</t>
  </si>
  <si>
    <t xml:space="preserve">$/call</t>
  </si>
  <si>
    <t xml:space="preserve">Per ship call</t>
  </si>
  <si>
    <t xml:space="preserve">Ship Calls / Year</t>
  </si>
  <si>
    <t xml:space="preserve">#/yr</t>
  </si>
  <si>
    <t xml:space="preserve">At full utilisation</t>
  </si>
  <si>
    <t xml:space="preserve">Ancillary Escalation</t>
  </si>
  <si>
    <t xml:space="preserve">Annual price growth</t>
  </si>
  <si>
    <t xml:space="preserve">Construction Capex ($M)</t>
  </si>
  <si>
    <t xml:space="preserve">Marine &amp; Jetty</t>
  </si>
  <si>
    <t xml:space="preserve">$M</t>
  </si>
  <si>
    <t xml:space="preserve">22% of base capex</t>
  </si>
  <si>
    <t xml:space="preserve">LNG Storage Tanks</t>
  </si>
  <si>
    <t xml:space="preserve">28% of base capex</t>
  </si>
  <si>
    <t xml:space="preserve">Regas Equipment</t>
  </si>
  <si>
    <t xml:space="preserve">18% of base capex</t>
  </si>
  <si>
    <t xml:space="preserve">Pipeline Connect</t>
  </si>
  <si>
    <t xml:space="preserve">12% of base capex</t>
  </si>
  <si>
    <t xml:space="preserve">Utilities &amp; BoP</t>
  </si>
  <si>
    <t xml:space="preserve">Contingency</t>
  </si>
  <si>
    <t xml:space="preserve">9% of base capex</t>
  </si>
  <si>
    <t xml:space="preserve">TOTAL BASE CAPEX</t>
  </si>
  <si>
    <t xml:space="preserve">Sum of above</t>
  </si>
  <si>
    <t xml:space="preserve">Draw Profile</t>
  </si>
  <si>
    <t xml:space="preserve">Year 1 Draw</t>
  </si>
  <si>
    <t xml:space="preserve">Site prep, foundations</t>
  </si>
  <si>
    <t xml:space="preserve">Year 2 Draw</t>
  </si>
  <si>
    <t xml:space="preserve">Major civil works</t>
  </si>
  <si>
    <t xml:space="preserve">Year 3 Draw</t>
  </si>
  <si>
    <t xml:space="preserve">Equipment install</t>
  </si>
  <si>
    <t xml:space="preserve">Year 4 Draw</t>
  </si>
  <si>
    <t xml:space="preserve">Commission, handover</t>
  </si>
  <si>
    <t xml:space="preserve">Operating Costs</t>
  </si>
  <si>
    <t xml:space="preserve">Staff Costs</t>
  </si>
  <si>
    <t xml:space="preserve">$M/yr</t>
  </si>
  <si>
    <t xml:space="preserve">Operations team</t>
  </si>
  <si>
    <t xml:space="preserve">Maintenance</t>
  </si>
  <si>
    <t xml:space="preserve">% capex/yr</t>
  </si>
  <si>
    <t xml:space="preserve">Routine maintenance</t>
  </si>
  <si>
    <t xml:space="preserve">Insurance</t>
  </si>
  <si>
    <t xml:space="preserve">Property + BI</t>
  </si>
  <si>
    <t xml:space="preserve">Land Lease</t>
  </si>
  <si>
    <t xml:space="preserve">Site lease payment</t>
  </si>
  <si>
    <t xml:space="preserve">SG&amp;A</t>
  </si>
  <si>
    <t xml:space="preserve">% revenue</t>
  </si>
  <si>
    <t xml:space="preserve">Corporate overhead</t>
  </si>
  <si>
    <t xml:space="preserve">Environmental</t>
  </si>
  <si>
    <t xml:space="preserve">Regulatory compliance</t>
  </si>
  <si>
    <t xml:space="preserve">Security</t>
  </si>
  <si>
    <t xml:space="preserve">Site security</t>
  </si>
  <si>
    <t xml:space="preserve">OpEx Escalation</t>
  </si>
  <si>
    <t xml:space="preserve">Annual inflation</t>
  </si>
  <si>
    <t xml:space="preserve">Turnaround Cost</t>
  </si>
  <si>
    <t xml:space="preserve">Major maintenance event</t>
  </si>
  <si>
    <t xml:space="preserve">Turnaround Interval</t>
  </si>
  <si>
    <t xml:space="preserve">Frequency of turnarounds</t>
  </si>
  <si>
    <t xml:space="preserve">Financing</t>
  </si>
  <si>
    <t xml:space="preserve">Debt / Capital</t>
  </si>
  <si>
    <t xml:space="preserve">Project finance leverage</t>
  </si>
  <si>
    <t xml:space="preserve">Equity / Capital</t>
  </si>
  <si>
    <t xml:space="preserve">Sponsor equity</t>
  </si>
  <si>
    <t xml:space="preserve">Interest Rate</t>
  </si>
  <si>
    <t xml:space="preserve">All-in cost of debt</t>
  </si>
  <si>
    <t xml:space="preserve">Commitment Fee</t>
  </si>
  <si>
    <t xml:space="preserve">On undrawn facility</t>
  </si>
  <si>
    <t xml:space="preserve">Debt Tenor</t>
  </si>
  <si>
    <t xml:space="preserve">From COD to maturity</t>
  </si>
  <si>
    <t xml:space="preserve">Interest-Only Period</t>
  </si>
  <si>
    <t xml:space="preserve">After COD</t>
  </si>
  <si>
    <t xml:space="preserve">DSRA Coverage</t>
  </si>
  <si>
    <t xml:space="preserve">Months</t>
  </si>
  <si>
    <t xml:space="preserve">Debt service reserve</t>
  </si>
  <si>
    <t xml:space="preserve">Corporate Tax Rate</t>
  </si>
  <si>
    <t xml:space="preserve">Statutory rate</t>
  </si>
  <si>
    <t xml:space="preserve">Return Benchmarks</t>
  </si>
  <si>
    <t xml:space="preserve">Target Project IRR</t>
  </si>
  <si>
    <t xml:space="preserve">Unlevered benchmark</t>
  </si>
  <si>
    <t xml:space="preserve">Target Equity IRR</t>
  </si>
  <si>
    <t xml:space="preserve">Levered benchmark</t>
  </si>
  <si>
    <t xml:space="preserve">Minimum DSCR</t>
  </si>
  <si>
    <t xml:space="preserve">x</t>
  </si>
  <si>
    <t xml:space="preserve">Covenant level</t>
  </si>
  <si>
    <t xml:space="preserve">Discount Rate</t>
  </si>
  <si>
    <t xml:space="preserve">For NPV calculation</t>
  </si>
  <si>
    <t xml:space="preserve">Depreciation Lives</t>
  </si>
  <si>
    <t xml:space="preserve">Marine structures</t>
  </si>
  <si>
    <t xml:space="preserve">Cryogenic tanks</t>
  </si>
  <si>
    <t xml:space="preserve">Process equipment</t>
  </si>
  <si>
    <t xml:space="preserve">Pipeline</t>
  </si>
  <si>
    <t xml:space="preserve">Gas pipeline</t>
  </si>
  <si>
    <t xml:space="preserve">Instruments, controls</t>
  </si>
  <si>
    <t xml:space="preserve">Construction Schedule</t>
  </si>
  <si>
    <t xml:space="preserve">Year Number</t>
  </si>
  <si>
    <t xml:space="preserve">Capex Drawdown ($M)</t>
  </si>
  <si>
    <t xml:space="preserve">Interest During Construction</t>
  </si>
  <si>
    <t xml:space="preserve">Cumulative Capex</t>
  </si>
  <si>
    <t xml:space="preserve">Debt Drawn (Cum)</t>
  </si>
  <si>
    <t xml:space="preserve">IDC (Annual)</t>
  </si>
  <si>
    <t xml:space="preserve">Cumulative IDC</t>
  </si>
  <si>
    <t xml:space="preserve">Total Project Cost</t>
  </si>
  <si>
    <t xml:space="preserve">TOTAL PROJECT COST</t>
  </si>
  <si>
    <t xml:space="preserve">Draw %</t>
  </si>
  <si>
    <t xml:space="preserve">Revenue Schedule</t>
  </si>
  <si>
    <t xml:space="preserve">Operations Flag</t>
  </si>
  <si>
    <t xml:space="preserve">Capacity Reservation Revenue ($M)</t>
  </si>
  <si>
    <t xml:space="preserve">Capacity Revenue</t>
  </si>
  <si>
    <t xml:space="preserve">Variable Throughput Revenue ($M)</t>
  </si>
  <si>
    <t xml:space="preserve">Utilisation Rate</t>
  </si>
  <si>
    <t xml:space="preserve">Actual Volume</t>
  </si>
  <si>
    <t xml:space="preserve">Variable Revenue</t>
  </si>
  <si>
    <t xml:space="preserve">Ancillary Revenue ($M)</t>
  </si>
  <si>
    <t xml:space="preserve">Berthing Revenue</t>
  </si>
  <si>
    <t xml:space="preserve">Total Ancillary</t>
  </si>
  <si>
    <t xml:space="preserve">TOTAL REVENUE</t>
  </si>
  <si>
    <t xml:space="preserve">COGS and OpEx ($M)</t>
  </si>
  <si>
    <t xml:space="preserve">Cost of Goods Sold ($M)</t>
  </si>
  <si>
    <t xml:space="preserve">Power &amp; Utilities</t>
  </si>
  <si>
    <t xml:space="preserve">TOTAL COGS</t>
  </si>
  <si>
    <t xml:space="preserve">Operating Expenses ($M)</t>
  </si>
  <si>
    <t xml:space="preserve">Turnaround</t>
  </si>
  <si>
    <t xml:space="preserve">TOTAL OPEX</t>
  </si>
  <si>
    <t xml:space="preserve">TOTAL COSTS</t>
  </si>
  <si>
    <t xml:space="preserve">Depreciation Schedule</t>
  </si>
  <si>
    <t xml:space="preserve">Asset class breakdown ($M)</t>
  </si>
  <si>
    <t xml:space="preserve">Depreciation by Asset Class ($M)</t>
  </si>
  <si>
    <t xml:space="preserve">Marine &amp; Jetty Cost</t>
  </si>
  <si>
    <t xml:space="preserve">Marine &amp; Jetty Dep</t>
  </si>
  <si>
    <t xml:space="preserve">Marine &amp; Jetty Cum Dep</t>
  </si>
  <si>
    <t xml:space="preserve">LNG Tanks Cost</t>
  </si>
  <si>
    <t xml:space="preserve">LNG Tanks Dep</t>
  </si>
  <si>
    <t xml:space="preserve">LNG Tanks Cum Dep</t>
  </si>
  <si>
    <t xml:space="preserve">Regas Equipment Cost</t>
  </si>
  <si>
    <t xml:space="preserve">Regas Equipment Dep</t>
  </si>
  <si>
    <t xml:space="preserve">Regas Equipment Cum Dep</t>
  </si>
  <si>
    <t xml:space="preserve">Pipeline Cost</t>
  </si>
  <si>
    <t xml:space="preserve">Pipeline Dep</t>
  </si>
  <si>
    <t xml:space="preserve">Pipeline Cum Dep</t>
  </si>
  <si>
    <t xml:space="preserve">Utilities &amp; BoP Cost</t>
  </si>
  <si>
    <t xml:space="preserve">Utilities &amp; BoP Dep</t>
  </si>
  <si>
    <t xml:space="preserve">Utilities &amp; BoP Cum Dep</t>
  </si>
  <si>
    <t xml:space="preserve">TOTAL DEPRECIATION</t>
  </si>
  <si>
    <t xml:space="preserve">Cumulative Total</t>
  </si>
  <si>
    <t xml:space="preserve">Net Book Value</t>
  </si>
  <si>
    <t xml:space="preserve">Debt Schedule</t>
  </si>
  <si>
    <t xml:space="preserve">Senior project finance ($M)</t>
  </si>
  <si>
    <t xml:space="preserve">Facility Sizing ($M)</t>
  </si>
  <si>
    <t xml:space="preserve">Facility Size</t>
  </si>
  <si>
    <t xml:space="preserve">Drawdowns ($M)</t>
  </si>
  <si>
    <t xml:space="preserve">Drawdown</t>
  </si>
  <si>
    <t xml:space="preserve">Cumulative Drawn</t>
  </si>
  <si>
    <t xml:space="preserve">Debt Balance Walk ($M)</t>
  </si>
  <si>
    <t xml:space="preserve">Opening Balance</t>
  </si>
  <si>
    <t xml:space="preserve">Principal Repaid</t>
  </si>
  <si>
    <t xml:space="preserve">Closing Balance</t>
  </si>
  <si>
    <t xml:space="preserve">Interest &amp; Fees ($M)</t>
  </si>
  <si>
    <t xml:space="preserve">Gross Interest</t>
  </si>
  <si>
    <t xml:space="preserve">IDC Flag</t>
  </si>
  <si>
    <t xml:space="preserve">Interest Expensed</t>
  </si>
  <si>
    <t xml:space="preserve">Total Int &amp; Fees</t>
  </si>
  <si>
    <t xml:space="preserve">Debt Service Reserve ($M)</t>
  </si>
  <si>
    <t xml:space="preserve">DSRA Balance</t>
  </si>
  <si>
    <t xml:space="preserve">Debt Service Metrics</t>
  </si>
  <si>
    <t xml:space="preserve">Total Debt Service</t>
  </si>
  <si>
    <t xml:space="preserve">DSCR</t>
  </si>
  <si>
    <t xml:space="preserve">Income Statement</t>
  </si>
  <si>
    <t xml:space="preserve">Profit and loss ($M)</t>
  </si>
  <si>
    <t xml:space="preserve">Revenue ($M)</t>
  </si>
  <si>
    <t xml:space="preserve">Ancillary Revenue</t>
  </si>
  <si>
    <t xml:space="preserve">COGS</t>
  </si>
  <si>
    <t xml:space="preserve">GROSS PROFIT</t>
  </si>
  <si>
    <t xml:space="preserve">Gross Margin</t>
  </si>
  <si>
    <t xml:space="preserve">Total OpEx</t>
  </si>
  <si>
    <t xml:space="preserve">EBITDA</t>
  </si>
  <si>
    <t xml:space="preserve">EBITDA Margin</t>
  </si>
  <si>
    <t xml:space="preserve">EBIT</t>
  </si>
  <si>
    <t xml:space="preserve">Interest Expense</t>
  </si>
  <si>
    <t xml:space="preserve">EBT</t>
  </si>
  <si>
    <t xml:space="preserve">Income Tax</t>
  </si>
  <si>
    <t xml:space="preserve">NET INCOME</t>
  </si>
  <si>
    <t xml:space="preserve">Cash Flow Statement</t>
  </si>
  <si>
    <t xml:space="preserve">Sources, uses and cash ($M)</t>
  </si>
  <si>
    <t xml:space="preserve">Sources &amp; Uses ($M)</t>
  </si>
  <si>
    <t xml:space="preserve">Equity (Source)</t>
  </si>
  <si>
    <t xml:space="preserve">Debt (Source)</t>
  </si>
  <si>
    <t xml:space="preserve">Total Sources</t>
  </si>
  <si>
    <t xml:space="preserve">Capex (Use)</t>
  </si>
  <si>
    <t xml:space="preserve">IDC (Use)</t>
  </si>
  <si>
    <t xml:space="preserve">DSRA (Use)</t>
  </si>
  <si>
    <t xml:space="preserve">Total Uses</t>
  </si>
  <si>
    <t xml:space="preserve">S&amp;U Check</t>
  </si>
  <si>
    <t xml:space="preserve">Cash from Operations ($M)</t>
  </si>
  <si>
    <t xml:space="preserve">Tax Paid</t>
  </si>
  <si>
    <t xml:space="preserve">WC Change</t>
  </si>
  <si>
    <t xml:space="preserve">CASH FROM OPS</t>
  </si>
  <si>
    <t xml:space="preserve">Cash from Investing ($M)</t>
  </si>
  <si>
    <t xml:space="preserve">Construction Capex</t>
  </si>
  <si>
    <t xml:space="preserve">Maintenance Capex</t>
  </si>
  <si>
    <t xml:space="preserve">CASH FROM INVESTING</t>
  </si>
  <si>
    <t xml:space="preserve">Cash from Financing ($M)</t>
  </si>
  <si>
    <t xml:space="preserve">Equity Injection</t>
  </si>
  <si>
    <t xml:space="preserve">Debt Drawdown</t>
  </si>
  <si>
    <t xml:space="preserve">Debt Repayment</t>
  </si>
  <si>
    <t xml:space="preserve">Interest Paid</t>
  </si>
  <si>
    <t xml:space="preserve">DSRA Movement</t>
  </si>
  <si>
    <t xml:space="preserve">Distributions</t>
  </si>
  <si>
    <t xml:space="preserve">CASH FROM FINANCING</t>
  </si>
  <si>
    <t xml:space="preserve">Cash Balance ($M)</t>
  </si>
  <si>
    <t xml:space="preserve">Opening Cash</t>
  </si>
  <si>
    <t xml:space="preserve">Net Cash Flow</t>
  </si>
  <si>
    <t xml:space="preserve">Closing Cash</t>
  </si>
  <si>
    <t xml:space="preserve">CFADS</t>
  </si>
  <si>
    <t xml:space="preserve">Returns Analysis</t>
  </si>
  <si>
    <t xml:space="preserve">IRR, NPV and DSCR</t>
  </si>
  <si>
    <t xml:space="preserve">Project Returns (Unlevered, $M)</t>
  </si>
  <si>
    <t xml:space="preserve">Project Cash Flow</t>
  </si>
  <si>
    <t xml:space="preserve">Cumulative Proj CF</t>
  </si>
  <si>
    <t xml:space="preserve">Project IRR</t>
  </si>
  <si>
    <t xml:space="preserve">Project NPV ($M)</t>
  </si>
  <si>
    <t xml:space="preserve">Equity Returns ($M)</t>
  </si>
  <si>
    <t xml:space="preserve">Equity Cash Flow</t>
  </si>
  <si>
    <t xml:space="preserve">Cumulative Eq CF</t>
  </si>
  <si>
    <t xml:space="preserve">Equity IRR</t>
  </si>
  <si>
    <t xml:space="preserve">Equity Multiple</t>
  </si>
  <si>
    <t xml:space="preserve">Payback Year</t>
  </si>
  <si>
    <t xml:space="preserve">DSCR Profile</t>
  </si>
  <si>
    <t xml:space="preserve">Average DSCR</t>
  </si>
  <si>
    <t xml:space="preserve">Distribution Profile ($M)</t>
  </si>
  <si>
    <t xml:space="preserve">Cumulative Distrib</t>
  </si>
  <si>
    <t xml:space="preserve">Validation Checks</t>
  </si>
  <si>
    <t xml:space="preserve">Model integrity</t>
  </si>
  <si>
    <t xml:space="preserve">Check</t>
  </si>
  <si>
    <t xml:space="preserve">Status</t>
  </si>
  <si>
    <t xml:space="preserve">Detail</t>
  </si>
  <si>
    <t xml:space="preserve">S&amp;U Balance</t>
  </si>
  <si>
    <t xml:space="preserve">Min DSCR &gt; Covenant</t>
  </si>
  <si>
    <t xml:space="preserve">Debt Repaid</t>
  </si>
  <si>
    <t xml:space="preserve">Dep &lt;= Asset Cost</t>
  </si>
  <si>
    <t xml:space="preserve">Cash &gt;= 0</t>
  </si>
  <si>
    <t xml:space="preserve">No Tax During Constr</t>
  </si>
</sst>
</file>

<file path=xl/styles.xml><?xml version="1.0" encoding="utf-8"?>
<styleSheet xmlns="http://schemas.openxmlformats.org/spreadsheetml/2006/main">
  <numFmts count="8">
    <numFmt numFmtId="164" formatCode="General"/>
    <numFmt numFmtId="165" formatCode="#,##0.00"/>
    <numFmt numFmtId="166" formatCode="0"/>
    <numFmt numFmtId="167" formatCode="0.00%"/>
    <numFmt numFmtId="168" formatCode="0.00"/>
    <numFmt numFmtId="169" formatCode="0.00\x"/>
    <numFmt numFmtId="170" formatCode="#,##0.0"/>
    <numFmt numFmtId="171" formatCode="\$#,##0.00"/>
  </numFmts>
  <fonts count="24">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0"/>
      <name val="Arial"/>
      <family val="0"/>
      <charset val="1"/>
    </font>
    <font>
      <sz val="10"/>
      <name val="Arial"/>
      <family val="0"/>
      <charset val="1"/>
    </font>
    <font>
      <i val="true"/>
      <sz val="10"/>
      <color rgb="FF80808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1"/>
      <color rgb="FF808080"/>
      <name val="Arial"/>
      <family val="0"/>
      <charset val="1"/>
    </font>
    <font>
      <sz val="10"/>
      <color rgb="FF2E75B6"/>
      <name val="Arial"/>
      <family val="0"/>
      <charset val="1"/>
    </font>
    <font>
      <sz val="10"/>
      <color rgb="FF000000"/>
      <name val="Arial"/>
      <family val="0"/>
      <charset val="1"/>
    </font>
  </fonts>
  <fills count="13">
    <fill>
      <patternFill patternType="none"/>
    </fill>
    <fill>
      <patternFill patternType="gray125"/>
    </fill>
    <fill>
      <patternFill patternType="solid">
        <fgColor theme="3"/>
        <bgColor rgb="FF1F4E79"/>
      </patternFill>
    </fill>
    <fill>
      <patternFill patternType="solid">
        <fgColor rgb="FF5B9BD5"/>
        <bgColor rgb="FF2E75B6"/>
      </patternFill>
    </fill>
    <fill>
      <patternFill patternType="solid">
        <fgColor rgb="FFED7D31"/>
        <bgColor rgb="FFFF8080"/>
      </patternFill>
    </fill>
    <fill>
      <patternFill patternType="solid">
        <fgColor rgb="FF70AD47"/>
        <bgColor rgb="FF99CC00"/>
      </patternFill>
    </fill>
    <fill>
      <patternFill patternType="solid">
        <fgColor rgb="FFA5A5A5"/>
        <bgColor rgb="FFC0C0C0"/>
      </patternFill>
    </fill>
    <fill>
      <patternFill patternType="solid">
        <fgColor rgb="FFFF0000"/>
        <bgColor rgb="FF993300"/>
      </patternFill>
    </fill>
    <fill>
      <patternFill patternType="solid">
        <fgColor rgb="FFD6E4F0"/>
        <bgColor rgb="FFEBF1FA"/>
      </patternFill>
    </fill>
    <fill>
      <patternFill patternType="solid">
        <fgColor rgb="FF1F4E79"/>
        <bgColor rgb="FF1F497D"/>
      </patternFill>
    </fill>
    <fill>
      <patternFill patternType="solid">
        <fgColor rgb="FFF2F2F2"/>
        <bgColor rgb="FFEBF1FA"/>
      </patternFill>
    </fill>
    <fill>
      <patternFill patternType="solid">
        <fgColor rgb="FFEBF1FA"/>
        <bgColor rgb="FFF2F2F2"/>
      </patternFill>
    </fill>
    <fill>
      <patternFill patternType="solid">
        <fgColor rgb="FF2E75B6"/>
        <bgColor rgb="FF0066CC"/>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double"/>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12"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7" fillId="9" borderId="0" xfId="0" applyFont="true" applyBorder="false" applyAlignment="true" applyProtection="false">
      <alignment horizontal="left" vertical="center" textRotation="0" wrapText="false" indent="1" shrinkToFit="false"/>
      <protection locked="true" hidden="false"/>
    </xf>
    <xf numFmtId="164" fontId="18" fillId="0" borderId="0" xfId="0" applyFont="true" applyBorder="false" applyAlignment="true" applyProtection="false">
      <alignment horizontal="left" vertical="top" textRotation="0" wrapText="true" indent="1" shrinkToFit="false"/>
      <protection locked="true" hidden="false"/>
    </xf>
    <xf numFmtId="164" fontId="19"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0" fillId="10" borderId="0" xfId="0" applyFont="true" applyBorder="false" applyAlignment="true" applyProtection="false">
      <alignment horizontal="left" vertical="top" textRotation="0" wrapText="tru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7" fillId="9" borderId="0" xfId="0" applyFont="true" applyBorder="false" applyAlignment="true" applyProtection="false">
      <alignment horizontal="left" vertical="center" textRotation="0" wrapText="false" indent="0" shrinkToFit="false"/>
      <protection locked="true" hidden="false"/>
    </xf>
    <xf numFmtId="164" fontId="17" fillId="9" borderId="0" xfId="0" applyFont="true" applyBorder="false" applyAlignment="true" applyProtection="false">
      <alignment horizontal="center" vertical="center" textRotation="0" wrapText="false" indent="0" shrinkToFit="false"/>
      <protection locked="true" hidden="false"/>
    </xf>
    <xf numFmtId="164" fontId="19" fillId="8" borderId="0" xfId="0" applyFont="true" applyBorder="false" applyAlignment="false" applyProtection="false">
      <alignment horizontal="general" vertical="bottom" textRotation="0" wrapText="false" indent="0" shrinkToFit="false"/>
      <protection locked="true" hidden="false"/>
    </xf>
    <xf numFmtId="165" fontId="22" fillId="11"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6" fontId="22" fillId="11" borderId="0" xfId="0" applyFont="true" applyBorder="false" applyAlignment="true" applyProtection="false">
      <alignment horizontal="right" vertical="center" textRotation="0" wrapText="false" indent="0" shrinkToFit="false"/>
      <protection locked="true" hidden="false"/>
    </xf>
    <xf numFmtId="167" fontId="22" fillId="11"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5" fontId="9" fillId="11" borderId="2" xfId="0" applyFont="true" applyBorder="true" applyAlignment="true" applyProtection="false">
      <alignment horizontal="right" vertical="center" textRotation="0" wrapText="false" indent="0" shrinkToFit="false"/>
      <protection locked="true" hidden="false"/>
    </xf>
    <xf numFmtId="168" fontId="22" fillId="11" borderId="0" xfId="0" applyFont="true" applyBorder="false" applyAlignment="true" applyProtection="false">
      <alignment horizontal="right" vertical="center" textRotation="0" wrapText="false" indent="0" shrinkToFit="false"/>
      <protection locked="true" hidden="false"/>
    </xf>
    <xf numFmtId="169" fontId="22" fillId="11" borderId="0" xfId="0" applyFont="true" applyBorder="false" applyAlignment="true" applyProtection="false">
      <alignment horizontal="right" vertical="center" textRotation="0" wrapText="false" indent="0" shrinkToFit="false"/>
      <protection locked="true" hidden="false"/>
    </xf>
    <xf numFmtId="164" fontId="17" fillId="9" borderId="0" xfId="0" applyFont="true" applyBorder="false" applyAlignment="false" applyProtection="false">
      <alignment horizontal="general" vertical="bottom" textRotation="0" wrapText="false" indent="0" shrinkToFit="false"/>
      <protection locked="true" hidden="false"/>
    </xf>
    <xf numFmtId="166" fontId="17" fillId="9" borderId="0" xfId="0" applyFont="true" applyBorder="false" applyAlignment="true" applyProtection="false">
      <alignment horizontal="center" vertical="center" textRotation="0" wrapText="false" indent="0" shrinkToFit="false"/>
      <protection locked="true" hidden="false"/>
    </xf>
    <xf numFmtId="166" fontId="11" fillId="0" borderId="0" xfId="0" applyFont="true" applyBorder="false" applyAlignment="true" applyProtection="false">
      <alignment horizontal="center" vertical="center" textRotation="0" wrapText="false" indent="0" shrinkToFit="false"/>
      <protection locked="true" hidden="false"/>
    </xf>
    <xf numFmtId="164" fontId="17" fillId="12" borderId="0" xfId="0" applyFont="true" applyBorder="false" applyAlignment="false" applyProtection="false">
      <alignment horizontal="general" vertical="bottom" textRotation="0" wrapText="false" indent="0" shrinkToFit="false"/>
      <protection locked="true" hidden="false"/>
    </xf>
    <xf numFmtId="164" fontId="8" fillId="12"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1" shrinkToFit="false"/>
      <protection locked="true" hidden="false"/>
    </xf>
    <xf numFmtId="170" fontId="23" fillId="0" borderId="0" xfId="0" applyFont="true" applyBorder="false" applyAlignment="true" applyProtection="false">
      <alignment horizontal="right" vertical="center" textRotation="0" wrapText="false" indent="0" shrinkToFit="false"/>
      <protection locked="true" hidden="false"/>
    </xf>
    <xf numFmtId="170" fontId="9" fillId="0" borderId="2" xfId="0" applyFont="true" applyBorder="true" applyAlignment="true" applyProtection="false">
      <alignment horizontal="right" vertical="center" textRotation="0" wrapText="false" indent="0" shrinkToFit="false"/>
      <protection locked="true" hidden="false"/>
    </xf>
    <xf numFmtId="167" fontId="11" fillId="0" borderId="0" xfId="0" applyFont="true" applyBorder="false" applyAlignment="true" applyProtection="false">
      <alignment horizontal="right" vertical="center" textRotation="0" wrapText="false" indent="0" shrinkToFit="false"/>
      <protection locked="true" hidden="false"/>
    </xf>
    <xf numFmtId="165" fontId="11" fillId="0" borderId="0" xfId="0" applyFont="true" applyBorder="false" applyAlignment="true" applyProtection="false">
      <alignment horizontal="center" vertical="center" textRotation="0" wrapText="false" indent="0" shrinkToFit="false"/>
      <protection locked="true" hidden="false"/>
    </xf>
    <xf numFmtId="171" fontId="23" fillId="0" borderId="0" xfId="0" applyFont="true" applyBorder="fals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70" fontId="9" fillId="0" borderId="3" xfId="0" applyFont="true" applyBorder="true" applyAlignment="true" applyProtection="false">
      <alignment horizontal="right" vertical="center" textRotation="0" wrapText="false" indent="0" shrinkToFit="false"/>
      <protection locked="true" hidden="false"/>
    </xf>
    <xf numFmtId="167" fontId="23"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2" shrinkToFit="false"/>
      <protection locked="true" hidden="false"/>
    </xf>
    <xf numFmtId="165" fontId="23" fillId="0" borderId="0" xfId="0" applyFont="true" applyBorder="false" applyAlignment="true" applyProtection="false">
      <alignment horizontal="right" vertical="center" textRotation="0" wrapText="false" indent="0" shrinkToFit="false"/>
      <protection locked="true" hidden="false"/>
    </xf>
    <xf numFmtId="169" fontId="23"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70" fontId="9" fillId="0" borderId="0" xfId="0" applyFont="true" applyBorder="fals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9" fontId="9" fillId="0" borderId="0" xfId="0" applyFont="true" applyBorder="false" applyAlignment="true" applyProtection="false">
      <alignment horizontal="righ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BF1FA"/>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28"/>
    <col collapsed="false" customWidth="true" hidden="false" outlineLevel="0" max="4" min="4" style="0" width="22"/>
    <col collapsed="false" customWidth="true" hidden="false" outlineLevel="0" max="5" min="5" style="0" width="5"/>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9"/>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8" t="s">
        <v>7</v>
      </c>
      <c r="D8" s="10"/>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8</v>
      </c>
      <c r="C9" s="8" t="s">
        <v>9</v>
      </c>
      <c r="D9" s="11"/>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10</v>
      </c>
      <c r="C10" s="8" t="s">
        <v>11</v>
      </c>
      <c r="D10" s="12"/>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12</v>
      </c>
      <c r="C11" s="8" t="s">
        <v>13</v>
      </c>
      <c r="D11" s="11"/>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14</v>
      </c>
      <c r="C12" s="8" t="s">
        <v>15</v>
      </c>
      <c r="D12" s="13"/>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16</v>
      </c>
      <c r="C13" s="8" t="s">
        <v>17</v>
      </c>
      <c r="D13" s="14"/>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18</v>
      </c>
      <c r="C14" s="8" t="s">
        <v>19</v>
      </c>
      <c r="D14" s="13"/>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20</v>
      </c>
      <c r="C15" s="8" t="s">
        <v>21</v>
      </c>
      <c r="D15" s="13"/>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7" t="s">
        <v>22</v>
      </c>
      <c r="C16" s="8" t="s">
        <v>23</v>
      </c>
      <c r="D16" s="13"/>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24</v>
      </c>
      <c r="C17" s="8" t="s">
        <v>25</v>
      </c>
      <c r="D17" s="14"/>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6" t="s">
        <v>26</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7" t="s">
        <v>27</v>
      </c>
      <c r="C22" s="8" t="s">
        <v>4</v>
      </c>
      <c r="D22" s="9"/>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28</v>
      </c>
      <c r="C23" s="8" t="s">
        <v>29</v>
      </c>
      <c r="D23" s="10"/>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7" t="s">
        <v>30</v>
      </c>
      <c r="C24" s="8" t="s">
        <v>10</v>
      </c>
      <c r="D24" s="12"/>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7" t="s">
        <v>31</v>
      </c>
      <c r="C25" s="8" t="s">
        <v>32</v>
      </c>
      <c r="D25" s="11"/>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7" t="s">
        <v>33</v>
      </c>
      <c r="C26" s="8" t="s">
        <v>34</v>
      </c>
      <c r="D26" s="13"/>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7" t="s">
        <v>35</v>
      </c>
      <c r="C27" s="8" t="s">
        <v>36</v>
      </c>
      <c r="D27" s="14"/>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9.5" hidden="false" customHeight="true" outlineLevel="0" collapsed="false">
      <c r="A30" s="5"/>
      <c r="B30" s="15" t="s">
        <v>37</v>
      </c>
      <c r="C30" s="16"/>
      <c r="D30" s="16"/>
      <c r="E30" s="16"/>
      <c r="F30" s="16"/>
      <c r="G30" s="16"/>
      <c r="H30" s="5"/>
      <c r="I30" s="5"/>
      <c r="J30" s="5"/>
      <c r="K30" s="5"/>
      <c r="L30" s="5"/>
      <c r="M30" s="5"/>
      <c r="N30" s="5"/>
      <c r="O30" s="5"/>
      <c r="P30" s="5"/>
      <c r="Q30" s="5"/>
      <c r="R30" s="5"/>
      <c r="S30" s="5"/>
      <c r="T30" s="5"/>
      <c r="U30" s="5"/>
      <c r="V30" s="5"/>
      <c r="W30" s="5"/>
      <c r="X30" s="5"/>
      <c r="Y30" s="5"/>
      <c r="Z30" s="5"/>
      <c r="AA30" s="5"/>
      <c r="AB30" s="5"/>
      <c r="AC30" s="5"/>
      <c r="AD30" s="5"/>
    </row>
    <row r="31" customFormat="false" ht="271.5" hidden="false" customHeight="true" outlineLevel="0" collapsed="false">
      <c r="A31" s="5"/>
      <c r="B31" s="17" t="s">
        <v>38</v>
      </c>
      <c r="C31" s="17"/>
      <c r="D31" s="17"/>
      <c r="E31" s="17"/>
      <c r="F31" s="17"/>
      <c r="G31" s="17"/>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row>
    <row r="33" customFormat="false" ht="19.5" hidden="false" customHeight="true" outlineLevel="0" collapsed="false">
      <c r="A33" s="5"/>
      <c r="B33" s="15" t="s">
        <v>39</v>
      </c>
      <c r="C33" s="16"/>
      <c r="D33" s="16"/>
      <c r="E33" s="16"/>
      <c r="F33" s="16"/>
      <c r="G33" s="16"/>
      <c r="H33" s="5"/>
      <c r="I33" s="5"/>
      <c r="J33" s="5"/>
      <c r="K33" s="5"/>
      <c r="L33" s="5"/>
      <c r="M33" s="5"/>
      <c r="N33" s="5"/>
      <c r="O33" s="5"/>
      <c r="P33" s="5"/>
      <c r="Q33" s="5"/>
      <c r="R33" s="5"/>
      <c r="S33" s="5"/>
      <c r="T33" s="5"/>
      <c r="U33" s="5"/>
      <c r="V33" s="5"/>
      <c r="W33" s="5"/>
      <c r="X33" s="5"/>
      <c r="Y33" s="5"/>
      <c r="Z33" s="5"/>
      <c r="AA33" s="5"/>
      <c r="AB33" s="5"/>
      <c r="AC33" s="5"/>
      <c r="AD33" s="5"/>
    </row>
    <row r="34" customFormat="false" ht="57" hidden="false" customHeight="true" outlineLevel="0" collapsed="false">
      <c r="A34" s="5"/>
      <c r="B34" s="17" t="s">
        <v>40</v>
      </c>
      <c r="C34" s="17"/>
      <c r="D34" s="17"/>
      <c r="E34" s="17"/>
      <c r="F34" s="17"/>
      <c r="G34" s="17"/>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18" t="s">
        <v>41</v>
      </c>
      <c r="C35" s="18"/>
      <c r="D35" s="18"/>
      <c r="E35" s="18"/>
      <c r="F35" s="18"/>
      <c r="G35" s="18"/>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19" t="s">
        <v>42</v>
      </c>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sheetData>
  <mergeCells count="3">
    <mergeCell ref="B31:G31"/>
    <mergeCell ref="B34:G34"/>
    <mergeCell ref="B35:G35"/>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A4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2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row>
    <row r="2" customFormat="false" ht="22.05" hidden="false" customHeight="false" outlineLevel="0" collapsed="false">
      <c r="A2" s="5"/>
      <c r="B2" s="28" t="s">
        <v>279</v>
      </c>
      <c r="C2" s="5"/>
      <c r="D2" s="5"/>
      <c r="E2" s="5"/>
      <c r="F2" s="5"/>
      <c r="G2" s="5"/>
      <c r="H2" s="5"/>
      <c r="I2" s="5"/>
      <c r="J2" s="5"/>
      <c r="K2" s="5"/>
      <c r="L2" s="5"/>
      <c r="M2" s="5"/>
      <c r="N2" s="5"/>
      <c r="O2" s="5"/>
      <c r="P2" s="5"/>
      <c r="Q2" s="5"/>
      <c r="R2" s="5"/>
      <c r="S2" s="5"/>
      <c r="T2" s="5"/>
      <c r="U2" s="5"/>
      <c r="V2" s="5"/>
      <c r="W2" s="5"/>
      <c r="X2" s="5"/>
      <c r="Y2" s="5"/>
      <c r="Z2" s="5"/>
      <c r="AA2" s="5"/>
    </row>
    <row r="3" customFormat="false" ht="15" hidden="false" customHeight="false" outlineLevel="0" collapsed="false">
      <c r="A3" s="5"/>
      <c r="B3" s="29" t="s">
        <v>280</v>
      </c>
      <c r="C3" s="5"/>
      <c r="D3" s="5"/>
      <c r="E3" s="5"/>
      <c r="F3" s="5"/>
      <c r="G3" s="5"/>
      <c r="H3" s="5"/>
      <c r="I3" s="5"/>
      <c r="J3" s="5"/>
      <c r="K3" s="5"/>
      <c r="L3" s="5"/>
      <c r="M3" s="5"/>
      <c r="N3" s="5"/>
      <c r="O3" s="5"/>
      <c r="P3" s="5"/>
      <c r="Q3" s="5"/>
      <c r="R3" s="5"/>
      <c r="S3" s="5"/>
      <c r="T3" s="5"/>
      <c r="U3" s="5"/>
      <c r="V3" s="5"/>
      <c r="W3" s="5"/>
      <c r="X3" s="5"/>
      <c r="Y3" s="5"/>
      <c r="Z3" s="5"/>
      <c r="AA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row>
    <row r="5" customFormat="false" ht="15" hidden="false" customHeight="false" outlineLevel="0" collapsed="false">
      <c r="A5" s="5"/>
      <c r="B5" s="41" t="s">
        <v>66</v>
      </c>
      <c r="C5" s="42" t="n">
        <f aca="false">Base_Year+0</f>
        <v>2025</v>
      </c>
      <c r="D5" s="42" t="n">
        <f aca="false">Base_Year+1</f>
        <v>2026</v>
      </c>
      <c r="E5" s="42" t="n">
        <f aca="false">Base_Year+2</f>
        <v>2027</v>
      </c>
      <c r="F5" s="42" t="n">
        <f aca="false">Base_Year+3</f>
        <v>2028</v>
      </c>
      <c r="G5" s="42" t="n">
        <f aca="false">Base_Year+4</f>
        <v>2029</v>
      </c>
      <c r="H5" s="42" t="n">
        <f aca="false">Base_Year+5</f>
        <v>2030</v>
      </c>
      <c r="I5" s="42" t="n">
        <f aca="false">Base_Year+6</f>
        <v>2031</v>
      </c>
      <c r="J5" s="42" t="n">
        <f aca="false">Base_Year+7</f>
        <v>2032</v>
      </c>
      <c r="K5" s="42" t="n">
        <f aca="false">Base_Year+8</f>
        <v>2033</v>
      </c>
      <c r="L5" s="42" t="n">
        <f aca="false">Base_Year+9</f>
        <v>2034</v>
      </c>
      <c r="M5" s="42" t="n">
        <f aca="false">Base_Year+10</f>
        <v>2035</v>
      </c>
      <c r="N5" s="42" t="n">
        <f aca="false">Base_Year+11</f>
        <v>2036</v>
      </c>
      <c r="O5" s="42" t="n">
        <f aca="false">Base_Year+12</f>
        <v>2037</v>
      </c>
      <c r="P5" s="42" t="n">
        <f aca="false">Base_Year+13</f>
        <v>2038</v>
      </c>
      <c r="Q5" s="42" t="n">
        <f aca="false">Base_Year+14</f>
        <v>2039</v>
      </c>
      <c r="R5" s="42" t="n">
        <f aca="false">Base_Year+15</f>
        <v>2040</v>
      </c>
      <c r="S5" s="42" t="n">
        <f aca="false">Base_Year+16</f>
        <v>2041</v>
      </c>
      <c r="T5" s="42" t="n">
        <f aca="false">Base_Year+17</f>
        <v>2042</v>
      </c>
      <c r="U5" s="42" t="n">
        <f aca="false">Base_Year+18</f>
        <v>2043</v>
      </c>
      <c r="V5" s="42" t="n">
        <f aca="false">Base_Year+19</f>
        <v>2044</v>
      </c>
      <c r="W5" s="42" t="n">
        <f aca="false">Base_Year+20</f>
        <v>2045</v>
      </c>
      <c r="X5" s="42" t="n">
        <f aca="false">Base_Year+21</f>
        <v>2046</v>
      </c>
      <c r="Y5" s="42" t="n">
        <f aca="false">Base_Year+22</f>
        <v>2047</v>
      </c>
      <c r="Z5" s="42" t="n">
        <f aca="false">Base_Year+23</f>
        <v>2048</v>
      </c>
      <c r="AA5" s="42" t="n">
        <f aca="false">Base_Year+24</f>
        <v>2049</v>
      </c>
    </row>
    <row r="6" customFormat="false" ht="15" hidden="false" customHeight="false" outlineLevel="0" collapsed="false">
      <c r="A6" s="5"/>
      <c r="B6" s="8" t="s">
        <v>192</v>
      </c>
      <c r="C6" s="43" t="n">
        <f aca="false">COLUMN(C1)-2</f>
        <v>1</v>
      </c>
      <c r="D6" s="43" t="n">
        <f aca="false">COLUMN(D1)-2</f>
        <v>2</v>
      </c>
      <c r="E6" s="43" t="n">
        <f aca="false">COLUMN(E1)-2</f>
        <v>3</v>
      </c>
      <c r="F6" s="43" t="n">
        <f aca="false">COLUMN(F1)-2</f>
        <v>4</v>
      </c>
      <c r="G6" s="43" t="n">
        <f aca="false">COLUMN(G1)-2</f>
        <v>5</v>
      </c>
      <c r="H6" s="43" t="n">
        <f aca="false">COLUMN(H1)-2</f>
        <v>6</v>
      </c>
      <c r="I6" s="43" t="n">
        <f aca="false">COLUMN(I1)-2</f>
        <v>7</v>
      </c>
      <c r="J6" s="43" t="n">
        <f aca="false">COLUMN(J1)-2</f>
        <v>8</v>
      </c>
      <c r="K6" s="43" t="n">
        <f aca="false">COLUMN(K1)-2</f>
        <v>9</v>
      </c>
      <c r="L6" s="43" t="n">
        <f aca="false">COLUMN(L1)-2</f>
        <v>10</v>
      </c>
      <c r="M6" s="43" t="n">
        <f aca="false">COLUMN(M1)-2</f>
        <v>11</v>
      </c>
      <c r="N6" s="43" t="n">
        <f aca="false">COLUMN(N1)-2</f>
        <v>12</v>
      </c>
      <c r="O6" s="43" t="n">
        <f aca="false">COLUMN(O1)-2</f>
        <v>13</v>
      </c>
      <c r="P6" s="43" t="n">
        <f aca="false">COLUMN(P1)-2</f>
        <v>14</v>
      </c>
      <c r="Q6" s="43" t="n">
        <f aca="false">COLUMN(Q1)-2</f>
        <v>15</v>
      </c>
      <c r="R6" s="43" t="n">
        <f aca="false">COLUMN(R1)-2</f>
        <v>16</v>
      </c>
      <c r="S6" s="43" t="n">
        <f aca="false">COLUMN(S1)-2</f>
        <v>17</v>
      </c>
      <c r="T6" s="43" t="n">
        <f aca="false">COLUMN(T1)-2</f>
        <v>18</v>
      </c>
      <c r="U6" s="43" t="n">
        <f aca="false">COLUMN(U1)-2</f>
        <v>19</v>
      </c>
      <c r="V6" s="43" t="n">
        <f aca="false">COLUMN(V1)-2</f>
        <v>20</v>
      </c>
      <c r="W6" s="43" t="n">
        <f aca="false">COLUMN(W1)-2</f>
        <v>21</v>
      </c>
      <c r="X6" s="43" t="n">
        <f aca="false">COLUMN(X1)-2</f>
        <v>22</v>
      </c>
      <c r="Y6" s="43" t="n">
        <f aca="false">COLUMN(Y1)-2</f>
        <v>23</v>
      </c>
      <c r="Z6" s="43" t="n">
        <f aca="false">COLUMN(Z1)-2</f>
        <v>24</v>
      </c>
      <c r="AA6" s="43" t="n">
        <f aca="false">COLUMN(AA1)-2</f>
        <v>25</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c r="W7" s="5"/>
      <c r="X7" s="5"/>
      <c r="Y7" s="5"/>
      <c r="Z7" s="5"/>
      <c r="AA7" s="5"/>
    </row>
    <row r="8" customFormat="false" ht="15" hidden="false" customHeight="false" outlineLevel="0" collapsed="false">
      <c r="A8" s="5"/>
      <c r="B8" s="44" t="s">
        <v>281</v>
      </c>
      <c r="C8" s="45"/>
      <c r="D8" s="45"/>
      <c r="E8" s="45"/>
      <c r="F8" s="45"/>
      <c r="G8" s="45"/>
      <c r="H8" s="45"/>
      <c r="I8" s="45"/>
      <c r="J8" s="45"/>
      <c r="K8" s="45"/>
      <c r="L8" s="45"/>
      <c r="M8" s="45"/>
      <c r="N8" s="45"/>
      <c r="O8" s="45"/>
      <c r="P8" s="45"/>
      <c r="Q8" s="45"/>
      <c r="R8" s="45"/>
      <c r="S8" s="45"/>
      <c r="T8" s="45"/>
      <c r="U8" s="45"/>
      <c r="V8" s="45"/>
      <c r="W8" s="45"/>
      <c r="X8" s="45"/>
      <c r="Y8" s="45"/>
      <c r="Z8" s="45"/>
      <c r="AA8" s="45"/>
    </row>
    <row r="9" customFormat="false" ht="15" hidden="false" customHeight="false" outlineLevel="0" collapsed="false">
      <c r="A9" s="5"/>
      <c r="B9" s="46" t="s">
        <v>282</v>
      </c>
      <c r="C9" s="47" t="n">
        <f aca="false">IF(C6&lt;=Construction_Yrs,Total_Base_Capex*Equity_Pct*Construction!C26+DS_Interest+DS_Commit_Fee,0)</f>
        <v>85.45475</v>
      </c>
      <c r="D9" s="47" t="n">
        <f aca="false">IF(D6&lt;=Construction_Yrs,Total_Base_Capex*Equity_Pct*Construction!D26+DS_Interest+DS_Commit_Fee,0)</f>
        <v>175.253</v>
      </c>
      <c r="E9" s="47" t="n">
        <f aca="false">IF(E6&lt;=Construction_Yrs,Total_Base_Capex*Equity_Pct*Construction!E26+DS_Interest+DS_Commit_Fee,0)</f>
        <v>220.35825</v>
      </c>
      <c r="F9" s="47" t="n">
        <f aca="false">IF(F6&lt;=Construction_Yrs,Total_Base_Capex*Equity_Pct*Construction!F26+DS_Interest+DS_Commit_Fee,0)</f>
        <v>160.905</v>
      </c>
      <c r="G9" s="47" t="n">
        <f aca="false">IF(G6&lt;=Construction_Yrs,Total_Base_Capex*Equity_Pct*Construction!G26+DS_Interest+DS_Commit_Fee,0)</f>
        <v>0</v>
      </c>
      <c r="H9" s="47" t="n">
        <f aca="false">IF(H6&lt;=Construction_Yrs,Total_Base_Capex*Equity_Pct*Construction!H26+DS_Interest+DS_Commit_Fee,0)</f>
        <v>0</v>
      </c>
      <c r="I9" s="47" t="n">
        <f aca="false">IF(I6&lt;=Construction_Yrs,Total_Base_Capex*Equity_Pct*Construction!I26+DS_Interest+DS_Commit_Fee,0)</f>
        <v>0</v>
      </c>
      <c r="J9" s="47" t="n">
        <f aca="false">IF(J6&lt;=Construction_Yrs,Total_Base_Capex*Equity_Pct*Construction!J26+DS_Interest+DS_Commit_Fee,0)</f>
        <v>0</v>
      </c>
      <c r="K9" s="47" t="n">
        <f aca="false">IF(K6&lt;=Construction_Yrs,Total_Base_Capex*Equity_Pct*Construction!K26+DS_Interest+DS_Commit_Fee,0)</f>
        <v>0</v>
      </c>
      <c r="L9" s="47" t="n">
        <f aca="false">IF(L6&lt;=Construction_Yrs,Total_Base_Capex*Equity_Pct*Construction!L26+DS_Interest+DS_Commit_Fee,0)</f>
        <v>0</v>
      </c>
      <c r="M9" s="47" t="n">
        <f aca="false">IF(M6&lt;=Construction_Yrs,Total_Base_Capex*Equity_Pct*Construction!M26+DS_Interest+DS_Commit_Fee,0)</f>
        <v>0</v>
      </c>
      <c r="N9" s="47" t="n">
        <f aca="false">IF(N6&lt;=Construction_Yrs,Total_Base_Capex*Equity_Pct*Construction!N26+DS_Interest+DS_Commit_Fee,0)</f>
        <v>0</v>
      </c>
      <c r="O9" s="47" t="n">
        <f aca="false">IF(O6&lt;=Construction_Yrs,Total_Base_Capex*Equity_Pct*Construction!O26+DS_Interest+DS_Commit_Fee,0)</f>
        <v>0</v>
      </c>
      <c r="P9" s="47" t="n">
        <f aca="false">IF(P6&lt;=Construction_Yrs,Total_Base_Capex*Equity_Pct*Construction!P26+DS_Interest+DS_Commit_Fee,0)</f>
        <v>0</v>
      </c>
      <c r="Q9" s="47" t="n">
        <f aca="false">IF(Q6&lt;=Construction_Yrs,Total_Base_Capex*Equity_Pct*Construction!Q26+DS_Interest+DS_Commit_Fee,0)</f>
        <v>0</v>
      </c>
      <c r="R9" s="47" t="n">
        <f aca="false">IF(R6&lt;=Construction_Yrs,Total_Base_Capex*Equity_Pct*Construction!R26+DS_Interest+DS_Commit_Fee,0)</f>
        <v>0</v>
      </c>
      <c r="S9" s="47" t="n">
        <f aca="false">IF(S6&lt;=Construction_Yrs,Total_Base_Capex*Equity_Pct*Construction!S26+DS_Interest+DS_Commit_Fee,0)</f>
        <v>0</v>
      </c>
      <c r="T9" s="47" t="n">
        <f aca="false">IF(T6&lt;=Construction_Yrs,Total_Base_Capex*Equity_Pct*Construction!T26+DS_Interest+DS_Commit_Fee,0)</f>
        <v>0</v>
      </c>
      <c r="U9" s="47" t="n">
        <f aca="false">IF(U6&lt;=Construction_Yrs,Total_Base_Capex*Equity_Pct*Construction!U26+DS_Interest+DS_Commit_Fee,0)</f>
        <v>0</v>
      </c>
      <c r="V9" s="47" t="n">
        <f aca="false">IF(V6&lt;=Construction_Yrs,Total_Base_Capex*Equity_Pct*Construction!V26+DS_Interest+DS_Commit_Fee,0)</f>
        <v>0</v>
      </c>
      <c r="W9" s="47" t="n">
        <f aca="false">IF(W6&lt;=Construction_Yrs,Total_Base_Capex*Equity_Pct*Construction!W26+DS_Interest+DS_Commit_Fee,0)</f>
        <v>0</v>
      </c>
      <c r="X9" s="47" t="n">
        <f aca="false">IF(X6&lt;=Construction_Yrs,Total_Base_Capex*Equity_Pct*Construction!X26+DS_Interest+DS_Commit_Fee,0)</f>
        <v>0</v>
      </c>
      <c r="Y9" s="47" t="n">
        <f aca="false">IF(Y6&lt;=Construction_Yrs,Total_Base_Capex*Equity_Pct*Construction!Y26+DS_Interest+DS_Commit_Fee,0)</f>
        <v>0</v>
      </c>
      <c r="Z9" s="47" t="n">
        <f aca="false">IF(Z6&lt;=Construction_Yrs,Total_Base_Capex*Equity_Pct*Construction!Z26+DS_Interest+DS_Commit_Fee,0)</f>
        <v>0</v>
      </c>
      <c r="AA9" s="47" t="n">
        <f aca="false">IF(AA6&lt;=Construction_Yrs,Total_Base_Capex*Equity_Pct*Construction!AA26+DS_Interest+DS_Commit_Fee,0)</f>
        <v>0</v>
      </c>
    </row>
    <row r="10" customFormat="false" ht="15" hidden="false" customHeight="false" outlineLevel="0" collapsed="false">
      <c r="A10" s="5"/>
      <c r="B10" s="46" t="s">
        <v>283</v>
      </c>
      <c r="C10" s="47" t="n">
        <f aca="false">DS_Drawdown</f>
        <v>178.5</v>
      </c>
      <c r="D10" s="47" t="n">
        <f aca="false">DS_Drawdown</f>
        <v>357</v>
      </c>
      <c r="E10" s="47" t="n">
        <f aca="false">DS_Drawdown</f>
        <v>416.5</v>
      </c>
      <c r="F10" s="47" t="n">
        <f aca="false">DS_Drawdown</f>
        <v>238</v>
      </c>
      <c r="G10" s="47" t="n">
        <f aca="false">DS_Drawdown</f>
        <v>0</v>
      </c>
      <c r="H10" s="47" t="n">
        <f aca="false">DS_Drawdown</f>
        <v>0</v>
      </c>
      <c r="I10" s="47" t="n">
        <f aca="false">DS_Drawdown</f>
        <v>0</v>
      </c>
      <c r="J10" s="47" t="n">
        <f aca="false">DS_Drawdown</f>
        <v>0</v>
      </c>
      <c r="K10" s="47" t="n">
        <f aca="false">DS_Drawdown</f>
        <v>0</v>
      </c>
      <c r="L10" s="47" t="n">
        <f aca="false">DS_Drawdown</f>
        <v>0</v>
      </c>
      <c r="M10" s="47" t="n">
        <f aca="false">DS_Drawdown</f>
        <v>0</v>
      </c>
      <c r="N10" s="47" t="n">
        <f aca="false">DS_Drawdown</f>
        <v>0</v>
      </c>
      <c r="O10" s="47" t="n">
        <f aca="false">DS_Drawdown</f>
        <v>0</v>
      </c>
      <c r="P10" s="47" t="n">
        <f aca="false">DS_Drawdown</f>
        <v>0</v>
      </c>
      <c r="Q10" s="47" t="n">
        <f aca="false">DS_Drawdown</f>
        <v>0</v>
      </c>
      <c r="R10" s="47" t="n">
        <f aca="false">DS_Drawdown</f>
        <v>0</v>
      </c>
      <c r="S10" s="47" t="n">
        <f aca="false">DS_Drawdown</f>
        <v>0</v>
      </c>
      <c r="T10" s="47" t="n">
        <f aca="false">DS_Drawdown</f>
        <v>0</v>
      </c>
      <c r="U10" s="47" t="n">
        <f aca="false">DS_Drawdown</f>
        <v>0</v>
      </c>
      <c r="V10" s="47" t="n">
        <f aca="false">DS_Drawdown</f>
        <v>0</v>
      </c>
      <c r="W10" s="47" t="n">
        <f aca="false">DS_Drawdown</f>
        <v>0</v>
      </c>
      <c r="X10" s="47" t="n">
        <f aca="false">DS_Drawdown</f>
        <v>0</v>
      </c>
      <c r="Y10" s="47" t="n">
        <f aca="false">DS_Drawdown</f>
        <v>0</v>
      </c>
      <c r="Z10" s="47" t="n">
        <f aca="false">DS_Drawdown</f>
        <v>0</v>
      </c>
      <c r="AA10" s="47" t="n">
        <f aca="false">DS_Drawdown</f>
        <v>0</v>
      </c>
    </row>
    <row r="11" customFormat="false" ht="15" hidden="false" customHeight="false" outlineLevel="0" collapsed="false">
      <c r="A11" s="5"/>
      <c r="B11" s="52" t="s">
        <v>284</v>
      </c>
      <c r="C11" s="53" t="n">
        <f aca="false">C9+C10</f>
        <v>263.95475</v>
      </c>
      <c r="D11" s="53" t="n">
        <f aca="false">D9+D10</f>
        <v>532.253</v>
      </c>
      <c r="E11" s="53" t="n">
        <f aca="false">E9+E10</f>
        <v>636.85825</v>
      </c>
      <c r="F11" s="53" t="n">
        <f aca="false">F9+F10</f>
        <v>398.905</v>
      </c>
      <c r="G11" s="53" t="n">
        <f aca="false">G9+G10</f>
        <v>0</v>
      </c>
      <c r="H11" s="53" t="n">
        <f aca="false">H9+H10</f>
        <v>0</v>
      </c>
      <c r="I11" s="53" t="n">
        <f aca="false">I9+I10</f>
        <v>0</v>
      </c>
      <c r="J11" s="53" t="n">
        <f aca="false">J9+J10</f>
        <v>0</v>
      </c>
      <c r="K11" s="53" t="n">
        <f aca="false">K9+K10</f>
        <v>0</v>
      </c>
      <c r="L11" s="53" t="n">
        <f aca="false">L9+L10</f>
        <v>0</v>
      </c>
      <c r="M11" s="53" t="n">
        <f aca="false">M9+M10</f>
        <v>0</v>
      </c>
      <c r="N11" s="53" t="n">
        <f aca="false">N9+N10</f>
        <v>0</v>
      </c>
      <c r="O11" s="53" t="n">
        <f aca="false">O9+O10</f>
        <v>0</v>
      </c>
      <c r="P11" s="53" t="n">
        <f aca="false">P9+P10</f>
        <v>0</v>
      </c>
      <c r="Q11" s="53" t="n">
        <f aca="false">Q9+Q10</f>
        <v>0</v>
      </c>
      <c r="R11" s="53" t="n">
        <f aca="false">R9+R10</f>
        <v>0</v>
      </c>
      <c r="S11" s="53" t="n">
        <f aca="false">S9+S10</f>
        <v>0</v>
      </c>
      <c r="T11" s="53" t="n">
        <f aca="false">T9+T10</f>
        <v>0</v>
      </c>
      <c r="U11" s="53" t="n">
        <f aca="false">U9+U10</f>
        <v>0</v>
      </c>
      <c r="V11" s="53" t="n">
        <f aca="false">V9+V10</f>
        <v>0</v>
      </c>
      <c r="W11" s="53" t="n">
        <f aca="false">W9+W10</f>
        <v>0</v>
      </c>
      <c r="X11" s="53" t="n">
        <f aca="false">X9+X10</f>
        <v>0</v>
      </c>
      <c r="Y11" s="53" t="n">
        <f aca="false">Y9+Y10</f>
        <v>0</v>
      </c>
      <c r="Z11" s="53" t="n">
        <f aca="false">Z9+Z10</f>
        <v>0</v>
      </c>
      <c r="AA11" s="53" t="n">
        <f aca="false">AA9+AA10</f>
        <v>0</v>
      </c>
    </row>
    <row r="12" customFormat="false" ht="15" hidden="false" customHeight="false" outlineLevel="0" collapsed="false">
      <c r="A12" s="5"/>
      <c r="B12" s="46" t="s">
        <v>285</v>
      </c>
      <c r="C12" s="47" t="n">
        <f aca="false">CON_Base_Total</f>
        <v>255</v>
      </c>
      <c r="D12" s="47" t="n">
        <f aca="false">CON_Base_Total</f>
        <v>510</v>
      </c>
      <c r="E12" s="47" t="n">
        <f aca="false">CON_Base_Total</f>
        <v>595</v>
      </c>
      <c r="F12" s="47" t="n">
        <f aca="false">CON_Base_Total</f>
        <v>340</v>
      </c>
      <c r="G12" s="47" t="n">
        <f aca="false">CON_Base_Total</f>
        <v>0</v>
      </c>
      <c r="H12" s="47" t="n">
        <f aca="false">CON_Base_Total</f>
        <v>0</v>
      </c>
      <c r="I12" s="47" t="n">
        <f aca="false">CON_Base_Total</f>
        <v>0</v>
      </c>
      <c r="J12" s="47" t="n">
        <f aca="false">CON_Base_Total</f>
        <v>0</v>
      </c>
      <c r="K12" s="47" t="n">
        <f aca="false">CON_Base_Total</f>
        <v>0</v>
      </c>
      <c r="L12" s="47" t="n">
        <f aca="false">CON_Base_Total</f>
        <v>0</v>
      </c>
      <c r="M12" s="47" t="n">
        <f aca="false">CON_Base_Total</f>
        <v>0</v>
      </c>
      <c r="N12" s="47" t="n">
        <f aca="false">CON_Base_Total</f>
        <v>0</v>
      </c>
      <c r="O12" s="47" t="n">
        <f aca="false">CON_Base_Total</f>
        <v>0</v>
      </c>
      <c r="P12" s="47" t="n">
        <f aca="false">CON_Base_Total</f>
        <v>0</v>
      </c>
      <c r="Q12" s="47" t="n">
        <f aca="false">CON_Base_Total</f>
        <v>0</v>
      </c>
      <c r="R12" s="47" t="n">
        <f aca="false">CON_Base_Total</f>
        <v>0</v>
      </c>
      <c r="S12" s="47" t="n">
        <f aca="false">CON_Base_Total</f>
        <v>0</v>
      </c>
      <c r="T12" s="47" t="n">
        <f aca="false">CON_Base_Total</f>
        <v>0</v>
      </c>
      <c r="U12" s="47" t="n">
        <f aca="false">CON_Base_Total</f>
        <v>0</v>
      </c>
      <c r="V12" s="47" t="n">
        <f aca="false">CON_Base_Total</f>
        <v>0</v>
      </c>
      <c r="W12" s="47" t="n">
        <f aca="false">CON_Base_Total</f>
        <v>0</v>
      </c>
      <c r="X12" s="47" t="n">
        <f aca="false">CON_Base_Total</f>
        <v>0</v>
      </c>
      <c r="Y12" s="47" t="n">
        <f aca="false">CON_Base_Total</f>
        <v>0</v>
      </c>
      <c r="Z12" s="47" t="n">
        <f aca="false">CON_Base_Total</f>
        <v>0</v>
      </c>
      <c r="AA12" s="47" t="n">
        <f aca="false">CON_Base_Total</f>
        <v>0</v>
      </c>
    </row>
    <row r="13" customFormat="false" ht="15" hidden="false" customHeight="false" outlineLevel="0" collapsed="false">
      <c r="A13" s="5"/>
      <c r="B13" s="46" t="s">
        <v>286</v>
      </c>
      <c r="C13" s="47" t="n">
        <f aca="false">CON_IDC</f>
        <v>4.90875</v>
      </c>
      <c r="D13" s="47" t="n">
        <f aca="false">CON_IDC</f>
        <v>19.635</v>
      </c>
      <c r="E13" s="47" t="n">
        <f aca="false">CON_IDC</f>
        <v>40.90625</v>
      </c>
      <c r="F13" s="47" t="n">
        <f aca="false">CON_IDC</f>
        <v>58.905</v>
      </c>
      <c r="G13" s="47" t="n">
        <f aca="false">CON_IDC</f>
        <v>65.45</v>
      </c>
      <c r="H13" s="47" t="n">
        <f aca="false">CON_IDC</f>
        <v>65.45</v>
      </c>
      <c r="I13" s="47" t="n">
        <f aca="false">CON_IDC</f>
        <v>65.45</v>
      </c>
      <c r="J13" s="47" t="n">
        <f aca="false">CON_IDC</f>
        <v>65.45</v>
      </c>
      <c r="K13" s="47" t="n">
        <f aca="false">CON_IDC</f>
        <v>65.45</v>
      </c>
      <c r="L13" s="47" t="n">
        <f aca="false">CON_IDC</f>
        <v>65.45</v>
      </c>
      <c r="M13" s="47" t="n">
        <f aca="false">CON_IDC</f>
        <v>65.45</v>
      </c>
      <c r="N13" s="47" t="n">
        <f aca="false">CON_IDC</f>
        <v>65.45</v>
      </c>
      <c r="O13" s="47" t="n">
        <f aca="false">CON_IDC</f>
        <v>65.45</v>
      </c>
      <c r="P13" s="47" t="n">
        <f aca="false">CON_IDC</f>
        <v>65.45</v>
      </c>
      <c r="Q13" s="47" t="n">
        <f aca="false">CON_IDC</f>
        <v>65.45</v>
      </c>
      <c r="R13" s="47" t="n">
        <f aca="false">CON_IDC</f>
        <v>65.45</v>
      </c>
      <c r="S13" s="47" t="n">
        <f aca="false">CON_IDC</f>
        <v>65.45</v>
      </c>
      <c r="T13" s="47" t="n">
        <f aca="false">CON_IDC</f>
        <v>65.45</v>
      </c>
      <c r="U13" s="47" t="n">
        <f aca="false">CON_IDC</f>
        <v>65.45</v>
      </c>
      <c r="V13" s="47" t="n">
        <f aca="false">CON_IDC</f>
        <v>65.45</v>
      </c>
      <c r="W13" s="47" t="n">
        <f aca="false">CON_IDC</f>
        <v>65.45</v>
      </c>
      <c r="X13" s="47" t="n">
        <f aca="false">CON_IDC</f>
        <v>65.45</v>
      </c>
      <c r="Y13" s="47" t="n">
        <f aca="false">CON_IDC</f>
        <v>65.45</v>
      </c>
      <c r="Z13" s="47" t="n">
        <f aca="false">CON_IDC</f>
        <v>65.45</v>
      </c>
      <c r="AA13" s="47" t="n">
        <f aca="false">CON_IDC</f>
        <v>65.45</v>
      </c>
    </row>
    <row r="14" customFormat="false" ht="15" hidden="false" customHeight="false" outlineLevel="0" collapsed="false">
      <c r="A14" s="5"/>
      <c r="B14" s="46" t="s">
        <v>287</v>
      </c>
      <c r="C14" s="47" t="n">
        <f aca="false">IF(C6=Construction_Yrs+1,DS_DSRA_Balance,0)</f>
        <v>0</v>
      </c>
      <c r="D14" s="47" t="n">
        <f aca="false">IF(D6=Construction_Yrs+1,DS_DSRA_Balance,0)</f>
        <v>0</v>
      </c>
      <c r="E14" s="47" t="n">
        <f aca="false">IF(E6=Construction_Yrs+1,DS_DSRA_Balance,0)</f>
        <v>0</v>
      </c>
      <c r="F14" s="47" t="n">
        <f aca="false">IF(F6=Construction_Yrs+1,DS_DSRA_Balance,0)</f>
        <v>0</v>
      </c>
      <c r="G14" s="47" t="n">
        <f aca="false">IF(G6=Construction_Yrs+1,DS_DSRA_Balance,0)</f>
        <v>32.725</v>
      </c>
      <c r="H14" s="47" t="n">
        <f aca="false">IF(H6=Construction_Yrs+1,DS_DSRA_Balance,0)</f>
        <v>0</v>
      </c>
      <c r="I14" s="47" t="n">
        <f aca="false">IF(I6=Construction_Yrs+1,DS_DSRA_Balance,0)</f>
        <v>0</v>
      </c>
      <c r="J14" s="47" t="n">
        <f aca="false">IF(J6=Construction_Yrs+1,DS_DSRA_Balance,0)</f>
        <v>0</v>
      </c>
      <c r="K14" s="47" t="n">
        <f aca="false">IF(K6=Construction_Yrs+1,DS_DSRA_Balance,0)</f>
        <v>0</v>
      </c>
      <c r="L14" s="47" t="n">
        <f aca="false">IF(L6=Construction_Yrs+1,DS_DSRA_Balance,0)</f>
        <v>0</v>
      </c>
      <c r="M14" s="47" t="n">
        <f aca="false">IF(M6=Construction_Yrs+1,DS_DSRA_Balance,0)</f>
        <v>0</v>
      </c>
      <c r="N14" s="47" t="n">
        <f aca="false">IF(N6=Construction_Yrs+1,DS_DSRA_Balance,0)</f>
        <v>0</v>
      </c>
      <c r="O14" s="47" t="n">
        <f aca="false">IF(O6=Construction_Yrs+1,DS_DSRA_Balance,0)</f>
        <v>0</v>
      </c>
      <c r="P14" s="47" t="n">
        <f aca="false">IF(P6=Construction_Yrs+1,DS_DSRA_Balance,0)</f>
        <v>0</v>
      </c>
      <c r="Q14" s="47" t="n">
        <f aca="false">IF(Q6=Construction_Yrs+1,DS_DSRA_Balance,0)</f>
        <v>0</v>
      </c>
      <c r="R14" s="47" t="n">
        <f aca="false">IF(R6=Construction_Yrs+1,DS_DSRA_Balance,0)</f>
        <v>0</v>
      </c>
      <c r="S14" s="47" t="n">
        <f aca="false">IF(S6=Construction_Yrs+1,DS_DSRA_Balance,0)</f>
        <v>0</v>
      </c>
      <c r="T14" s="47" t="n">
        <f aca="false">IF(T6=Construction_Yrs+1,DS_DSRA_Balance,0)</f>
        <v>0</v>
      </c>
      <c r="U14" s="47" t="n">
        <f aca="false">IF(U6=Construction_Yrs+1,DS_DSRA_Balance,0)</f>
        <v>0</v>
      </c>
      <c r="V14" s="47" t="n">
        <f aca="false">IF(V6=Construction_Yrs+1,DS_DSRA_Balance,0)</f>
        <v>0</v>
      </c>
      <c r="W14" s="47" t="n">
        <f aca="false">IF(W6=Construction_Yrs+1,DS_DSRA_Balance,0)</f>
        <v>0</v>
      </c>
      <c r="X14" s="47" t="n">
        <f aca="false">IF(X6=Construction_Yrs+1,DS_DSRA_Balance,0)</f>
        <v>0</v>
      </c>
      <c r="Y14" s="47" t="n">
        <f aca="false">IF(Y6=Construction_Yrs+1,DS_DSRA_Balance,0)</f>
        <v>0</v>
      </c>
      <c r="Z14" s="47" t="n">
        <f aca="false">IF(Z6=Construction_Yrs+1,DS_DSRA_Balance,0)</f>
        <v>0</v>
      </c>
      <c r="AA14" s="47" t="n">
        <f aca="false">IF(AA6=Construction_Yrs+1,DS_DSRA_Balance,0)</f>
        <v>0</v>
      </c>
    </row>
    <row r="15" customFormat="false" ht="15" hidden="false" customHeight="false" outlineLevel="0" collapsed="false">
      <c r="A15" s="5"/>
      <c r="B15" s="52" t="s">
        <v>288</v>
      </c>
      <c r="C15" s="53" t="n">
        <f aca="false">C12+C13+C14</f>
        <v>259.90875</v>
      </c>
      <c r="D15" s="53" t="n">
        <f aca="false">D12+D13+D14</f>
        <v>529.635</v>
      </c>
      <c r="E15" s="53" t="n">
        <f aca="false">E12+E13+E14</f>
        <v>635.90625</v>
      </c>
      <c r="F15" s="53" t="n">
        <f aca="false">F12+F13+F14</f>
        <v>398.905</v>
      </c>
      <c r="G15" s="53" t="n">
        <f aca="false">G12+G13+G14</f>
        <v>98.175</v>
      </c>
      <c r="H15" s="53" t="n">
        <f aca="false">H12+H13+H14</f>
        <v>65.45</v>
      </c>
      <c r="I15" s="53" t="n">
        <f aca="false">I12+I13+I14</f>
        <v>65.45</v>
      </c>
      <c r="J15" s="53" t="n">
        <f aca="false">J12+J13+J14</f>
        <v>65.45</v>
      </c>
      <c r="K15" s="53" t="n">
        <f aca="false">K12+K13+K14</f>
        <v>65.45</v>
      </c>
      <c r="L15" s="53" t="n">
        <f aca="false">L12+L13+L14</f>
        <v>65.45</v>
      </c>
      <c r="M15" s="53" t="n">
        <f aca="false">M12+M13+M14</f>
        <v>65.45</v>
      </c>
      <c r="N15" s="53" t="n">
        <f aca="false">N12+N13+N14</f>
        <v>65.45</v>
      </c>
      <c r="O15" s="53" t="n">
        <f aca="false">O12+O13+O14</f>
        <v>65.45</v>
      </c>
      <c r="P15" s="53" t="n">
        <f aca="false">P12+P13+P14</f>
        <v>65.45</v>
      </c>
      <c r="Q15" s="53" t="n">
        <f aca="false">Q12+Q13+Q14</f>
        <v>65.45</v>
      </c>
      <c r="R15" s="53" t="n">
        <f aca="false">R12+R13+R14</f>
        <v>65.45</v>
      </c>
      <c r="S15" s="53" t="n">
        <f aca="false">S12+S13+S14</f>
        <v>65.45</v>
      </c>
      <c r="T15" s="53" t="n">
        <f aca="false">T12+T13+T14</f>
        <v>65.45</v>
      </c>
      <c r="U15" s="53" t="n">
        <f aca="false">U12+U13+U14</f>
        <v>65.45</v>
      </c>
      <c r="V15" s="53" t="n">
        <f aca="false">V12+V13+V14</f>
        <v>65.45</v>
      </c>
      <c r="W15" s="53" t="n">
        <f aca="false">W12+W13+W14</f>
        <v>65.45</v>
      </c>
      <c r="X15" s="53" t="n">
        <f aca="false">X12+X13+X14</f>
        <v>65.45</v>
      </c>
      <c r="Y15" s="53" t="n">
        <f aca="false">Y12+Y13+Y14</f>
        <v>65.45</v>
      </c>
      <c r="Z15" s="53" t="n">
        <f aca="false">Z12+Z13+Z14</f>
        <v>65.45</v>
      </c>
      <c r="AA15" s="53" t="n">
        <f aca="false">AA12+AA13+AA14</f>
        <v>65.45</v>
      </c>
    </row>
    <row r="16" customFormat="false" ht="15" hidden="false" customHeight="false" outlineLevel="0" collapsed="false">
      <c r="A16" s="5"/>
      <c r="B16" s="46" t="s">
        <v>289</v>
      </c>
      <c r="C16" s="47" t="n">
        <f aca="false">C11-C15</f>
        <v>4.04599999999999</v>
      </c>
      <c r="D16" s="47" t="n">
        <f aca="false">D11-D15</f>
        <v>2.61799999999994</v>
      </c>
      <c r="E16" s="47" t="n">
        <f aca="false">E11-E15</f>
        <v>0.951999999999998</v>
      </c>
      <c r="F16" s="47" t="n">
        <f aca="false">F11-F15</f>
        <v>0</v>
      </c>
      <c r="G16" s="47" t="n">
        <f aca="false">G11-G15</f>
        <v>-98.175</v>
      </c>
      <c r="H16" s="47" t="n">
        <f aca="false">H11-H15</f>
        <v>-65.45</v>
      </c>
      <c r="I16" s="47" t="n">
        <f aca="false">I11-I15</f>
        <v>-65.45</v>
      </c>
      <c r="J16" s="47" t="n">
        <f aca="false">J11-J15</f>
        <v>-65.45</v>
      </c>
      <c r="K16" s="47" t="n">
        <f aca="false">K11-K15</f>
        <v>-65.45</v>
      </c>
      <c r="L16" s="47" t="n">
        <f aca="false">L11-L15</f>
        <v>-65.45</v>
      </c>
      <c r="M16" s="47" t="n">
        <f aca="false">M11-M15</f>
        <v>-65.45</v>
      </c>
      <c r="N16" s="47" t="n">
        <f aca="false">N11-N15</f>
        <v>-65.45</v>
      </c>
      <c r="O16" s="47" t="n">
        <f aca="false">O11-O15</f>
        <v>-65.45</v>
      </c>
      <c r="P16" s="47" t="n">
        <f aca="false">P11-P15</f>
        <v>-65.45</v>
      </c>
      <c r="Q16" s="47" t="n">
        <f aca="false">Q11-Q15</f>
        <v>-65.45</v>
      </c>
      <c r="R16" s="47" t="n">
        <f aca="false">R11-R15</f>
        <v>-65.45</v>
      </c>
      <c r="S16" s="47" t="n">
        <f aca="false">S11-S15</f>
        <v>-65.45</v>
      </c>
      <c r="T16" s="47" t="n">
        <f aca="false">T11-T15</f>
        <v>-65.45</v>
      </c>
      <c r="U16" s="47" t="n">
        <f aca="false">U11-U15</f>
        <v>-65.45</v>
      </c>
      <c r="V16" s="47" t="n">
        <f aca="false">V11-V15</f>
        <v>-65.45</v>
      </c>
      <c r="W16" s="47" t="n">
        <f aca="false">W11-W15</f>
        <v>-65.45</v>
      </c>
      <c r="X16" s="47" t="n">
        <f aca="false">X11-X15</f>
        <v>-65.45</v>
      </c>
      <c r="Y16" s="47" t="n">
        <f aca="false">Y11-Y15</f>
        <v>-65.45</v>
      </c>
      <c r="Z16" s="47" t="n">
        <f aca="false">Z11-Z15</f>
        <v>-65.45</v>
      </c>
      <c r="AA16" s="47" t="n">
        <f aca="false">AA11-AA15</f>
        <v>-65.45</v>
      </c>
    </row>
    <row r="17" customFormat="false" ht="15" hidden="false" customHeight="false" outlineLevel="0" collapsed="false">
      <c r="A17" s="5"/>
      <c r="B17" s="5"/>
      <c r="C17" s="5"/>
      <c r="D17" s="5"/>
      <c r="E17" s="5"/>
      <c r="F17" s="5"/>
      <c r="G17" s="5"/>
      <c r="H17" s="5"/>
      <c r="I17" s="5"/>
      <c r="J17" s="5"/>
      <c r="K17" s="5"/>
      <c r="L17" s="5"/>
      <c r="M17" s="5"/>
      <c r="N17" s="5"/>
      <c r="O17" s="5"/>
      <c r="P17" s="5"/>
      <c r="Q17" s="5"/>
      <c r="R17" s="5"/>
      <c r="S17" s="5"/>
      <c r="T17" s="5"/>
      <c r="U17" s="5"/>
      <c r="V17" s="5"/>
      <c r="W17" s="5"/>
      <c r="X17" s="5"/>
      <c r="Y17" s="5"/>
      <c r="Z17" s="5"/>
      <c r="AA17" s="5"/>
    </row>
    <row r="18" customFormat="false" ht="15" hidden="false" customHeight="false" outlineLevel="0" collapsed="false">
      <c r="A18" s="5"/>
      <c r="B18" s="44" t="s">
        <v>290</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row>
    <row r="19" customFormat="false" ht="15" hidden="false" customHeight="false" outlineLevel="0" collapsed="false">
      <c r="A19" s="5"/>
      <c r="B19" s="46" t="s">
        <v>272</v>
      </c>
      <c r="C19" s="47" t="n">
        <f aca="false">IS_EBITDA</f>
        <v>0</v>
      </c>
      <c r="D19" s="47" t="n">
        <f aca="false">IS_EBITDA</f>
        <v>0</v>
      </c>
      <c r="E19" s="47" t="n">
        <f aca="false">IS_EBITDA</f>
        <v>0</v>
      </c>
      <c r="F19" s="47" t="n">
        <f aca="false">IS_EBITDA</f>
        <v>0</v>
      </c>
      <c r="G19" s="47" t="n">
        <f aca="false">IS_EBITDA</f>
        <v>307.377445652174</v>
      </c>
      <c r="H19" s="47" t="n">
        <f aca="false">IS_EBITDA</f>
        <v>320.435828532609</v>
      </c>
      <c r="I19" s="47" t="n">
        <f aca="false">IS_EBITDA</f>
        <v>333.94480903125</v>
      </c>
      <c r="J19" s="47" t="n">
        <f aca="false">IS_EBITDA</f>
        <v>342.249186247031</v>
      </c>
      <c r="K19" s="47" t="n">
        <f aca="false">IS_EBITDA</f>
        <v>306.607772408007</v>
      </c>
      <c r="L19" s="47" t="n">
        <f aca="false">IS_EBITDA</f>
        <v>359.483264806228</v>
      </c>
      <c r="M19" s="47" t="n">
        <f aca="false">IS_EBITDA</f>
        <v>368.423395390228</v>
      </c>
      <c r="N19" s="47" t="n">
        <f aca="false">IS_EBITDA</f>
        <v>377.586090218104</v>
      </c>
      <c r="O19" s="47" t="n">
        <f aca="false">IS_EBITDA</f>
        <v>386.97689461554</v>
      </c>
      <c r="P19" s="47" t="n">
        <f aca="false">IS_EBITDA</f>
        <v>346.646973367845</v>
      </c>
      <c r="Q19" s="47" t="n">
        <f aca="false">IS_EBITDA</f>
        <v>406.465708158414</v>
      </c>
      <c r="R19" s="47" t="n">
        <f aca="false">IS_EBITDA</f>
        <v>416.575513124664</v>
      </c>
      <c r="S19" s="47" t="n">
        <f aca="false">IS_EBITDA</f>
        <v>426.937026460317</v>
      </c>
      <c r="T19" s="47" t="n">
        <f aca="false">IS_EBITDA</f>
        <v>437.556520139511</v>
      </c>
      <c r="U19" s="47" t="n">
        <f aca="false">IS_EBITDA</f>
        <v>391.921469682088</v>
      </c>
      <c r="V19" s="47" t="n">
        <f aca="false">IS_EBITDA</f>
        <v>459.595322249665</v>
      </c>
      <c r="W19" s="47" t="n">
        <f aca="false">IS_EBITDA</f>
        <v>471.027972254819</v>
      </c>
      <c r="X19" s="47" t="n">
        <f aca="false">IS_EBITDA</f>
        <v>482.745293849081</v>
      </c>
      <c r="Y19" s="47" t="n">
        <f aca="false">IS_EBITDA</f>
        <v>494.754380928957</v>
      </c>
      <c r="Z19" s="47" t="n">
        <f aca="false">IS_EBITDA</f>
        <v>443.116496854536</v>
      </c>
      <c r="AA19" s="47" t="n">
        <f aca="false">IS_EBITDA</f>
        <v>519.677115992403</v>
      </c>
    </row>
    <row r="20" customFormat="false" ht="15" hidden="false" customHeight="false" outlineLevel="0" collapsed="false">
      <c r="A20" s="5"/>
      <c r="B20" s="46" t="s">
        <v>291</v>
      </c>
      <c r="C20" s="47" t="n">
        <f aca="false">-IS_Tax</f>
        <v>-0</v>
      </c>
      <c r="D20" s="47" t="n">
        <f aca="false">-IS_Tax</f>
        <v>-0</v>
      </c>
      <c r="E20" s="47" t="n">
        <f aca="false">-IS_Tax</f>
        <v>-0</v>
      </c>
      <c r="F20" s="47" t="n">
        <f aca="false">-IS_Tax</f>
        <v>-0</v>
      </c>
      <c r="G20" s="47" t="n">
        <f aca="false">-IS_Tax</f>
        <v>-44.2249164725673</v>
      </c>
      <c r="H20" s="47" t="n">
        <f aca="false">-IS_Tax</f>
        <v>-47.489512192676</v>
      </c>
      <c r="I20" s="47" t="n">
        <f aca="false">-IS_Tax</f>
        <v>-50.8667573173363</v>
      </c>
      <c r="J20" s="47" t="n">
        <f aca="false">-IS_Tax</f>
        <v>-53.6068833993697</v>
      </c>
      <c r="K20" s="47" t="n">
        <f aca="false">-IS_Tax</f>
        <v>-45.3970834654966</v>
      </c>
      <c r="L20" s="47" t="n">
        <f aca="false">-IS_Tax</f>
        <v>-59.3550405348584</v>
      </c>
      <c r="M20" s="47" t="n">
        <f aca="false">-IS_Tax</f>
        <v>-62.3698067690042</v>
      </c>
      <c r="N20" s="47" t="n">
        <f aca="false">-IS_Tax</f>
        <v>-65.4830994114672</v>
      </c>
      <c r="O20" s="47" t="n">
        <f aca="false">-IS_Tax</f>
        <v>-68.6986634877722</v>
      </c>
      <c r="P20" s="47" t="n">
        <f aca="false">-IS_Tax</f>
        <v>-59.5317786165265</v>
      </c>
      <c r="Q20" s="47" t="n">
        <f aca="false">-IS_Tax</f>
        <v>-75.4524155040843</v>
      </c>
      <c r="R20" s="47" t="n">
        <f aca="false">-IS_Tax</f>
        <v>-78.9989473610076</v>
      </c>
      <c r="S20" s="47" t="n">
        <f aca="false">-IS_Tax</f>
        <v>-82.6644557441262</v>
      </c>
      <c r="T20" s="47" t="n">
        <f aca="false">-IS_Tax</f>
        <v>-86.4535913658366</v>
      </c>
      <c r="U20" s="47" t="n">
        <f aca="false">-IS_Tax</f>
        <v>-76.2414753744979</v>
      </c>
      <c r="V20" s="47" t="n">
        <f aca="false">-IS_Tax</f>
        <v>-97.9995673703418</v>
      </c>
      <c r="W20" s="47" t="n">
        <f aca="false">-IS_Tax</f>
        <v>-102.189627479214</v>
      </c>
      <c r="X20" s="47" t="n">
        <f aca="false">-IS_Tax</f>
        <v>-106.52410985378</v>
      </c>
      <c r="Y20" s="47" t="n">
        <f aca="false">-IS_Tax</f>
        <v>-111.00881695843</v>
      </c>
      <c r="Z20" s="47" t="n">
        <f aca="false">-IS_Tax</f>
        <v>-98.0993459398244</v>
      </c>
      <c r="AA20" s="47" t="n">
        <f aca="false">-IS_Tax</f>
        <v>-121.263813224291</v>
      </c>
    </row>
    <row r="21" customFormat="false" ht="15" hidden="false" customHeight="false" outlineLevel="0" collapsed="false">
      <c r="A21" s="5"/>
      <c r="B21" s="46" t="s">
        <v>292</v>
      </c>
      <c r="C21" s="47" t="n">
        <f aca="false">0</f>
        <v>0</v>
      </c>
      <c r="D21" s="47" t="n">
        <f aca="false">0</f>
        <v>0</v>
      </c>
      <c r="E21" s="47" t="n">
        <f aca="false">0</f>
        <v>0</v>
      </c>
      <c r="F21" s="47" t="n">
        <f aca="false">0</f>
        <v>0</v>
      </c>
      <c r="G21" s="47" t="n">
        <f aca="false">0</f>
        <v>0</v>
      </c>
      <c r="H21" s="47" t="n">
        <f aca="false">0</f>
        <v>0</v>
      </c>
      <c r="I21" s="47" t="n">
        <f aca="false">0</f>
        <v>0</v>
      </c>
      <c r="J21" s="47" t="n">
        <f aca="false">0</f>
        <v>0</v>
      </c>
      <c r="K21" s="47" t="n">
        <f aca="false">0</f>
        <v>0</v>
      </c>
      <c r="L21" s="47" t="n">
        <f aca="false">0</f>
        <v>0</v>
      </c>
      <c r="M21" s="47" t="n">
        <f aca="false">0</f>
        <v>0</v>
      </c>
      <c r="N21" s="47" t="n">
        <f aca="false">0</f>
        <v>0</v>
      </c>
      <c r="O21" s="47" t="n">
        <f aca="false">0</f>
        <v>0</v>
      </c>
      <c r="P21" s="47" t="n">
        <f aca="false">0</f>
        <v>0</v>
      </c>
      <c r="Q21" s="47" t="n">
        <f aca="false">0</f>
        <v>0</v>
      </c>
      <c r="R21" s="47" t="n">
        <f aca="false">0</f>
        <v>0</v>
      </c>
      <c r="S21" s="47" t="n">
        <f aca="false">0</f>
        <v>0</v>
      </c>
      <c r="T21" s="47" t="n">
        <f aca="false">0</f>
        <v>0</v>
      </c>
      <c r="U21" s="47" t="n">
        <f aca="false">0</f>
        <v>0</v>
      </c>
      <c r="V21" s="47" t="n">
        <f aca="false">0</f>
        <v>0</v>
      </c>
      <c r="W21" s="47" t="n">
        <f aca="false">0</f>
        <v>0</v>
      </c>
      <c r="X21" s="47" t="n">
        <f aca="false">0</f>
        <v>0</v>
      </c>
      <c r="Y21" s="47" t="n">
        <f aca="false">0</f>
        <v>0</v>
      </c>
      <c r="Z21" s="47" t="n">
        <f aca="false">0</f>
        <v>0</v>
      </c>
      <c r="AA21" s="47" t="n">
        <f aca="false">0</f>
        <v>0</v>
      </c>
    </row>
    <row r="22" customFormat="false" ht="15" hidden="false" customHeight="false" outlineLevel="0" collapsed="false">
      <c r="A22" s="5"/>
      <c r="B22" s="52" t="s">
        <v>293</v>
      </c>
      <c r="C22" s="53" t="n">
        <f aca="false">C19+C20+C21</f>
        <v>0</v>
      </c>
      <c r="D22" s="53" t="n">
        <f aca="false">D19+D20+D21</f>
        <v>0</v>
      </c>
      <c r="E22" s="53" t="n">
        <f aca="false">E19+E20+E21</f>
        <v>0</v>
      </c>
      <c r="F22" s="53" t="n">
        <f aca="false">F19+F20+F21</f>
        <v>0</v>
      </c>
      <c r="G22" s="53" t="n">
        <f aca="false">G19+G20+G21</f>
        <v>263.152529179607</v>
      </c>
      <c r="H22" s="53" t="n">
        <f aca="false">H19+H20+H21</f>
        <v>272.946316339933</v>
      </c>
      <c r="I22" s="53" t="n">
        <f aca="false">I19+I20+I21</f>
        <v>283.078051713914</v>
      </c>
      <c r="J22" s="53" t="n">
        <f aca="false">J19+J20+J21</f>
        <v>288.642302847661</v>
      </c>
      <c r="K22" s="53" t="n">
        <f aca="false">K19+K20+K21</f>
        <v>261.21068894251</v>
      </c>
      <c r="L22" s="53" t="n">
        <f aca="false">L19+L20+L21</f>
        <v>300.12822427137</v>
      </c>
      <c r="M22" s="53" t="n">
        <f aca="false">M19+M20+M21</f>
        <v>306.053588621223</v>
      </c>
      <c r="N22" s="53" t="n">
        <f aca="false">N19+N20+N21</f>
        <v>312.102990806637</v>
      </c>
      <c r="O22" s="53" t="n">
        <f aca="false">O19+O20+O21</f>
        <v>318.278231127768</v>
      </c>
      <c r="P22" s="53" t="n">
        <f aca="false">P19+P20+P21</f>
        <v>287.115194751318</v>
      </c>
      <c r="Q22" s="53" t="n">
        <f aca="false">Q19+Q20+Q21</f>
        <v>331.01329265433</v>
      </c>
      <c r="R22" s="53" t="n">
        <f aca="false">R19+R20+R21</f>
        <v>337.576565763657</v>
      </c>
      <c r="S22" s="53" t="n">
        <f aca="false">S19+S20+S21</f>
        <v>344.27257071619</v>
      </c>
      <c r="T22" s="53" t="n">
        <f aca="false">T19+T20+T21</f>
        <v>351.102928773674</v>
      </c>
      <c r="U22" s="53" t="n">
        <f aca="false">U19+U20+U21</f>
        <v>315.67999430759</v>
      </c>
      <c r="V22" s="53" t="n">
        <f aca="false">V19+V20+V21</f>
        <v>361.595754879323</v>
      </c>
      <c r="W22" s="53" t="n">
        <f aca="false">W19+W20+W21</f>
        <v>368.838344775605</v>
      </c>
      <c r="X22" s="53" t="n">
        <f aca="false">X19+X20+X21</f>
        <v>376.221183995301</v>
      </c>
      <c r="Y22" s="53" t="n">
        <f aca="false">Y19+Y20+Y21</f>
        <v>383.745563970527</v>
      </c>
      <c r="Z22" s="53" t="n">
        <f aca="false">Z19+Z20+Z21</f>
        <v>345.017150914711</v>
      </c>
      <c r="AA22" s="53" t="n">
        <f aca="false">AA19+AA20+AA21</f>
        <v>398.413302768112</v>
      </c>
    </row>
    <row r="23" customFormat="false" ht="15" hidden="false" customHeight="false" outlineLevel="0" collapsed="false">
      <c r="A23" s="5"/>
      <c r="B23" s="5"/>
      <c r="C23" s="5"/>
      <c r="D23" s="5"/>
      <c r="E23" s="5"/>
      <c r="F23" s="5"/>
      <c r="G23" s="5"/>
      <c r="H23" s="5"/>
      <c r="I23" s="5"/>
      <c r="J23" s="5"/>
      <c r="K23" s="5"/>
      <c r="L23" s="5"/>
      <c r="M23" s="5"/>
      <c r="N23" s="5"/>
      <c r="O23" s="5"/>
      <c r="P23" s="5"/>
      <c r="Q23" s="5"/>
      <c r="R23" s="5"/>
      <c r="S23" s="5"/>
      <c r="T23" s="5"/>
      <c r="U23" s="5"/>
      <c r="V23" s="5"/>
      <c r="W23" s="5"/>
      <c r="X23" s="5"/>
      <c r="Y23" s="5"/>
      <c r="Z23" s="5"/>
      <c r="AA23" s="5"/>
    </row>
    <row r="24" customFormat="false" ht="15" hidden="false" customHeight="false" outlineLevel="0" collapsed="false">
      <c r="A24" s="5"/>
      <c r="B24" s="44" t="s">
        <v>294</v>
      </c>
      <c r="C24" s="45"/>
      <c r="D24" s="45"/>
      <c r="E24" s="45"/>
      <c r="F24" s="45"/>
      <c r="G24" s="45"/>
      <c r="H24" s="45"/>
      <c r="I24" s="45"/>
      <c r="J24" s="45"/>
      <c r="K24" s="45"/>
      <c r="L24" s="45"/>
      <c r="M24" s="45"/>
      <c r="N24" s="45"/>
      <c r="O24" s="45"/>
      <c r="P24" s="45"/>
      <c r="Q24" s="45"/>
      <c r="R24" s="45"/>
      <c r="S24" s="45"/>
      <c r="T24" s="45"/>
      <c r="U24" s="45"/>
      <c r="V24" s="45"/>
      <c r="W24" s="45"/>
      <c r="X24" s="45"/>
      <c r="Y24" s="45"/>
      <c r="Z24" s="45"/>
      <c r="AA24" s="45"/>
    </row>
    <row r="25" customFormat="false" ht="15" hidden="false" customHeight="false" outlineLevel="0" collapsed="false">
      <c r="A25" s="5"/>
      <c r="B25" s="46" t="s">
        <v>295</v>
      </c>
      <c r="C25" s="47" t="n">
        <f aca="false">-CON_Base_Total</f>
        <v>-255</v>
      </c>
      <c r="D25" s="47" t="n">
        <f aca="false">-CON_Base_Total</f>
        <v>-510</v>
      </c>
      <c r="E25" s="47" t="n">
        <f aca="false">-CON_Base_Total</f>
        <v>-595</v>
      </c>
      <c r="F25" s="47" t="n">
        <f aca="false">-CON_Base_Total</f>
        <v>-340</v>
      </c>
      <c r="G25" s="47" t="n">
        <f aca="false">-CON_Base_Total</f>
        <v>-0</v>
      </c>
      <c r="H25" s="47" t="n">
        <f aca="false">-CON_Base_Total</f>
        <v>-0</v>
      </c>
      <c r="I25" s="47" t="n">
        <f aca="false">-CON_Base_Total</f>
        <v>-0</v>
      </c>
      <c r="J25" s="47" t="n">
        <f aca="false">-CON_Base_Total</f>
        <v>-0</v>
      </c>
      <c r="K25" s="47" t="n">
        <f aca="false">-CON_Base_Total</f>
        <v>-0</v>
      </c>
      <c r="L25" s="47" t="n">
        <f aca="false">-CON_Base_Total</f>
        <v>-0</v>
      </c>
      <c r="M25" s="47" t="n">
        <f aca="false">-CON_Base_Total</f>
        <v>-0</v>
      </c>
      <c r="N25" s="47" t="n">
        <f aca="false">-CON_Base_Total</f>
        <v>-0</v>
      </c>
      <c r="O25" s="47" t="n">
        <f aca="false">-CON_Base_Total</f>
        <v>-0</v>
      </c>
      <c r="P25" s="47" t="n">
        <f aca="false">-CON_Base_Total</f>
        <v>-0</v>
      </c>
      <c r="Q25" s="47" t="n">
        <f aca="false">-CON_Base_Total</f>
        <v>-0</v>
      </c>
      <c r="R25" s="47" t="n">
        <f aca="false">-CON_Base_Total</f>
        <v>-0</v>
      </c>
      <c r="S25" s="47" t="n">
        <f aca="false">-CON_Base_Total</f>
        <v>-0</v>
      </c>
      <c r="T25" s="47" t="n">
        <f aca="false">-CON_Base_Total</f>
        <v>-0</v>
      </c>
      <c r="U25" s="47" t="n">
        <f aca="false">-CON_Base_Total</f>
        <v>-0</v>
      </c>
      <c r="V25" s="47" t="n">
        <f aca="false">-CON_Base_Total</f>
        <v>-0</v>
      </c>
      <c r="W25" s="47" t="n">
        <f aca="false">-CON_Base_Total</f>
        <v>-0</v>
      </c>
      <c r="X25" s="47" t="n">
        <f aca="false">-CON_Base_Total</f>
        <v>-0</v>
      </c>
      <c r="Y25" s="47" t="n">
        <f aca="false">-CON_Base_Total</f>
        <v>-0</v>
      </c>
      <c r="Z25" s="47" t="n">
        <f aca="false">-CON_Base_Total</f>
        <v>-0</v>
      </c>
      <c r="AA25" s="47" t="n">
        <f aca="false">-CON_Base_Total</f>
        <v>-0</v>
      </c>
    </row>
    <row r="26" customFormat="false" ht="15" hidden="false" customHeight="false" outlineLevel="0" collapsed="false">
      <c r="A26" s="5"/>
      <c r="B26" s="46" t="s">
        <v>296</v>
      </c>
      <c r="C26" s="47" t="n">
        <f aca="false">-OC_Maintenance</f>
        <v>-0</v>
      </c>
      <c r="D26" s="47" t="n">
        <f aca="false">-OC_Maintenance</f>
        <v>-0</v>
      </c>
      <c r="E26" s="47" t="n">
        <f aca="false">-OC_Maintenance</f>
        <v>-0</v>
      </c>
      <c r="F26" s="47" t="n">
        <f aca="false">-OC_Maintenance</f>
        <v>-0</v>
      </c>
      <c r="G26" s="47" t="n">
        <f aca="false">-OC_Maintenance</f>
        <v>-25.5</v>
      </c>
      <c r="H26" s="47" t="n">
        <f aca="false">-OC_Maintenance</f>
        <v>-26.1375</v>
      </c>
      <c r="I26" s="47" t="n">
        <f aca="false">-OC_Maintenance</f>
        <v>-26.7909375</v>
      </c>
      <c r="J26" s="47" t="n">
        <f aca="false">-OC_Maintenance</f>
        <v>-27.4607109375</v>
      </c>
      <c r="K26" s="47" t="n">
        <f aca="false">-OC_Maintenance</f>
        <v>-28.1472287109375</v>
      </c>
      <c r="L26" s="47" t="n">
        <f aca="false">-OC_Maintenance</f>
        <v>-28.8509094287109</v>
      </c>
      <c r="M26" s="47" t="n">
        <f aca="false">-OC_Maintenance</f>
        <v>-29.5721821644287</v>
      </c>
      <c r="N26" s="47" t="n">
        <f aca="false">-OC_Maintenance</f>
        <v>-30.3114867185394</v>
      </c>
      <c r="O26" s="47" t="n">
        <f aca="false">-OC_Maintenance</f>
        <v>-31.0692738865029</v>
      </c>
      <c r="P26" s="47" t="n">
        <f aca="false">-OC_Maintenance</f>
        <v>-31.8460057336655</v>
      </c>
      <c r="Q26" s="47" t="n">
        <f aca="false">-OC_Maintenance</f>
        <v>-32.6421558770071</v>
      </c>
      <c r="R26" s="47" t="n">
        <f aca="false">-OC_Maintenance</f>
        <v>-33.4582097739323</v>
      </c>
      <c r="S26" s="47" t="n">
        <f aca="false">-OC_Maintenance</f>
        <v>-34.2946650182806</v>
      </c>
      <c r="T26" s="47" t="n">
        <f aca="false">-OC_Maintenance</f>
        <v>-35.1520316437376</v>
      </c>
      <c r="U26" s="47" t="n">
        <f aca="false">-OC_Maintenance</f>
        <v>-36.030832434831</v>
      </c>
      <c r="V26" s="47" t="n">
        <f aca="false">-OC_Maintenance</f>
        <v>-36.9316032457018</v>
      </c>
      <c r="W26" s="47" t="n">
        <f aca="false">-OC_Maintenance</f>
        <v>-37.8548933268443</v>
      </c>
      <c r="X26" s="47" t="n">
        <f aca="false">-OC_Maintenance</f>
        <v>-38.8012656600154</v>
      </c>
      <c r="Y26" s="47" t="n">
        <f aca="false">-OC_Maintenance</f>
        <v>-39.7712973015158</v>
      </c>
      <c r="Z26" s="47" t="n">
        <f aca="false">-OC_Maintenance</f>
        <v>-40.7655797340537</v>
      </c>
      <c r="AA26" s="47" t="n">
        <f aca="false">-OC_Maintenance</f>
        <v>-41.7847192274051</v>
      </c>
    </row>
    <row r="27" customFormat="false" ht="15" hidden="false" customHeight="false" outlineLevel="0" collapsed="false">
      <c r="A27" s="5"/>
      <c r="B27" s="52" t="s">
        <v>297</v>
      </c>
      <c r="C27" s="53" t="n">
        <f aca="false">C25+C26</f>
        <v>-255</v>
      </c>
      <c r="D27" s="53" t="n">
        <f aca="false">D25+D26</f>
        <v>-510</v>
      </c>
      <c r="E27" s="53" t="n">
        <f aca="false">E25+E26</f>
        <v>-595</v>
      </c>
      <c r="F27" s="53" t="n">
        <f aca="false">F25+F26</f>
        <v>-340</v>
      </c>
      <c r="G27" s="53" t="n">
        <f aca="false">G25+G26</f>
        <v>-25.5</v>
      </c>
      <c r="H27" s="53" t="n">
        <f aca="false">H25+H26</f>
        <v>-26.1375</v>
      </c>
      <c r="I27" s="53" t="n">
        <f aca="false">I25+I26</f>
        <v>-26.7909375</v>
      </c>
      <c r="J27" s="53" t="n">
        <f aca="false">J25+J26</f>
        <v>-27.4607109375</v>
      </c>
      <c r="K27" s="53" t="n">
        <f aca="false">K25+K26</f>
        <v>-28.1472287109375</v>
      </c>
      <c r="L27" s="53" t="n">
        <f aca="false">L25+L26</f>
        <v>-28.8509094287109</v>
      </c>
      <c r="M27" s="53" t="n">
        <f aca="false">M25+M26</f>
        <v>-29.5721821644287</v>
      </c>
      <c r="N27" s="53" t="n">
        <f aca="false">N25+N26</f>
        <v>-30.3114867185394</v>
      </c>
      <c r="O27" s="53" t="n">
        <f aca="false">O25+O26</f>
        <v>-31.0692738865029</v>
      </c>
      <c r="P27" s="53" t="n">
        <f aca="false">P25+P26</f>
        <v>-31.8460057336655</v>
      </c>
      <c r="Q27" s="53" t="n">
        <f aca="false">Q25+Q26</f>
        <v>-32.6421558770071</v>
      </c>
      <c r="R27" s="53" t="n">
        <f aca="false">R25+R26</f>
        <v>-33.4582097739323</v>
      </c>
      <c r="S27" s="53" t="n">
        <f aca="false">S25+S26</f>
        <v>-34.2946650182806</v>
      </c>
      <c r="T27" s="53" t="n">
        <f aca="false">T25+T26</f>
        <v>-35.1520316437376</v>
      </c>
      <c r="U27" s="53" t="n">
        <f aca="false">U25+U26</f>
        <v>-36.030832434831</v>
      </c>
      <c r="V27" s="53" t="n">
        <f aca="false">V25+V26</f>
        <v>-36.9316032457018</v>
      </c>
      <c r="W27" s="53" t="n">
        <f aca="false">W25+W26</f>
        <v>-37.8548933268443</v>
      </c>
      <c r="X27" s="53" t="n">
        <f aca="false">X25+X26</f>
        <v>-38.8012656600154</v>
      </c>
      <c r="Y27" s="53" t="n">
        <f aca="false">Y25+Y26</f>
        <v>-39.7712973015158</v>
      </c>
      <c r="Z27" s="53" t="n">
        <f aca="false">Z25+Z26</f>
        <v>-40.7655797340537</v>
      </c>
      <c r="AA27" s="53" t="n">
        <f aca="false">AA25+AA26</f>
        <v>-41.7847192274051</v>
      </c>
    </row>
    <row r="28" customFormat="false" ht="15" hidden="false" customHeight="false" outlineLevel="0" collapsed="false">
      <c r="A28" s="5"/>
      <c r="B28" s="5"/>
      <c r="C28" s="5"/>
      <c r="D28" s="5"/>
      <c r="E28" s="5"/>
      <c r="F28" s="5"/>
      <c r="G28" s="5"/>
      <c r="H28" s="5"/>
      <c r="I28" s="5"/>
      <c r="J28" s="5"/>
      <c r="K28" s="5"/>
      <c r="L28" s="5"/>
      <c r="M28" s="5"/>
      <c r="N28" s="5"/>
      <c r="O28" s="5"/>
      <c r="P28" s="5"/>
      <c r="Q28" s="5"/>
      <c r="R28" s="5"/>
      <c r="S28" s="5"/>
      <c r="T28" s="5"/>
      <c r="U28" s="5"/>
      <c r="V28" s="5"/>
      <c r="W28" s="5"/>
      <c r="X28" s="5"/>
      <c r="Y28" s="5"/>
      <c r="Z28" s="5"/>
      <c r="AA28" s="5"/>
    </row>
    <row r="29" customFormat="false" ht="15" hidden="false" customHeight="false" outlineLevel="0" collapsed="false">
      <c r="A29" s="5"/>
      <c r="B29" s="44" t="s">
        <v>298</v>
      </c>
      <c r="C29" s="45"/>
      <c r="D29" s="45"/>
      <c r="E29" s="45"/>
      <c r="F29" s="45"/>
      <c r="G29" s="45"/>
      <c r="H29" s="45"/>
      <c r="I29" s="45"/>
      <c r="J29" s="45"/>
      <c r="K29" s="45"/>
      <c r="L29" s="45"/>
      <c r="M29" s="45"/>
      <c r="N29" s="45"/>
      <c r="O29" s="45"/>
      <c r="P29" s="45"/>
      <c r="Q29" s="45"/>
      <c r="R29" s="45"/>
      <c r="S29" s="45"/>
      <c r="T29" s="45"/>
      <c r="U29" s="45"/>
      <c r="V29" s="45"/>
      <c r="W29" s="45"/>
      <c r="X29" s="45"/>
      <c r="Y29" s="45"/>
      <c r="Z29" s="45"/>
      <c r="AA29" s="45"/>
    </row>
    <row r="30" customFormat="false" ht="15" hidden="false" customHeight="false" outlineLevel="0" collapsed="false">
      <c r="A30" s="5"/>
      <c r="B30" s="46" t="s">
        <v>299</v>
      </c>
      <c r="C30" s="47" t="n">
        <f aca="false">IF(C6&lt;=Construction_Yrs,Total_Base_Capex*Equity_Pct*Construction!C26+DS_Interest+DS_Commit_Fee,0)</f>
        <v>85.45475</v>
      </c>
      <c r="D30" s="47" t="n">
        <f aca="false">IF(D6&lt;=Construction_Yrs,Total_Base_Capex*Equity_Pct*Construction!D26+DS_Interest+DS_Commit_Fee,0)</f>
        <v>175.253</v>
      </c>
      <c r="E30" s="47" t="n">
        <f aca="false">IF(E6&lt;=Construction_Yrs,Total_Base_Capex*Equity_Pct*Construction!E26+DS_Interest+DS_Commit_Fee,0)</f>
        <v>220.35825</v>
      </c>
      <c r="F30" s="47" t="n">
        <f aca="false">IF(F6&lt;=Construction_Yrs,Total_Base_Capex*Equity_Pct*Construction!F26+DS_Interest+DS_Commit_Fee,0)</f>
        <v>160.905</v>
      </c>
      <c r="G30" s="47" t="n">
        <f aca="false">IF(G6&lt;=Construction_Yrs,Total_Base_Capex*Equity_Pct*Construction!G26+DS_Interest+DS_Commit_Fee,0)</f>
        <v>0</v>
      </c>
      <c r="H30" s="47" t="n">
        <f aca="false">IF(H6&lt;=Construction_Yrs,Total_Base_Capex*Equity_Pct*Construction!H26+DS_Interest+DS_Commit_Fee,0)</f>
        <v>0</v>
      </c>
      <c r="I30" s="47" t="n">
        <f aca="false">IF(I6&lt;=Construction_Yrs,Total_Base_Capex*Equity_Pct*Construction!I26+DS_Interest+DS_Commit_Fee,0)</f>
        <v>0</v>
      </c>
      <c r="J30" s="47" t="n">
        <f aca="false">IF(J6&lt;=Construction_Yrs,Total_Base_Capex*Equity_Pct*Construction!J26+DS_Interest+DS_Commit_Fee,0)</f>
        <v>0</v>
      </c>
      <c r="K30" s="47" t="n">
        <f aca="false">IF(K6&lt;=Construction_Yrs,Total_Base_Capex*Equity_Pct*Construction!K26+DS_Interest+DS_Commit_Fee,0)</f>
        <v>0</v>
      </c>
      <c r="L30" s="47" t="n">
        <f aca="false">IF(L6&lt;=Construction_Yrs,Total_Base_Capex*Equity_Pct*Construction!L26+DS_Interest+DS_Commit_Fee,0)</f>
        <v>0</v>
      </c>
      <c r="M30" s="47" t="n">
        <f aca="false">IF(M6&lt;=Construction_Yrs,Total_Base_Capex*Equity_Pct*Construction!M26+DS_Interest+DS_Commit_Fee,0)</f>
        <v>0</v>
      </c>
      <c r="N30" s="47" t="n">
        <f aca="false">IF(N6&lt;=Construction_Yrs,Total_Base_Capex*Equity_Pct*Construction!N26+DS_Interest+DS_Commit_Fee,0)</f>
        <v>0</v>
      </c>
      <c r="O30" s="47" t="n">
        <f aca="false">IF(O6&lt;=Construction_Yrs,Total_Base_Capex*Equity_Pct*Construction!O26+DS_Interest+DS_Commit_Fee,0)</f>
        <v>0</v>
      </c>
      <c r="P30" s="47" t="n">
        <f aca="false">IF(P6&lt;=Construction_Yrs,Total_Base_Capex*Equity_Pct*Construction!P26+DS_Interest+DS_Commit_Fee,0)</f>
        <v>0</v>
      </c>
      <c r="Q30" s="47" t="n">
        <f aca="false">IF(Q6&lt;=Construction_Yrs,Total_Base_Capex*Equity_Pct*Construction!Q26+DS_Interest+DS_Commit_Fee,0)</f>
        <v>0</v>
      </c>
      <c r="R30" s="47" t="n">
        <f aca="false">IF(R6&lt;=Construction_Yrs,Total_Base_Capex*Equity_Pct*Construction!R26+DS_Interest+DS_Commit_Fee,0)</f>
        <v>0</v>
      </c>
      <c r="S30" s="47" t="n">
        <f aca="false">IF(S6&lt;=Construction_Yrs,Total_Base_Capex*Equity_Pct*Construction!S26+DS_Interest+DS_Commit_Fee,0)</f>
        <v>0</v>
      </c>
      <c r="T30" s="47" t="n">
        <f aca="false">IF(T6&lt;=Construction_Yrs,Total_Base_Capex*Equity_Pct*Construction!T26+DS_Interest+DS_Commit_Fee,0)</f>
        <v>0</v>
      </c>
      <c r="U30" s="47" t="n">
        <f aca="false">IF(U6&lt;=Construction_Yrs,Total_Base_Capex*Equity_Pct*Construction!U26+DS_Interest+DS_Commit_Fee,0)</f>
        <v>0</v>
      </c>
      <c r="V30" s="47" t="n">
        <f aca="false">IF(V6&lt;=Construction_Yrs,Total_Base_Capex*Equity_Pct*Construction!V26+DS_Interest+DS_Commit_Fee,0)</f>
        <v>0</v>
      </c>
      <c r="W30" s="47" t="n">
        <f aca="false">IF(W6&lt;=Construction_Yrs,Total_Base_Capex*Equity_Pct*Construction!W26+DS_Interest+DS_Commit_Fee,0)</f>
        <v>0</v>
      </c>
      <c r="X30" s="47" t="n">
        <f aca="false">IF(X6&lt;=Construction_Yrs,Total_Base_Capex*Equity_Pct*Construction!X26+DS_Interest+DS_Commit_Fee,0)</f>
        <v>0</v>
      </c>
      <c r="Y30" s="47" t="n">
        <f aca="false">IF(Y6&lt;=Construction_Yrs,Total_Base_Capex*Equity_Pct*Construction!Y26+DS_Interest+DS_Commit_Fee,0)</f>
        <v>0</v>
      </c>
      <c r="Z30" s="47" t="n">
        <f aca="false">IF(Z6&lt;=Construction_Yrs,Total_Base_Capex*Equity_Pct*Construction!Z26+DS_Interest+DS_Commit_Fee,0)</f>
        <v>0</v>
      </c>
      <c r="AA30" s="47" t="n">
        <f aca="false">IF(AA6&lt;=Construction_Yrs,Total_Base_Capex*Equity_Pct*Construction!AA26+DS_Interest+DS_Commit_Fee,0)</f>
        <v>0</v>
      </c>
    </row>
    <row r="31" customFormat="false" ht="15" hidden="false" customHeight="false" outlineLevel="0" collapsed="false">
      <c r="A31" s="5"/>
      <c r="B31" s="46" t="s">
        <v>300</v>
      </c>
      <c r="C31" s="47" t="n">
        <f aca="false">DS_Drawdown</f>
        <v>178.5</v>
      </c>
      <c r="D31" s="47" t="n">
        <f aca="false">DS_Drawdown</f>
        <v>357</v>
      </c>
      <c r="E31" s="47" t="n">
        <f aca="false">DS_Drawdown</f>
        <v>416.5</v>
      </c>
      <c r="F31" s="47" t="n">
        <f aca="false">DS_Drawdown</f>
        <v>238</v>
      </c>
      <c r="G31" s="47" t="n">
        <f aca="false">DS_Drawdown</f>
        <v>0</v>
      </c>
      <c r="H31" s="47" t="n">
        <f aca="false">DS_Drawdown</f>
        <v>0</v>
      </c>
      <c r="I31" s="47" t="n">
        <f aca="false">DS_Drawdown</f>
        <v>0</v>
      </c>
      <c r="J31" s="47" t="n">
        <f aca="false">DS_Drawdown</f>
        <v>0</v>
      </c>
      <c r="K31" s="47" t="n">
        <f aca="false">DS_Drawdown</f>
        <v>0</v>
      </c>
      <c r="L31" s="47" t="n">
        <f aca="false">DS_Drawdown</f>
        <v>0</v>
      </c>
      <c r="M31" s="47" t="n">
        <f aca="false">DS_Drawdown</f>
        <v>0</v>
      </c>
      <c r="N31" s="47" t="n">
        <f aca="false">DS_Drawdown</f>
        <v>0</v>
      </c>
      <c r="O31" s="47" t="n">
        <f aca="false">DS_Drawdown</f>
        <v>0</v>
      </c>
      <c r="P31" s="47" t="n">
        <f aca="false">DS_Drawdown</f>
        <v>0</v>
      </c>
      <c r="Q31" s="47" t="n">
        <f aca="false">DS_Drawdown</f>
        <v>0</v>
      </c>
      <c r="R31" s="47" t="n">
        <f aca="false">DS_Drawdown</f>
        <v>0</v>
      </c>
      <c r="S31" s="47" t="n">
        <f aca="false">DS_Drawdown</f>
        <v>0</v>
      </c>
      <c r="T31" s="47" t="n">
        <f aca="false">DS_Drawdown</f>
        <v>0</v>
      </c>
      <c r="U31" s="47" t="n">
        <f aca="false">DS_Drawdown</f>
        <v>0</v>
      </c>
      <c r="V31" s="47" t="n">
        <f aca="false">DS_Drawdown</f>
        <v>0</v>
      </c>
      <c r="W31" s="47" t="n">
        <f aca="false">DS_Drawdown</f>
        <v>0</v>
      </c>
      <c r="X31" s="47" t="n">
        <f aca="false">DS_Drawdown</f>
        <v>0</v>
      </c>
      <c r="Y31" s="47" t="n">
        <f aca="false">DS_Drawdown</f>
        <v>0</v>
      </c>
      <c r="Z31" s="47" t="n">
        <f aca="false">DS_Drawdown</f>
        <v>0</v>
      </c>
      <c r="AA31" s="47" t="n">
        <f aca="false">DS_Drawdown</f>
        <v>0</v>
      </c>
    </row>
    <row r="32" customFormat="false" ht="15" hidden="false" customHeight="false" outlineLevel="0" collapsed="false">
      <c r="A32" s="5"/>
      <c r="B32" s="46" t="s">
        <v>301</v>
      </c>
      <c r="C32" s="47" t="n">
        <f aca="false">-DS_Principal</f>
        <v>-0</v>
      </c>
      <c r="D32" s="47" t="n">
        <f aca="false">-DS_Principal</f>
        <v>-0</v>
      </c>
      <c r="E32" s="47" t="n">
        <f aca="false">-DS_Principal</f>
        <v>-0</v>
      </c>
      <c r="F32" s="47" t="n">
        <f aca="false">-DS_Principal</f>
        <v>-0</v>
      </c>
      <c r="G32" s="47" t="n">
        <f aca="false">-DS_Principal</f>
        <v>-0</v>
      </c>
      <c r="H32" s="47" t="n">
        <f aca="false">-DS_Principal</f>
        <v>-0</v>
      </c>
      <c r="I32" s="47" t="n">
        <f aca="false">-DS_Principal</f>
        <v>-48.2932202245898</v>
      </c>
      <c r="J32" s="47" t="n">
        <f aca="false">-DS_Principal</f>
        <v>-50.9493473369423</v>
      </c>
      <c r="K32" s="47" t="n">
        <f aca="false">-DS_Principal</f>
        <v>-53.7515614404741</v>
      </c>
      <c r="L32" s="47" t="n">
        <f aca="false">-DS_Principal</f>
        <v>-56.7078973197002</v>
      </c>
      <c r="M32" s="47" t="n">
        <f aca="false">-DS_Principal</f>
        <v>-59.8268316722836</v>
      </c>
      <c r="N32" s="47" t="n">
        <f aca="false">-DS_Principal</f>
        <v>-63.1173074142593</v>
      </c>
      <c r="O32" s="47" t="n">
        <f aca="false">-DS_Principal</f>
        <v>-66.5887593220435</v>
      </c>
      <c r="P32" s="47" t="n">
        <f aca="false">-DS_Principal</f>
        <v>-70.2511410847559</v>
      </c>
      <c r="Q32" s="47" t="n">
        <f aca="false">-DS_Principal</f>
        <v>-74.1149538444175</v>
      </c>
      <c r="R32" s="47" t="n">
        <f aca="false">-DS_Principal</f>
        <v>-78.1912763058604</v>
      </c>
      <c r="S32" s="47" t="n">
        <f aca="false">-DS_Principal</f>
        <v>-82.4917965026827</v>
      </c>
      <c r="T32" s="47" t="n">
        <f aca="false">-DS_Principal</f>
        <v>-87.0288453103303</v>
      </c>
      <c r="U32" s="47" t="n">
        <f aca="false">-DS_Principal</f>
        <v>-91.8154318023985</v>
      </c>
      <c r="V32" s="47" t="n">
        <f aca="false">-DS_Principal</f>
        <v>-96.8652805515304</v>
      </c>
      <c r="W32" s="47" t="n">
        <f aca="false">-DS_Principal</f>
        <v>-102.192870981865</v>
      </c>
      <c r="X32" s="47" t="n">
        <f aca="false">-DS_Principal</f>
        <v>-107.813478885867</v>
      </c>
      <c r="Y32" s="47" t="n">
        <f aca="false">-DS_Principal</f>
        <v>-0</v>
      </c>
      <c r="Z32" s="47" t="n">
        <f aca="false">-DS_Principal</f>
        <v>-0</v>
      </c>
      <c r="AA32" s="47" t="n">
        <f aca="false">-DS_Principal</f>
        <v>-0</v>
      </c>
    </row>
    <row r="33" customFormat="false" ht="15" hidden="false" customHeight="false" outlineLevel="0" collapsed="false">
      <c r="A33" s="5"/>
      <c r="B33" s="46" t="s">
        <v>302</v>
      </c>
      <c r="C33" s="47" t="n">
        <f aca="false">-DS_Interest-DS_Commit_Fee</f>
        <v>-8.95475</v>
      </c>
      <c r="D33" s="47" t="n">
        <f aca="false">-DS_Interest-DS_Commit_Fee</f>
        <v>-22.253</v>
      </c>
      <c r="E33" s="47" t="n">
        <f aca="false">-DS_Interest-DS_Commit_Fee</f>
        <v>-41.85825</v>
      </c>
      <c r="F33" s="47" t="n">
        <f aca="false">-DS_Interest-DS_Commit_Fee</f>
        <v>-58.905</v>
      </c>
      <c r="G33" s="47" t="n">
        <f aca="false">-DS_Interest-DS_Commit_Fee</f>
        <v>-65.45</v>
      </c>
      <c r="H33" s="47" t="n">
        <f aca="false">-DS_Interest-DS_Commit_Fee</f>
        <v>-65.45</v>
      </c>
      <c r="I33" s="47" t="n">
        <f aca="false">-DS_Interest-DS_Commit_Fee</f>
        <v>-65.45</v>
      </c>
      <c r="J33" s="47" t="n">
        <f aca="false">-DS_Interest-DS_Commit_Fee</f>
        <v>-62.7938728876476</v>
      </c>
      <c r="K33" s="47" t="n">
        <f aca="false">-DS_Interest-DS_Commit_Fee</f>
        <v>-59.9916587841157</v>
      </c>
      <c r="L33" s="47" t="n">
        <f aca="false">-DS_Interest-DS_Commit_Fee</f>
        <v>-57.0353229048897</v>
      </c>
      <c r="M33" s="47" t="n">
        <f aca="false">-DS_Interest-DS_Commit_Fee</f>
        <v>-53.9163885523062</v>
      </c>
      <c r="N33" s="47" t="n">
        <f aca="false">-DS_Interest-DS_Commit_Fee</f>
        <v>-50.6259128103306</v>
      </c>
      <c r="O33" s="47" t="n">
        <f aca="false">-DS_Interest-DS_Commit_Fee</f>
        <v>-47.1544609025463</v>
      </c>
      <c r="P33" s="47" t="n">
        <f aca="false">-DS_Interest-DS_Commit_Fee</f>
        <v>-43.4920791398339</v>
      </c>
      <c r="Q33" s="47" t="n">
        <f aca="false">-DS_Interest-DS_Commit_Fee</f>
        <v>-39.6282663801723</v>
      </c>
      <c r="R33" s="47" t="n">
        <f aca="false">-DS_Interest-DS_Commit_Fee</f>
        <v>-35.5519439187294</v>
      </c>
      <c r="S33" s="47" t="n">
        <f aca="false">-DS_Interest-DS_Commit_Fee</f>
        <v>-31.251423721907</v>
      </c>
      <c r="T33" s="47" t="n">
        <f aca="false">-DS_Interest-DS_Commit_Fee</f>
        <v>-26.7143749142595</v>
      </c>
      <c r="U33" s="47" t="n">
        <f aca="false">-DS_Interest-DS_Commit_Fee</f>
        <v>-21.9277884221913</v>
      </c>
      <c r="V33" s="47" t="n">
        <f aca="false">-DS_Interest-DS_Commit_Fee</f>
        <v>-16.8779396730594</v>
      </c>
      <c r="W33" s="47" t="n">
        <f aca="false">-DS_Interest-DS_Commit_Fee</f>
        <v>-11.5503492427252</v>
      </c>
      <c r="X33" s="47" t="n">
        <f aca="false">-DS_Interest-DS_Commit_Fee</f>
        <v>-5.92974133872269</v>
      </c>
      <c r="Y33" s="47" t="n">
        <f aca="false">-DS_Interest-DS_Commit_Fee</f>
        <v>-0</v>
      </c>
      <c r="Z33" s="47" t="n">
        <f aca="false">-DS_Interest-DS_Commit_Fee</f>
        <v>-0</v>
      </c>
      <c r="AA33" s="47" t="n">
        <f aca="false">-DS_Interest-DS_Commit_Fee</f>
        <v>-0</v>
      </c>
    </row>
    <row r="34" customFormat="false" ht="15" hidden="false" customHeight="false" outlineLevel="0" collapsed="false">
      <c r="A34" s="5"/>
      <c r="B34" s="46" t="s">
        <v>303</v>
      </c>
      <c r="C34" s="47" t="n">
        <f aca="false">-Debt_Schedule!C28</f>
        <v>-0</v>
      </c>
      <c r="D34" s="47" t="n">
        <f aca="false">-(Debt_Schedule!D28-Debt_Schedule!C28)</f>
        <v>-0</v>
      </c>
      <c r="E34" s="47" t="n">
        <f aca="false">-(Debt_Schedule!E28-Debt_Schedule!D28)</f>
        <v>-0</v>
      </c>
      <c r="F34" s="47" t="n">
        <f aca="false">-(Debt_Schedule!F28-Debt_Schedule!E28)</f>
        <v>-0</v>
      </c>
      <c r="G34" s="47" t="n">
        <f aca="false">-(Debt_Schedule!G28-Debt_Schedule!F28)</f>
        <v>-32.725</v>
      </c>
      <c r="H34" s="47" t="n">
        <f aca="false">-(Debt_Schedule!H28-Debt_Schedule!G28)</f>
        <v>-0</v>
      </c>
      <c r="I34" s="47" t="n">
        <f aca="false">-(Debt_Schedule!I28-Debt_Schedule!H28)</f>
        <v>-24.1466101122949</v>
      </c>
      <c r="J34" s="47" t="n">
        <f aca="false">-(Debt_Schedule!J28-Debt_Schedule!I28)</f>
        <v>-0</v>
      </c>
      <c r="K34" s="47" t="n">
        <f aca="false">-(Debt_Schedule!K28-Debt_Schedule!J28)</f>
        <v>-0</v>
      </c>
      <c r="L34" s="47" t="n">
        <f aca="false">-(Debt_Schedule!L28-Debt_Schedule!K28)</f>
        <v>-0</v>
      </c>
      <c r="M34" s="47" t="n">
        <f aca="false">-(Debt_Schedule!M28-Debt_Schedule!L28)</f>
        <v>-0</v>
      </c>
      <c r="N34" s="47" t="n">
        <f aca="false">-(Debt_Schedule!N28-Debt_Schedule!M28)</f>
        <v>-0</v>
      </c>
      <c r="O34" s="47" t="n">
        <f aca="false">-(Debt_Schedule!O28-Debt_Schedule!N28)</f>
        <v>-0</v>
      </c>
      <c r="P34" s="47" t="n">
        <f aca="false">-(Debt_Schedule!P28-Debt_Schedule!O28)</f>
        <v>-0</v>
      </c>
      <c r="Q34" s="47" t="n">
        <f aca="false">-(Debt_Schedule!Q28-Debt_Schedule!P28)</f>
        <v>-0</v>
      </c>
      <c r="R34" s="47" t="n">
        <f aca="false">-(Debt_Schedule!R28-Debt_Schedule!Q28)</f>
        <v>-0</v>
      </c>
      <c r="S34" s="47" t="n">
        <f aca="false">-(Debt_Schedule!S28-Debt_Schedule!R28)</f>
        <v>-0</v>
      </c>
      <c r="T34" s="47" t="n">
        <f aca="false">-(Debt_Schedule!T28-Debt_Schedule!S28)</f>
        <v>-0</v>
      </c>
      <c r="U34" s="47" t="n">
        <f aca="false">-(Debt_Schedule!U28-Debt_Schedule!T28)</f>
        <v>-0</v>
      </c>
      <c r="V34" s="47" t="n">
        <f aca="false">-(Debt_Schedule!V28-Debt_Schedule!U28)</f>
        <v>-0</v>
      </c>
      <c r="W34" s="47" t="n">
        <f aca="false">-(Debt_Schedule!W28-Debt_Schedule!V28)</f>
        <v>-0</v>
      </c>
      <c r="X34" s="47" t="n">
        <f aca="false">-(Debt_Schedule!X28-Debt_Schedule!W28)</f>
        <v>56.8716101122949</v>
      </c>
      <c r="Y34" s="47" t="n">
        <f aca="false">-(Debt_Schedule!Y28-Debt_Schedule!X28)</f>
        <v>-0</v>
      </c>
      <c r="Z34" s="47" t="n">
        <f aca="false">-(Debt_Schedule!Z28-Debt_Schedule!Y28)</f>
        <v>-0</v>
      </c>
      <c r="AA34" s="47" t="n">
        <f aca="false">-(Debt_Schedule!AA28-Debt_Schedule!Z28)</f>
        <v>-0</v>
      </c>
    </row>
    <row r="35" customFormat="false" ht="15" hidden="false" customHeight="false" outlineLevel="0" collapsed="false">
      <c r="A35" s="5"/>
      <c r="B35" s="46" t="s">
        <v>304</v>
      </c>
      <c r="C35" s="47" t="n">
        <f aca="false">IF(C6&lt;=Construction_Yrs,0,-MAX(0,C22+C26-DS_Total_DS))</f>
        <v>0</v>
      </c>
      <c r="D35" s="47" t="n">
        <f aca="false">IF(D6&lt;=Construction_Yrs,0,-MAX(0,D22+D26-DS_Total_DS))</f>
        <v>0</v>
      </c>
      <c r="E35" s="47" t="n">
        <f aca="false">IF(E6&lt;=Construction_Yrs,0,-MAX(0,E22+E26-DS_Total_DS))</f>
        <v>0</v>
      </c>
      <c r="F35" s="47" t="n">
        <f aca="false">IF(F6&lt;=Construction_Yrs,0,-MAX(0,F22+F26-DS_Total_DS))</f>
        <v>0</v>
      </c>
      <c r="G35" s="47" t="n">
        <f aca="false">IF(G6&lt;=Construction_Yrs,0,-MAX(0,G22+G26-DS_Total_DS))</f>
        <v>-172.202529179607</v>
      </c>
      <c r="H35" s="47" t="n">
        <f aca="false">IF(H6&lt;=Construction_Yrs,0,-MAX(0,H22+H26-DS_Total_DS))</f>
        <v>-181.358816339933</v>
      </c>
      <c r="I35" s="47" t="n">
        <f aca="false">IF(I6&lt;=Construction_Yrs,0,-MAX(0,I22+I26-DS_Total_DS))</f>
        <v>-142.543893989324</v>
      </c>
      <c r="J35" s="47" t="n">
        <f aca="false">IF(J6&lt;=Construction_Yrs,0,-MAX(0,J22+J26-DS_Total_DS))</f>
        <v>-147.438371685572</v>
      </c>
      <c r="K35" s="47" t="n">
        <f aca="false">IF(K6&lt;=Construction_Yrs,0,-MAX(0,K22+K26-DS_Total_DS))</f>
        <v>-119.320240006983</v>
      </c>
      <c r="L35" s="47" t="n">
        <f aca="false">IF(L6&lt;=Construction_Yrs,0,-MAX(0,L22+L26-DS_Total_DS))</f>
        <v>-157.534094618069</v>
      </c>
      <c r="M35" s="47" t="n">
        <f aca="false">IF(M6&lt;=Construction_Yrs,0,-MAX(0,M22+M26-DS_Total_DS))</f>
        <v>-162.738186232205</v>
      </c>
      <c r="N35" s="47" t="n">
        <f aca="false">IF(N6&lt;=Construction_Yrs,0,-MAX(0,N22+N26-DS_Total_DS))</f>
        <v>-168.048283863508</v>
      </c>
      <c r="O35" s="47" t="n">
        <f aca="false">IF(O6&lt;=Construction_Yrs,0,-MAX(0,O22+O26-DS_Total_DS))</f>
        <v>-173.465737016675</v>
      </c>
      <c r="P35" s="47" t="n">
        <f aca="false">IF(P6&lt;=Construction_Yrs,0,-MAX(0,P22+P26-DS_Total_DS))</f>
        <v>-141.525968793063</v>
      </c>
      <c r="Q35" s="47" t="n">
        <f aca="false">IF(Q6&lt;=Construction_Yrs,0,-MAX(0,Q22+Q26-DS_Total_DS))</f>
        <v>-184.627916552733</v>
      </c>
      <c r="R35" s="47" t="n">
        <f aca="false">IF(R6&lt;=Construction_Yrs,0,-MAX(0,R22+R26-DS_Total_DS))</f>
        <v>-190.375135765135</v>
      </c>
      <c r="S35" s="47" t="n">
        <f aca="false">IF(S6&lt;=Construction_Yrs,0,-MAX(0,S22+S26-DS_Total_DS))</f>
        <v>-196.23468547332</v>
      </c>
      <c r="T35" s="47" t="n">
        <f aca="false">IF(T6&lt;=Construction_Yrs,0,-MAX(0,T22+T26-DS_Total_DS))</f>
        <v>-202.207676905347</v>
      </c>
      <c r="U35" s="47" t="n">
        <f aca="false">IF(U6&lt;=Construction_Yrs,0,-MAX(0,U22+U26-DS_Total_DS))</f>
        <v>-165.905941648169</v>
      </c>
      <c r="V35" s="47" t="n">
        <f aca="false">IF(V6&lt;=Construction_Yrs,0,-MAX(0,V22+V26-DS_Total_DS))</f>
        <v>-210.920931409031</v>
      </c>
      <c r="W35" s="47" t="n">
        <f aca="false">IF(W6&lt;=Construction_Yrs,0,-MAX(0,W22+W26-DS_Total_DS))</f>
        <v>-217.240231224171</v>
      </c>
      <c r="X35" s="47" t="n">
        <f aca="false">IF(X6&lt;=Construction_Yrs,0,-MAX(0,X22+X26-DS_Total_DS))</f>
        <v>-223.676698110696</v>
      </c>
      <c r="Y35" s="47" t="n">
        <f aca="false">IF(Y6&lt;=Construction_Yrs,0,-MAX(0,Y22+Y26-DS_Total_DS))</f>
        <v>-343.974266669011</v>
      </c>
      <c r="Z35" s="47" t="n">
        <f aca="false">IF(Z6&lt;=Construction_Yrs,0,-MAX(0,Z22+Z26-DS_Total_DS))</f>
        <v>-304.251571180658</v>
      </c>
      <c r="AA35" s="47" t="n">
        <f aca="false">IF(AA6&lt;=Construction_Yrs,0,-MAX(0,AA22+AA26-DS_Total_DS))</f>
        <v>-356.628583540707</v>
      </c>
    </row>
    <row r="36" customFormat="false" ht="15" hidden="false" customHeight="false" outlineLevel="0" collapsed="false">
      <c r="A36" s="5"/>
      <c r="B36" s="52" t="s">
        <v>305</v>
      </c>
      <c r="C36" s="53" t="n">
        <f aca="false">C30+C31+C32+C33+C35</f>
        <v>255</v>
      </c>
      <c r="D36" s="53" t="n">
        <f aca="false">D30+D31+D32+D33+D35</f>
        <v>510</v>
      </c>
      <c r="E36" s="53" t="n">
        <f aca="false">E30+E31+E32+E33+E35</f>
        <v>595</v>
      </c>
      <c r="F36" s="53" t="n">
        <f aca="false">F30+F31+F32+F33+F35</f>
        <v>340</v>
      </c>
      <c r="G36" s="53" t="n">
        <f aca="false">G30+G31+G32+G33+G35</f>
        <v>-237.652529179607</v>
      </c>
      <c r="H36" s="53" t="n">
        <f aca="false">H30+H31+H32+H33+H35</f>
        <v>-246.808816339933</v>
      </c>
      <c r="I36" s="53" t="n">
        <f aca="false">I30+I31+I32+I33+I35</f>
        <v>-256.287114213914</v>
      </c>
      <c r="J36" s="53" t="n">
        <f aca="false">J30+J31+J32+J33+J35</f>
        <v>-261.181591910161</v>
      </c>
      <c r="K36" s="53" t="n">
        <f aca="false">K30+K31+K32+K33+K35</f>
        <v>-233.063460231573</v>
      </c>
      <c r="L36" s="53" t="n">
        <f aca="false">L30+L31+L32+L33+L35</f>
        <v>-271.277314842659</v>
      </c>
      <c r="M36" s="53" t="n">
        <f aca="false">M30+M31+M32+M33+M35</f>
        <v>-276.481406456795</v>
      </c>
      <c r="N36" s="53" t="n">
        <f aca="false">N30+N31+N32+N33+N35</f>
        <v>-281.791504088098</v>
      </c>
      <c r="O36" s="53" t="n">
        <f aca="false">O30+O31+O32+O33+O35</f>
        <v>-287.208957241265</v>
      </c>
      <c r="P36" s="53" t="n">
        <f aca="false">P30+P31+P32+P33+P35</f>
        <v>-255.269189017653</v>
      </c>
      <c r="Q36" s="53" t="n">
        <f aca="false">Q30+Q31+Q32+Q33+Q35</f>
        <v>-298.371136777323</v>
      </c>
      <c r="R36" s="53" t="n">
        <f aca="false">R30+R31+R32+R33+R35</f>
        <v>-304.118355989725</v>
      </c>
      <c r="S36" s="53" t="n">
        <f aca="false">S30+S31+S32+S33+S35</f>
        <v>-309.97790569791</v>
      </c>
      <c r="T36" s="53" t="n">
        <f aca="false">T30+T31+T32+T33+T35</f>
        <v>-315.950897129936</v>
      </c>
      <c r="U36" s="53" t="n">
        <f aca="false">U30+U31+U32+U33+U35</f>
        <v>-279.649161872759</v>
      </c>
      <c r="V36" s="53" t="n">
        <f aca="false">V30+V31+V32+V33+V35</f>
        <v>-324.664151633621</v>
      </c>
      <c r="W36" s="53" t="n">
        <f aca="false">W30+W31+W32+W33+W35</f>
        <v>-330.983451448761</v>
      </c>
      <c r="X36" s="53" t="n">
        <f aca="false">X30+X31+X32+X33+X35</f>
        <v>-337.419918335285</v>
      </c>
      <c r="Y36" s="53" t="n">
        <f aca="false">Y30+Y31+Y32+Y33+Y35</f>
        <v>-343.974266669011</v>
      </c>
      <c r="Z36" s="53" t="n">
        <f aca="false">Z30+Z31+Z32+Z33+Z35</f>
        <v>-304.251571180658</v>
      </c>
      <c r="AA36" s="53" t="n">
        <f aca="false">AA30+AA31+AA32+AA33+AA35</f>
        <v>-356.628583540707</v>
      </c>
    </row>
    <row r="37" customFormat="false" ht="15" hidden="false" customHeight="false" outlineLevel="0" collapsed="false">
      <c r="A37" s="5"/>
      <c r="B37" s="5"/>
      <c r="C37" s="5"/>
      <c r="D37" s="5"/>
      <c r="E37" s="5"/>
      <c r="F37" s="5"/>
      <c r="G37" s="5"/>
      <c r="H37" s="5"/>
      <c r="I37" s="5"/>
      <c r="J37" s="5"/>
      <c r="K37" s="5"/>
      <c r="L37" s="5"/>
      <c r="M37" s="5"/>
      <c r="N37" s="5"/>
      <c r="O37" s="5"/>
      <c r="P37" s="5"/>
      <c r="Q37" s="5"/>
      <c r="R37" s="5"/>
      <c r="S37" s="5"/>
      <c r="T37" s="5"/>
      <c r="U37" s="5"/>
      <c r="V37" s="5"/>
      <c r="W37" s="5"/>
      <c r="X37" s="5"/>
      <c r="Y37" s="5"/>
      <c r="Z37" s="5"/>
      <c r="AA37" s="5"/>
    </row>
    <row r="38" customFormat="false" ht="15" hidden="false" customHeight="false" outlineLevel="0" collapsed="false">
      <c r="A38" s="5"/>
      <c r="B38" s="44" t="s">
        <v>306</v>
      </c>
      <c r="C38" s="45"/>
      <c r="D38" s="45"/>
      <c r="E38" s="45"/>
      <c r="F38" s="45"/>
      <c r="G38" s="45"/>
      <c r="H38" s="45"/>
      <c r="I38" s="45"/>
      <c r="J38" s="45"/>
      <c r="K38" s="45"/>
      <c r="L38" s="45"/>
      <c r="M38" s="45"/>
      <c r="N38" s="45"/>
      <c r="O38" s="45"/>
      <c r="P38" s="45"/>
      <c r="Q38" s="45"/>
      <c r="R38" s="45"/>
      <c r="S38" s="45"/>
      <c r="T38" s="45"/>
      <c r="U38" s="45"/>
      <c r="V38" s="45"/>
      <c r="W38" s="45"/>
      <c r="X38" s="45"/>
      <c r="Y38" s="45"/>
      <c r="Z38" s="45"/>
      <c r="AA38" s="45"/>
    </row>
    <row r="39" customFormat="false" ht="15" hidden="false" customHeight="false" outlineLevel="0" collapsed="false">
      <c r="A39" s="5"/>
      <c r="B39" s="46" t="s">
        <v>307</v>
      </c>
      <c r="C39" s="47" t="n">
        <f aca="false">0</f>
        <v>0</v>
      </c>
      <c r="D39" s="47" t="n">
        <f aca="false">C41</f>
        <v>0</v>
      </c>
      <c r="E39" s="47" t="n">
        <f aca="false">D41</f>
        <v>0</v>
      </c>
      <c r="F39" s="47" t="n">
        <f aca="false">E41</f>
        <v>0</v>
      </c>
      <c r="G39" s="47" t="n">
        <f aca="false">F41</f>
        <v>0</v>
      </c>
      <c r="H39" s="47" t="n">
        <f aca="false">G41</f>
        <v>0</v>
      </c>
      <c r="I39" s="47" t="n">
        <f aca="false">H41</f>
        <v>0</v>
      </c>
      <c r="J39" s="47" t="n">
        <f aca="false">I41</f>
        <v>0</v>
      </c>
      <c r="K39" s="47" t="n">
        <f aca="false">J41</f>
        <v>0</v>
      </c>
      <c r="L39" s="47" t="n">
        <f aca="false">K41</f>
        <v>0</v>
      </c>
      <c r="M39" s="47" t="n">
        <f aca="false">L41</f>
        <v>0</v>
      </c>
      <c r="N39" s="47" t="n">
        <f aca="false">M41</f>
        <v>0</v>
      </c>
      <c r="O39" s="47" t="n">
        <f aca="false">N41</f>
        <v>0</v>
      </c>
      <c r="P39" s="47" t="n">
        <f aca="false">O41</f>
        <v>0</v>
      </c>
      <c r="Q39" s="47" t="n">
        <f aca="false">P41</f>
        <v>0</v>
      </c>
      <c r="R39" s="47" t="n">
        <f aca="false">Q41</f>
        <v>0</v>
      </c>
      <c r="S39" s="47" t="n">
        <f aca="false">R41</f>
        <v>0</v>
      </c>
      <c r="T39" s="47" t="n">
        <f aca="false">S41</f>
        <v>0</v>
      </c>
      <c r="U39" s="47" t="n">
        <f aca="false">T41</f>
        <v>0</v>
      </c>
      <c r="V39" s="47" t="n">
        <f aca="false">U41</f>
        <v>0</v>
      </c>
      <c r="W39" s="47" t="n">
        <f aca="false">V41</f>
        <v>0</v>
      </c>
      <c r="X39" s="47" t="n">
        <f aca="false">W41</f>
        <v>0</v>
      </c>
      <c r="Y39" s="47" t="n">
        <f aca="false">X41</f>
        <v>0</v>
      </c>
      <c r="Z39" s="47" t="n">
        <f aca="false">Y41</f>
        <v>0</v>
      </c>
      <c r="AA39" s="47" t="n">
        <f aca="false">Z41</f>
        <v>0</v>
      </c>
    </row>
    <row r="40" customFormat="false" ht="15" hidden="false" customHeight="false" outlineLevel="0" collapsed="false">
      <c r="A40" s="5"/>
      <c r="B40" s="46" t="s">
        <v>308</v>
      </c>
      <c r="C40" s="47" t="n">
        <f aca="false">C22+C27+C36</f>
        <v>0</v>
      </c>
      <c r="D40" s="47" t="n">
        <f aca="false">D22+D27+D36</f>
        <v>0</v>
      </c>
      <c r="E40" s="47" t="n">
        <f aca="false">E22+E27+E36</f>
        <v>0</v>
      </c>
      <c r="F40" s="47" t="n">
        <f aca="false">F22+F27+F36</f>
        <v>0</v>
      </c>
      <c r="G40" s="47" t="n">
        <f aca="false">G22+G27+G36</f>
        <v>0</v>
      </c>
      <c r="H40" s="47" t="n">
        <f aca="false">H22+H27+H36</f>
        <v>0</v>
      </c>
      <c r="I40" s="47" t="n">
        <f aca="false">I22+I27+I36</f>
        <v>0</v>
      </c>
      <c r="J40" s="47" t="n">
        <f aca="false">J22+J27+J36</f>
        <v>0</v>
      </c>
      <c r="K40" s="47" t="n">
        <f aca="false">K22+K27+K36</f>
        <v>0</v>
      </c>
      <c r="L40" s="47" t="n">
        <f aca="false">L22+L27+L36</f>
        <v>0</v>
      </c>
      <c r="M40" s="47" t="n">
        <f aca="false">M22+M27+M36</f>
        <v>0</v>
      </c>
      <c r="N40" s="47" t="n">
        <f aca="false">N22+N27+N36</f>
        <v>0</v>
      </c>
      <c r="O40" s="47" t="n">
        <f aca="false">O22+O27+O36</f>
        <v>0</v>
      </c>
      <c r="P40" s="47" t="n">
        <f aca="false">P22+P27+P36</f>
        <v>0</v>
      </c>
      <c r="Q40" s="47" t="n">
        <f aca="false">Q22+Q27+Q36</f>
        <v>0</v>
      </c>
      <c r="R40" s="47" t="n">
        <f aca="false">R22+R27+R36</f>
        <v>0</v>
      </c>
      <c r="S40" s="47" t="n">
        <f aca="false">S22+S27+S36</f>
        <v>0</v>
      </c>
      <c r="T40" s="47" t="n">
        <f aca="false">T22+T27+T36</f>
        <v>0</v>
      </c>
      <c r="U40" s="47" t="n">
        <f aca="false">U22+U27+U36</f>
        <v>0</v>
      </c>
      <c r="V40" s="47" t="n">
        <f aca="false">V22+V27+V36</f>
        <v>0</v>
      </c>
      <c r="W40" s="47" t="n">
        <f aca="false">W22+W27+W36</f>
        <v>0</v>
      </c>
      <c r="X40" s="47" t="n">
        <f aca="false">X22+X27+X36</f>
        <v>0</v>
      </c>
      <c r="Y40" s="47" t="n">
        <f aca="false">Y22+Y27+Y36</f>
        <v>0</v>
      </c>
      <c r="Z40" s="47" t="n">
        <f aca="false">Z22+Z27+Z36</f>
        <v>0</v>
      </c>
      <c r="AA40" s="47" t="n">
        <f aca="false">AA22+AA27+AA36</f>
        <v>0</v>
      </c>
    </row>
    <row r="41" customFormat="false" ht="15" hidden="false" customHeight="false" outlineLevel="0" collapsed="false">
      <c r="A41" s="5"/>
      <c r="B41" s="52" t="s">
        <v>309</v>
      </c>
      <c r="C41" s="53" t="n">
        <f aca="false">C39+C40</f>
        <v>0</v>
      </c>
      <c r="D41" s="53" t="n">
        <f aca="false">D39+D40</f>
        <v>0</v>
      </c>
      <c r="E41" s="53" t="n">
        <f aca="false">E39+E40</f>
        <v>0</v>
      </c>
      <c r="F41" s="53" t="n">
        <f aca="false">F39+F40</f>
        <v>0</v>
      </c>
      <c r="G41" s="53" t="n">
        <f aca="false">G39+G40</f>
        <v>0</v>
      </c>
      <c r="H41" s="53" t="n">
        <f aca="false">H39+H40</f>
        <v>0</v>
      </c>
      <c r="I41" s="53" t="n">
        <f aca="false">I39+I40</f>
        <v>0</v>
      </c>
      <c r="J41" s="53" t="n">
        <f aca="false">J39+J40</f>
        <v>0</v>
      </c>
      <c r="K41" s="53" t="n">
        <f aca="false">K39+K40</f>
        <v>0</v>
      </c>
      <c r="L41" s="53" t="n">
        <f aca="false">L39+L40</f>
        <v>0</v>
      </c>
      <c r="M41" s="53" t="n">
        <f aca="false">M39+M40</f>
        <v>0</v>
      </c>
      <c r="N41" s="53" t="n">
        <f aca="false">N39+N40</f>
        <v>0</v>
      </c>
      <c r="O41" s="53" t="n">
        <f aca="false">O39+O40</f>
        <v>0</v>
      </c>
      <c r="P41" s="53" t="n">
        <f aca="false">P39+P40</f>
        <v>0</v>
      </c>
      <c r="Q41" s="53" t="n">
        <f aca="false">Q39+Q40</f>
        <v>0</v>
      </c>
      <c r="R41" s="53" t="n">
        <f aca="false">R39+R40</f>
        <v>0</v>
      </c>
      <c r="S41" s="53" t="n">
        <f aca="false">S39+S40</f>
        <v>0</v>
      </c>
      <c r="T41" s="53" t="n">
        <f aca="false">T39+T40</f>
        <v>0</v>
      </c>
      <c r="U41" s="53" t="n">
        <f aca="false">U39+U40</f>
        <v>0</v>
      </c>
      <c r="V41" s="53" t="n">
        <f aca="false">V39+V40</f>
        <v>0</v>
      </c>
      <c r="W41" s="53" t="n">
        <f aca="false">W39+W40</f>
        <v>0</v>
      </c>
      <c r="X41" s="53" t="n">
        <f aca="false">X39+X40</f>
        <v>0</v>
      </c>
      <c r="Y41" s="53" t="n">
        <f aca="false">Y39+Y40</f>
        <v>0</v>
      </c>
      <c r="Z41" s="53" t="n">
        <f aca="false">Z39+Z40</f>
        <v>0</v>
      </c>
      <c r="AA41" s="53" t="n">
        <f aca="false">AA39+AA40</f>
        <v>0</v>
      </c>
    </row>
    <row r="42" customFormat="false" ht="15" hidden="false" customHeight="false" outlineLevel="0" collapsed="false">
      <c r="A42" s="5"/>
      <c r="B42" s="5"/>
      <c r="C42" s="5"/>
      <c r="D42" s="5"/>
      <c r="E42" s="5"/>
      <c r="F42" s="5"/>
      <c r="G42" s="5"/>
      <c r="H42" s="5"/>
      <c r="I42" s="5"/>
      <c r="J42" s="5"/>
      <c r="K42" s="5"/>
      <c r="L42" s="5"/>
      <c r="M42" s="5"/>
      <c r="N42" s="5"/>
      <c r="O42" s="5"/>
      <c r="P42" s="5"/>
      <c r="Q42" s="5"/>
      <c r="R42" s="5"/>
      <c r="S42" s="5"/>
      <c r="T42" s="5"/>
      <c r="U42" s="5"/>
      <c r="V42" s="5"/>
      <c r="W42" s="5"/>
      <c r="X42" s="5"/>
      <c r="Y42" s="5"/>
      <c r="Z42" s="5"/>
      <c r="AA42" s="5"/>
    </row>
    <row r="43" customFormat="false" ht="15" hidden="false" customHeight="false" outlineLevel="0" collapsed="false">
      <c r="A43" s="5"/>
      <c r="B43" s="58" t="s">
        <v>310</v>
      </c>
      <c r="C43" s="59" t="n">
        <f aca="false">C22+C26</f>
        <v>0</v>
      </c>
      <c r="D43" s="59" t="n">
        <f aca="false">D22+D26</f>
        <v>0</v>
      </c>
      <c r="E43" s="59" t="n">
        <f aca="false">E22+E26</f>
        <v>0</v>
      </c>
      <c r="F43" s="59" t="n">
        <f aca="false">F22+F26</f>
        <v>0</v>
      </c>
      <c r="G43" s="59" t="n">
        <f aca="false">G22+G26</f>
        <v>237.652529179607</v>
      </c>
      <c r="H43" s="59" t="n">
        <f aca="false">H22+H26</f>
        <v>246.808816339933</v>
      </c>
      <c r="I43" s="59" t="n">
        <f aca="false">I22+I26</f>
        <v>256.287114213914</v>
      </c>
      <c r="J43" s="59" t="n">
        <f aca="false">J22+J26</f>
        <v>261.181591910161</v>
      </c>
      <c r="K43" s="59" t="n">
        <f aca="false">K22+K26</f>
        <v>233.063460231573</v>
      </c>
      <c r="L43" s="59" t="n">
        <f aca="false">L22+L26</f>
        <v>271.277314842659</v>
      </c>
      <c r="M43" s="59" t="n">
        <f aca="false">M22+M26</f>
        <v>276.481406456795</v>
      </c>
      <c r="N43" s="59" t="n">
        <f aca="false">N22+N26</f>
        <v>281.791504088098</v>
      </c>
      <c r="O43" s="59" t="n">
        <f aca="false">O22+O26</f>
        <v>287.208957241265</v>
      </c>
      <c r="P43" s="59" t="n">
        <f aca="false">P22+P26</f>
        <v>255.269189017653</v>
      </c>
      <c r="Q43" s="59" t="n">
        <f aca="false">Q22+Q26</f>
        <v>298.371136777323</v>
      </c>
      <c r="R43" s="59" t="n">
        <f aca="false">R22+R26</f>
        <v>304.118355989725</v>
      </c>
      <c r="S43" s="59" t="n">
        <f aca="false">S22+S26</f>
        <v>309.97790569791</v>
      </c>
      <c r="T43" s="59" t="n">
        <f aca="false">T22+T26</f>
        <v>315.950897129936</v>
      </c>
      <c r="U43" s="59" t="n">
        <f aca="false">U22+U26</f>
        <v>279.649161872759</v>
      </c>
      <c r="V43" s="59" t="n">
        <f aca="false">V22+V26</f>
        <v>324.664151633621</v>
      </c>
      <c r="W43" s="59" t="n">
        <f aca="false">W22+W26</f>
        <v>330.983451448761</v>
      </c>
      <c r="X43" s="59" t="n">
        <f aca="false">X22+X26</f>
        <v>337.419918335285</v>
      </c>
      <c r="Y43" s="59" t="n">
        <f aca="false">Y22+Y26</f>
        <v>343.974266669011</v>
      </c>
      <c r="Z43" s="59" t="n">
        <f aca="false">Z22+Z26</f>
        <v>304.251571180658</v>
      </c>
      <c r="AA43" s="59" t="n">
        <f aca="false">AA22+AA26</f>
        <v>356.628583540707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A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2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row>
    <row r="2" customFormat="false" ht="22.05" hidden="false" customHeight="false" outlineLevel="0" collapsed="false">
      <c r="A2" s="5"/>
      <c r="B2" s="28" t="s">
        <v>311</v>
      </c>
      <c r="C2" s="5"/>
      <c r="D2" s="5"/>
      <c r="E2" s="5"/>
      <c r="F2" s="5"/>
      <c r="G2" s="5"/>
      <c r="H2" s="5"/>
      <c r="I2" s="5"/>
      <c r="J2" s="5"/>
      <c r="K2" s="5"/>
      <c r="L2" s="5"/>
      <c r="M2" s="5"/>
      <c r="N2" s="5"/>
      <c r="O2" s="5"/>
      <c r="P2" s="5"/>
      <c r="Q2" s="5"/>
      <c r="R2" s="5"/>
      <c r="S2" s="5"/>
      <c r="T2" s="5"/>
      <c r="U2" s="5"/>
      <c r="V2" s="5"/>
      <c r="W2" s="5"/>
      <c r="X2" s="5"/>
      <c r="Y2" s="5"/>
      <c r="Z2" s="5"/>
      <c r="AA2" s="5"/>
    </row>
    <row r="3" customFormat="false" ht="15" hidden="false" customHeight="false" outlineLevel="0" collapsed="false">
      <c r="A3" s="5"/>
      <c r="B3" s="29" t="s">
        <v>312</v>
      </c>
      <c r="C3" s="5"/>
      <c r="D3" s="5"/>
      <c r="E3" s="5"/>
      <c r="F3" s="5"/>
      <c r="G3" s="5"/>
      <c r="H3" s="5"/>
      <c r="I3" s="5"/>
      <c r="J3" s="5"/>
      <c r="K3" s="5"/>
      <c r="L3" s="5"/>
      <c r="M3" s="5"/>
      <c r="N3" s="5"/>
      <c r="O3" s="5"/>
      <c r="P3" s="5"/>
      <c r="Q3" s="5"/>
      <c r="R3" s="5"/>
      <c r="S3" s="5"/>
      <c r="T3" s="5"/>
      <c r="U3" s="5"/>
      <c r="V3" s="5"/>
      <c r="W3" s="5"/>
      <c r="X3" s="5"/>
      <c r="Y3" s="5"/>
      <c r="Z3" s="5"/>
      <c r="AA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row>
    <row r="5" customFormat="false" ht="15" hidden="false" customHeight="false" outlineLevel="0" collapsed="false">
      <c r="A5" s="5"/>
      <c r="B5" s="41" t="s">
        <v>66</v>
      </c>
      <c r="C5" s="42" t="n">
        <f aca="false">Base_Year+0</f>
        <v>2025</v>
      </c>
      <c r="D5" s="42" t="n">
        <f aca="false">Base_Year+1</f>
        <v>2026</v>
      </c>
      <c r="E5" s="42" t="n">
        <f aca="false">Base_Year+2</f>
        <v>2027</v>
      </c>
      <c r="F5" s="42" t="n">
        <f aca="false">Base_Year+3</f>
        <v>2028</v>
      </c>
      <c r="G5" s="42" t="n">
        <f aca="false">Base_Year+4</f>
        <v>2029</v>
      </c>
      <c r="H5" s="42" t="n">
        <f aca="false">Base_Year+5</f>
        <v>2030</v>
      </c>
      <c r="I5" s="42" t="n">
        <f aca="false">Base_Year+6</f>
        <v>2031</v>
      </c>
      <c r="J5" s="42" t="n">
        <f aca="false">Base_Year+7</f>
        <v>2032</v>
      </c>
      <c r="K5" s="42" t="n">
        <f aca="false">Base_Year+8</f>
        <v>2033</v>
      </c>
      <c r="L5" s="42" t="n">
        <f aca="false">Base_Year+9</f>
        <v>2034</v>
      </c>
      <c r="M5" s="42" t="n">
        <f aca="false">Base_Year+10</f>
        <v>2035</v>
      </c>
      <c r="N5" s="42" t="n">
        <f aca="false">Base_Year+11</f>
        <v>2036</v>
      </c>
      <c r="O5" s="42" t="n">
        <f aca="false">Base_Year+12</f>
        <v>2037</v>
      </c>
      <c r="P5" s="42" t="n">
        <f aca="false">Base_Year+13</f>
        <v>2038</v>
      </c>
      <c r="Q5" s="42" t="n">
        <f aca="false">Base_Year+14</f>
        <v>2039</v>
      </c>
      <c r="R5" s="42" t="n">
        <f aca="false">Base_Year+15</f>
        <v>2040</v>
      </c>
      <c r="S5" s="42" t="n">
        <f aca="false">Base_Year+16</f>
        <v>2041</v>
      </c>
      <c r="T5" s="42" t="n">
        <f aca="false">Base_Year+17</f>
        <v>2042</v>
      </c>
      <c r="U5" s="42" t="n">
        <f aca="false">Base_Year+18</f>
        <v>2043</v>
      </c>
      <c r="V5" s="42" t="n">
        <f aca="false">Base_Year+19</f>
        <v>2044</v>
      </c>
      <c r="W5" s="42" t="n">
        <f aca="false">Base_Year+20</f>
        <v>2045</v>
      </c>
      <c r="X5" s="42" t="n">
        <f aca="false">Base_Year+21</f>
        <v>2046</v>
      </c>
      <c r="Y5" s="42" t="n">
        <f aca="false">Base_Year+22</f>
        <v>2047</v>
      </c>
      <c r="Z5" s="42" t="n">
        <f aca="false">Base_Year+23</f>
        <v>2048</v>
      </c>
      <c r="AA5" s="42" t="n">
        <f aca="false">Base_Year+24</f>
        <v>2049</v>
      </c>
    </row>
    <row r="6" customFormat="false" ht="15" hidden="false" customHeight="false" outlineLevel="0" collapsed="false">
      <c r="A6" s="5"/>
      <c r="B6" s="8" t="s">
        <v>192</v>
      </c>
      <c r="C6" s="43" t="n">
        <f aca="false">COLUMN(C1)-2</f>
        <v>1</v>
      </c>
      <c r="D6" s="43" t="n">
        <f aca="false">COLUMN(D1)-2</f>
        <v>2</v>
      </c>
      <c r="E6" s="43" t="n">
        <f aca="false">COLUMN(E1)-2</f>
        <v>3</v>
      </c>
      <c r="F6" s="43" t="n">
        <f aca="false">COLUMN(F1)-2</f>
        <v>4</v>
      </c>
      <c r="G6" s="43" t="n">
        <f aca="false">COLUMN(G1)-2</f>
        <v>5</v>
      </c>
      <c r="H6" s="43" t="n">
        <f aca="false">COLUMN(H1)-2</f>
        <v>6</v>
      </c>
      <c r="I6" s="43" t="n">
        <f aca="false">COLUMN(I1)-2</f>
        <v>7</v>
      </c>
      <c r="J6" s="43" t="n">
        <f aca="false">COLUMN(J1)-2</f>
        <v>8</v>
      </c>
      <c r="K6" s="43" t="n">
        <f aca="false">COLUMN(K1)-2</f>
        <v>9</v>
      </c>
      <c r="L6" s="43" t="n">
        <f aca="false">COLUMN(L1)-2</f>
        <v>10</v>
      </c>
      <c r="M6" s="43" t="n">
        <f aca="false">COLUMN(M1)-2</f>
        <v>11</v>
      </c>
      <c r="N6" s="43" t="n">
        <f aca="false">COLUMN(N1)-2</f>
        <v>12</v>
      </c>
      <c r="O6" s="43" t="n">
        <f aca="false">COLUMN(O1)-2</f>
        <v>13</v>
      </c>
      <c r="P6" s="43" t="n">
        <f aca="false">COLUMN(P1)-2</f>
        <v>14</v>
      </c>
      <c r="Q6" s="43" t="n">
        <f aca="false">COLUMN(Q1)-2</f>
        <v>15</v>
      </c>
      <c r="R6" s="43" t="n">
        <f aca="false">COLUMN(R1)-2</f>
        <v>16</v>
      </c>
      <c r="S6" s="43" t="n">
        <f aca="false">COLUMN(S1)-2</f>
        <v>17</v>
      </c>
      <c r="T6" s="43" t="n">
        <f aca="false">COLUMN(T1)-2</f>
        <v>18</v>
      </c>
      <c r="U6" s="43" t="n">
        <f aca="false">COLUMN(U1)-2</f>
        <v>19</v>
      </c>
      <c r="V6" s="43" t="n">
        <f aca="false">COLUMN(V1)-2</f>
        <v>20</v>
      </c>
      <c r="W6" s="43" t="n">
        <f aca="false">COLUMN(W1)-2</f>
        <v>21</v>
      </c>
      <c r="X6" s="43" t="n">
        <f aca="false">COLUMN(X1)-2</f>
        <v>22</v>
      </c>
      <c r="Y6" s="43" t="n">
        <f aca="false">COLUMN(Y1)-2</f>
        <v>23</v>
      </c>
      <c r="Z6" s="43" t="n">
        <f aca="false">COLUMN(Z1)-2</f>
        <v>24</v>
      </c>
      <c r="AA6" s="43" t="n">
        <f aca="false">COLUMN(AA1)-2</f>
        <v>25</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c r="W7" s="5"/>
      <c r="X7" s="5"/>
      <c r="Y7" s="5"/>
      <c r="Z7" s="5"/>
      <c r="AA7" s="5"/>
    </row>
    <row r="8" customFormat="false" ht="15" hidden="false" customHeight="false" outlineLevel="0" collapsed="false">
      <c r="A8" s="5"/>
      <c r="B8" s="44" t="s">
        <v>313</v>
      </c>
      <c r="C8" s="45"/>
      <c r="D8" s="45"/>
      <c r="E8" s="45"/>
      <c r="F8" s="45"/>
      <c r="G8" s="45"/>
      <c r="H8" s="45"/>
      <c r="I8" s="45"/>
      <c r="J8" s="45"/>
      <c r="K8" s="45"/>
      <c r="L8" s="45"/>
      <c r="M8" s="45"/>
      <c r="N8" s="45"/>
      <c r="O8" s="45"/>
      <c r="P8" s="45"/>
      <c r="Q8" s="45"/>
      <c r="R8" s="45"/>
      <c r="S8" s="45"/>
      <c r="T8" s="45"/>
      <c r="U8" s="45"/>
      <c r="V8" s="45"/>
      <c r="W8" s="45"/>
      <c r="X8" s="45"/>
      <c r="Y8" s="45"/>
      <c r="Z8" s="45"/>
      <c r="AA8" s="45"/>
    </row>
    <row r="9" customFormat="false" ht="15" hidden="false" customHeight="false" outlineLevel="0" collapsed="false">
      <c r="A9" s="5"/>
      <c r="B9" s="46" t="s">
        <v>314</v>
      </c>
      <c r="C9" s="47" t="n">
        <f aca="false">CF_Constr_Capex+CF_Maint_Capex+CF_CFO</f>
        <v>-255</v>
      </c>
      <c r="D9" s="47" t="n">
        <f aca="false">CF_Constr_Capex+CF_Maint_Capex+CF_CFO</f>
        <v>-510</v>
      </c>
      <c r="E9" s="47" t="n">
        <f aca="false">CF_Constr_Capex+CF_Maint_Capex+CF_CFO</f>
        <v>-595</v>
      </c>
      <c r="F9" s="47" t="n">
        <f aca="false">CF_Constr_Capex+CF_Maint_Capex+CF_CFO</f>
        <v>-340</v>
      </c>
      <c r="G9" s="47" t="n">
        <f aca="false">CF_Constr_Capex+CF_Maint_Capex+CF_CFO</f>
        <v>237.652529179607</v>
      </c>
      <c r="H9" s="47" t="n">
        <f aca="false">CF_Constr_Capex+CF_Maint_Capex+CF_CFO</f>
        <v>246.808816339933</v>
      </c>
      <c r="I9" s="47" t="n">
        <f aca="false">CF_Constr_Capex+CF_Maint_Capex+CF_CFO</f>
        <v>256.287114213914</v>
      </c>
      <c r="J9" s="47" t="n">
        <f aca="false">CF_Constr_Capex+CF_Maint_Capex+CF_CFO</f>
        <v>261.181591910161</v>
      </c>
      <c r="K9" s="47" t="n">
        <f aca="false">CF_Constr_Capex+CF_Maint_Capex+CF_CFO</f>
        <v>233.063460231573</v>
      </c>
      <c r="L9" s="47" t="n">
        <f aca="false">CF_Constr_Capex+CF_Maint_Capex+CF_CFO</f>
        <v>271.277314842659</v>
      </c>
      <c r="M9" s="47" t="n">
        <f aca="false">CF_Constr_Capex+CF_Maint_Capex+CF_CFO</f>
        <v>276.481406456795</v>
      </c>
      <c r="N9" s="47" t="n">
        <f aca="false">CF_Constr_Capex+CF_Maint_Capex+CF_CFO</f>
        <v>281.791504088098</v>
      </c>
      <c r="O9" s="47" t="n">
        <f aca="false">CF_Constr_Capex+CF_Maint_Capex+CF_CFO</f>
        <v>287.208957241265</v>
      </c>
      <c r="P9" s="47" t="n">
        <f aca="false">CF_Constr_Capex+CF_Maint_Capex+CF_CFO</f>
        <v>255.269189017653</v>
      </c>
      <c r="Q9" s="47" t="n">
        <f aca="false">CF_Constr_Capex+CF_Maint_Capex+CF_CFO</f>
        <v>298.371136777323</v>
      </c>
      <c r="R9" s="47" t="n">
        <f aca="false">CF_Constr_Capex+CF_Maint_Capex+CF_CFO</f>
        <v>304.118355989725</v>
      </c>
      <c r="S9" s="47" t="n">
        <f aca="false">CF_Constr_Capex+CF_Maint_Capex+CF_CFO</f>
        <v>309.97790569791</v>
      </c>
      <c r="T9" s="47" t="n">
        <f aca="false">CF_Constr_Capex+CF_Maint_Capex+CF_CFO</f>
        <v>315.950897129936</v>
      </c>
      <c r="U9" s="47" t="n">
        <f aca="false">CF_Constr_Capex+CF_Maint_Capex+CF_CFO</f>
        <v>279.649161872759</v>
      </c>
      <c r="V9" s="47" t="n">
        <f aca="false">CF_Constr_Capex+CF_Maint_Capex+CF_CFO</f>
        <v>324.664151633621</v>
      </c>
      <c r="W9" s="47" t="n">
        <f aca="false">CF_Constr_Capex+CF_Maint_Capex+CF_CFO</f>
        <v>330.983451448761</v>
      </c>
      <c r="X9" s="47" t="n">
        <f aca="false">CF_Constr_Capex+CF_Maint_Capex+CF_CFO</f>
        <v>337.419918335285</v>
      </c>
      <c r="Y9" s="47" t="n">
        <f aca="false">CF_Constr_Capex+CF_Maint_Capex+CF_CFO</f>
        <v>343.974266669011</v>
      </c>
      <c r="Z9" s="47" t="n">
        <f aca="false">CF_Constr_Capex+CF_Maint_Capex+CF_CFO</f>
        <v>304.251571180658</v>
      </c>
      <c r="AA9" s="47" t="n">
        <f aca="false">CF_Constr_Capex+CF_Maint_Capex+CF_CFO</f>
        <v>356.628583540707</v>
      </c>
    </row>
    <row r="10" customFormat="false" ht="15" hidden="false" customHeight="false" outlineLevel="0" collapsed="false">
      <c r="A10" s="5"/>
      <c r="B10" s="46" t="s">
        <v>315</v>
      </c>
      <c r="C10" s="47" t="n">
        <f aca="false">C9</f>
        <v>-255</v>
      </c>
      <c r="D10" s="47" t="n">
        <f aca="false">C10+D9</f>
        <v>-765</v>
      </c>
      <c r="E10" s="47" t="n">
        <f aca="false">D10+E9</f>
        <v>-1360</v>
      </c>
      <c r="F10" s="47" t="n">
        <f aca="false">E10+F9</f>
        <v>-1700</v>
      </c>
      <c r="G10" s="47" t="n">
        <f aca="false">F10+G9</f>
        <v>-1462.34747082039</v>
      </c>
      <c r="H10" s="47" t="n">
        <f aca="false">G10+H9</f>
        <v>-1215.53865448046</v>
      </c>
      <c r="I10" s="47" t="n">
        <f aca="false">H10+I9</f>
        <v>-959.251540266547</v>
      </c>
      <c r="J10" s="47" t="n">
        <f aca="false">I10+J9</f>
        <v>-698.069948356386</v>
      </c>
      <c r="K10" s="47" t="n">
        <f aca="false">J10+K9</f>
        <v>-465.006488124813</v>
      </c>
      <c r="L10" s="47" t="n">
        <f aca="false">K10+L9</f>
        <v>-193.729173282154</v>
      </c>
      <c r="M10" s="47" t="n">
        <f aca="false">L10+M9</f>
        <v>82.7522331746407</v>
      </c>
      <c r="N10" s="47" t="n">
        <f aca="false">M10+N9</f>
        <v>364.543737262738</v>
      </c>
      <c r="O10" s="47" t="n">
        <f aca="false">N10+O9</f>
        <v>651.752694504003</v>
      </c>
      <c r="P10" s="47" t="n">
        <f aca="false">O10+P9</f>
        <v>907.021883521656</v>
      </c>
      <c r="Q10" s="47" t="n">
        <f aca="false">P10+Q9</f>
        <v>1205.39302029898</v>
      </c>
      <c r="R10" s="47" t="n">
        <f aca="false">Q10+R9</f>
        <v>1509.5113762887</v>
      </c>
      <c r="S10" s="47" t="n">
        <f aca="false">R10+S9</f>
        <v>1819.48928198661</v>
      </c>
      <c r="T10" s="47" t="n">
        <f aca="false">S10+T9</f>
        <v>2135.44017911655</v>
      </c>
      <c r="U10" s="47" t="n">
        <f aca="false">T10+U9</f>
        <v>2415.08934098931</v>
      </c>
      <c r="V10" s="47" t="n">
        <f aca="false">U10+V9</f>
        <v>2739.75349262293</v>
      </c>
      <c r="W10" s="47" t="n">
        <f aca="false">V10+W9</f>
        <v>3070.73694407169</v>
      </c>
      <c r="X10" s="47" t="n">
        <f aca="false">W10+X9</f>
        <v>3408.15686240698</v>
      </c>
      <c r="Y10" s="47" t="n">
        <f aca="false">X10+Y9</f>
        <v>3752.13112907599</v>
      </c>
      <c r="Z10" s="47" t="n">
        <f aca="false">Y10+Z9</f>
        <v>4056.38270025664</v>
      </c>
      <c r="AA10" s="47" t="n">
        <f aca="false">Z10+AA9</f>
        <v>4413.01128379735</v>
      </c>
    </row>
    <row r="11" customFormat="false" ht="15" hidden="false" customHeight="false" outlineLevel="0" collapsed="false">
      <c r="A11" s="5"/>
      <c r="B11" s="5"/>
      <c r="C11" s="5"/>
      <c r="D11" s="5"/>
      <c r="E11" s="5"/>
      <c r="F11" s="5"/>
      <c r="G11" s="5"/>
      <c r="H11" s="5"/>
      <c r="I11" s="5"/>
      <c r="J11" s="5"/>
      <c r="K11" s="5"/>
      <c r="L11" s="5"/>
      <c r="M11" s="5"/>
      <c r="N11" s="5"/>
      <c r="O11" s="5"/>
      <c r="P11" s="5"/>
      <c r="Q11" s="5"/>
      <c r="R11" s="5"/>
      <c r="S11" s="5"/>
      <c r="T11" s="5"/>
      <c r="U11" s="5"/>
      <c r="V11" s="5"/>
      <c r="W11" s="5"/>
      <c r="X11" s="5"/>
      <c r="Y11" s="5"/>
      <c r="Z11" s="5"/>
      <c r="AA11" s="5"/>
    </row>
    <row r="12" customFormat="false" ht="15" hidden="false" customHeight="false" outlineLevel="0" collapsed="false">
      <c r="A12" s="5"/>
      <c r="B12" s="58" t="s">
        <v>316</v>
      </c>
      <c r="C12" s="60" t="n">
        <f aca="false">IFERROR(IRR(C9:AA9),0)</f>
        <v>0.122850443148233</v>
      </c>
      <c r="D12" s="5"/>
      <c r="E12" s="5"/>
      <c r="F12" s="5"/>
      <c r="G12" s="5"/>
      <c r="H12" s="5"/>
      <c r="I12" s="5"/>
      <c r="J12" s="5"/>
      <c r="K12" s="5"/>
      <c r="L12" s="5"/>
      <c r="M12" s="5"/>
      <c r="N12" s="5"/>
      <c r="O12" s="5"/>
      <c r="P12" s="5"/>
      <c r="Q12" s="5"/>
      <c r="R12" s="5"/>
      <c r="S12" s="5"/>
      <c r="T12" s="5"/>
      <c r="U12" s="5"/>
      <c r="V12" s="5"/>
      <c r="W12" s="5"/>
      <c r="X12" s="5"/>
      <c r="Y12" s="5"/>
      <c r="Z12" s="5"/>
      <c r="AA12" s="5"/>
    </row>
    <row r="13" customFormat="false" ht="15" hidden="false" customHeight="false" outlineLevel="0" collapsed="false">
      <c r="A13" s="5"/>
      <c r="B13" s="58" t="s">
        <v>317</v>
      </c>
      <c r="C13" s="59" t="n">
        <f aca="false">C9+NPV(Discount_Rate,D9:AA9)</f>
        <v>695.683084759072</v>
      </c>
      <c r="D13" s="5"/>
      <c r="E13" s="5"/>
      <c r="F13" s="5"/>
      <c r="G13" s="5"/>
      <c r="H13" s="5"/>
      <c r="I13" s="5"/>
      <c r="J13" s="5"/>
      <c r="K13" s="5"/>
      <c r="L13" s="5"/>
      <c r="M13" s="5"/>
      <c r="N13" s="5"/>
      <c r="O13" s="5"/>
      <c r="P13" s="5"/>
      <c r="Q13" s="5"/>
      <c r="R13" s="5"/>
      <c r="S13" s="5"/>
      <c r="T13" s="5"/>
      <c r="U13" s="5"/>
      <c r="V13" s="5"/>
      <c r="W13" s="5"/>
      <c r="X13" s="5"/>
      <c r="Y13" s="5"/>
      <c r="Z13" s="5"/>
      <c r="AA13" s="5"/>
    </row>
    <row r="14" customFormat="false" ht="15" hidden="false" customHeight="false" outlineLevel="0" collapsed="false">
      <c r="A14" s="5"/>
      <c r="B14" s="5"/>
      <c r="C14" s="5"/>
      <c r="D14" s="5"/>
      <c r="E14" s="5"/>
      <c r="F14" s="5"/>
      <c r="G14" s="5"/>
      <c r="H14" s="5"/>
      <c r="I14" s="5"/>
      <c r="J14" s="5"/>
      <c r="K14" s="5"/>
      <c r="L14" s="5"/>
      <c r="M14" s="5"/>
      <c r="N14" s="5"/>
      <c r="O14" s="5"/>
      <c r="P14" s="5"/>
      <c r="Q14" s="5"/>
      <c r="R14" s="5"/>
      <c r="S14" s="5"/>
      <c r="T14" s="5"/>
      <c r="U14" s="5"/>
      <c r="V14" s="5"/>
      <c r="W14" s="5"/>
      <c r="X14" s="5"/>
      <c r="Y14" s="5"/>
      <c r="Z14" s="5"/>
      <c r="AA14" s="5"/>
    </row>
    <row r="15" customFormat="false" ht="15" hidden="false" customHeight="false" outlineLevel="0" collapsed="false">
      <c r="A15" s="5"/>
      <c r="B15" s="44" t="s">
        <v>318</v>
      </c>
      <c r="C15" s="45"/>
      <c r="D15" s="45"/>
      <c r="E15" s="45"/>
      <c r="F15" s="45"/>
      <c r="G15" s="45"/>
      <c r="H15" s="45"/>
      <c r="I15" s="45"/>
      <c r="J15" s="45"/>
      <c r="K15" s="45"/>
      <c r="L15" s="45"/>
      <c r="M15" s="45"/>
      <c r="N15" s="45"/>
      <c r="O15" s="45"/>
      <c r="P15" s="45"/>
      <c r="Q15" s="45"/>
      <c r="R15" s="45"/>
      <c r="S15" s="45"/>
      <c r="T15" s="45"/>
      <c r="U15" s="45"/>
      <c r="V15" s="45"/>
      <c r="W15" s="45"/>
      <c r="X15" s="45"/>
      <c r="Y15" s="45"/>
      <c r="Z15" s="45"/>
      <c r="AA15" s="45"/>
    </row>
    <row r="16" customFormat="false" ht="15" hidden="false" customHeight="false" outlineLevel="0" collapsed="false">
      <c r="A16" s="5"/>
      <c r="B16" s="46" t="s">
        <v>319</v>
      </c>
      <c r="C16" s="47" t="n">
        <f aca="false">-CF_EQ_Inject-CF_Distrib</f>
        <v>-85.45475</v>
      </c>
      <c r="D16" s="47" t="n">
        <f aca="false">-CF_EQ_Inject-CF_Distrib</f>
        <v>-175.253</v>
      </c>
      <c r="E16" s="47" t="n">
        <f aca="false">-CF_EQ_Inject-CF_Distrib</f>
        <v>-220.35825</v>
      </c>
      <c r="F16" s="47" t="n">
        <f aca="false">-CF_EQ_Inject-CF_Distrib</f>
        <v>-160.905</v>
      </c>
      <c r="G16" s="47" t="n">
        <f aca="false">-CF_EQ_Inject-CF_Distrib</f>
        <v>172.202529179607</v>
      </c>
      <c r="H16" s="47" t="n">
        <f aca="false">-CF_EQ_Inject-CF_Distrib</f>
        <v>181.358816339933</v>
      </c>
      <c r="I16" s="47" t="n">
        <f aca="false">-CF_EQ_Inject-CF_Distrib</f>
        <v>142.543893989324</v>
      </c>
      <c r="J16" s="47" t="n">
        <f aca="false">-CF_EQ_Inject-CF_Distrib</f>
        <v>147.438371685572</v>
      </c>
      <c r="K16" s="47" t="n">
        <f aca="false">-CF_EQ_Inject-CF_Distrib</f>
        <v>119.320240006983</v>
      </c>
      <c r="L16" s="47" t="n">
        <f aca="false">-CF_EQ_Inject-CF_Distrib</f>
        <v>157.534094618069</v>
      </c>
      <c r="M16" s="47" t="n">
        <f aca="false">-CF_EQ_Inject-CF_Distrib</f>
        <v>162.738186232205</v>
      </c>
      <c r="N16" s="47" t="n">
        <f aca="false">-CF_EQ_Inject-CF_Distrib</f>
        <v>168.048283863508</v>
      </c>
      <c r="O16" s="47" t="n">
        <f aca="false">-CF_EQ_Inject-CF_Distrib</f>
        <v>173.465737016675</v>
      </c>
      <c r="P16" s="47" t="n">
        <f aca="false">-CF_EQ_Inject-CF_Distrib</f>
        <v>141.525968793063</v>
      </c>
      <c r="Q16" s="47" t="n">
        <f aca="false">-CF_EQ_Inject-CF_Distrib</f>
        <v>184.627916552733</v>
      </c>
      <c r="R16" s="47" t="n">
        <f aca="false">-CF_EQ_Inject-CF_Distrib</f>
        <v>190.375135765135</v>
      </c>
      <c r="S16" s="47" t="n">
        <f aca="false">-CF_EQ_Inject-CF_Distrib</f>
        <v>196.23468547332</v>
      </c>
      <c r="T16" s="47" t="n">
        <f aca="false">-CF_EQ_Inject-CF_Distrib</f>
        <v>202.207676905347</v>
      </c>
      <c r="U16" s="47" t="n">
        <f aca="false">-CF_EQ_Inject-CF_Distrib</f>
        <v>165.905941648169</v>
      </c>
      <c r="V16" s="47" t="n">
        <f aca="false">-CF_EQ_Inject-CF_Distrib</f>
        <v>210.920931409031</v>
      </c>
      <c r="W16" s="47" t="n">
        <f aca="false">-CF_EQ_Inject-CF_Distrib</f>
        <v>217.240231224171</v>
      </c>
      <c r="X16" s="47" t="n">
        <f aca="false">-CF_EQ_Inject-CF_Distrib</f>
        <v>223.676698110696</v>
      </c>
      <c r="Y16" s="47" t="n">
        <f aca="false">-CF_EQ_Inject-CF_Distrib</f>
        <v>343.974266669011</v>
      </c>
      <c r="Z16" s="47" t="n">
        <f aca="false">-CF_EQ_Inject-CF_Distrib</f>
        <v>304.251571180658</v>
      </c>
      <c r="AA16" s="47" t="n">
        <f aca="false">-CF_EQ_Inject-CF_Distrib</f>
        <v>356.628583540707</v>
      </c>
    </row>
    <row r="17" customFormat="false" ht="15" hidden="false" customHeight="false" outlineLevel="0" collapsed="false">
      <c r="A17" s="5"/>
      <c r="B17" s="46" t="s">
        <v>320</v>
      </c>
      <c r="C17" s="47" t="n">
        <f aca="false">C16</f>
        <v>-85.45475</v>
      </c>
      <c r="D17" s="47" t="n">
        <f aca="false">C17+D16</f>
        <v>-260.70775</v>
      </c>
      <c r="E17" s="47" t="n">
        <f aca="false">D17+E16</f>
        <v>-481.066</v>
      </c>
      <c r="F17" s="47" t="n">
        <f aca="false">E17+F16</f>
        <v>-641.971</v>
      </c>
      <c r="G17" s="47" t="n">
        <f aca="false">F17+G16</f>
        <v>-469.768470820393</v>
      </c>
      <c r="H17" s="47" t="n">
        <f aca="false">G17+H16</f>
        <v>-288.409654480461</v>
      </c>
      <c r="I17" s="47" t="n">
        <f aca="false">H17+I16</f>
        <v>-145.865760491137</v>
      </c>
      <c r="J17" s="47" t="n">
        <f aca="false">I17+J16</f>
        <v>1.57261119443481</v>
      </c>
      <c r="K17" s="47" t="n">
        <f aca="false">J17+K16</f>
        <v>120.892851201418</v>
      </c>
      <c r="L17" s="47" t="n">
        <f aca="false">K17+L16</f>
        <v>278.426945819487</v>
      </c>
      <c r="M17" s="47" t="n">
        <f aca="false">L17+M16</f>
        <v>441.165132051692</v>
      </c>
      <c r="N17" s="47" t="n">
        <f aca="false">M17+N16</f>
        <v>609.213415915199</v>
      </c>
      <c r="O17" s="47" t="n">
        <f aca="false">N17+O16</f>
        <v>782.679152931874</v>
      </c>
      <c r="P17" s="47" t="n">
        <f aca="false">O17+P16</f>
        <v>924.205121724937</v>
      </c>
      <c r="Q17" s="47" t="n">
        <f aca="false">P17+Q16</f>
        <v>1108.83303827767</v>
      </c>
      <c r="R17" s="47" t="n">
        <f aca="false">Q17+R16</f>
        <v>1299.2081740428</v>
      </c>
      <c r="S17" s="47" t="n">
        <f aca="false">R17+S16</f>
        <v>1495.44285951612</v>
      </c>
      <c r="T17" s="47" t="n">
        <f aca="false">S17+T16</f>
        <v>1697.65053642147</v>
      </c>
      <c r="U17" s="47" t="n">
        <f aca="false">T17+U16</f>
        <v>1863.55647806964</v>
      </c>
      <c r="V17" s="47" t="n">
        <f aca="false">U17+V16</f>
        <v>2074.47740947867</v>
      </c>
      <c r="W17" s="47" t="n">
        <f aca="false">V17+W16</f>
        <v>2291.71764070284</v>
      </c>
      <c r="X17" s="47" t="n">
        <f aca="false">W17+X16</f>
        <v>2515.39433881354</v>
      </c>
      <c r="Y17" s="47" t="n">
        <f aca="false">X17+Y16</f>
        <v>2859.36860548255</v>
      </c>
      <c r="Z17" s="47" t="n">
        <f aca="false">Y17+Z16</f>
        <v>3163.62017666321</v>
      </c>
      <c r="AA17" s="47" t="n">
        <f aca="false">Z17+AA16</f>
        <v>3520.24876020391</v>
      </c>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row>
    <row r="19" customFormat="false" ht="15" hidden="false" customHeight="false" outlineLevel="0" collapsed="false">
      <c r="A19" s="5"/>
      <c r="B19" s="58" t="s">
        <v>321</v>
      </c>
      <c r="C19" s="60" t="n">
        <f aca="false">IFERROR(IRR(C16:AA16),0)</f>
        <v>0.197336134131301</v>
      </c>
      <c r="D19" s="5"/>
      <c r="E19" s="5"/>
      <c r="F19" s="5"/>
      <c r="G19" s="5"/>
      <c r="H19" s="5"/>
      <c r="I19" s="5"/>
      <c r="J19" s="5"/>
      <c r="K19" s="5"/>
      <c r="L19" s="5"/>
      <c r="M19" s="5"/>
      <c r="N19" s="5"/>
      <c r="O19" s="5"/>
      <c r="P19" s="5"/>
      <c r="Q19" s="5"/>
      <c r="R19" s="5"/>
      <c r="S19" s="5"/>
      <c r="T19" s="5"/>
      <c r="U19" s="5"/>
      <c r="V19" s="5"/>
      <c r="W19" s="5"/>
      <c r="X19" s="5"/>
      <c r="Y19" s="5"/>
      <c r="Z19" s="5"/>
      <c r="AA19" s="5"/>
    </row>
    <row r="20" customFormat="false" ht="15" hidden="false" customHeight="false" outlineLevel="0" collapsed="false">
      <c r="A20" s="5"/>
      <c r="B20" s="58" t="s">
        <v>322</v>
      </c>
      <c r="C20" s="61" t="n">
        <f aca="false">IFERROR(-SUM(C16:AA16)/SUMPRODUCT((C16:AA16&lt;0)*C16:AA16)+1,0)</f>
        <v>6.48350121766235</v>
      </c>
      <c r="D20" s="5"/>
      <c r="E20" s="5"/>
      <c r="F20" s="5"/>
      <c r="G20" s="5"/>
      <c r="H20" s="5"/>
      <c r="I20" s="5"/>
      <c r="J20" s="5"/>
      <c r="K20" s="5"/>
      <c r="L20" s="5"/>
      <c r="M20" s="5"/>
      <c r="N20" s="5"/>
      <c r="O20" s="5"/>
      <c r="P20" s="5"/>
      <c r="Q20" s="5"/>
      <c r="R20" s="5"/>
      <c r="S20" s="5"/>
      <c r="T20" s="5"/>
      <c r="U20" s="5"/>
      <c r="V20" s="5"/>
      <c r="W20" s="5"/>
      <c r="X20" s="5"/>
      <c r="Y20" s="5"/>
      <c r="Z20" s="5"/>
      <c r="AA20" s="5"/>
    </row>
    <row r="21" customFormat="false" ht="15" hidden="false" customHeight="false" outlineLevel="0" collapsed="false">
      <c r="A21" s="5"/>
      <c r="B21" s="58" t="s">
        <v>323</v>
      </c>
      <c r="C21" s="62" t="n">
        <f aca="false">IFERROR(MATCH(TRUE(),C17:AA17&gt;0,0)+Base_Year-1,"N/A")</f>
        <v>2032</v>
      </c>
      <c r="D21" s="5"/>
      <c r="E21" s="5"/>
      <c r="F21" s="5"/>
      <c r="G21" s="5"/>
      <c r="H21" s="5"/>
      <c r="I21" s="5"/>
      <c r="J21" s="5"/>
      <c r="K21" s="5"/>
      <c r="L21" s="5"/>
      <c r="M21" s="5"/>
      <c r="N21" s="5"/>
      <c r="O21" s="5"/>
      <c r="P21" s="5"/>
      <c r="Q21" s="5"/>
      <c r="R21" s="5"/>
      <c r="S21" s="5"/>
      <c r="T21" s="5"/>
      <c r="U21" s="5"/>
      <c r="V21" s="5"/>
      <c r="W21" s="5"/>
      <c r="X21" s="5"/>
      <c r="Y21" s="5"/>
      <c r="Z21" s="5"/>
      <c r="AA21" s="5"/>
    </row>
    <row r="22" customFormat="false" ht="15" hidden="false" customHeight="false" outlineLevel="0" collapsed="false">
      <c r="A22" s="5"/>
      <c r="B22" s="5"/>
      <c r="C22" s="5"/>
      <c r="D22" s="5"/>
      <c r="E22" s="5"/>
      <c r="F22" s="5"/>
      <c r="G22" s="5"/>
      <c r="H22" s="5"/>
      <c r="I22" s="5"/>
      <c r="J22" s="5"/>
      <c r="K22" s="5"/>
      <c r="L22" s="5"/>
      <c r="M22" s="5"/>
      <c r="N22" s="5"/>
      <c r="O22" s="5"/>
      <c r="P22" s="5"/>
      <c r="Q22" s="5"/>
      <c r="R22" s="5"/>
      <c r="S22" s="5"/>
      <c r="T22" s="5"/>
      <c r="U22" s="5"/>
      <c r="V22" s="5"/>
      <c r="W22" s="5"/>
      <c r="X22" s="5"/>
      <c r="Y22" s="5"/>
      <c r="Z22" s="5"/>
      <c r="AA22" s="5"/>
    </row>
    <row r="23" customFormat="false" ht="15" hidden="false" customHeight="false" outlineLevel="0" collapsed="false">
      <c r="A23" s="5"/>
      <c r="B23" s="44" t="s">
        <v>324</v>
      </c>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customFormat="false" ht="15" hidden="false" customHeight="false" outlineLevel="0" collapsed="false">
      <c r="A24" s="5"/>
      <c r="B24" s="46" t="s">
        <v>263</v>
      </c>
      <c r="C24" s="57" t="n">
        <f aca="false">DS_DSCR</f>
        <v>0</v>
      </c>
      <c r="D24" s="57" t="n">
        <f aca="false">DS_DSCR</f>
        <v>0</v>
      </c>
      <c r="E24" s="57" t="n">
        <f aca="false">DS_DSCR</f>
        <v>0</v>
      </c>
      <c r="F24" s="57" t="n">
        <f aca="false">DS_DSCR</f>
        <v>0</v>
      </c>
      <c r="G24" s="57" t="n">
        <f aca="false">DS_DSCR</f>
        <v>4.69637044541137</v>
      </c>
      <c r="H24" s="57" t="n">
        <f aca="false">DS_DSCR</f>
        <v>4.89588737253795</v>
      </c>
      <c r="I24" s="57" t="n">
        <f aca="false">DS_DSCR</f>
        <v>2.935953530873</v>
      </c>
      <c r="J24" s="57" t="n">
        <f aca="false">DS_DSCR</f>
        <v>3.00896339642265</v>
      </c>
      <c r="K24" s="57" t="n">
        <f aca="false">DS_DSCR</f>
        <v>2.69561360934392</v>
      </c>
      <c r="L24" s="57" t="n">
        <f aca="false">DS_DSCR</f>
        <v>3.16048081016536</v>
      </c>
      <c r="M24" s="57" t="n">
        <f aca="false">DS_DSCR</f>
        <v>3.23908004945493</v>
      </c>
      <c r="N24" s="57" t="n">
        <f aca="false">DS_DSCR</f>
        <v>3.31963601410746</v>
      </c>
      <c r="O24" s="57" t="n">
        <f aca="false">DS_DSCR</f>
        <v>3.40219745714462</v>
      </c>
      <c r="P24" s="57" t="n">
        <f aca="false">DS_DSCR</f>
        <v>3.04762756569911</v>
      </c>
      <c r="Q24" s="57" t="n">
        <f aca="false">DS_DSCR</f>
        <v>3.57353789839811</v>
      </c>
      <c r="R24" s="57" t="n">
        <f aca="false">DS_DSCR</f>
        <v>3.66242060231917</v>
      </c>
      <c r="S24" s="57" t="n">
        <f aca="false">DS_DSCR</f>
        <v>3.75351625896748</v>
      </c>
      <c r="T24" s="57" t="n">
        <f aca="false">DS_DSCR</f>
        <v>3.8468800098638</v>
      </c>
      <c r="U24" s="57" t="n">
        <f aca="false">DS_DSCR</f>
        <v>3.44566883993811</v>
      </c>
      <c r="V24" s="57" t="n">
        <f aca="false">DS_DSCR</f>
        <v>4.04063926924329</v>
      </c>
      <c r="W24" s="57" t="n">
        <f aca="false">DS_DSCR</f>
        <v>4.1411520732819</v>
      </c>
      <c r="X24" s="57" t="n">
        <f aca="false">DS_DSCR</f>
        <v>4.24416763386762</v>
      </c>
      <c r="Y24" s="57" t="n">
        <f aca="false">DS_DSCR</f>
        <v>0</v>
      </c>
      <c r="Z24" s="57" t="n">
        <f aca="false">DS_DSCR</f>
        <v>0</v>
      </c>
      <c r="AA24" s="57" t="n">
        <f aca="false">DS_DSCR</f>
        <v>0</v>
      </c>
    </row>
    <row r="25" customFormat="false" ht="15" hidden="false" customHeight="false" outlineLevel="0" collapsed="false">
      <c r="A25" s="5"/>
      <c r="B25" s="58" t="s">
        <v>325</v>
      </c>
      <c r="C25" s="61" t="n">
        <f aca="false">IFERROR(AVERAGEIF(C24:AA24,"&gt;0"),0)</f>
        <v>3.61721071316888</v>
      </c>
      <c r="D25" s="5"/>
      <c r="E25" s="5"/>
      <c r="F25" s="5"/>
      <c r="G25" s="5"/>
      <c r="H25" s="5"/>
      <c r="I25" s="5"/>
      <c r="J25" s="5"/>
      <c r="K25" s="5"/>
      <c r="L25" s="5"/>
      <c r="M25" s="5"/>
      <c r="N25" s="5"/>
      <c r="O25" s="5"/>
      <c r="P25" s="5"/>
      <c r="Q25" s="5"/>
      <c r="R25" s="5"/>
      <c r="S25" s="5"/>
      <c r="T25" s="5"/>
      <c r="U25" s="5"/>
      <c r="V25" s="5"/>
      <c r="W25" s="5"/>
      <c r="X25" s="5"/>
      <c r="Y25" s="5"/>
      <c r="Z25" s="5"/>
      <c r="AA25" s="5"/>
    </row>
    <row r="26" customFormat="false" ht="15" hidden="false" customHeight="false" outlineLevel="0" collapsed="false">
      <c r="A26" s="5"/>
      <c r="B26" s="58" t="s">
        <v>179</v>
      </c>
      <c r="C26" s="61" t="n">
        <f aca="false">MIN(G24:X24)</f>
        <v>2.69561360934392</v>
      </c>
      <c r="D26" s="5"/>
      <c r="E26" s="5"/>
      <c r="F26" s="5"/>
      <c r="G26" s="5"/>
      <c r="H26" s="5"/>
      <c r="I26" s="5"/>
      <c r="J26" s="5"/>
      <c r="K26" s="5"/>
      <c r="L26" s="5"/>
      <c r="M26" s="5"/>
      <c r="N26" s="5"/>
      <c r="O26" s="5"/>
      <c r="P26" s="5"/>
      <c r="Q26" s="5"/>
      <c r="R26" s="5"/>
      <c r="S26" s="5"/>
      <c r="T26" s="5"/>
      <c r="U26" s="5"/>
      <c r="V26" s="5"/>
      <c r="W26" s="5"/>
      <c r="X26" s="5"/>
      <c r="Y26" s="5"/>
      <c r="Z26" s="5"/>
      <c r="AA26" s="5"/>
    </row>
    <row r="27" customFormat="false" ht="15" hidden="false" customHeight="false" outlineLevel="0" collapsed="false">
      <c r="A27" s="5"/>
      <c r="B27" s="5"/>
      <c r="C27" s="5"/>
      <c r="D27" s="5"/>
      <c r="E27" s="5"/>
      <c r="F27" s="5"/>
      <c r="G27" s="5"/>
      <c r="H27" s="5"/>
      <c r="I27" s="5"/>
      <c r="J27" s="5"/>
      <c r="K27" s="5"/>
      <c r="L27" s="5"/>
      <c r="M27" s="5"/>
      <c r="N27" s="5"/>
      <c r="O27" s="5"/>
      <c r="P27" s="5"/>
      <c r="Q27" s="5"/>
      <c r="R27" s="5"/>
      <c r="S27" s="5"/>
      <c r="T27" s="5"/>
      <c r="U27" s="5"/>
      <c r="V27" s="5"/>
      <c r="W27" s="5"/>
      <c r="X27" s="5"/>
      <c r="Y27" s="5"/>
      <c r="Z27" s="5"/>
      <c r="AA27" s="5"/>
    </row>
    <row r="28" customFormat="false" ht="15" hidden="false" customHeight="false" outlineLevel="0" collapsed="false">
      <c r="A28" s="5"/>
      <c r="B28" s="44" t="s">
        <v>326</v>
      </c>
      <c r="C28" s="45"/>
      <c r="D28" s="45"/>
      <c r="E28" s="45"/>
      <c r="F28" s="45"/>
      <c r="G28" s="45"/>
      <c r="H28" s="45"/>
      <c r="I28" s="45"/>
      <c r="J28" s="45"/>
      <c r="K28" s="45"/>
      <c r="L28" s="45"/>
      <c r="M28" s="45"/>
      <c r="N28" s="45"/>
      <c r="O28" s="45"/>
      <c r="P28" s="45"/>
      <c r="Q28" s="45"/>
      <c r="R28" s="45"/>
      <c r="S28" s="45"/>
      <c r="T28" s="45"/>
      <c r="U28" s="45"/>
      <c r="V28" s="45"/>
      <c r="W28" s="45"/>
      <c r="X28" s="45"/>
      <c r="Y28" s="45"/>
      <c r="Z28" s="45"/>
      <c r="AA28" s="45"/>
    </row>
    <row r="29" customFormat="false" ht="15" hidden="false" customHeight="false" outlineLevel="0" collapsed="false">
      <c r="A29" s="5"/>
      <c r="B29" s="46" t="s">
        <v>304</v>
      </c>
      <c r="C29" s="47" t="n">
        <f aca="false">-CF_Distrib</f>
        <v>-0</v>
      </c>
      <c r="D29" s="47" t="n">
        <f aca="false">-CF_Distrib</f>
        <v>-0</v>
      </c>
      <c r="E29" s="47" t="n">
        <f aca="false">-CF_Distrib</f>
        <v>-0</v>
      </c>
      <c r="F29" s="47" t="n">
        <f aca="false">-CF_Distrib</f>
        <v>-0</v>
      </c>
      <c r="G29" s="47" t="n">
        <f aca="false">-CF_Distrib</f>
        <v>172.202529179607</v>
      </c>
      <c r="H29" s="47" t="n">
        <f aca="false">-CF_Distrib</f>
        <v>181.358816339933</v>
      </c>
      <c r="I29" s="47" t="n">
        <f aca="false">-CF_Distrib</f>
        <v>142.543893989324</v>
      </c>
      <c r="J29" s="47" t="n">
        <f aca="false">-CF_Distrib</f>
        <v>147.438371685572</v>
      </c>
      <c r="K29" s="47" t="n">
        <f aca="false">-CF_Distrib</f>
        <v>119.320240006983</v>
      </c>
      <c r="L29" s="47" t="n">
        <f aca="false">-CF_Distrib</f>
        <v>157.534094618069</v>
      </c>
      <c r="M29" s="47" t="n">
        <f aca="false">-CF_Distrib</f>
        <v>162.738186232205</v>
      </c>
      <c r="N29" s="47" t="n">
        <f aca="false">-CF_Distrib</f>
        <v>168.048283863508</v>
      </c>
      <c r="O29" s="47" t="n">
        <f aca="false">-CF_Distrib</f>
        <v>173.465737016675</v>
      </c>
      <c r="P29" s="47" t="n">
        <f aca="false">-CF_Distrib</f>
        <v>141.525968793063</v>
      </c>
      <c r="Q29" s="47" t="n">
        <f aca="false">-CF_Distrib</f>
        <v>184.627916552733</v>
      </c>
      <c r="R29" s="47" t="n">
        <f aca="false">-CF_Distrib</f>
        <v>190.375135765135</v>
      </c>
      <c r="S29" s="47" t="n">
        <f aca="false">-CF_Distrib</f>
        <v>196.23468547332</v>
      </c>
      <c r="T29" s="47" t="n">
        <f aca="false">-CF_Distrib</f>
        <v>202.207676905347</v>
      </c>
      <c r="U29" s="47" t="n">
        <f aca="false">-CF_Distrib</f>
        <v>165.905941648169</v>
      </c>
      <c r="V29" s="47" t="n">
        <f aca="false">-CF_Distrib</f>
        <v>210.920931409031</v>
      </c>
      <c r="W29" s="47" t="n">
        <f aca="false">-CF_Distrib</f>
        <v>217.240231224171</v>
      </c>
      <c r="X29" s="47" t="n">
        <f aca="false">-CF_Distrib</f>
        <v>223.676698110696</v>
      </c>
      <c r="Y29" s="47" t="n">
        <f aca="false">-CF_Distrib</f>
        <v>343.974266669011</v>
      </c>
      <c r="Z29" s="47" t="n">
        <f aca="false">-CF_Distrib</f>
        <v>304.251571180658</v>
      </c>
      <c r="AA29" s="47" t="n">
        <f aca="false">-CF_Distrib</f>
        <v>356.628583540707</v>
      </c>
    </row>
    <row r="30" customFormat="false" ht="15" hidden="false" customHeight="false" outlineLevel="0" collapsed="false">
      <c r="A30" s="5"/>
      <c r="B30" s="46" t="s">
        <v>327</v>
      </c>
      <c r="C30" s="47" t="n">
        <f aca="false">C29</f>
        <v>-0</v>
      </c>
      <c r="D30" s="47" t="n">
        <f aca="false">C30+D29</f>
        <v>-0</v>
      </c>
      <c r="E30" s="47" t="n">
        <f aca="false">D30+E29</f>
        <v>-0</v>
      </c>
      <c r="F30" s="47" t="n">
        <f aca="false">E30+F29</f>
        <v>-0</v>
      </c>
      <c r="G30" s="47" t="n">
        <f aca="false">F30+G29</f>
        <v>172.202529179607</v>
      </c>
      <c r="H30" s="47" t="n">
        <f aca="false">G30+H29</f>
        <v>353.561345519539</v>
      </c>
      <c r="I30" s="47" t="n">
        <f aca="false">H30+I29</f>
        <v>496.105239508863</v>
      </c>
      <c r="J30" s="47" t="n">
        <f aca="false">I30+J29</f>
        <v>643.543611194435</v>
      </c>
      <c r="K30" s="47" t="n">
        <f aca="false">J30+K29</f>
        <v>762.863851201418</v>
      </c>
      <c r="L30" s="47" t="n">
        <f aca="false">K30+L29</f>
        <v>920.397945819487</v>
      </c>
      <c r="M30" s="47" t="n">
        <f aca="false">L30+M29</f>
        <v>1083.13613205169</v>
      </c>
      <c r="N30" s="47" t="n">
        <f aca="false">M30+N29</f>
        <v>1251.1844159152</v>
      </c>
      <c r="O30" s="47" t="n">
        <f aca="false">N30+O29</f>
        <v>1424.65015293187</v>
      </c>
      <c r="P30" s="47" t="n">
        <f aca="false">O30+P29</f>
        <v>1566.17612172494</v>
      </c>
      <c r="Q30" s="47" t="n">
        <f aca="false">P30+Q29</f>
        <v>1750.80403827767</v>
      </c>
      <c r="R30" s="47" t="n">
        <f aca="false">Q30+R29</f>
        <v>1941.1791740428</v>
      </c>
      <c r="S30" s="47" t="n">
        <f aca="false">R30+S29</f>
        <v>2137.41385951612</v>
      </c>
      <c r="T30" s="47" t="n">
        <f aca="false">S30+T29</f>
        <v>2339.62153642147</v>
      </c>
      <c r="U30" s="47" t="n">
        <f aca="false">T30+U29</f>
        <v>2505.52747806964</v>
      </c>
      <c r="V30" s="47" t="n">
        <f aca="false">U30+V29</f>
        <v>2716.44840947867</v>
      </c>
      <c r="W30" s="47" t="n">
        <f aca="false">V30+W29</f>
        <v>2933.68864070284</v>
      </c>
      <c r="X30" s="47" t="n">
        <f aca="false">W30+X29</f>
        <v>3157.36533881354</v>
      </c>
      <c r="Y30" s="47" t="n">
        <f aca="false">X30+Y29</f>
        <v>3501.33960548255</v>
      </c>
      <c r="Z30" s="47" t="n">
        <f aca="false">Y30+Z29</f>
        <v>3805.59117666321</v>
      </c>
      <c r="AA30" s="47" t="n">
        <f aca="false">Z30+AA29</f>
        <v>4162.21976020391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8"/>
    <col collapsed="false" customWidth="true" hidden="false" outlineLevel="0" max="4" min="4" style="0" width="45"/>
  </cols>
  <sheetData>
    <row r="1" customFormat="false" ht="15" hidden="false" customHeight="false" outlineLevel="0" collapsed="false">
      <c r="A1" s="5"/>
      <c r="B1" s="5"/>
      <c r="C1" s="5"/>
      <c r="D1" s="5"/>
    </row>
    <row r="2" customFormat="false" ht="22.05" hidden="false" customHeight="false" outlineLevel="0" collapsed="false">
      <c r="A2" s="5"/>
      <c r="B2" s="28" t="s">
        <v>328</v>
      </c>
      <c r="C2" s="5"/>
      <c r="D2" s="5"/>
    </row>
    <row r="3" customFormat="false" ht="15" hidden="false" customHeight="false" outlineLevel="0" collapsed="false">
      <c r="A3" s="5"/>
      <c r="B3" s="29" t="s">
        <v>329</v>
      </c>
      <c r="C3" s="5"/>
      <c r="D3" s="5"/>
    </row>
    <row r="4" customFormat="false" ht="15" hidden="false" customHeight="false" outlineLevel="0" collapsed="false">
      <c r="A4" s="5"/>
      <c r="B4" s="5"/>
      <c r="C4" s="5"/>
      <c r="D4" s="5"/>
    </row>
    <row r="5" customFormat="false" ht="15" hidden="false" customHeight="false" outlineLevel="0" collapsed="false">
      <c r="A5" s="5"/>
      <c r="B5" s="30" t="s">
        <v>330</v>
      </c>
      <c r="C5" s="31" t="s">
        <v>331</v>
      </c>
      <c r="D5" s="31" t="s">
        <v>332</v>
      </c>
    </row>
    <row r="6" customFormat="false" ht="15" hidden="false" customHeight="false" outlineLevel="0" collapsed="false">
      <c r="A6" s="5"/>
      <c r="B6" s="5"/>
      <c r="C6" s="5"/>
      <c r="D6" s="5"/>
    </row>
    <row r="7" customFormat="false" ht="15" hidden="false" customHeight="false" outlineLevel="0" collapsed="false">
      <c r="A7" s="5"/>
      <c r="B7" s="7" t="s">
        <v>333</v>
      </c>
      <c r="C7" s="63" t="str">
        <f aca="false">IF(ABS(SUM(C16:AA16))&lt;0.01,"PASS","FAIL")</f>
        <v>PASS</v>
      </c>
      <c r="D7" s="8" t="str">
        <f aca="false">ROUND(SUM(Cash_Flow!C16:AA16),2)&amp;" variance"</f>
        <v>-1399.56 variance</v>
      </c>
    </row>
    <row r="8" customFormat="false" ht="15" hidden="false" customHeight="false" outlineLevel="0" collapsed="false">
      <c r="A8" s="5"/>
      <c r="B8" s="7" t="s">
        <v>334</v>
      </c>
      <c r="C8" s="63" t="str">
        <f aca="false">IF(RT_Min_DSCR&gt;=Target_DSCR,"PASS","FAIL")</f>
        <v>PASS</v>
      </c>
      <c r="D8" s="8" t="str">
        <f aca="false">"Min DSCR: "&amp;TEXT(RT_Min_DSCR,"0.00x")&amp;" vs target "&amp;TEXT(Target_DSCR,"0.00x")</f>
        <v>Min DSCR: 2.70x vs target 1.25x</v>
      </c>
    </row>
    <row r="9" customFormat="false" ht="15" hidden="false" customHeight="false" outlineLevel="0" collapsed="false">
      <c r="A9" s="5"/>
      <c r="B9" s="7" t="s">
        <v>335</v>
      </c>
      <c r="C9" s="63" t="str">
        <f aca="false">IF(Debt_Schedule!AA18&lt;0.01,"PASS","FAIL")</f>
        <v>PASS</v>
      </c>
      <c r="D9" s="8" t="str">
        <f aca="false">"Closing balance Y25: $"&amp;TEXT(Debt_Schedule!AA18,"#,##0.00")&amp;"M"</f>
        <v>Closing balance Y25: $0.00M</v>
      </c>
    </row>
    <row r="10" customFormat="false" ht="15" hidden="false" customHeight="false" outlineLevel="0" collapsed="false">
      <c r="A10" s="5"/>
      <c r="B10" s="7" t="s">
        <v>336</v>
      </c>
      <c r="C10" s="63" t="str">
        <f aca="false">IF(Depreciation!AA32&gt;=0,"PASS","FAIL")</f>
        <v>PASS</v>
      </c>
      <c r="D10" s="8" t="str">
        <f aca="false">"NBV Y25: $"&amp;TEXT(Depreciation!AA32,"#,##0.00")&amp;"M"</f>
        <v>NBV Y25: $399.75M</v>
      </c>
    </row>
    <row r="11" customFormat="false" ht="15" hidden="false" customHeight="false" outlineLevel="0" collapsed="false">
      <c r="A11" s="5"/>
      <c r="B11" s="7" t="s">
        <v>273</v>
      </c>
      <c r="C11" s="63" t="str">
        <f aca="false">IF(AND(Income_Statement!AA23&gt;=0.55,Income_Statement!AA23&lt;=0.8),"PASS","WARN")</f>
        <v>PASS</v>
      </c>
      <c r="D11" s="8" t="str">
        <f aca="false">"Steady-state margin: "&amp;TEXT(Income_Statement!AA23,"0.00%")</f>
        <v>Steady-state margin: 76.34%</v>
      </c>
    </row>
    <row r="12" customFormat="false" ht="15" hidden="false" customHeight="false" outlineLevel="0" collapsed="false">
      <c r="A12" s="5"/>
      <c r="B12" s="7" t="s">
        <v>337</v>
      </c>
      <c r="C12" s="63" t="str">
        <f aca="false">IF(MIN(Cash_Flow!C41:AA41)&gt;=0,"PASS","FAIL")</f>
        <v>PASS</v>
      </c>
      <c r="D12" s="8" t="str">
        <f aca="false">"Min cash: $"&amp;TEXT(MIN(Cash_Flow!C41:AA41),"#,##0.00")&amp;"M"</f>
        <v>Min cash: $0.00M</v>
      </c>
    </row>
    <row r="13" customFormat="false" ht="15" hidden="false" customHeight="false" outlineLevel="0" collapsed="false">
      <c r="A13" s="5"/>
      <c r="B13" s="7" t="s">
        <v>316</v>
      </c>
      <c r="C13" s="63" t="str">
        <f aca="false">IF(AND(RT_Proj_IRR&gt;=Target_Proj_IRR,RT_Proj_IRR&lt;=0.2),"PASS","WARN")</f>
        <v>PASS</v>
      </c>
      <c r="D13" s="8" t="str">
        <f aca="false">"Project IRR: "&amp;TEXT(RT_Proj_IRR,"0.00%")&amp;" vs target "&amp;TEXT(Target_Proj_IRR,"0.00%")</f>
        <v>Project IRR: 12.29% vs target 9.00%</v>
      </c>
    </row>
    <row r="14" customFormat="false" ht="15" hidden="false" customHeight="false" outlineLevel="0" collapsed="false">
      <c r="A14" s="5"/>
      <c r="B14" s="7" t="s">
        <v>321</v>
      </c>
      <c r="C14" s="63" t="str">
        <f aca="false">IF(AND(RT_Eq_IRR&gt;=Target_Eq_IRR,RT_Eq_IRR&lt;=0.3),"PASS","WARN")</f>
        <v>PASS</v>
      </c>
      <c r="D14" s="8" t="str">
        <f aca="false">"Equity IRR: "&amp;TEXT(RT_Eq_IRR,"0.00%")&amp;" vs target "&amp;TEXT(Target_Eq_IRR,"0.00%")</f>
        <v>Equity IRR: 19.73% vs target 13.00%</v>
      </c>
    </row>
    <row r="15" customFormat="false" ht="15" hidden="false" customHeight="false" outlineLevel="0" collapsed="false">
      <c r="A15" s="5"/>
      <c r="B15" s="7" t="s">
        <v>338</v>
      </c>
      <c r="C15" s="63" t="str">
        <f aca="false">IF(SUM(Income_Statement!C30:F30)=0,"PASS","FAIL")</f>
        <v>PASS</v>
      </c>
      <c r="D15" s="8" t="str">
        <f aca="false">"Tax during construction: $"&amp;TEXT(SUM(Income_Statement!C30:F30),"#,##0.00")&amp;"M"</f>
        <v>Tax during construction: $0.00M</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0" t="s">
        <v>43</v>
      </c>
    </row>
    <row r="3" customFormat="false" ht="3.75" hidden="false" customHeight="true" outlineLevel="0" collapsed="false">
      <c r="A3" s="5"/>
      <c r="B3" s="21"/>
    </row>
    <row r="4" customFormat="false" ht="15" hidden="false" customHeight="false" outlineLevel="0" collapsed="false">
      <c r="A4" s="5"/>
      <c r="B4" s="5"/>
    </row>
    <row r="5" customFormat="false" ht="19.5" hidden="false" customHeight="true" outlineLevel="0" collapsed="false">
      <c r="A5" s="5"/>
      <c r="B5" s="22" t="s">
        <v>44</v>
      </c>
    </row>
    <row r="6" customFormat="false" ht="48" hidden="false" customHeight="true" outlineLevel="0" collapsed="false">
      <c r="A6" s="5"/>
      <c r="B6" s="23" t="s">
        <v>45</v>
      </c>
    </row>
    <row r="7" customFormat="false" ht="15" hidden="false" customHeight="false" outlineLevel="0" collapsed="false">
      <c r="A7" s="5"/>
      <c r="B7" s="5"/>
    </row>
    <row r="8" customFormat="false" ht="19.5" hidden="false" customHeight="true" outlineLevel="0" collapsed="false">
      <c r="A8" s="5"/>
      <c r="B8" s="22" t="s">
        <v>46</v>
      </c>
    </row>
    <row r="9" customFormat="false" ht="61.5" hidden="false" customHeight="true" outlineLevel="0" collapsed="false">
      <c r="A9" s="5"/>
      <c r="B9" s="23" t="s">
        <v>47</v>
      </c>
    </row>
    <row r="10" customFormat="false" ht="15" hidden="false" customHeight="false" outlineLevel="0" collapsed="false">
      <c r="A10" s="5"/>
      <c r="B10" s="5"/>
    </row>
    <row r="11" customFormat="false" ht="19.5" hidden="false" customHeight="true" outlineLevel="0" collapsed="false">
      <c r="A11" s="5"/>
      <c r="B11" s="22" t="s">
        <v>48</v>
      </c>
    </row>
    <row r="12" customFormat="false" ht="75.75" hidden="false" customHeight="true" outlineLevel="0" collapsed="false">
      <c r="A12" s="5"/>
      <c r="B12" s="23" t="s">
        <v>49</v>
      </c>
    </row>
    <row r="13" customFormat="false" ht="15" hidden="false" customHeight="false" outlineLevel="0" collapsed="false">
      <c r="A13" s="5"/>
      <c r="B13" s="5"/>
    </row>
    <row r="14" customFormat="false" ht="19.5" hidden="false" customHeight="true" outlineLevel="0" collapsed="false">
      <c r="A14" s="5"/>
      <c r="B14" s="22" t="s">
        <v>50</v>
      </c>
    </row>
    <row r="15" customFormat="false" ht="61.5" hidden="false" customHeight="true" outlineLevel="0" collapsed="false">
      <c r="A15" s="5"/>
      <c r="B15" s="23" t="s">
        <v>51</v>
      </c>
    </row>
    <row r="16" customFormat="false" ht="15" hidden="false" customHeight="false" outlineLevel="0" collapsed="false">
      <c r="A16" s="5"/>
      <c r="B16" s="5"/>
    </row>
    <row r="17" customFormat="false" ht="19.5" hidden="false" customHeight="true" outlineLevel="0" collapsed="false">
      <c r="A17" s="5"/>
      <c r="B17" s="22" t="s">
        <v>52</v>
      </c>
    </row>
    <row r="18" customFormat="false" ht="33.75" hidden="false" customHeight="true" outlineLevel="0" collapsed="false">
      <c r="A18" s="5"/>
      <c r="B18" s="23" t="s">
        <v>53</v>
      </c>
    </row>
    <row r="19" customFormat="false" ht="15" hidden="false" customHeight="false" outlineLevel="0" collapsed="false">
      <c r="A19" s="5"/>
      <c r="B19" s="5"/>
    </row>
    <row r="20" customFormat="false" ht="19.5" hidden="false" customHeight="true" outlineLevel="0" collapsed="false">
      <c r="A20" s="5"/>
      <c r="B20" s="22" t="s">
        <v>54</v>
      </c>
    </row>
    <row r="21" customFormat="false" ht="33.75" hidden="false" customHeight="true" outlineLevel="0" collapsed="false">
      <c r="A21" s="5"/>
      <c r="B21" s="23" t="s">
        <v>55</v>
      </c>
    </row>
    <row r="22" customFormat="false" ht="15" hidden="false" customHeight="false" outlineLevel="0" collapsed="false">
      <c r="A22" s="5"/>
      <c r="B22" s="5"/>
    </row>
    <row r="23" customFormat="false" ht="21.75" hidden="false" customHeight="true" outlineLevel="0" collapsed="false">
      <c r="A23" s="5"/>
      <c r="B23" s="24" t="s">
        <v>56</v>
      </c>
    </row>
    <row r="24" customFormat="false" ht="15" hidden="false" customHeight="false" outlineLevel="0" collapsed="false">
      <c r="A24" s="5"/>
      <c r="B24" s="5"/>
    </row>
    <row r="25" customFormat="false" ht="18" hidden="false" customHeight="true" outlineLevel="0" collapsed="false">
      <c r="A25" s="5"/>
      <c r="B25" s="25" t="s">
        <v>57</v>
      </c>
    </row>
    <row r="26" customFormat="false" ht="201.75" hidden="false" customHeight="true" outlineLevel="0" collapsed="false">
      <c r="A26" s="5"/>
      <c r="B26" s="26" t="s">
        <v>58</v>
      </c>
    </row>
    <row r="27" customFormat="false" ht="15" hidden="false" customHeight="false" outlineLevel="0" collapsed="false">
      <c r="A27" s="5"/>
      <c r="B27" s="5"/>
    </row>
    <row r="28" customFormat="false" ht="18" hidden="false" customHeight="true" outlineLevel="0" collapsed="false">
      <c r="A28" s="5"/>
      <c r="B28" s="27" t="s">
        <v>59</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E7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8"/>
    <col collapsed="false" customWidth="true" hidden="false" outlineLevel="0" max="4" min="4" style="0" width="12"/>
    <col collapsed="false" customWidth="true" hidden="false" outlineLevel="0" max="5" min="5" style="0" width="38"/>
  </cols>
  <sheetData>
    <row r="1" customFormat="false" ht="15" hidden="false" customHeight="false" outlineLevel="0" collapsed="false">
      <c r="A1" s="5"/>
      <c r="B1" s="5"/>
      <c r="C1" s="5"/>
      <c r="D1" s="5"/>
      <c r="E1" s="5"/>
    </row>
    <row r="2" customFormat="false" ht="22.05" hidden="false" customHeight="false" outlineLevel="0" collapsed="false">
      <c r="A2" s="5"/>
      <c r="B2" s="28" t="s">
        <v>6</v>
      </c>
      <c r="C2" s="5"/>
      <c r="D2" s="5"/>
      <c r="E2" s="5"/>
    </row>
    <row r="3" customFormat="false" ht="15" hidden="false" customHeight="false" outlineLevel="0" collapsed="false">
      <c r="A3" s="5"/>
      <c r="B3" s="29" t="s">
        <v>7</v>
      </c>
      <c r="C3" s="5"/>
      <c r="D3" s="5"/>
      <c r="E3" s="5"/>
    </row>
    <row r="4" customFormat="false" ht="15" hidden="false" customHeight="false" outlineLevel="0" collapsed="false">
      <c r="A4" s="5"/>
      <c r="B4" s="5"/>
      <c r="C4" s="5"/>
      <c r="D4" s="5"/>
      <c r="E4" s="5"/>
    </row>
    <row r="5" customFormat="false" ht="15" hidden="false" customHeight="false" outlineLevel="0" collapsed="false">
      <c r="A5" s="5"/>
      <c r="B5" s="30" t="s">
        <v>60</v>
      </c>
      <c r="C5" s="31" t="s">
        <v>61</v>
      </c>
      <c r="D5" s="31" t="s">
        <v>62</v>
      </c>
      <c r="E5" s="31" t="s">
        <v>63</v>
      </c>
    </row>
    <row r="6" customFormat="false" ht="15" hidden="false" customHeight="false" outlineLevel="0" collapsed="false">
      <c r="A6" s="5"/>
      <c r="B6" s="32" t="s">
        <v>64</v>
      </c>
      <c r="C6" s="16"/>
      <c r="D6" s="16"/>
      <c r="E6" s="16"/>
    </row>
    <row r="7" customFormat="false" ht="15" hidden="false" customHeight="false" outlineLevel="0" collapsed="false">
      <c r="A7" s="5"/>
      <c r="B7" s="7" t="s">
        <v>65</v>
      </c>
      <c r="C7" s="33" t="n">
        <v>2025</v>
      </c>
      <c r="D7" s="34" t="s">
        <v>66</v>
      </c>
      <c r="E7" s="8" t="s">
        <v>67</v>
      </c>
    </row>
    <row r="8" customFormat="false" ht="15" hidden="false" customHeight="false" outlineLevel="0" collapsed="false">
      <c r="A8" s="5"/>
      <c r="B8" s="7" t="s">
        <v>68</v>
      </c>
      <c r="C8" s="33" t="n">
        <v>25</v>
      </c>
      <c r="D8" s="34" t="s">
        <v>69</v>
      </c>
      <c r="E8" s="8" t="s">
        <v>70</v>
      </c>
    </row>
    <row r="9" customFormat="false" ht="15" hidden="false" customHeight="false" outlineLevel="0" collapsed="false">
      <c r="A9" s="5"/>
      <c r="B9" s="7" t="s">
        <v>71</v>
      </c>
      <c r="C9" s="33" t="n">
        <v>4</v>
      </c>
      <c r="D9" s="34" t="s">
        <v>69</v>
      </c>
      <c r="E9" s="8" t="s">
        <v>72</v>
      </c>
    </row>
    <row r="10" customFormat="false" ht="15" hidden="false" customHeight="false" outlineLevel="0" collapsed="false">
      <c r="A10" s="5"/>
      <c r="B10" s="7" t="s">
        <v>73</v>
      </c>
      <c r="C10" s="35" t="n">
        <f aca="false">C7+C9</f>
        <v>2029</v>
      </c>
      <c r="D10" s="34" t="s">
        <v>66</v>
      </c>
      <c r="E10" s="8" t="s">
        <v>74</v>
      </c>
    </row>
    <row r="11" customFormat="false" ht="15" hidden="false" customHeight="false" outlineLevel="0" collapsed="false">
      <c r="A11" s="5"/>
      <c r="B11" s="7" t="s">
        <v>75</v>
      </c>
      <c r="C11" s="33" t="n">
        <f aca="false">C8-C9</f>
        <v>21</v>
      </c>
      <c r="D11" s="34" t="s">
        <v>69</v>
      </c>
      <c r="E11" s="8" t="s">
        <v>76</v>
      </c>
    </row>
    <row r="12" customFormat="false" ht="15" hidden="false" customHeight="false" outlineLevel="0" collapsed="false">
      <c r="A12" s="5"/>
      <c r="B12" s="32" t="s">
        <v>77</v>
      </c>
      <c r="C12" s="16"/>
      <c r="D12" s="16"/>
      <c r="E12" s="16"/>
    </row>
    <row r="13" customFormat="false" ht="15" hidden="false" customHeight="false" outlineLevel="0" collapsed="false">
      <c r="A13" s="5"/>
      <c r="B13" s="7" t="s">
        <v>78</v>
      </c>
      <c r="C13" s="33" t="n">
        <v>500</v>
      </c>
      <c r="D13" s="34" t="s">
        <v>79</v>
      </c>
      <c r="E13" s="8" t="s">
        <v>80</v>
      </c>
    </row>
    <row r="14" customFormat="false" ht="15" hidden="false" customHeight="false" outlineLevel="0" collapsed="false">
      <c r="A14" s="5"/>
      <c r="B14" s="7" t="s">
        <v>81</v>
      </c>
      <c r="C14" s="36" t="n">
        <v>0.85</v>
      </c>
      <c r="D14" s="34" t="s">
        <v>82</v>
      </c>
      <c r="E14" s="8" t="s">
        <v>83</v>
      </c>
    </row>
    <row r="15" customFormat="false" ht="15" hidden="false" customHeight="false" outlineLevel="0" collapsed="false">
      <c r="A15" s="5"/>
      <c r="B15" s="7" t="s">
        <v>84</v>
      </c>
      <c r="C15" s="36" t="n">
        <v>0.7</v>
      </c>
      <c r="D15" s="34" t="s">
        <v>82</v>
      </c>
      <c r="E15" s="8" t="s">
        <v>85</v>
      </c>
    </row>
    <row r="16" customFormat="false" ht="15" hidden="false" customHeight="false" outlineLevel="0" collapsed="false">
      <c r="A16" s="5"/>
      <c r="B16" s="7" t="s">
        <v>86</v>
      </c>
      <c r="C16" s="36" t="n">
        <v>0.92</v>
      </c>
      <c r="D16" s="34" t="s">
        <v>82</v>
      </c>
      <c r="E16" s="8" t="s">
        <v>87</v>
      </c>
    </row>
    <row r="17" customFormat="false" ht="15" hidden="false" customHeight="false" outlineLevel="0" collapsed="false">
      <c r="A17" s="5"/>
      <c r="B17" s="7" t="s">
        <v>88</v>
      </c>
      <c r="C17" s="33" t="n">
        <v>3</v>
      </c>
      <c r="D17" s="34" t="s">
        <v>69</v>
      </c>
      <c r="E17" s="8" t="s">
        <v>89</v>
      </c>
    </row>
    <row r="18" customFormat="false" ht="15" hidden="false" customHeight="false" outlineLevel="0" collapsed="false">
      <c r="A18" s="5"/>
      <c r="B18" s="7" t="s">
        <v>90</v>
      </c>
      <c r="C18" s="36" t="n">
        <v>0.02</v>
      </c>
      <c r="D18" s="34" t="s">
        <v>82</v>
      </c>
      <c r="E18" s="8" t="s">
        <v>91</v>
      </c>
    </row>
    <row r="19" customFormat="false" ht="15" hidden="false" customHeight="false" outlineLevel="0" collapsed="false">
      <c r="A19" s="5"/>
      <c r="B19" s="32" t="s">
        <v>10</v>
      </c>
      <c r="C19" s="16"/>
      <c r="D19" s="16"/>
      <c r="E19" s="16"/>
    </row>
    <row r="20" customFormat="false" ht="15" hidden="false" customHeight="false" outlineLevel="0" collapsed="false">
      <c r="A20" s="5"/>
      <c r="B20" s="7" t="s">
        <v>92</v>
      </c>
      <c r="C20" s="36" t="n">
        <v>0.85</v>
      </c>
      <c r="D20" s="34" t="s">
        <v>93</v>
      </c>
      <c r="E20" s="8" t="s">
        <v>94</v>
      </c>
    </row>
    <row r="21" customFormat="false" ht="15" hidden="false" customHeight="false" outlineLevel="0" collapsed="false">
      <c r="A21" s="5"/>
      <c r="B21" s="7" t="s">
        <v>95</v>
      </c>
      <c r="C21" s="36" t="n">
        <v>0.1</v>
      </c>
      <c r="D21" s="34" t="s">
        <v>93</v>
      </c>
      <c r="E21" s="8" t="s">
        <v>96</v>
      </c>
    </row>
    <row r="22" customFormat="false" ht="15" hidden="false" customHeight="false" outlineLevel="0" collapsed="false">
      <c r="A22" s="5"/>
      <c r="B22" s="7" t="s">
        <v>97</v>
      </c>
      <c r="C22" s="36" t="n">
        <v>0.025</v>
      </c>
      <c r="D22" s="34" t="s">
        <v>98</v>
      </c>
      <c r="E22" s="8" t="s">
        <v>99</v>
      </c>
    </row>
    <row r="23" customFormat="false" ht="15" hidden="false" customHeight="false" outlineLevel="0" collapsed="false">
      <c r="A23" s="5"/>
      <c r="B23" s="7" t="s">
        <v>100</v>
      </c>
      <c r="C23" s="33" t="n">
        <v>75000</v>
      </c>
      <c r="D23" s="34" t="s">
        <v>101</v>
      </c>
      <c r="E23" s="8" t="s">
        <v>102</v>
      </c>
    </row>
    <row r="24" customFormat="false" ht="15" hidden="false" customHeight="false" outlineLevel="0" collapsed="false">
      <c r="A24" s="5"/>
      <c r="B24" s="7" t="s">
        <v>103</v>
      </c>
      <c r="C24" s="33" t="n">
        <v>120</v>
      </c>
      <c r="D24" s="34" t="s">
        <v>104</v>
      </c>
      <c r="E24" s="8" t="s">
        <v>105</v>
      </c>
    </row>
    <row r="25" customFormat="false" ht="15" hidden="false" customHeight="false" outlineLevel="0" collapsed="false">
      <c r="A25" s="5"/>
      <c r="B25" s="7" t="s">
        <v>106</v>
      </c>
      <c r="C25" s="36" t="n">
        <v>0.02</v>
      </c>
      <c r="D25" s="34" t="s">
        <v>98</v>
      </c>
      <c r="E25" s="8" t="s">
        <v>107</v>
      </c>
    </row>
    <row r="26" customFormat="false" ht="15" hidden="false" customHeight="false" outlineLevel="0" collapsed="false">
      <c r="A26" s="5"/>
      <c r="B26" s="32" t="s">
        <v>108</v>
      </c>
      <c r="C26" s="16"/>
      <c r="D26" s="16"/>
      <c r="E26" s="16"/>
    </row>
    <row r="27" customFormat="false" ht="15" hidden="false" customHeight="false" outlineLevel="0" collapsed="false">
      <c r="A27" s="5"/>
      <c r="B27" s="7" t="s">
        <v>109</v>
      </c>
      <c r="C27" s="33" t="n">
        <v>375</v>
      </c>
      <c r="D27" s="34" t="s">
        <v>110</v>
      </c>
      <c r="E27" s="8" t="s">
        <v>111</v>
      </c>
    </row>
    <row r="28" customFormat="false" ht="15" hidden="false" customHeight="false" outlineLevel="0" collapsed="false">
      <c r="A28" s="5"/>
      <c r="B28" s="7" t="s">
        <v>112</v>
      </c>
      <c r="C28" s="33" t="n">
        <v>475</v>
      </c>
      <c r="D28" s="34" t="s">
        <v>110</v>
      </c>
      <c r="E28" s="8" t="s">
        <v>113</v>
      </c>
    </row>
    <row r="29" customFormat="false" ht="15" hidden="false" customHeight="false" outlineLevel="0" collapsed="false">
      <c r="A29" s="5"/>
      <c r="B29" s="7" t="s">
        <v>114</v>
      </c>
      <c r="C29" s="33" t="n">
        <v>300</v>
      </c>
      <c r="D29" s="34" t="s">
        <v>110</v>
      </c>
      <c r="E29" s="8" t="s">
        <v>115</v>
      </c>
    </row>
    <row r="30" customFormat="false" ht="15" hidden="false" customHeight="false" outlineLevel="0" collapsed="false">
      <c r="A30" s="5"/>
      <c r="B30" s="7" t="s">
        <v>116</v>
      </c>
      <c r="C30" s="33" t="n">
        <v>200</v>
      </c>
      <c r="D30" s="34" t="s">
        <v>110</v>
      </c>
      <c r="E30" s="8" t="s">
        <v>117</v>
      </c>
    </row>
    <row r="31" customFormat="false" ht="15" hidden="false" customHeight="false" outlineLevel="0" collapsed="false">
      <c r="A31" s="5"/>
      <c r="B31" s="7" t="s">
        <v>118</v>
      </c>
      <c r="C31" s="33" t="n">
        <v>200</v>
      </c>
      <c r="D31" s="34" t="s">
        <v>110</v>
      </c>
      <c r="E31" s="8" t="s">
        <v>117</v>
      </c>
    </row>
    <row r="32" customFormat="false" ht="15" hidden="false" customHeight="false" outlineLevel="0" collapsed="false">
      <c r="A32" s="5"/>
      <c r="B32" s="7" t="s">
        <v>119</v>
      </c>
      <c r="C32" s="33" t="n">
        <v>150</v>
      </c>
      <c r="D32" s="34" t="s">
        <v>110</v>
      </c>
      <c r="E32" s="8" t="s">
        <v>120</v>
      </c>
    </row>
    <row r="33" customFormat="false" ht="15" hidden="false" customHeight="false" outlineLevel="0" collapsed="false">
      <c r="A33" s="5"/>
      <c r="B33" s="37" t="s">
        <v>121</v>
      </c>
      <c r="C33" s="38" t="n">
        <f aca="false">SUM(C27:C32)</f>
        <v>1700</v>
      </c>
      <c r="D33" s="34" t="s">
        <v>110</v>
      </c>
      <c r="E33" s="8" t="s">
        <v>122</v>
      </c>
    </row>
    <row r="34" customFormat="false" ht="15" hidden="false" customHeight="false" outlineLevel="0" collapsed="false">
      <c r="A34" s="5"/>
      <c r="B34" s="32" t="s">
        <v>123</v>
      </c>
      <c r="C34" s="16"/>
      <c r="D34" s="16"/>
      <c r="E34" s="16"/>
    </row>
    <row r="35" customFormat="false" ht="15" hidden="false" customHeight="false" outlineLevel="0" collapsed="false">
      <c r="A35" s="5"/>
      <c r="B35" s="7" t="s">
        <v>124</v>
      </c>
      <c r="C35" s="36" t="n">
        <v>0.15</v>
      </c>
      <c r="D35" s="34" t="s">
        <v>82</v>
      </c>
      <c r="E35" s="8" t="s">
        <v>125</v>
      </c>
    </row>
    <row r="36" customFormat="false" ht="15" hidden="false" customHeight="false" outlineLevel="0" collapsed="false">
      <c r="A36" s="5"/>
      <c r="B36" s="7" t="s">
        <v>126</v>
      </c>
      <c r="C36" s="36" t="n">
        <v>0.3</v>
      </c>
      <c r="D36" s="34" t="s">
        <v>82</v>
      </c>
      <c r="E36" s="8" t="s">
        <v>127</v>
      </c>
    </row>
    <row r="37" customFormat="false" ht="15" hidden="false" customHeight="false" outlineLevel="0" collapsed="false">
      <c r="A37" s="5"/>
      <c r="B37" s="7" t="s">
        <v>128</v>
      </c>
      <c r="C37" s="36" t="n">
        <v>0.35</v>
      </c>
      <c r="D37" s="34" t="s">
        <v>82</v>
      </c>
      <c r="E37" s="8" t="s">
        <v>129</v>
      </c>
    </row>
    <row r="38" customFormat="false" ht="15" hidden="false" customHeight="false" outlineLevel="0" collapsed="false">
      <c r="A38" s="5"/>
      <c r="B38" s="7" t="s">
        <v>130</v>
      </c>
      <c r="C38" s="36" t="n">
        <v>0.2</v>
      </c>
      <c r="D38" s="34" t="s">
        <v>82</v>
      </c>
      <c r="E38" s="8" t="s">
        <v>131</v>
      </c>
    </row>
    <row r="39" customFormat="false" ht="15" hidden="false" customHeight="false" outlineLevel="0" collapsed="false">
      <c r="A39" s="5"/>
      <c r="B39" s="32" t="s">
        <v>132</v>
      </c>
      <c r="C39" s="16"/>
      <c r="D39" s="16"/>
      <c r="E39" s="16"/>
    </row>
    <row r="40" customFormat="false" ht="15" hidden="false" customHeight="false" outlineLevel="0" collapsed="false">
      <c r="A40" s="5"/>
      <c r="B40" s="7" t="s">
        <v>133</v>
      </c>
      <c r="C40" s="33" t="n">
        <v>18</v>
      </c>
      <c r="D40" s="34" t="s">
        <v>134</v>
      </c>
      <c r="E40" s="8" t="s">
        <v>135</v>
      </c>
    </row>
    <row r="41" customFormat="false" ht="15" hidden="false" customHeight="false" outlineLevel="0" collapsed="false">
      <c r="A41" s="5"/>
      <c r="B41" s="7" t="s">
        <v>136</v>
      </c>
      <c r="C41" s="36" t="n">
        <v>0.015</v>
      </c>
      <c r="D41" s="34" t="s">
        <v>137</v>
      </c>
      <c r="E41" s="8" t="s">
        <v>138</v>
      </c>
    </row>
    <row r="42" customFormat="false" ht="15" hidden="false" customHeight="false" outlineLevel="0" collapsed="false">
      <c r="A42" s="5"/>
      <c r="B42" s="7" t="s">
        <v>139</v>
      </c>
      <c r="C42" s="36" t="n">
        <v>0.008</v>
      </c>
      <c r="D42" s="34" t="s">
        <v>137</v>
      </c>
      <c r="E42" s="8" t="s">
        <v>140</v>
      </c>
    </row>
    <row r="43" customFormat="false" ht="15" hidden="false" customHeight="false" outlineLevel="0" collapsed="false">
      <c r="A43" s="5"/>
      <c r="B43" s="7" t="s">
        <v>141</v>
      </c>
      <c r="C43" s="33" t="n">
        <v>5</v>
      </c>
      <c r="D43" s="34" t="s">
        <v>134</v>
      </c>
      <c r="E43" s="8" t="s">
        <v>142</v>
      </c>
    </row>
    <row r="44" customFormat="false" ht="15" hidden="false" customHeight="false" outlineLevel="0" collapsed="false">
      <c r="A44" s="5"/>
      <c r="B44" s="7" t="s">
        <v>143</v>
      </c>
      <c r="C44" s="36" t="n">
        <v>0.03</v>
      </c>
      <c r="D44" s="34" t="s">
        <v>144</v>
      </c>
      <c r="E44" s="8" t="s">
        <v>145</v>
      </c>
    </row>
    <row r="45" customFormat="false" ht="15" hidden="false" customHeight="false" outlineLevel="0" collapsed="false">
      <c r="A45" s="5"/>
      <c r="B45" s="7" t="s">
        <v>146</v>
      </c>
      <c r="C45" s="33" t="n">
        <v>3</v>
      </c>
      <c r="D45" s="34" t="s">
        <v>134</v>
      </c>
      <c r="E45" s="8" t="s">
        <v>147</v>
      </c>
    </row>
    <row r="46" customFormat="false" ht="15" hidden="false" customHeight="false" outlineLevel="0" collapsed="false">
      <c r="A46" s="5"/>
      <c r="B46" s="7" t="s">
        <v>148</v>
      </c>
      <c r="C46" s="39" t="n">
        <v>2.5</v>
      </c>
      <c r="D46" s="34" t="s">
        <v>134</v>
      </c>
      <c r="E46" s="8" t="s">
        <v>149</v>
      </c>
    </row>
    <row r="47" customFormat="false" ht="15" hidden="false" customHeight="false" outlineLevel="0" collapsed="false">
      <c r="A47" s="5"/>
      <c r="B47" s="7" t="s">
        <v>150</v>
      </c>
      <c r="C47" s="36" t="n">
        <v>0.025</v>
      </c>
      <c r="D47" s="34" t="s">
        <v>98</v>
      </c>
      <c r="E47" s="8" t="s">
        <v>151</v>
      </c>
    </row>
    <row r="48" customFormat="false" ht="15" hidden="false" customHeight="false" outlineLevel="0" collapsed="false">
      <c r="A48" s="5"/>
      <c r="B48" s="7" t="s">
        <v>152</v>
      </c>
      <c r="C48" s="33" t="n">
        <v>40</v>
      </c>
      <c r="D48" s="34" t="s">
        <v>110</v>
      </c>
      <c r="E48" s="8" t="s">
        <v>153</v>
      </c>
    </row>
    <row r="49" customFormat="false" ht="15" hidden="false" customHeight="false" outlineLevel="0" collapsed="false">
      <c r="A49" s="5"/>
      <c r="B49" s="7" t="s">
        <v>154</v>
      </c>
      <c r="C49" s="33" t="n">
        <v>5</v>
      </c>
      <c r="D49" s="34" t="s">
        <v>69</v>
      </c>
      <c r="E49" s="8" t="s">
        <v>155</v>
      </c>
    </row>
    <row r="50" customFormat="false" ht="15" hidden="false" customHeight="false" outlineLevel="0" collapsed="false">
      <c r="A50" s="5"/>
      <c r="B50" s="32" t="s">
        <v>156</v>
      </c>
      <c r="C50" s="16"/>
      <c r="D50" s="16"/>
      <c r="E50" s="16"/>
    </row>
    <row r="51" customFormat="false" ht="15" hidden="false" customHeight="false" outlineLevel="0" collapsed="false">
      <c r="A51" s="5"/>
      <c r="B51" s="7" t="s">
        <v>157</v>
      </c>
      <c r="C51" s="36" t="n">
        <v>0.7</v>
      </c>
      <c r="D51" s="34" t="s">
        <v>82</v>
      </c>
      <c r="E51" s="8" t="s">
        <v>158</v>
      </c>
    </row>
    <row r="52" customFormat="false" ht="15" hidden="false" customHeight="false" outlineLevel="0" collapsed="false">
      <c r="A52" s="5"/>
      <c r="B52" s="7" t="s">
        <v>159</v>
      </c>
      <c r="C52" s="36" t="n">
        <v>0.3</v>
      </c>
      <c r="D52" s="34" t="s">
        <v>82</v>
      </c>
      <c r="E52" s="8" t="s">
        <v>160</v>
      </c>
    </row>
    <row r="53" customFormat="false" ht="15" hidden="false" customHeight="false" outlineLevel="0" collapsed="false">
      <c r="A53" s="5"/>
      <c r="B53" s="7" t="s">
        <v>161</v>
      </c>
      <c r="C53" s="36" t="n">
        <v>0.055</v>
      </c>
      <c r="D53" s="34" t="s">
        <v>82</v>
      </c>
      <c r="E53" s="8" t="s">
        <v>162</v>
      </c>
    </row>
    <row r="54" customFormat="false" ht="15" hidden="false" customHeight="false" outlineLevel="0" collapsed="false">
      <c r="A54" s="5"/>
      <c r="B54" s="7" t="s">
        <v>163</v>
      </c>
      <c r="C54" s="36" t="n">
        <v>0.004</v>
      </c>
      <c r="D54" s="34" t="s">
        <v>82</v>
      </c>
      <c r="E54" s="8" t="s">
        <v>164</v>
      </c>
    </row>
    <row r="55" customFormat="false" ht="15" hidden="false" customHeight="false" outlineLevel="0" collapsed="false">
      <c r="A55" s="5"/>
      <c r="B55" s="7" t="s">
        <v>165</v>
      </c>
      <c r="C55" s="33" t="n">
        <v>18</v>
      </c>
      <c r="D55" s="34" t="s">
        <v>69</v>
      </c>
      <c r="E55" s="8" t="s">
        <v>166</v>
      </c>
    </row>
    <row r="56" customFormat="false" ht="15" hidden="false" customHeight="false" outlineLevel="0" collapsed="false">
      <c r="A56" s="5"/>
      <c r="B56" s="7" t="s">
        <v>167</v>
      </c>
      <c r="C56" s="33" t="n">
        <v>2</v>
      </c>
      <c r="D56" s="34" t="s">
        <v>69</v>
      </c>
      <c r="E56" s="8" t="s">
        <v>168</v>
      </c>
    </row>
    <row r="57" customFormat="false" ht="15" hidden="false" customHeight="false" outlineLevel="0" collapsed="false">
      <c r="A57" s="5"/>
      <c r="B57" s="7" t="s">
        <v>169</v>
      </c>
      <c r="C57" s="33" t="n">
        <v>6</v>
      </c>
      <c r="D57" s="34" t="s">
        <v>170</v>
      </c>
      <c r="E57" s="8" t="s">
        <v>171</v>
      </c>
    </row>
    <row r="58" customFormat="false" ht="15" hidden="false" customHeight="false" outlineLevel="0" collapsed="false">
      <c r="A58" s="5"/>
      <c r="B58" s="7" t="s">
        <v>172</v>
      </c>
      <c r="C58" s="36" t="n">
        <v>0.25</v>
      </c>
      <c r="D58" s="34" t="s">
        <v>82</v>
      </c>
      <c r="E58" s="8" t="s">
        <v>173</v>
      </c>
    </row>
    <row r="59" customFormat="false" ht="15" hidden="false" customHeight="false" outlineLevel="0" collapsed="false">
      <c r="A59" s="5"/>
      <c r="B59" s="5"/>
      <c r="C59" s="5"/>
      <c r="D59" s="5"/>
      <c r="E59" s="5"/>
    </row>
    <row r="60" customFormat="false" ht="15" hidden="false" customHeight="false" outlineLevel="0" collapsed="false">
      <c r="A60" s="5"/>
      <c r="B60" s="32" t="s">
        <v>174</v>
      </c>
      <c r="C60" s="16"/>
      <c r="D60" s="16"/>
      <c r="E60" s="16"/>
    </row>
    <row r="61" customFormat="false" ht="15" hidden="false" customHeight="false" outlineLevel="0" collapsed="false">
      <c r="A61" s="5"/>
      <c r="B61" s="7" t="s">
        <v>175</v>
      </c>
      <c r="C61" s="36" t="n">
        <v>0.09</v>
      </c>
      <c r="D61" s="34" t="s">
        <v>82</v>
      </c>
      <c r="E61" s="8" t="s">
        <v>176</v>
      </c>
    </row>
    <row r="62" customFormat="false" ht="15" hidden="false" customHeight="false" outlineLevel="0" collapsed="false">
      <c r="A62" s="5"/>
      <c r="B62" s="7" t="s">
        <v>177</v>
      </c>
      <c r="C62" s="36" t="n">
        <v>0.13</v>
      </c>
      <c r="D62" s="34" t="s">
        <v>82</v>
      </c>
      <c r="E62" s="8" t="s">
        <v>178</v>
      </c>
    </row>
    <row r="63" customFormat="false" ht="15" hidden="false" customHeight="false" outlineLevel="0" collapsed="false">
      <c r="A63" s="5"/>
      <c r="B63" s="7" t="s">
        <v>179</v>
      </c>
      <c r="C63" s="40" t="n">
        <v>1.25</v>
      </c>
      <c r="D63" s="34" t="s">
        <v>180</v>
      </c>
      <c r="E63" s="8" t="s">
        <v>181</v>
      </c>
    </row>
    <row r="64" customFormat="false" ht="15" hidden="false" customHeight="false" outlineLevel="0" collapsed="false">
      <c r="A64" s="5"/>
      <c r="B64" s="7" t="s">
        <v>182</v>
      </c>
      <c r="C64" s="36" t="n">
        <v>0.08</v>
      </c>
      <c r="D64" s="34" t="s">
        <v>82</v>
      </c>
      <c r="E64" s="8" t="s">
        <v>183</v>
      </c>
    </row>
    <row r="65" customFormat="false" ht="15" hidden="false" customHeight="false" outlineLevel="0" collapsed="false">
      <c r="A65" s="5"/>
      <c r="B65" s="32" t="s">
        <v>184</v>
      </c>
      <c r="C65" s="16"/>
      <c r="D65" s="16"/>
      <c r="E65" s="16"/>
    </row>
    <row r="66" customFormat="false" ht="15" hidden="false" customHeight="false" outlineLevel="0" collapsed="false">
      <c r="A66" s="5"/>
      <c r="B66" s="7" t="s">
        <v>109</v>
      </c>
      <c r="C66" s="33" t="n">
        <v>35</v>
      </c>
      <c r="D66" s="34" t="s">
        <v>69</v>
      </c>
      <c r="E66" s="8" t="s">
        <v>185</v>
      </c>
    </row>
    <row r="67" customFormat="false" ht="15" hidden="false" customHeight="false" outlineLevel="0" collapsed="false">
      <c r="A67" s="5"/>
      <c r="B67" s="7" t="s">
        <v>112</v>
      </c>
      <c r="C67" s="33" t="n">
        <v>30</v>
      </c>
      <c r="D67" s="34" t="s">
        <v>69</v>
      </c>
      <c r="E67" s="8" t="s">
        <v>186</v>
      </c>
    </row>
    <row r="68" customFormat="false" ht="15" hidden="false" customHeight="false" outlineLevel="0" collapsed="false">
      <c r="A68" s="5"/>
      <c r="B68" s="7" t="s">
        <v>114</v>
      </c>
      <c r="C68" s="33" t="n">
        <v>20</v>
      </c>
      <c r="D68" s="34" t="s">
        <v>69</v>
      </c>
      <c r="E68" s="8" t="s">
        <v>187</v>
      </c>
    </row>
    <row r="69" customFormat="false" ht="15" hidden="false" customHeight="false" outlineLevel="0" collapsed="false">
      <c r="A69" s="5"/>
      <c r="B69" s="7" t="s">
        <v>188</v>
      </c>
      <c r="C69" s="33" t="n">
        <v>35</v>
      </c>
      <c r="D69" s="34" t="s">
        <v>69</v>
      </c>
      <c r="E69" s="8" t="s">
        <v>189</v>
      </c>
    </row>
    <row r="70" customFormat="false" ht="15" hidden="false" customHeight="false" outlineLevel="0" collapsed="false">
      <c r="A70" s="5"/>
      <c r="B70" s="7" t="s">
        <v>118</v>
      </c>
      <c r="C70" s="33" t="n">
        <v>15</v>
      </c>
      <c r="D70" s="34" t="s">
        <v>69</v>
      </c>
      <c r="E70" s="8" t="s">
        <v>190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A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2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row>
    <row r="2" customFormat="false" ht="22.05" hidden="false" customHeight="false" outlineLevel="0" collapsed="false">
      <c r="A2" s="5"/>
      <c r="B2" s="28" t="s">
        <v>191</v>
      </c>
      <c r="C2" s="5"/>
      <c r="D2" s="5"/>
      <c r="E2" s="5"/>
      <c r="F2" s="5"/>
      <c r="G2" s="5"/>
      <c r="H2" s="5"/>
      <c r="I2" s="5"/>
      <c r="J2" s="5"/>
      <c r="K2" s="5"/>
      <c r="L2" s="5"/>
      <c r="M2" s="5"/>
      <c r="N2" s="5"/>
      <c r="O2" s="5"/>
      <c r="P2" s="5"/>
      <c r="Q2" s="5"/>
      <c r="R2" s="5"/>
      <c r="S2" s="5"/>
      <c r="T2" s="5"/>
      <c r="U2" s="5"/>
      <c r="V2" s="5"/>
      <c r="W2" s="5"/>
      <c r="X2" s="5"/>
      <c r="Y2" s="5"/>
      <c r="Z2" s="5"/>
      <c r="AA2" s="5"/>
    </row>
    <row r="3" customFormat="false" ht="15" hidden="false" customHeight="false" outlineLevel="0" collapsed="false">
      <c r="A3" s="5"/>
      <c r="B3" s="29" t="s">
        <v>9</v>
      </c>
      <c r="C3" s="5"/>
      <c r="D3" s="5"/>
      <c r="E3" s="5"/>
      <c r="F3" s="5"/>
      <c r="G3" s="5"/>
      <c r="H3" s="5"/>
      <c r="I3" s="5"/>
      <c r="J3" s="5"/>
      <c r="K3" s="5"/>
      <c r="L3" s="5"/>
      <c r="M3" s="5"/>
      <c r="N3" s="5"/>
      <c r="O3" s="5"/>
      <c r="P3" s="5"/>
      <c r="Q3" s="5"/>
      <c r="R3" s="5"/>
      <c r="S3" s="5"/>
      <c r="T3" s="5"/>
      <c r="U3" s="5"/>
      <c r="V3" s="5"/>
      <c r="W3" s="5"/>
      <c r="X3" s="5"/>
      <c r="Y3" s="5"/>
      <c r="Z3" s="5"/>
      <c r="AA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row>
    <row r="5" customFormat="false" ht="15" hidden="false" customHeight="false" outlineLevel="0" collapsed="false">
      <c r="A5" s="5"/>
      <c r="B5" s="41" t="s">
        <v>66</v>
      </c>
      <c r="C5" s="42" t="n">
        <f aca="false">Base_Year+0</f>
        <v>2025</v>
      </c>
      <c r="D5" s="42" t="n">
        <f aca="false">Base_Year+1</f>
        <v>2026</v>
      </c>
      <c r="E5" s="42" t="n">
        <f aca="false">Base_Year+2</f>
        <v>2027</v>
      </c>
      <c r="F5" s="42" t="n">
        <f aca="false">Base_Year+3</f>
        <v>2028</v>
      </c>
      <c r="G5" s="42" t="n">
        <f aca="false">Base_Year+4</f>
        <v>2029</v>
      </c>
      <c r="H5" s="42" t="n">
        <f aca="false">Base_Year+5</f>
        <v>2030</v>
      </c>
      <c r="I5" s="42" t="n">
        <f aca="false">Base_Year+6</f>
        <v>2031</v>
      </c>
      <c r="J5" s="42" t="n">
        <f aca="false">Base_Year+7</f>
        <v>2032</v>
      </c>
      <c r="K5" s="42" t="n">
        <f aca="false">Base_Year+8</f>
        <v>2033</v>
      </c>
      <c r="L5" s="42" t="n">
        <f aca="false">Base_Year+9</f>
        <v>2034</v>
      </c>
      <c r="M5" s="42" t="n">
        <f aca="false">Base_Year+10</f>
        <v>2035</v>
      </c>
      <c r="N5" s="42" t="n">
        <f aca="false">Base_Year+11</f>
        <v>2036</v>
      </c>
      <c r="O5" s="42" t="n">
        <f aca="false">Base_Year+12</f>
        <v>2037</v>
      </c>
      <c r="P5" s="42" t="n">
        <f aca="false">Base_Year+13</f>
        <v>2038</v>
      </c>
      <c r="Q5" s="42" t="n">
        <f aca="false">Base_Year+14</f>
        <v>2039</v>
      </c>
      <c r="R5" s="42" t="n">
        <f aca="false">Base_Year+15</f>
        <v>2040</v>
      </c>
      <c r="S5" s="42" t="n">
        <f aca="false">Base_Year+16</f>
        <v>2041</v>
      </c>
      <c r="T5" s="42" t="n">
        <f aca="false">Base_Year+17</f>
        <v>2042</v>
      </c>
      <c r="U5" s="42" t="n">
        <f aca="false">Base_Year+18</f>
        <v>2043</v>
      </c>
      <c r="V5" s="42" t="n">
        <f aca="false">Base_Year+19</f>
        <v>2044</v>
      </c>
      <c r="W5" s="42" t="n">
        <f aca="false">Base_Year+20</f>
        <v>2045</v>
      </c>
      <c r="X5" s="42" t="n">
        <f aca="false">Base_Year+21</f>
        <v>2046</v>
      </c>
      <c r="Y5" s="42" t="n">
        <f aca="false">Base_Year+22</f>
        <v>2047</v>
      </c>
      <c r="Z5" s="42" t="n">
        <f aca="false">Base_Year+23</f>
        <v>2048</v>
      </c>
      <c r="AA5" s="42" t="n">
        <f aca="false">Base_Year+24</f>
        <v>2049</v>
      </c>
    </row>
    <row r="6" customFormat="false" ht="15" hidden="false" customHeight="false" outlineLevel="0" collapsed="false">
      <c r="A6" s="5"/>
      <c r="B6" s="8" t="s">
        <v>192</v>
      </c>
      <c r="C6" s="43" t="n">
        <f aca="false">COLUMN(C1)-2</f>
        <v>1</v>
      </c>
      <c r="D6" s="43" t="n">
        <f aca="false">COLUMN(D1)-2</f>
        <v>2</v>
      </c>
      <c r="E6" s="43" t="n">
        <f aca="false">COLUMN(E1)-2</f>
        <v>3</v>
      </c>
      <c r="F6" s="43" t="n">
        <f aca="false">COLUMN(F1)-2</f>
        <v>4</v>
      </c>
      <c r="G6" s="43" t="n">
        <f aca="false">COLUMN(G1)-2</f>
        <v>5</v>
      </c>
      <c r="H6" s="43" t="n">
        <f aca="false">COLUMN(H1)-2</f>
        <v>6</v>
      </c>
      <c r="I6" s="43" t="n">
        <f aca="false">COLUMN(I1)-2</f>
        <v>7</v>
      </c>
      <c r="J6" s="43" t="n">
        <f aca="false">COLUMN(J1)-2</f>
        <v>8</v>
      </c>
      <c r="K6" s="43" t="n">
        <f aca="false">COLUMN(K1)-2</f>
        <v>9</v>
      </c>
      <c r="L6" s="43" t="n">
        <f aca="false">COLUMN(L1)-2</f>
        <v>10</v>
      </c>
      <c r="M6" s="43" t="n">
        <f aca="false">COLUMN(M1)-2</f>
        <v>11</v>
      </c>
      <c r="N6" s="43" t="n">
        <f aca="false">COLUMN(N1)-2</f>
        <v>12</v>
      </c>
      <c r="O6" s="43" t="n">
        <f aca="false">COLUMN(O1)-2</f>
        <v>13</v>
      </c>
      <c r="P6" s="43" t="n">
        <f aca="false">COLUMN(P1)-2</f>
        <v>14</v>
      </c>
      <c r="Q6" s="43" t="n">
        <f aca="false">COLUMN(Q1)-2</f>
        <v>15</v>
      </c>
      <c r="R6" s="43" t="n">
        <f aca="false">COLUMN(R1)-2</f>
        <v>16</v>
      </c>
      <c r="S6" s="43" t="n">
        <f aca="false">COLUMN(S1)-2</f>
        <v>17</v>
      </c>
      <c r="T6" s="43" t="n">
        <f aca="false">COLUMN(T1)-2</f>
        <v>18</v>
      </c>
      <c r="U6" s="43" t="n">
        <f aca="false">COLUMN(U1)-2</f>
        <v>19</v>
      </c>
      <c r="V6" s="43" t="n">
        <f aca="false">COLUMN(V1)-2</f>
        <v>20</v>
      </c>
      <c r="W6" s="43" t="n">
        <f aca="false">COLUMN(W1)-2</f>
        <v>21</v>
      </c>
      <c r="X6" s="43" t="n">
        <f aca="false">COLUMN(X1)-2</f>
        <v>22</v>
      </c>
      <c r="Y6" s="43" t="n">
        <f aca="false">COLUMN(Y1)-2</f>
        <v>23</v>
      </c>
      <c r="Z6" s="43" t="n">
        <f aca="false">COLUMN(Z1)-2</f>
        <v>24</v>
      </c>
      <c r="AA6" s="43" t="n">
        <f aca="false">COLUMN(AA1)-2</f>
        <v>25</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c r="W7" s="5"/>
      <c r="X7" s="5"/>
      <c r="Y7" s="5"/>
      <c r="Z7" s="5"/>
      <c r="AA7" s="5"/>
    </row>
    <row r="8" customFormat="false" ht="15" hidden="false" customHeight="false" outlineLevel="0" collapsed="false">
      <c r="A8" s="5"/>
      <c r="B8" s="44" t="s">
        <v>193</v>
      </c>
      <c r="C8" s="45"/>
      <c r="D8" s="45"/>
      <c r="E8" s="45"/>
      <c r="F8" s="45"/>
      <c r="G8" s="45"/>
      <c r="H8" s="45"/>
      <c r="I8" s="45"/>
      <c r="J8" s="45"/>
      <c r="K8" s="45"/>
      <c r="L8" s="45"/>
      <c r="M8" s="45"/>
      <c r="N8" s="45"/>
      <c r="O8" s="45"/>
      <c r="P8" s="45"/>
      <c r="Q8" s="45"/>
      <c r="R8" s="45"/>
      <c r="S8" s="45"/>
      <c r="T8" s="45"/>
      <c r="U8" s="45"/>
      <c r="V8" s="45"/>
      <c r="W8" s="45"/>
      <c r="X8" s="45"/>
      <c r="Y8" s="45"/>
      <c r="Z8" s="45"/>
      <c r="AA8" s="45"/>
    </row>
    <row r="9" customFormat="false" ht="15" hidden="false" customHeight="false" outlineLevel="0" collapsed="false">
      <c r="A9" s="5"/>
      <c r="B9" s="46" t="s">
        <v>109</v>
      </c>
      <c r="C9" s="47" t="n">
        <f aca="false">Capex_Marine*C26</f>
        <v>56.25</v>
      </c>
      <c r="D9" s="47" t="n">
        <f aca="false">Capex_Marine*D26</f>
        <v>112.5</v>
      </c>
      <c r="E9" s="47" t="n">
        <f aca="false">Capex_Marine*E26</f>
        <v>131.25</v>
      </c>
      <c r="F9" s="47" t="n">
        <f aca="false">Capex_Marine*F26</f>
        <v>75</v>
      </c>
      <c r="G9" s="47" t="n">
        <f aca="false">Capex_Marine*G26</f>
        <v>0</v>
      </c>
      <c r="H9" s="47" t="n">
        <f aca="false">Capex_Marine*H26</f>
        <v>0</v>
      </c>
      <c r="I9" s="47" t="n">
        <f aca="false">Capex_Marine*I26</f>
        <v>0</v>
      </c>
      <c r="J9" s="47" t="n">
        <f aca="false">Capex_Marine*J26</f>
        <v>0</v>
      </c>
      <c r="K9" s="47" t="n">
        <f aca="false">Capex_Marine*K26</f>
        <v>0</v>
      </c>
      <c r="L9" s="47" t="n">
        <f aca="false">Capex_Marine*L26</f>
        <v>0</v>
      </c>
      <c r="M9" s="47" t="n">
        <f aca="false">Capex_Marine*M26</f>
        <v>0</v>
      </c>
      <c r="N9" s="47" t="n">
        <f aca="false">Capex_Marine*N26</f>
        <v>0</v>
      </c>
      <c r="O9" s="47" t="n">
        <f aca="false">Capex_Marine*O26</f>
        <v>0</v>
      </c>
      <c r="P9" s="47" t="n">
        <f aca="false">Capex_Marine*P26</f>
        <v>0</v>
      </c>
      <c r="Q9" s="47" t="n">
        <f aca="false">Capex_Marine*Q26</f>
        <v>0</v>
      </c>
      <c r="R9" s="47" t="n">
        <f aca="false">Capex_Marine*R26</f>
        <v>0</v>
      </c>
      <c r="S9" s="47" t="n">
        <f aca="false">Capex_Marine*S26</f>
        <v>0</v>
      </c>
      <c r="T9" s="47" t="n">
        <f aca="false">Capex_Marine*T26</f>
        <v>0</v>
      </c>
      <c r="U9" s="47" t="n">
        <f aca="false">Capex_Marine*U26</f>
        <v>0</v>
      </c>
      <c r="V9" s="47" t="n">
        <f aca="false">Capex_Marine*V26</f>
        <v>0</v>
      </c>
      <c r="W9" s="47" t="n">
        <f aca="false">Capex_Marine*W26</f>
        <v>0</v>
      </c>
      <c r="X9" s="47" t="n">
        <f aca="false">Capex_Marine*X26</f>
        <v>0</v>
      </c>
      <c r="Y9" s="47" t="n">
        <f aca="false">Capex_Marine*Y26</f>
        <v>0</v>
      </c>
      <c r="Z9" s="47" t="n">
        <f aca="false">Capex_Marine*Z26</f>
        <v>0</v>
      </c>
      <c r="AA9" s="47" t="n">
        <f aca="false">Capex_Marine*AA26</f>
        <v>0</v>
      </c>
    </row>
    <row r="10" customFormat="false" ht="15" hidden="false" customHeight="false" outlineLevel="0" collapsed="false">
      <c r="A10" s="5"/>
      <c r="B10" s="46" t="s">
        <v>112</v>
      </c>
      <c r="C10" s="47" t="n">
        <f aca="false">Capex_Tanks*C26</f>
        <v>71.25</v>
      </c>
      <c r="D10" s="47" t="n">
        <f aca="false">Capex_Tanks*D26</f>
        <v>142.5</v>
      </c>
      <c r="E10" s="47" t="n">
        <f aca="false">Capex_Tanks*E26</f>
        <v>166.25</v>
      </c>
      <c r="F10" s="47" t="n">
        <f aca="false">Capex_Tanks*F26</f>
        <v>95</v>
      </c>
      <c r="G10" s="47" t="n">
        <f aca="false">Capex_Tanks*G26</f>
        <v>0</v>
      </c>
      <c r="H10" s="47" t="n">
        <f aca="false">Capex_Tanks*H26</f>
        <v>0</v>
      </c>
      <c r="I10" s="47" t="n">
        <f aca="false">Capex_Tanks*I26</f>
        <v>0</v>
      </c>
      <c r="J10" s="47" t="n">
        <f aca="false">Capex_Tanks*J26</f>
        <v>0</v>
      </c>
      <c r="K10" s="47" t="n">
        <f aca="false">Capex_Tanks*K26</f>
        <v>0</v>
      </c>
      <c r="L10" s="47" t="n">
        <f aca="false">Capex_Tanks*L26</f>
        <v>0</v>
      </c>
      <c r="M10" s="47" t="n">
        <f aca="false">Capex_Tanks*M26</f>
        <v>0</v>
      </c>
      <c r="N10" s="47" t="n">
        <f aca="false">Capex_Tanks*N26</f>
        <v>0</v>
      </c>
      <c r="O10" s="47" t="n">
        <f aca="false">Capex_Tanks*O26</f>
        <v>0</v>
      </c>
      <c r="P10" s="47" t="n">
        <f aca="false">Capex_Tanks*P26</f>
        <v>0</v>
      </c>
      <c r="Q10" s="47" t="n">
        <f aca="false">Capex_Tanks*Q26</f>
        <v>0</v>
      </c>
      <c r="R10" s="47" t="n">
        <f aca="false">Capex_Tanks*R26</f>
        <v>0</v>
      </c>
      <c r="S10" s="47" t="n">
        <f aca="false">Capex_Tanks*S26</f>
        <v>0</v>
      </c>
      <c r="T10" s="47" t="n">
        <f aca="false">Capex_Tanks*T26</f>
        <v>0</v>
      </c>
      <c r="U10" s="47" t="n">
        <f aca="false">Capex_Tanks*U26</f>
        <v>0</v>
      </c>
      <c r="V10" s="47" t="n">
        <f aca="false">Capex_Tanks*V26</f>
        <v>0</v>
      </c>
      <c r="W10" s="47" t="n">
        <f aca="false">Capex_Tanks*W26</f>
        <v>0</v>
      </c>
      <c r="X10" s="47" t="n">
        <f aca="false">Capex_Tanks*X26</f>
        <v>0</v>
      </c>
      <c r="Y10" s="47" t="n">
        <f aca="false">Capex_Tanks*Y26</f>
        <v>0</v>
      </c>
      <c r="Z10" s="47" t="n">
        <f aca="false">Capex_Tanks*Z26</f>
        <v>0</v>
      </c>
      <c r="AA10" s="47" t="n">
        <f aca="false">Capex_Tanks*AA26</f>
        <v>0</v>
      </c>
    </row>
    <row r="11" customFormat="false" ht="15" hidden="false" customHeight="false" outlineLevel="0" collapsed="false">
      <c r="A11" s="5"/>
      <c r="B11" s="46" t="s">
        <v>114</v>
      </c>
      <c r="C11" s="47" t="n">
        <f aca="false">Capex_Regas*C26</f>
        <v>45</v>
      </c>
      <c r="D11" s="47" t="n">
        <f aca="false">Capex_Regas*D26</f>
        <v>90</v>
      </c>
      <c r="E11" s="47" t="n">
        <f aca="false">Capex_Regas*E26</f>
        <v>105</v>
      </c>
      <c r="F11" s="47" t="n">
        <f aca="false">Capex_Regas*F26</f>
        <v>60</v>
      </c>
      <c r="G11" s="47" t="n">
        <f aca="false">Capex_Regas*G26</f>
        <v>0</v>
      </c>
      <c r="H11" s="47" t="n">
        <f aca="false">Capex_Regas*H26</f>
        <v>0</v>
      </c>
      <c r="I11" s="47" t="n">
        <f aca="false">Capex_Regas*I26</f>
        <v>0</v>
      </c>
      <c r="J11" s="47" t="n">
        <f aca="false">Capex_Regas*J26</f>
        <v>0</v>
      </c>
      <c r="K11" s="47" t="n">
        <f aca="false">Capex_Regas*K26</f>
        <v>0</v>
      </c>
      <c r="L11" s="47" t="n">
        <f aca="false">Capex_Regas*L26</f>
        <v>0</v>
      </c>
      <c r="M11" s="47" t="n">
        <f aca="false">Capex_Regas*M26</f>
        <v>0</v>
      </c>
      <c r="N11" s="47" t="n">
        <f aca="false">Capex_Regas*N26</f>
        <v>0</v>
      </c>
      <c r="O11" s="47" t="n">
        <f aca="false">Capex_Regas*O26</f>
        <v>0</v>
      </c>
      <c r="P11" s="47" t="n">
        <f aca="false">Capex_Regas*P26</f>
        <v>0</v>
      </c>
      <c r="Q11" s="47" t="n">
        <f aca="false">Capex_Regas*Q26</f>
        <v>0</v>
      </c>
      <c r="R11" s="47" t="n">
        <f aca="false">Capex_Regas*R26</f>
        <v>0</v>
      </c>
      <c r="S11" s="47" t="n">
        <f aca="false">Capex_Regas*S26</f>
        <v>0</v>
      </c>
      <c r="T11" s="47" t="n">
        <f aca="false">Capex_Regas*T26</f>
        <v>0</v>
      </c>
      <c r="U11" s="47" t="n">
        <f aca="false">Capex_Regas*U26</f>
        <v>0</v>
      </c>
      <c r="V11" s="47" t="n">
        <f aca="false">Capex_Regas*V26</f>
        <v>0</v>
      </c>
      <c r="W11" s="47" t="n">
        <f aca="false">Capex_Regas*W26</f>
        <v>0</v>
      </c>
      <c r="X11" s="47" t="n">
        <f aca="false">Capex_Regas*X26</f>
        <v>0</v>
      </c>
      <c r="Y11" s="47" t="n">
        <f aca="false">Capex_Regas*Y26</f>
        <v>0</v>
      </c>
      <c r="Z11" s="47" t="n">
        <f aca="false">Capex_Regas*Z26</f>
        <v>0</v>
      </c>
      <c r="AA11" s="47" t="n">
        <f aca="false">Capex_Regas*AA26</f>
        <v>0</v>
      </c>
    </row>
    <row r="12" customFormat="false" ht="15" hidden="false" customHeight="false" outlineLevel="0" collapsed="false">
      <c r="A12" s="5"/>
      <c r="B12" s="46" t="s">
        <v>116</v>
      </c>
      <c r="C12" s="47" t="n">
        <f aca="false">Capex_Pipeline*C26</f>
        <v>30</v>
      </c>
      <c r="D12" s="47" t="n">
        <f aca="false">Capex_Pipeline*D26</f>
        <v>60</v>
      </c>
      <c r="E12" s="47" t="n">
        <f aca="false">Capex_Pipeline*E26</f>
        <v>70</v>
      </c>
      <c r="F12" s="47" t="n">
        <f aca="false">Capex_Pipeline*F26</f>
        <v>40</v>
      </c>
      <c r="G12" s="47" t="n">
        <f aca="false">Capex_Pipeline*G26</f>
        <v>0</v>
      </c>
      <c r="H12" s="47" t="n">
        <f aca="false">Capex_Pipeline*H26</f>
        <v>0</v>
      </c>
      <c r="I12" s="47" t="n">
        <f aca="false">Capex_Pipeline*I26</f>
        <v>0</v>
      </c>
      <c r="J12" s="47" t="n">
        <f aca="false">Capex_Pipeline*J26</f>
        <v>0</v>
      </c>
      <c r="K12" s="47" t="n">
        <f aca="false">Capex_Pipeline*K26</f>
        <v>0</v>
      </c>
      <c r="L12" s="47" t="n">
        <f aca="false">Capex_Pipeline*L26</f>
        <v>0</v>
      </c>
      <c r="M12" s="47" t="n">
        <f aca="false">Capex_Pipeline*M26</f>
        <v>0</v>
      </c>
      <c r="N12" s="47" t="n">
        <f aca="false">Capex_Pipeline*N26</f>
        <v>0</v>
      </c>
      <c r="O12" s="47" t="n">
        <f aca="false">Capex_Pipeline*O26</f>
        <v>0</v>
      </c>
      <c r="P12" s="47" t="n">
        <f aca="false">Capex_Pipeline*P26</f>
        <v>0</v>
      </c>
      <c r="Q12" s="47" t="n">
        <f aca="false">Capex_Pipeline*Q26</f>
        <v>0</v>
      </c>
      <c r="R12" s="47" t="n">
        <f aca="false">Capex_Pipeline*R26</f>
        <v>0</v>
      </c>
      <c r="S12" s="47" t="n">
        <f aca="false">Capex_Pipeline*S26</f>
        <v>0</v>
      </c>
      <c r="T12" s="47" t="n">
        <f aca="false">Capex_Pipeline*T26</f>
        <v>0</v>
      </c>
      <c r="U12" s="47" t="n">
        <f aca="false">Capex_Pipeline*U26</f>
        <v>0</v>
      </c>
      <c r="V12" s="47" t="n">
        <f aca="false">Capex_Pipeline*V26</f>
        <v>0</v>
      </c>
      <c r="W12" s="47" t="n">
        <f aca="false">Capex_Pipeline*W26</f>
        <v>0</v>
      </c>
      <c r="X12" s="47" t="n">
        <f aca="false">Capex_Pipeline*X26</f>
        <v>0</v>
      </c>
      <c r="Y12" s="47" t="n">
        <f aca="false">Capex_Pipeline*Y26</f>
        <v>0</v>
      </c>
      <c r="Z12" s="47" t="n">
        <f aca="false">Capex_Pipeline*Z26</f>
        <v>0</v>
      </c>
      <c r="AA12" s="47" t="n">
        <f aca="false">Capex_Pipeline*AA26</f>
        <v>0</v>
      </c>
    </row>
    <row r="13" customFormat="false" ht="15" hidden="false" customHeight="false" outlineLevel="0" collapsed="false">
      <c r="A13" s="5"/>
      <c r="B13" s="46" t="s">
        <v>118</v>
      </c>
      <c r="C13" s="47" t="n">
        <f aca="false">Capex_Utilities*C26</f>
        <v>30</v>
      </c>
      <c r="D13" s="47" t="n">
        <f aca="false">Capex_Utilities*D26</f>
        <v>60</v>
      </c>
      <c r="E13" s="47" t="n">
        <f aca="false">Capex_Utilities*E26</f>
        <v>70</v>
      </c>
      <c r="F13" s="47" t="n">
        <f aca="false">Capex_Utilities*F26</f>
        <v>40</v>
      </c>
      <c r="G13" s="47" t="n">
        <f aca="false">Capex_Utilities*G26</f>
        <v>0</v>
      </c>
      <c r="H13" s="47" t="n">
        <f aca="false">Capex_Utilities*H26</f>
        <v>0</v>
      </c>
      <c r="I13" s="47" t="n">
        <f aca="false">Capex_Utilities*I26</f>
        <v>0</v>
      </c>
      <c r="J13" s="47" t="n">
        <f aca="false">Capex_Utilities*J26</f>
        <v>0</v>
      </c>
      <c r="K13" s="47" t="n">
        <f aca="false">Capex_Utilities*K26</f>
        <v>0</v>
      </c>
      <c r="L13" s="47" t="n">
        <f aca="false">Capex_Utilities*L26</f>
        <v>0</v>
      </c>
      <c r="M13" s="47" t="n">
        <f aca="false">Capex_Utilities*M26</f>
        <v>0</v>
      </c>
      <c r="N13" s="47" t="n">
        <f aca="false">Capex_Utilities*N26</f>
        <v>0</v>
      </c>
      <c r="O13" s="47" t="n">
        <f aca="false">Capex_Utilities*O26</f>
        <v>0</v>
      </c>
      <c r="P13" s="47" t="n">
        <f aca="false">Capex_Utilities*P26</f>
        <v>0</v>
      </c>
      <c r="Q13" s="47" t="n">
        <f aca="false">Capex_Utilities*Q26</f>
        <v>0</v>
      </c>
      <c r="R13" s="47" t="n">
        <f aca="false">Capex_Utilities*R26</f>
        <v>0</v>
      </c>
      <c r="S13" s="47" t="n">
        <f aca="false">Capex_Utilities*S26</f>
        <v>0</v>
      </c>
      <c r="T13" s="47" t="n">
        <f aca="false">Capex_Utilities*T26</f>
        <v>0</v>
      </c>
      <c r="U13" s="47" t="n">
        <f aca="false">Capex_Utilities*U26</f>
        <v>0</v>
      </c>
      <c r="V13" s="47" t="n">
        <f aca="false">Capex_Utilities*V26</f>
        <v>0</v>
      </c>
      <c r="W13" s="47" t="n">
        <f aca="false">Capex_Utilities*W26</f>
        <v>0</v>
      </c>
      <c r="X13" s="47" t="n">
        <f aca="false">Capex_Utilities*X26</f>
        <v>0</v>
      </c>
      <c r="Y13" s="47" t="n">
        <f aca="false">Capex_Utilities*Y26</f>
        <v>0</v>
      </c>
      <c r="Z13" s="47" t="n">
        <f aca="false">Capex_Utilities*Z26</f>
        <v>0</v>
      </c>
      <c r="AA13" s="47" t="n">
        <f aca="false">Capex_Utilities*AA26</f>
        <v>0</v>
      </c>
    </row>
    <row r="14" customFormat="false" ht="15" hidden="false" customHeight="false" outlineLevel="0" collapsed="false">
      <c r="A14" s="5"/>
      <c r="B14" s="46" t="s">
        <v>119</v>
      </c>
      <c r="C14" s="47" t="n">
        <f aca="false">Capex_Contingency*C26</f>
        <v>22.5</v>
      </c>
      <c r="D14" s="47" t="n">
        <f aca="false">Capex_Contingency*D26</f>
        <v>45</v>
      </c>
      <c r="E14" s="47" t="n">
        <f aca="false">Capex_Contingency*E26</f>
        <v>52.5</v>
      </c>
      <c r="F14" s="47" t="n">
        <f aca="false">Capex_Contingency*F26</f>
        <v>30</v>
      </c>
      <c r="G14" s="47" t="n">
        <f aca="false">Capex_Contingency*G26</f>
        <v>0</v>
      </c>
      <c r="H14" s="47" t="n">
        <f aca="false">Capex_Contingency*H26</f>
        <v>0</v>
      </c>
      <c r="I14" s="47" t="n">
        <f aca="false">Capex_Contingency*I26</f>
        <v>0</v>
      </c>
      <c r="J14" s="47" t="n">
        <f aca="false">Capex_Contingency*J26</f>
        <v>0</v>
      </c>
      <c r="K14" s="47" t="n">
        <f aca="false">Capex_Contingency*K26</f>
        <v>0</v>
      </c>
      <c r="L14" s="47" t="n">
        <f aca="false">Capex_Contingency*L26</f>
        <v>0</v>
      </c>
      <c r="M14" s="47" t="n">
        <f aca="false">Capex_Contingency*M26</f>
        <v>0</v>
      </c>
      <c r="N14" s="47" t="n">
        <f aca="false">Capex_Contingency*N26</f>
        <v>0</v>
      </c>
      <c r="O14" s="47" t="n">
        <f aca="false">Capex_Contingency*O26</f>
        <v>0</v>
      </c>
      <c r="P14" s="47" t="n">
        <f aca="false">Capex_Contingency*P26</f>
        <v>0</v>
      </c>
      <c r="Q14" s="47" t="n">
        <f aca="false">Capex_Contingency*Q26</f>
        <v>0</v>
      </c>
      <c r="R14" s="47" t="n">
        <f aca="false">Capex_Contingency*R26</f>
        <v>0</v>
      </c>
      <c r="S14" s="47" t="n">
        <f aca="false">Capex_Contingency*S26</f>
        <v>0</v>
      </c>
      <c r="T14" s="47" t="n">
        <f aca="false">Capex_Contingency*T26</f>
        <v>0</v>
      </c>
      <c r="U14" s="47" t="n">
        <f aca="false">Capex_Contingency*U26</f>
        <v>0</v>
      </c>
      <c r="V14" s="47" t="n">
        <f aca="false">Capex_Contingency*V26</f>
        <v>0</v>
      </c>
      <c r="W14" s="47" t="n">
        <f aca="false">Capex_Contingency*W26</f>
        <v>0</v>
      </c>
      <c r="X14" s="47" t="n">
        <f aca="false">Capex_Contingency*X26</f>
        <v>0</v>
      </c>
      <c r="Y14" s="47" t="n">
        <f aca="false">Capex_Contingency*Y26</f>
        <v>0</v>
      </c>
      <c r="Z14" s="47" t="n">
        <f aca="false">Capex_Contingency*Z26</f>
        <v>0</v>
      </c>
      <c r="AA14" s="47" t="n">
        <f aca="false">Capex_Contingency*AA26</f>
        <v>0</v>
      </c>
    </row>
    <row r="15" customFormat="false" ht="15" hidden="false" customHeight="false" outlineLevel="0" collapsed="false">
      <c r="A15" s="5"/>
      <c r="B15" s="37" t="s">
        <v>121</v>
      </c>
      <c r="C15" s="48" t="n">
        <f aca="false">SUM(C9:C14)</f>
        <v>255</v>
      </c>
      <c r="D15" s="48" t="n">
        <f aca="false">SUM(D9:D14)</f>
        <v>510</v>
      </c>
      <c r="E15" s="48" t="n">
        <f aca="false">SUM(E9:E14)</f>
        <v>595</v>
      </c>
      <c r="F15" s="48" t="n">
        <f aca="false">SUM(F9:F14)</f>
        <v>340</v>
      </c>
      <c r="G15" s="48" t="n">
        <f aca="false">SUM(G9:G14)</f>
        <v>0</v>
      </c>
      <c r="H15" s="48" t="n">
        <f aca="false">SUM(H9:H14)</f>
        <v>0</v>
      </c>
      <c r="I15" s="48" t="n">
        <f aca="false">SUM(I9:I14)</f>
        <v>0</v>
      </c>
      <c r="J15" s="48" t="n">
        <f aca="false">SUM(J9:J14)</f>
        <v>0</v>
      </c>
      <c r="K15" s="48" t="n">
        <f aca="false">SUM(K9:K14)</f>
        <v>0</v>
      </c>
      <c r="L15" s="48" t="n">
        <f aca="false">SUM(L9:L14)</f>
        <v>0</v>
      </c>
      <c r="M15" s="48" t="n">
        <f aca="false">SUM(M9:M14)</f>
        <v>0</v>
      </c>
      <c r="N15" s="48" t="n">
        <f aca="false">SUM(N9:N14)</f>
        <v>0</v>
      </c>
      <c r="O15" s="48" t="n">
        <f aca="false">SUM(O9:O14)</f>
        <v>0</v>
      </c>
      <c r="P15" s="48" t="n">
        <f aca="false">SUM(P9:P14)</f>
        <v>0</v>
      </c>
      <c r="Q15" s="48" t="n">
        <f aca="false">SUM(Q9:Q14)</f>
        <v>0</v>
      </c>
      <c r="R15" s="48" t="n">
        <f aca="false">SUM(R9:R14)</f>
        <v>0</v>
      </c>
      <c r="S15" s="48" t="n">
        <f aca="false">SUM(S9:S14)</f>
        <v>0</v>
      </c>
      <c r="T15" s="48" t="n">
        <f aca="false">SUM(T9:T14)</f>
        <v>0</v>
      </c>
      <c r="U15" s="48" t="n">
        <f aca="false">SUM(U9:U14)</f>
        <v>0</v>
      </c>
      <c r="V15" s="48" t="n">
        <f aca="false">SUM(V9:V14)</f>
        <v>0</v>
      </c>
      <c r="W15" s="48" t="n">
        <f aca="false">SUM(W9:W14)</f>
        <v>0</v>
      </c>
      <c r="X15" s="48" t="n">
        <f aca="false">SUM(X9:X14)</f>
        <v>0</v>
      </c>
      <c r="Y15" s="48" t="n">
        <f aca="false">SUM(Y9:Y14)</f>
        <v>0</v>
      </c>
      <c r="Z15" s="48" t="n">
        <f aca="false">SUM(Z9:Z14)</f>
        <v>0</v>
      </c>
      <c r="AA15" s="48" t="n">
        <f aca="false">SUM(AA9:AA14)</f>
        <v>0</v>
      </c>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row>
    <row r="17" customFormat="false" ht="15" hidden="false" customHeight="false" outlineLevel="0" collapsed="false">
      <c r="A17" s="5"/>
      <c r="B17" s="44" t="s">
        <v>194</v>
      </c>
      <c r="C17" s="45"/>
      <c r="D17" s="45"/>
      <c r="E17" s="45"/>
      <c r="F17" s="45"/>
      <c r="G17" s="45"/>
      <c r="H17" s="45"/>
      <c r="I17" s="45"/>
      <c r="J17" s="45"/>
      <c r="K17" s="45"/>
      <c r="L17" s="45"/>
      <c r="M17" s="45"/>
      <c r="N17" s="45"/>
      <c r="O17" s="45"/>
      <c r="P17" s="45"/>
      <c r="Q17" s="45"/>
      <c r="R17" s="45"/>
      <c r="S17" s="45"/>
      <c r="T17" s="45"/>
      <c r="U17" s="45"/>
      <c r="V17" s="45"/>
      <c r="W17" s="45"/>
      <c r="X17" s="45"/>
      <c r="Y17" s="45"/>
      <c r="Z17" s="45"/>
      <c r="AA17" s="45"/>
    </row>
    <row r="18" customFormat="false" ht="15" hidden="false" customHeight="false" outlineLevel="0" collapsed="false">
      <c r="A18" s="5"/>
      <c r="B18" s="46" t="s">
        <v>195</v>
      </c>
      <c r="C18" s="47" t="n">
        <f aca="false">C15</f>
        <v>255</v>
      </c>
      <c r="D18" s="47" t="n">
        <f aca="false">C18+D15</f>
        <v>765</v>
      </c>
      <c r="E18" s="47" t="n">
        <f aca="false">D18+E15</f>
        <v>1360</v>
      </c>
      <c r="F18" s="47" t="n">
        <f aca="false">E18+F15</f>
        <v>1700</v>
      </c>
      <c r="G18" s="47" t="n">
        <f aca="false">F18+G15</f>
        <v>1700</v>
      </c>
      <c r="H18" s="47" t="n">
        <f aca="false">G18+H15</f>
        <v>1700</v>
      </c>
      <c r="I18" s="47" t="n">
        <f aca="false">H18+I15</f>
        <v>1700</v>
      </c>
      <c r="J18" s="47" t="n">
        <f aca="false">I18+J15</f>
        <v>1700</v>
      </c>
      <c r="K18" s="47" t="n">
        <f aca="false">J18+K15</f>
        <v>1700</v>
      </c>
      <c r="L18" s="47" t="n">
        <f aca="false">K18+L15</f>
        <v>1700</v>
      </c>
      <c r="M18" s="47" t="n">
        <f aca="false">L18+M15</f>
        <v>1700</v>
      </c>
      <c r="N18" s="47" t="n">
        <f aca="false">M18+N15</f>
        <v>1700</v>
      </c>
      <c r="O18" s="47" t="n">
        <f aca="false">N18+O15</f>
        <v>1700</v>
      </c>
      <c r="P18" s="47" t="n">
        <f aca="false">O18+P15</f>
        <v>1700</v>
      </c>
      <c r="Q18" s="47" t="n">
        <f aca="false">P18+Q15</f>
        <v>1700</v>
      </c>
      <c r="R18" s="47" t="n">
        <f aca="false">Q18+R15</f>
        <v>1700</v>
      </c>
      <c r="S18" s="47" t="n">
        <f aca="false">R18+S15</f>
        <v>1700</v>
      </c>
      <c r="T18" s="47" t="n">
        <f aca="false">S18+T15</f>
        <v>1700</v>
      </c>
      <c r="U18" s="47" t="n">
        <f aca="false">T18+U15</f>
        <v>1700</v>
      </c>
      <c r="V18" s="47" t="n">
        <f aca="false">U18+V15</f>
        <v>1700</v>
      </c>
      <c r="W18" s="47" t="n">
        <f aca="false">V18+W15</f>
        <v>1700</v>
      </c>
      <c r="X18" s="47" t="n">
        <f aca="false">W18+X15</f>
        <v>1700</v>
      </c>
      <c r="Y18" s="47" t="n">
        <f aca="false">X18+Y15</f>
        <v>1700</v>
      </c>
      <c r="Z18" s="47" t="n">
        <f aca="false">Y18+Z15</f>
        <v>1700</v>
      </c>
      <c r="AA18" s="47" t="n">
        <f aca="false">Z18+AA15</f>
        <v>1700</v>
      </c>
    </row>
    <row r="19" customFormat="false" ht="15" hidden="false" customHeight="false" outlineLevel="0" collapsed="false">
      <c r="A19" s="5"/>
      <c r="B19" s="46" t="s">
        <v>196</v>
      </c>
      <c r="C19" s="47" t="n">
        <f aca="false">C18*Debt_Pct</f>
        <v>178.5</v>
      </c>
      <c r="D19" s="47" t="n">
        <f aca="false">D18*Debt_Pct</f>
        <v>535.5</v>
      </c>
      <c r="E19" s="47" t="n">
        <f aca="false">E18*Debt_Pct</f>
        <v>952</v>
      </c>
      <c r="F19" s="47" t="n">
        <f aca="false">F18*Debt_Pct</f>
        <v>1190</v>
      </c>
      <c r="G19" s="47" t="n">
        <f aca="false">G18*Debt_Pct</f>
        <v>1190</v>
      </c>
      <c r="H19" s="47" t="n">
        <f aca="false">H18*Debt_Pct</f>
        <v>1190</v>
      </c>
      <c r="I19" s="47" t="n">
        <f aca="false">I18*Debt_Pct</f>
        <v>1190</v>
      </c>
      <c r="J19" s="47" t="n">
        <f aca="false">J18*Debt_Pct</f>
        <v>1190</v>
      </c>
      <c r="K19" s="47" t="n">
        <f aca="false">K18*Debt_Pct</f>
        <v>1190</v>
      </c>
      <c r="L19" s="47" t="n">
        <f aca="false">L18*Debt_Pct</f>
        <v>1190</v>
      </c>
      <c r="M19" s="47" t="n">
        <f aca="false">M18*Debt_Pct</f>
        <v>1190</v>
      </c>
      <c r="N19" s="47" t="n">
        <f aca="false">N18*Debt_Pct</f>
        <v>1190</v>
      </c>
      <c r="O19" s="47" t="n">
        <f aca="false">O18*Debt_Pct</f>
        <v>1190</v>
      </c>
      <c r="P19" s="47" t="n">
        <f aca="false">P18*Debt_Pct</f>
        <v>1190</v>
      </c>
      <c r="Q19" s="47" t="n">
        <f aca="false">Q18*Debt_Pct</f>
        <v>1190</v>
      </c>
      <c r="R19" s="47" t="n">
        <f aca="false">R18*Debt_Pct</f>
        <v>1190</v>
      </c>
      <c r="S19" s="47" t="n">
        <f aca="false">S18*Debt_Pct</f>
        <v>1190</v>
      </c>
      <c r="T19" s="47" t="n">
        <f aca="false">T18*Debt_Pct</f>
        <v>1190</v>
      </c>
      <c r="U19" s="47" t="n">
        <f aca="false">U18*Debt_Pct</f>
        <v>1190</v>
      </c>
      <c r="V19" s="47" t="n">
        <f aca="false">V18*Debt_Pct</f>
        <v>1190</v>
      </c>
      <c r="W19" s="47" t="n">
        <f aca="false">W18*Debt_Pct</f>
        <v>1190</v>
      </c>
      <c r="X19" s="47" t="n">
        <f aca="false">X18*Debt_Pct</f>
        <v>1190</v>
      </c>
      <c r="Y19" s="47" t="n">
        <f aca="false">Y18*Debt_Pct</f>
        <v>1190</v>
      </c>
      <c r="Z19" s="47" t="n">
        <f aca="false">Z18*Debt_Pct</f>
        <v>1190</v>
      </c>
      <c r="AA19" s="47" t="n">
        <f aca="false">AA18*Debt_Pct</f>
        <v>1190</v>
      </c>
    </row>
    <row r="20" customFormat="false" ht="15" hidden="false" customHeight="false" outlineLevel="0" collapsed="false">
      <c r="A20" s="5"/>
      <c r="B20" s="46" t="s">
        <v>197</v>
      </c>
      <c r="C20" s="47" t="n">
        <f aca="false">C19/2*Interest_Rate</f>
        <v>4.90875</v>
      </c>
      <c r="D20" s="47" t="n">
        <f aca="false">(C19+D19)/2*Interest_Rate</f>
        <v>19.635</v>
      </c>
      <c r="E20" s="47" t="n">
        <f aca="false">(D19+E19)/2*Interest_Rate</f>
        <v>40.90625</v>
      </c>
      <c r="F20" s="47" t="n">
        <f aca="false">(E19+F19)/2*Interest_Rate</f>
        <v>58.905</v>
      </c>
      <c r="G20" s="47" t="n">
        <f aca="false">(F19+G19)/2*Interest_Rate</f>
        <v>65.45</v>
      </c>
      <c r="H20" s="47" t="n">
        <f aca="false">(G19+H19)/2*Interest_Rate</f>
        <v>65.45</v>
      </c>
      <c r="I20" s="47" t="n">
        <f aca="false">(H19+I19)/2*Interest_Rate</f>
        <v>65.45</v>
      </c>
      <c r="J20" s="47" t="n">
        <f aca="false">(I19+J19)/2*Interest_Rate</f>
        <v>65.45</v>
      </c>
      <c r="K20" s="47" t="n">
        <f aca="false">(J19+K19)/2*Interest_Rate</f>
        <v>65.45</v>
      </c>
      <c r="L20" s="47" t="n">
        <f aca="false">(K19+L19)/2*Interest_Rate</f>
        <v>65.45</v>
      </c>
      <c r="M20" s="47" t="n">
        <f aca="false">(L19+M19)/2*Interest_Rate</f>
        <v>65.45</v>
      </c>
      <c r="N20" s="47" t="n">
        <f aca="false">(M19+N19)/2*Interest_Rate</f>
        <v>65.45</v>
      </c>
      <c r="O20" s="47" t="n">
        <f aca="false">(N19+O19)/2*Interest_Rate</f>
        <v>65.45</v>
      </c>
      <c r="P20" s="47" t="n">
        <f aca="false">(O19+P19)/2*Interest_Rate</f>
        <v>65.45</v>
      </c>
      <c r="Q20" s="47" t="n">
        <f aca="false">(P19+Q19)/2*Interest_Rate</f>
        <v>65.45</v>
      </c>
      <c r="R20" s="47" t="n">
        <f aca="false">(Q19+R19)/2*Interest_Rate</f>
        <v>65.45</v>
      </c>
      <c r="S20" s="47" t="n">
        <f aca="false">(R19+S19)/2*Interest_Rate</f>
        <v>65.45</v>
      </c>
      <c r="T20" s="47" t="n">
        <f aca="false">(S19+T19)/2*Interest_Rate</f>
        <v>65.45</v>
      </c>
      <c r="U20" s="47" t="n">
        <f aca="false">(T19+U19)/2*Interest_Rate</f>
        <v>65.45</v>
      </c>
      <c r="V20" s="47" t="n">
        <f aca="false">(U19+V19)/2*Interest_Rate</f>
        <v>65.45</v>
      </c>
      <c r="W20" s="47" t="n">
        <f aca="false">(V19+W19)/2*Interest_Rate</f>
        <v>65.45</v>
      </c>
      <c r="X20" s="47" t="n">
        <f aca="false">(W19+X19)/2*Interest_Rate</f>
        <v>65.45</v>
      </c>
      <c r="Y20" s="47" t="n">
        <f aca="false">(X19+Y19)/2*Interest_Rate</f>
        <v>65.45</v>
      </c>
      <c r="Z20" s="47" t="n">
        <f aca="false">(Y19+Z19)/2*Interest_Rate</f>
        <v>65.45</v>
      </c>
      <c r="AA20" s="47" t="n">
        <f aca="false">(Z19+AA19)/2*Interest_Rate</f>
        <v>65.45</v>
      </c>
    </row>
    <row r="21" customFormat="false" ht="15" hidden="false" customHeight="false" outlineLevel="0" collapsed="false">
      <c r="A21" s="5"/>
      <c r="B21" s="46" t="s">
        <v>198</v>
      </c>
      <c r="C21" s="47" t="n">
        <f aca="false">C20</f>
        <v>4.90875</v>
      </c>
      <c r="D21" s="47" t="n">
        <f aca="false">C21+D20</f>
        <v>24.54375</v>
      </c>
      <c r="E21" s="47" t="n">
        <f aca="false">D21+E20</f>
        <v>65.45</v>
      </c>
      <c r="F21" s="47" t="n">
        <f aca="false">E21+F20</f>
        <v>124.355</v>
      </c>
      <c r="G21" s="47" t="n">
        <f aca="false">F21+G20</f>
        <v>189.805</v>
      </c>
      <c r="H21" s="47" t="n">
        <f aca="false">G21+H20</f>
        <v>255.255</v>
      </c>
      <c r="I21" s="47" t="n">
        <f aca="false">H21+I20</f>
        <v>320.705</v>
      </c>
      <c r="J21" s="47" t="n">
        <f aca="false">I21+J20</f>
        <v>386.155</v>
      </c>
      <c r="K21" s="47" t="n">
        <f aca="false">J21+K20</f>
        <v>451.605</v>
      </c>
      <c r="L21" s="47" t="n">
        <f aca="false">K21+L20</f>
        <v>517.055</v>
      </c>
      <c r="M21" s="47" t="n">
        <f aca="false">L21+M20</f>
        <v>582.505</v>
      </c>
      <c r="N21" s="47" t="n">
        <f aca="false">M21+N20</f>
        <v>647.955</v>
      </c>
      <c r="O21" s="47" t="n">
        <f aca="false">N21+O20</f>
        <v>713.405</v>
      </c>
      <c r="P21" s="47" t="n">
        <f aca="false">O21+P20</f>
        <v>778.855</v>
      </c>
      <c r="Q21" s="47" t="n">
        <f aca="false">P21+Q20</f>
        <v>844.305</v>
      </c>
      <c r="R21" s="47" t="n">
        <f aca="false">Q21+R20</f>
        <v>909.755</v>
      </c>
      <c r="S21" s="47" t="n">
        <f aca="false">R21+S20</f>
        <v>975.205</v>
      </c>
      <c r="T21" s="47" t="n">
        <f aca="false">S21+T20</f>
        <v>1040.655</v>
      </c>
      <c r="U21" s="47" t="n">
        <f aca="false">T21+U20</f>
        <v>1106.105</v>
      </c>
      <c r="V21" s="47" t="n">
        <f aca="false">U21+V20</f>
        <v>1171.555</v>
      </c>
      <c r="W21" s="47" t="n">
        <f aca="false">V21+W20</f>
        <v>1237.005</v>
      </c>
      <c r="X21" s="47" t="n">
        <f aca="false">W21+X20</f>
        <v>1302.455</v>
      </c>
      <c r="Y21" s="47" t="n">
        <f aca="false">X21+Y20</f>
        <v>1367.905</v>
      </c>
      <c r="Z21" s="47" t="n">
        <f aca="false">Y21+Z20</f>
        <v>1433.355</v>
      </c>
      <c r="AA21" s="47" t="n">
        <f aca="false">Z21+AA20</f>
        <v>1498.805</v>
      </c>
    </row>
    <row r="22" customFormat="false" ht="15" hidden="false" customHeight="false" outlineLevel="0" collapsed="false">
      <c r="A22" s="5"/>
      <c r="B22" s="5"/>
      <c r="C22" s="5"/>
      <c r="D22" s="5"/>
      <c r="E22" s="5"/>
      <c r="F22" s="5"/>
      <c r="G22" s="5"/>
      <c r="H22" s="5"/>
      <c r="I22" s="5"/>
      <c r="J22" s="5"/>
      <c r="K22" s="5"/>
      <c r="L22" s="5"/>
      <c r="M22" s="5"/>
      <c r="N22" s="5"/>
      <c r="O22" s="5"/>
      <c r="P22" s="5"/>
      <c r="Q22" s="5"/>
      <c r="R22" s="5"/>
      <c r="S22" s="5"/>
      <c r="T22" s="5"/>
      <c r="U22" s="5"/>
      <c r="V22" s="5"/>
      <c r="W22" s="5"/>
      <c r="X22" s="5"/>
      <c r="Y22" s="5"/>
      <c r="Z22" s="5"/>
      <c r="AA22" s="5"/>
    </row>
    <row r="23" customFormat="false" ht="15" hidden="false" customHeight="false" outlineLevel="0" collapsed="false">
      <c r="A23" s="5"/>
      <c r="B23" s="44" t="s">
        <v>199</v>
      </c>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customFormat="false" ht="15" hidden="false" customHeight="false" outlineLevel="0" collapsed="false">
      <c r="A24" s="5"/>
      <c r="B24" s="37" t="s">
        <v>200</v>
      </c>
      <c r="C24" s="48" t="n">
        <f aca="false">C15+C20</f>
        <v>259.90875</v>
      </c>
      <c r="D24" s="48" t="n">
        <f aca="false">D15+D20</f>
        <v>529.635</v>
      </c>
      <c r="E24" s="48" t="n">
        <f aca="false">E15+E20</f>
        <v>635.90625</v>
      </c>
      <c r="F24" s="48" t="n">
        <f aca="false">F15+F20</f>
        <v>398.905</v>
      </c>
      <c r="G24" s="48" t="n">
        <f aca="false">G15+G20</f>
        <v>65.45</v>
      </c>
      <c r="H24" s="48" t="n">
        <f aca="false">H15+H20</f>
        <v>65.45</v>
      </c>
      <c r="I24" s="48" t="n">
        <f aca="false">I15+I20</f>
        <v>65.45</v>
      </c>
      <c r="J24" s="48" t="n">
        <f aca="false">J15+J20</f>
        <v>65.45</v>
      </c>
      <c r="K24" s="48" t="n">
        <f aca="false">K15+K20</f>
        <v>65.45</v>
      </c>
      <c r="L24" s="48" t="n">
        <f aca="false">L15+L20</f>
        <v>65.45</v>
      </c>
      <c r="M24" s="48" t="n">
        <f aca="false">M15+M20</f>
        <v>65.45</v>
      </c>
      <c r="N24" s="48" t="n">
        <f aca="false">N15+N20</f>
        <v>65.45</v>
      </c>
      <c r="O24" s="48" t="n">
        <f aca="false">O15+O20</f>
        <v>65.45</v>
      </c>
      <c r="P24" s="48" t="n">
        <f aca="false">P15+P20</f>
        <v>65.45</v>
      </c>
      <c r="Q24" s="48" t="n">
        <f aca="false">Q15+Q20</f>
        <v>65.45</v>
      </c>
      <c r="R24" s="48" t="n">
        <f aca="false">R15+R20</f>
        <v>65.45</v>
      </c>
      <c r="S24" s="48" t="n">
        <f aca="false">S15+S20</f>
        <v>65.45</v>
      </c>
      <c r="T24" s="48" t="n">
        <f aca="false">T15+T20</f>
        <v>65.45</v>
      </c>
      <c r="U24" s="48" t="n">
        <f aca="false">U15+U20</f>
        <v>65.45</v>
      </c>
      <c r="V24" s="48" t="n">
        <f aca="false">V15+V20</f>
        <v>65.45</v>
      </c>
      <c r="W24" s="48" t="n">
        <f aca="false">W15+W20</f>
        <v>65.45</v>
      </c>
      <c r="X24" s="48" t="n">
        <f aca="false">X15+X20</f>
        <v>65.45</v>
      </c>
      <c r="Y24" s="48" t="n">
        <f aca="false">Y15+Y20</f>
        <v>65.45</v>
      </c>
      <c r="Z24" s="48" t="n">
        <f aca="false">Z15+Z20</f>
        <v>65.45</v>
      </c>
      <c r="AA24" s="48" t="n">
        <f aca="false">AA15+AA20</f>
        <v>65.45</v>
      </c>
    </row>
    <row r="25" customFormat="false" ht="15" hidden="false" customHeight="false" outlineLevel="0" collapsed="false">
      <c r="A25" s="5"/>
      <c r="B25" s="5"/>
      <c r="C25" s="5"/>
      <c r="D25" s="5"/>
      <c r="E25" s="5"/>
      <c r="F25" s="5"/>
      <c r="G25" s="5"/>
      <c r="H25" s="5"/>
      <c r="I25" s="5"/>
      <c r="J25" s="5"/>
      <c r="K25" s="5"/>
      <c r="L25" s="5"/>
      <c r="M25" s="5"/>
      <c r="N25" s="5"/>
      <c r="O25" s="5"/>
      <c r="P25" s="5"/>
      <c r="Q25" s="5"/>
      <c r="R25" s="5"/>
      <c r="S25" s="5"/>
      <c r="T25" s="5"/>
      <c r="U25" s="5"/>
      <c r="V25" s="5"/>
      <c r="W25" s="5"/>
      <c r="X25" s="5"/>
      <c r="Y25" s="5"/>
      <c r="Z25" s="5"/>
      <c r="AA25" s="5"/>
    </row>
    <row r="26" customFormat="false" ht="15" hidden="false" customHeight="false" outlineLevel="0" collapsed="false">
      <c r="A26" s="5"/>
      <c r="B26" s="8" t="s">
        <v>201</v>
      </c>
      <c r="C26" s="49" t="n">
        <f aca="false">Draw_Y1</f>
        <v>0.15</v>
      </c>
      <c r="D26" s="49" t="n">
        <f aca="false">Draw_Y2</f>
        <v>0.3</v>
      </c>
      <c r="E26" s="49" t="n">
        <f aca="false">Draw_Y3</f>
        <v>0.35</v>
      </c>
      <c r="F26" s="49" t="n">
        <f aca="false">Draw_Y4</f>
        <v>0.2</v>
      </c>
      <c r="G26" s="49" t="n">
        <v>0</v>
      </c>
      <c r="H26" s="49" t="n">
        <v>0</v>
      </c>
      <c r="I26" s="49" t="n">
        <v>0</v>
      </c>
      <c r="J26" s="49" t="n">
        <v>0</v>
      </c>
      <c r="K26" s="49" t="n">
        <v>0</v>
      </c>
      <c r="L26" s="49" t="n">
        <v>0</v>
      </c>
      <c r="M26" s="49" t="n">
        <v>0</v>
      </c>
      <c r="N26" s="49" t="n">
        <v>0</v>
      </c>
      <c r="O26" s="49" t="n">
        <v>0</v>
      </c>
      <c r="P26" s="49" t="n">
        <v>0</v>
      </c>
      <c r="Q26" s="49" t="n">
        <v>0</v>
      </c>
      <c r="R26" s="49" t="n">
        <v>0</v>
      </c>
      <c r="S26" s="49" t="n">
        <v>0</v>
      </c>
      <c r="T26" s="49" t="n">
        <v>0</v>
      </c>
      <c r="U26" s="49" t="n">
        <v>0</v>
      </c>
      <c r="V26" s="49" t="n">
        <v>0</v>
      </c>
      <c r="W26" s="49" t="n">
        <v>0</v>
      </c>
      <c r="X26" s="49" t="n">
        <v>0</v>
      </c>
      <c r="Y26" s="49" t="n">
        <v>0</v>
      </c>
      <c r="Z26" s="49" t="n">
        <v>0</v>
      </c>
      <c r="AA26" s="49" t="n">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A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2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row>
    <row r="2" customFormat="false" ht="22.05" hidden="false" customHeight="false" outlineLevel="0" collapsed="false">
      <c r="A2" s="5"/>
      <c r="B2" s="28" t="s">
        <v>202</v>
      </c>
      <c r="C2" s="5"/>
      <c r="D2" s="5"/>
      <c r="E2" s="5"/>
      <c r="F2" s="5"/>
      <c r="G2" s="5"/>
      <c r="H2" s="5"/>
      <c r="I2" s="5"/>
      <c r="J2" s="5"/>
      <c r="K2" s="5"/>
      <c r="L2" s="5"/>
      <c r="M2" s="5"/>
      <c r="N2" s="5"/>
      <c r="O2" s="5"/>
      <c r="P2" s="5"/>
      <c r="Q2" s="5"/>
      <c r="R2" s="5"/>
      <c r="S2" s="5"/>
      <c r="T2" s="5"/>
      <c r="U2" s="5"/>
      <c r="V2" s="5"/>
      <c r="W2" s="5"/>
      <c r="X2" s="5"/>
      <c r="Y2" s="5"/>
      <c r="Z2" s="5"/>
      <c r="AA2" s="5"/>
    </row>
    <row r="3" customFormat="false" ht="15" hidden="false" customHeight="false" outlineLevel="0" collapsed="false">
      <c r="A3" s="5"/>
      <c r="B3" s="29" t="s">
        <v>11</v>
      </c>
      <c r="C3" s="5"/>
      <c r="D3" s="5"/>
      <c r="E3" s="5"/>
      <c r="F3" s="5"/>
      <c r="G3" s="5"/>
      <c r="H3" s="5"/>
      <c r="I3" s="5"/>
      <c r="J3" s="5"/>
      <c r="K3" s="5"/>
      <c r="L3" s="5"/>
      <c r="M3" s="5"/>
      <c r="N3" s="5"/>
      <c r="O3" s="5"/>
      <c r="P3" s="5"/>
      <c r="Q3" s="5"/>
      <c r="R3" s="5"/>
      <c r="S3" s="5"/>
      <c r="T3" s="5"/>
      <c r="U3" s="5"/>
      <c r="V3" s="5"/>
      <c r="W3" s="5"/>
      <c r="X3" s="5"/>
      <c r="Y3" s="5"/>
      <c r="Z3" s="5"/>
      <c r="AA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row>
    <row r="5" customFormat="false" ht="15" hidden="false" customHeight="false" outlineLevel="0" collapsed="false">
      <c r="A5" s="5"/>
      <c r="B5" s="41" t="s">
        <v>66</v>
      </c>
      <c r="C5" s="42" t="n">
        <f aca="false">Base_Year+0</f>
        <v>2025</v>
      </c>
      <c r="D5" s="42" t="n">
        <f aca="false">Base_Year+1</f>
        <v>2026</v>
      </c>
      <c r="E5" s="42" t="n">
        <f aca="false">Base_Year+2</f>
        <v>2027</v>
      </c>
      <c r="F5" s="42" t="n">
        <f aca="false">Base_Year+3</f>
        <v>2028</v>
      </c>
      <c r="G5" s="42" t="n">
        <f aca="false">Base_Year+4</f>
        <v>2029</v>
      </c>
      <c r="H5" s="42" t="n">
        <f aca="false">Base_Year+5</f>
        <v>2030</v>
      </c>
      <c r="I5" s="42" t="n">
        <f aca="false">Base_Year+6</f>
        <v>2031</v>
      </c>
      <c r="J5" s="42" t="n">
        <f aca="false">Base_Year+7</f>
        <v>2032</v>
      </c>
      <c r="K5" s="42" t="n">
        <f aca="false">Base_Year+8</f>
        <v>2033</v>
      </c>
      <c r="L5" s="42" t="n">
        <f aca="false">Base_Year+9</f>
        <v>2034</v>
      </c>
      <c r="M5" s="42" t="n">
        <f aca="false">Base_Year+10</f>
        <v>2035</v>
      </c>
      <c r="N5" s="42" t="n">
        <f aca="false">Base_Year+11</f>
        <v>2036</v>
      </c>
      <c r="O5" s="42" t="n">
        <f aca="false">Base_Year+12</f>
        <v>2037</v>
      </c>
      <c r="P5" s="42" t="n">
        <f aca="false">Base_Year+13</f>
        <v>2038</v>
      </c>
      <c r="Q5" s="42" t="n">
        <f aca="false">Base_Year+14</f>
        <v>2039</v>
      </c>
      <c r="R5" s="42" t="n">
        <f aca="false">Base_Year+15</f>
        <v>2040</v>
      </c>
      <c r="S5" s="42" t="n">
        <f aca="false">Base_Year+16</f>
        <v>2041</v>
      </c>
      <c r="T5" s="42" t="n">
        <f aca="false">Base_Year+17</f>
        <v>2042</v>
      </c>
      <c r="U5" s="42" t="n">
        <f aca="false">Base_Year+18</f>
        <v>2043</v>
      </c>
      <c r="V5" s="42" t="n">
        <f aca="false">Base_Year+19</f>
        <v>2044</v>
      </c>
      <c r="W5" s="42" t="n">
        <f aca="false">Base_Year+20</f>
        <v>2045</v>
      </c>
      <c r="X5" s="42" t="n">
        <f aca="false">Base_Year+21</f>
        <v>2046</v>
      </c>
      <c r="Y5" s="42" t="n">
        <f aca="false">Base_Year+22</f>
        <v>2047</v>
      </c>
      <c r="Z5" s="42" t="n">
        <f aca="false">Base_Year+23</f>
        <v>2048</v>
      </c>
      <c r="AA5" s="42" t="n">
        <f aca="false">Base_Year+24</f>
        <v>2049</v>
      </c>
    </row>
    <row r="6" customFormat="false" ht="15" hidden="false" customHeight="false" outlineLevel="0" collapsed="false">
      <c r="A6" s="5"/>
      <c r="B6" s="8" t="s">
        <v>192</v>
      </c>
      <c r="C6" s="43" t="n">
        <f aca="false">COLUMN(C1)-2</f>
        <v>1</v>
      </c>
      <c r="D6" s="43" t="n">
        <f aca="false">COLUMN(D1)-2</f>
        <v>2</v>
      </c>
      <c r="E6" s="43" t="n">
        <f aca="false">COLUMN(E1)-2</f>
        <v>3</v>
      </c>
      <c r="F6" s="43" t="n">
        <f aca="false">COLUMN(F1)-2</f>
        <v>4</v>
      </c>
      <c r="G6" s="43" t="n">
        <f aca="false">COLUMN(G1)-2</f>
        <v>5</v>
      </c>
      <c r="H6" s="43" t="n">
        <f aca="false">COLUMN(H1)-2</f>
        <v>6</v>
      </c>
      <c r="I6" s="43" t="n">
        <f aca="false">COLUMN(I1)-2</f>
        <v>7</v>
      </c>
      <c r="J6" s="43" t="n">
        <f aca="false">COLUMN(J1)-2</f>
        <v>8</v>
      </c>
      <c r="K6" s="43" t="n">
        <f aca="false">COLUMN(K1)-2</f>
        <v>9</v>
      </c>
      <c r="L6" s="43" t="n">
        <f aca="false">COLUMN(L1)-2</f>
        <v>10</v>
      </c>
      <c r="M6" s="43" t="n">
        <f aca="false">COLUMN(M1)-2</f>
        <v>11</v>
      </c>
      <c r="N6" s="43" t="n">
        <f aca="false">COLUMN(N1)-2</f>
        <v>12</v>
      </c>
      <c r="O6" s="43" t="n">
        <f aca="false">COLUMN(O1)-2</f>
        <v>13</v>
      </c>
      <c r="P6" s="43" t="n">
        <f aca="false">COLUMN(P1)-2</f>
        <v>14</v>
      </c>
      <c r="Q6" s="43" t="n">
        <f aca="false">COLUMN(Q1)-2</f>
        <v>15</v>
      </c>
      <c r="R6" s="43" t="n">
        <f aca="false">COLUMN(R1)-2</f>
        <v>16</v>
      </c>
      <c r="S6" s="43" t="n">
        <f aca="false">COLUMN(S1)-2</f>
        <v>17</v>
      </c>
      <c r="T6" s="43" t="n">
        <f aca="false">COLUMN(T1)-2</f>
        <v>18</v>
      </c>
      <c r="U6" s="43" t="n">
        <f aca="false">COLUMN(U1)-2</f>
        <v>19</v>
      </c>
      <c r="V6" s="43" t="n">
        <f aca="false">COLUMN(V1)-2</f>
        <v>20</v>
      </c>
      <c r="W6" s="43" t="n">
        <f aca="false">COLUMN(W1)-2</f>
        <v>21</v>
      </c>
      <c r="X6" s="43" t="n">
        <f aca="false">COLUMN(X1)-2</f>
        <v>22</v>
      </c>
      <c r="Y6" s="43" t="n">
        <f aca="false">COLUMN(Y1)-2</f>
        <v>23</v>
      </c>
      <c r="Z6" s="43" t="n">
        <f aca="false">COLUMN(Z1)-2</f>
        <v>24</v>
      </c>
      <c r="AA6" s="43" t="n">
        <f aca="false">COLUMN(AA1)-2</f>
        <v>25</v>
      </c>
    </row>
    <row r="7" customFormat="false" ht="15" hidden="false" customHeight="false" outlineLevel="0" collapsed="false">
      <c r="A7" s="5"/>
      <c r="B7" s="8" t="s">
        <v>203</v>
      </c>
      <c r="C7" s="50" t="n">
        <f aca="false">IF(C6&gt;=Construction_Yrs+1,1,0)</f>
        <v>0</v>
      </c>
      <c r="D7" s="50" t="n">
        <f aca="false">IF(D6&gt;=Construction_Yrs+1,1,0)</f>
        <v>0</v>
      </c>
      <c r="E7" s="50" t="n">
        <f aca="false">IF(E6&gt;=Construction_Yrs+1,1,0)</f>
        <v>0</v>
      </c>
      <c r="F7" s="50" t="n">
        <f aca="false">IF(F6&gt;=Construction_Yrs+1,1,0)</f>
        <v>0</v>
      </c>
      <c r="G7" s="50" t="n">
        <f aca="false">IF(G6&gt;=Construction_Yrs+1,1,0)</f>
        <v>1</v>
      </c>
      <c r="H7" s="50" t="n">
        <f aca="false">IF(H6&gt;=Construction_Yrs+1,1,0)</f>
        <v>1</v>
      </c>
      <c r="I7" s="50" t="n">
        <f aca="false">IF(I6&gt;=Construction_Yrs+1,1,0)</f>
        <v>1</v>
      </c>
      <c r="J7" s="50" t="n">
        <f aca="false">IF(J6&gt;=Construction_Yrs+1,1,0)</f>
        <v>1</v>
      </c>
      <c r="K7" s="50" t="n">
        <f aca="false">IF(K6&gt;=Construction_Yrs+1,1,0)</f>
        <v>1</v>
      </c>
      <c r="L7" s="50" t="n">
        <f aca="false">IF(L6&gt;=Construction_Yrs+1,1,0)</f>
        <v>1</v>
      </c>
      <c r="M7" s="50" t="n">
        <f aca="false">IF(M6&gt;=Construction_Yrs+1,1,0)</f>
        <v>1</v>
      </c>
      <c r="N7" s="50" t="n">
        <f aca="false">IF(N6&gt;=Construction_Yrs+1,1,0)</f>
        <v>1</v>
      </c>
      <c r="O7" s="50" t="n">
        <f aca="false">IF(O6&gt;=Construction_Yrs+1,1,0)</f>
        <v>1</v>
      </c>
      <c r="P7" s="50" t="n">
        <f aca="false">IF(P6&gt;=Construction_Yrs+1,1,0)</f>
        <v>1</v>
      </c>
      <c r="Q7" s="50" t="n">
        <f aca="false">IF(Q6&gt;=Construction_Yrs+1,1,0)</f>
        <v>1</v>
      </c>
      <c r="R7" s="50" t="n">
        <f aca="false">IF(R6&gt;=Construction_Yrs+1,1,0)</f>
        <v>1</v>
      </c>
      <c r="S7" s="50" t="n">
        <f aca="false">IF(S6&gt;=Construction_Yrs+1,1,0)</f>
        <v>1</v>
      </c>
      <c r="T7" s="50" t="n">
        <f aca="false">IF(T6&gt;=Construction_Yrs+1,1,0)</f>
        <v>1</v>
      </c>
      <c r="U7" s="50" t="n">
        <f aca="false">IF(U6&gt;=Construction_Yrs+1,1,0)</f>
        <v>1</v>
      </c>
      <c r="V7" s="50" t="n">
        <f aca="false">IF(V6&gt;=Construction_Yrs+1,1,0)</f>
        <v>1</v>
      </c>
      <c r="W7" s="50" t="n">
        <f aca="false">IF(W6&gt;=Construction_Yrs+1,1,0)</f>
        <v>1</v>
      </c>
      <c r="X7" s="50" t="n">
        <f aca="false">IF(X6&gt;=Construction_Yrs+1,1,0)</f>
        <v>1</v>
      </c>
      <c r="Y7" s="50" t="n">
        <f aca="false">IF(Y6&gt;=Construction_Yrs+1,1,0)</f>
        <v>1</v>
      </c>
      <c r="Z7" s="50" t="n">
        <f aca="false">IF(Z6&gt;=Construction_Yrs+1,1,0)</f>
        <v>1</v>
      </c>
      <c r="AA7" s="50" t="n">
        <f aca="false">IF(AA6&gt;=Construction_Yrs+1,1,0)</f>
        <v>1</v>
      </c>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c r="Y8" s="5"/>
      <c r="Z8" s="5"/>
      <c r="AA8" s="5"/>
    </row>
    <row r="9" customFormat="false" ht="15" hidden="false" customHeight="false" outlineLevel="0" collapsed="false">
      <c r="A9" s="5"/>
      <c r="B9" s="44" t="s">
        <v>204</v>
      </c>
      <c r="C9" s="45"/>
      <c r="D9" s="45"/>
      <c r="E9" s="45"/>
      <c r="F9" s="45"/>
      <c r="G9" s="45"/>
      <c r="H9" s="45"/>
      <c r="I9" s="45"/>
      <c r="J9" s="45"/>
      <c r="K9" s="45"/>
      <c r="L9" s="45"/>
      <c r="M9" s="45"/>
      <c r="N9" s="45"/>
      <c r="O9" s="45"/>
      <c r="P9" s="45"/>
      <c r="Q9" s="45"/>
      <c r="R9" s="45"/>
      <c r="S9" s="45"/>
      <c r="T9" s="45"/>
      <c r="U9" s="45"/>
      <c r="V9" s="45"/>
      <c r="W9" s="45"/>
      <c r="X9" s="45"/>
      <c r="Y9" s="45"/>
      <c r="Z9" s="45"/>
      <c r="AA9" s="45"/>
    </row>
    <row r="10" customFormat="false" ht="15" hidden="false" customHeight="false" outlineLevel="0" collapsed="false">
      <c r="A10" s="5"/>
      <c r="B10" s="46" t="s">
        <v>81</v>
      </c>
      <c r="C10" s="47" t="n">
        <f aca="false">Nameplate_Capacity*Contracted_Pct*C7</f>
        <v>0</v>
      </c>
      <c r="D10" s="47" t="n">
        <f aca="false">Nameplate_Capacity*Contracted_Pct*D7</f>
        <v>0</v>
      </c>
      <c r="E10" s="47" t="n">
        <f aca="false">Nameplate_Capacity*Contracted_Pct*E7</f>
        <v>0</v>
      </c>
      <c r="F10" s="47" t="n">
        <f aca="false">Nameplate_Capacity*Contracted_Pct*F7</f>
        <v>0</v>
      </c>
      <c r="G10" s="47" t="n">
        <f aca="false">Nameplate_Capacity*Contracted_Pct*G7</f>
        <v>425</v>
      </c>
      <c r="H10" s="47" t="n">
        <f aca="false">Nameplate_Capacity*Contracted_Pct*H7</f>
        <v>425</v>
      </c>
      <c r="I10" s="47" t="n">
        <f aca="false">Nameplate_Capacity*Contracted_Pct*I7</f>
        <v>425</v>
      </c>
      <c r="J10" s="47" t="n">
        <f aca="false">Nameplate_Capacity*Contracted_Pct*J7</f>
        <v>425</v>
      </c>
      <c r="K10" s="47" t="n">
        <f aca="false">Nameplate_Capacity*Contracted_Pct*K7</f>
        <v>425</v>
      </c>
      <c r="L10" s="47" t="n">
        <f aca="false">Nameplate_Capacity*Contracted_Pct*L7</f>
        <v>425</v>
      </c>
      <c r="M10" s="47" t="n">
        <f aca="false">Nameplate_Capacity*Contracted_Pct*M7</f>
        <v>425</v>
      </c>
      <c r="N10" s="47" t="n">
        <f aca="false">Nameplate_Capacity*Contracted_Pct*N7</f>
        <v>425</v>
      </c>
      <c r="O10" s="47" t="n">
        <f aca="false">Nameplate_Capacity*Contracted_Pct*O7</f>
        <v>425</v>
      </c>
      <c r="P10" s="47" t="n">
        <f aca="false">Nameplate_Capacity*Contracted_Pct*P7</f>
        <v>425</v>
      </c>
      <c r="Q10" s="47" t="n">
        <f aca="false">Nameplate_Capacity*Contracted_Pct*Q7</f>
        <v>425</v>
      </c>
      <c r="R10" s="47" t="n">
        <f aca="false">Nameplate_Capacity*Contracted_Pct*R7</f>
        <v>425</v>
      </c>
      <c r="S10" s="47" t="n">
        <f aca="false">Nameplate_Capacity*Contracted_Pct*S7</f>
        <v>425</v>
      </c>
      <c r="T10" s="47" t="n">
        <f aca="false">Nameplate_Capacity*Contracted_Pct*T7</f>
        <v>425</v>
      </c>
      <c r="U10" s="47" t="n">
        <f aca="false">Nameplate_Capacity*Contracted_Pct*U7</f>
        <v>425</v>
      </c>
      <c r="V10" s="47" t="n">
        <f aca="false">Nameplate_Capacity*Contracted_Pct*V7</f>
        <v>425</v>
      </c>
      <c r="W10" s="47" t="n">
        <f aca="false">Nameplate_Capacity*Contracted_Pct*W7</f>
        <v>425</v>
      </c>
      <c r="X10" s="47" t="n">
        <f aca="false">Nameplate_Capacity*Contracted_Pct*X7</f>
        <v>425</v>
      </c>
      <c r="Y10" s="47" t="n">
        <f aca="false">Nameplate_Capacity*Contracted_Pct*Y7</f>
        <v>425</v>
      </c>
      <c r="Z10" s="47" t="n">
        <f aca="false">Nameplate_Capacity*Contracted_Pct*Z7</f>
        <v>425</v>
      </c>
      <c r="AA10" s="47" t="n">
        <f aca="false">Nameplate_Capacity*Contracted_Pct*AA7</f>
        <v>425</v>
      </c>
    </row>
    <row r="11" customFormat="false" ht="15" hidden="false" customHeight="false" outlineLevel="0" collapsed="false">
      <c r="A11" s="5"/>
      <c r="B11" s="46" t="s">
        <v>92</v>
      </c>
      <c r="C11" s="51" t="n">
        <f aca="false">Capacity_Tariff*(1+Tariff_Escalation)^MAX(0,C6-Construction_Yrs-1)*C7</f>
        <v>0</v>
      </c>
      <c r="D11" s="51" t="n">
        <f aca="false">Capacity_Tariff*(1+Tariff_Escalation)^MAX(0,D6-Construction_Yrs-1)*D7</f>
        <v>0</v>
      </c>
      <c r="E11" s="51" t="n">
        <f aca="false">Capacity_Tariff*(1+Tariff_Escalation)^MAX(0,E6-Construction_Yrs-1)*E7</f>
        <v>0</v>
      </c>
      <c r="F11" s="51" t="n">
        <f aca="false">Capacity_Tariff*(1+Tariff_Escalation)^MAX(0,F6-Construction_Yrs-1)*F7</f>
        <v>0</v>
      </c>
      <c r="G11" s="51" t="n">
        <f aca="false">Capacity_Tariff*(1+Tariff_Escalation)^MAX(0,G6-Construction_Yrs-1)*G7</f>
        <v>0.85</v>
      </c>
      <c r="H11" s="51" t="n">
        <f aca="false">Capacity_Tariff*(1+Tariff_Escalation)^MAX(0,H6-Construction_Yrs-1)*H7</f>
        <v>0.87125</v>
      </c>
      <c r="I11" s="51" t="n">
        <f aca="false">Capacity_Tariff*(1+Tariff_Escalation)^MAX(0,I6-Construction_Yrs-1)*I7</f>
        <v>0.89303125</v>
      </c>
      <c r="J11" s="51" t="n">
        <f aca="false">Capacity_Tariff*(1+Tariff_Escalation)^MAX(0,J6-Construction_Yrs-1)*J7</f>
        <v>0.91535703125</v>
      </c>
      <c r="K11" s="51" t="n">
        <f aca="false">Capacity_Tariff*(1+Tariff_Escalation)^MAX(0,K6-Construction_Yrs-1)*K7</f>
        <v>0.93824095703125</v>
      </c>
      <c r="L11" s="51" t="n">
        <f aca="false">Capacity_Tariff*(1+Tariff_Escalation)^MAX(0,L6-Construction_Yrs-1)*L7</f>
        <v>0.961696980957031</v>
      </c>
      <c r="M11" s="51" t="n">
        <f aca="false">Capacity_Tariff*(1+Tariff_Escalation)^MAX(0,M6-Construction_Yrs-1)*M7</f>
        <v>0.985739405480956</v>
      </c>
      <c r="N11" s="51" t="n">
        <f aca="false">Capacity_Tariff*(1+Tariff_Escalation)^MAX(0,N6-Construction_Yrs-1)*N7</f>
        <v>1.01038289061798</v>
      </c>
      <c r="O11" s="51" t="n">
        <f aca="false">Capacity_Tariff*(1+Tariff_Escalation)^MAX(0,O6-Construction_Yrs-1)*O7</f>
        <v>1.03564246288343</v>
      </c>
      <c r="P11" s="51" t="n">
        <f aca="false">Capacity_Tariff*(1+Tariff_Escalation)^MAX(0,P6-Construction_Yrs-1)*P7</f>
        <v>1.06153352445552</v>
      </c>
      <c r="Q11" s="51" t="n">
        <f aca="false">Capacity_Tariff*(1+Tariff_Escalation)^MAX(0,Q6-Construction_Yrs-1)*Q7</f>
        <v>1.0880718625669</v>
      </c>
      <c r="R11" s="51" t="n">
        <f aca="false">Capacity_Tariff*(1+Tariff_Escalation)^MAX(0,R6-Construction_Yrs-1)*R7</f>
        <v>1.11527365913108</v>
      </c>
      <c r="S11" s="51" t="n">
        <f aca="false">Capacity_Tariff*(1+Tariff_Escalation)^MAX(0,S6-Construction_Yrs-1)*S7</f>
        <v>1.14315550060935</v>
      </c>
      <c r="T11" s="51" t="n">
        <f aca="false">Capacity_Tariff*(1+Tariff_Escalation)^MAX(0,T6-Construction_Yrs-1)*T7</f>
        <v>1.17173438812459</v>
      </c>
      <c r="U11" s="51" t="n">
        <f aca="false">Capacity_Tariff*(1+Tariff_Escalation)^MAX(0,U6-Construction_Yrs-1)*U7</f>
        <v>1.2010277478277</v>
      </c>
      <c r="V11" s="51" t="n">
        <f aca="false">Capacity_Tariff*(1+Tariff_Escalation)^MAX(0,V6-Construction_Yrs-1)*V7</f>
        <v>1.23105344152339</v>
      </c>
      <c r="W11" s="51" t="n">
        <f aca="false">Capacity_Tariff*(1+Tariff_Escalation)^MAX(0,W6-Construction_Yrs-1)*W7</f>
        <v>1.26182977756148</v>
      </c>
      <c r="X11" s="51" t="n">
        <f aca="false">Capacity_Tariff*(1+Tariff_Escalation)^MAX(0,X6-Construction_Yrs-1)*X7</f>
        <v>1.29337552200051</v>
      </c>
      <c r="Y11" s="51" t="n">
        <f aca="false">Capacity_Tariff*(1+Tariff_Escalation)^MAX(0,Y6-Construction_Yrs-1)*Y7</f>
        <v>1.32570991005053</v>
      </c>
      <c r="Z11" s="51" t="n">
        <f aca="false">Capacity_Tariff*(1+Tariff_Escalation)^MAX(0,Z6-Construction_Yrs-1)*Z7</f>
        <v>1.35885265780179</v>
      </c>
      <c r="AA11" s="51" t="n">
        <f aca="false">Capacity_Tariff*(1+Tariff_Escalation)^MAX(0,AA6-Construction_Yrs-1)*AA7</f>
        <v>1.39282397424684</v>
      </c>
    </row>
    <row r="12" customFormat="false" ht="15" hidden="false" customHeight="false" outlineLevel="0" collapsed="false">
      <c r="A12" s="5"/>
      <c r="B12" s="52" t="s">
        <v>205</v>
      </c>
      <c r="C12" s="53" t="n">
        <f aca="false">C10*C11</f>
        <v>0</v>
      </c>
      <c r="D12" s="53" t="n">
        <f aca="false">D10*D11</f>
        <v>0</v>
      </c>
      <c r="E12" s="53" t="n">
        <f aca="false">E10*E11</f>
        <v>0</v>
      </c>
      <c r="F12" s="53" t="n">
        <f aca="false">F10*F11</f>
        <v>0</v>
      </c>
      <c r="G12" s="53" t="n">
        <f aca="false">G10*G11</f>
        <v>361.25</v>
      </c>
      <c r="H12" s="53" t="n">
        <f aca="false">H10*H11</f>
        <v>370.28125</v>
      </c>
      <c r="I12" s="53" t="n">
        <f aca="false">I10*I11</f>
        <v>379.53828125</v>
      </c>
      <c r="J12" s="53" t="n">
        <f aca="false">J10*J11</f>
        <v>389.02673828125</v>
      </c>
      <c r="K12" s="53" t="n">
        <f aca="false">K10*K11</f>
        <v>398.752406738281</v>
      </c>
      <c r="L12" s="53" t="n">
        <f aca="false">L10*L11</f>
        <v>408.721216906738</v>
      </c>
      <c r="M12" s="53" t="n">
        <f aca="false">M10*M11</f>
        <v>418.939247329406</v>
      </c>
      <c r="N12" s="53" t="n">
        <f aca="false">N10*N11</f>
        <v>429.412728512642</v>
      </c>
      <c r="O12" s="53" t="n">
        <f aca="false">O10*O11</f>
        <v>440.148046725458</v>
      </c>
      <c r="P12" s="53" t="n">
        <f aca="false">P10*P11</f>
        <v>451.151747893594</v>
      </c>
      <c r="Q12" s="53" t="n">
        <f aca="false">Q10*Q11</f>
        <v>462.430541590934</v>
      </c>
      <c r="R12" s="53" t="n">
        <f aca="false">R10*R11</f>
        <v>473.991305130707</v>
      </c>
      <c r="S12" s="53" t="n">
        <f aca="false">S10*S11</f>
        <v>485.841087758975</v>
      </c>
      <c r="T12" s="53" t="n">
        <f aca="false">T10*T11</f>
        <v>497.987114952949</v>
      </c>
      <c r="U12" s="53" t="n">
        <f aca="false">U10*U11</f>
        <v>510.436792826773</v>
      </c>
      <c r="V12" s="53" t="n">
        <f aca="false">V10*V11</f>
        <v>523.197712647442</v>
      </c>
      <c r="W12" s="53" t="n">
        <f aca="false">W10*W11</f>
        <v>536.277655463628</v>
      </c>
      <c r="X12" s="53" t="n">
        <f aca="false">X10*X11</f>
        <v>549.684596850219</v>
      </c>
      <c r="Y12" s="53" t="n">
        <f aca="false">Y10*Y11</f>
        <v>563.426711771474</v>
      </c>
      <c r="Z12" s="53" t="n">
        <f aca="false">Z10*Z11</f>
        <v>577.512379565761</v>
      </c>
      <c r="AA12" s="53" t="n">
        <f aca="false">AA10*AA11</f>
        <v>591.950189054905</v>
      </c>
    </row>
    <row r="13" customFormat="false" ht="15" hidden="false" customHeight="false" outlineLevel="0" collapsed="false">
      <c r="A13" s="5"/>
      <c r="B13" s="5"/>
      <c r="C13" s="5"/>
      <c r="D13" s="5"/>
      <c r="E13" s="5"/>
      <c r="F13" s="5"/>
      <c r="G13" s="5"/>
      <c r="H13" s="5"/>
      <c r="I13" s="5"/>
      <c r="J13" s="5"/>
      <c r="K13" s="5"/>
      <c r="L13" s="5"/>
      <c r="M13" s="5"/>
      <c r="N13" s="5"/>
      <c r="O13" s="5"/>
      <c r="P13" s="5"/>
      <c r="Q13" s="5"/>
      <c r="R13" s="5"/>
      <c r="S13" s="5"/>
      <c r="T13" s="5"/>
      <c r="U13" s="5"/>
      <c r="V13" s="5"/>
      <c r="W13" s="5"/>
      <c r="X13" s="5"/>
      <c r="Y13" s="5"/>
      <c r="Z13" s="5"/>
      <c r="AA13" s="5"/>
    </row>
    <row r="14" customFormat="false" ht="15" hidden="false" customHeight="false" outlineLevel="0" collapsed="false">
      <c r="A14" s="5"/>
      <c r="B14" s="44" t="s">
        <v>206</v>
      </c>
      <c r="C14" s="45"/>
      <c r="D14" s="45"/>
      <c r="E14" s="45"/>
      <c r="F14" s="45"/>
      <c r="G14" s="45"/>
      <c r="H14" s="45"/>
      <c r="I14" s="45"/>
      <c r="J14" s="45"/>
      <c r="K14" s="45"/>
      <c r="L14" s="45"/>
      <c r="M14" s="45"/>
      <c r="N14" s="45"/>
      <c r="O14" s="45"/>
      <c r="P14" s="45"/>
      <c r="Q14" s="45"/>
      <c r="R14" s="45"/>
      <c r="S14" s="45"/>
      <c r="T14" s="45"/>
      <c r="U14" s="45"/>
      <c r="V14" s="45"/>
      <c r="W14" s="45"/>
      <c r="X14" s="45"/>
      <c r="Y14" s="45"/>
      <c r="Z14" s="45"/>
      <c r="AA14" s="45"/>
    </row>
    <row r="15" customFormat="false" ht="15" hidden="false" customHeight="false" outlineLevel="0" collapsed="false">
      <c r="A15" s="5"/>
      <c r="B15" s="46" t="s">
        <v>207</v>
      </c>
      <c r="C15" s="54" t="n">
        <f aca="false">IF(C7=0,0,MIN(Util_SS,Util_Y1+(Util_SS-Util_Y1)*MIN(C6-Construction_Yrs-1,Ramp_Years-1)/MAX(1,Ramp_Years-1)))</f>
        <v>0</v>
      </c>
      <c r="D15" s="54" t="n">
        <f aca="false">IF(D7=0,0,MIN(Util_SS,Util_Y1+(Util_SS-Util_Y1)*MIN(D6-Construction_Yrs-1,Ramp_Years-1)/MAX(1,Ramp_Years-1)))</f>
        <v>0</v>
      </c>
      <c r="E15" s="54" t="n">
        <f aca="false">IF(E7=0,0,MIN(Util_SS,Util_Y1+(Util_SS-Util_Y1)*MIN(E6-Construction_Yrs-1,Ramp_Years-1)/MAX(1,Ramp_Years-1)))</f>
        <v>0</v>
      </c>
      <c r="F15" s="54" t="n">
        <f aca="false">IF(F7=0,0,MIN(Util_SS,Util_Y1+(Util_SS-Util_Y1)*MIN(F6-Construction_Yrs-1,Ramp_Years-1)/MAX(1,Ramp_Years-1)))</f>
        <v>0</v>
      </c>
      <c r="G15" s="54" t="n">
        <f aca="false">IF(G7=0,0,MIN(Util_SS,Util_Y1+(Util_SS-Util_Y1)*MIN(G6-Construction_Yrs-1,Ramp_Years-1)/MAX(1,Ramp_Years-1)))</f>
        <v>0.7</v>
      </c>
      <c r="H15" s="54" t="n">
        <f aca="false">IF(H7=0,0,MIN(Util_SS,Util_Y1+(Util_SS-Util_Y1)*MIN(H6-Construction_Yrs-1,Ramp_Years-1)/MAX(1,Ramp_Years-1)))</f>
        <v>0.81</v>
      </c>
      <c r="I15" s="54" t="n">
        <f aca="false">IF(I7=0,0,MIN(Util_SS,Util_Y1+(Util_SS-Util_Y1)*MIN(I6-Construction_Yrs-1,Ramp_Years-1)/MAX(1,Ramp_Years-1)))</f>
        <v>0.92</v>
      </c>
      <c r="J15" s="54" t="n">
        <f aca="false">IF(J7=0,0,MIN(Util_SS,Util_Y1+(Util_SS-Util_Y1)*MIN(J6-Construction_Yrs-1,Ramp_Years-1)/MAX(1,Ramp_Years-1)))</f>
        <v>0.92</v>
      </c>
      <c r="K15" s="54" t="n">
        <f aca="false">IF(K7=0,0,MIN(Util_SS,Util_Y1+(Util_SS-Util_Y1)*MIN(K6-Construction_Yrs-1,Ramp_Years-1)/MAX(1,Ramp_Years-1)))</f>
        <v>0.92</v>
      </c>
      <c r="L15" s="54" t="n">
        <f aca="false">IF(L7=0,0,MIN(Util_SS,Util_Y1+(Util_SS-Util_Y1)*MIN(L6-Construction_Yrs-1,Ramp_Years-1)/MAX(1,Ramp_Years-1)))</f>
        <v>0.92</v>
      </c>
      <c r="M15" s="54" t="n">
        <f aca="false">IF(M7=0,0,MIN(Util_SS,Util_Y1+(Util_SS-Util_Y1)*MIN(M6-Construction_Yrs-1,Ramp_Years-1)/MAX(1,Ramp_Years-1)))</f>
        <v>0.92</v>
      </c>
      <c r="N15" s="54" t="n">
        <f aca="false">IF(N7=0,0,MIN(Util_SS,Util_Y1+(Util_SS-Util_Y1)*MIN(N6-Construction_Yrs-1,Ramp_Years-1)/MAX(1,Ramp_Years-1)))</f>
        <v>0.92</v>
      </c>
      <c r="O15" s="54" t="n">
        <f aca="false">IF(O7=0,0,MIN(Util_SS,Util_Y1+(Util_SS-Util_Y1)*MIN(O6-Construction_Yrs-1,Ramp_Years-1)/MAX(1,Ramp_Years-1)))</f>
        <v>0.92</v>
      </c>
      <c r="P15" s="54" t="n">
        <f aca="false">IF(P7=0,0,MIN(Util_SS,Util_Y1+(Util_SS-Util_Y1)*MIN(P6-Construction_Yrs-1,Ramp_Years-1)/MAX(1,Ramp_Years-1)))</f>
        <v>0.92</v>
      </c>
      <c r="Q15" s="54" t="n">
        <f aca="false">IF(Q7=0,0,MIN(Util_SS,Util_Y1+(Util_SS-Util_Y1)*MIN(Q6-Construction_Yrs-1,Ramp_Years-1)/MAX(1,Ramp_Years-1)))</f>
        <v>0.92</v>
      </c>
      <c r="R15" s="54" t="n">
        <f aca="false">IF(R7=0,0,MIN(Util_SS,Util_Y1+(Util_SS-Util_Y1)*MIN(R6-Construction_Yrs-1,Ramp_Years-1)/MAX(1,Ramp_Years-1)))</f>
        <v>0.92</v>
      </c>
      <c r="S15" s="54" t="n">
        <f aca="false">IF(S7=0,0,MIN(Util_SS,Util_Y1+(Util_SS-Util_Y1)*MIN(S6-Construction_Yrs-1,Ramp_Years-1)/MAX(1,Ramp_Years-1)))</f>
        <v>0.92</v>
      </c>
      <c r="T15" s="54" t="n">
        <f aca="false">IF(T7=0,0,MIN(Util_SS,Util_Y1+(Util_SS-Util_Y1)*MIN(T6-Construction_Yrs-1,Ramp_Years-1)/MAX(1,Ramp_Years-1)))</f>
        <v>0.92</v>
      </c>
      <c r="U15" s="54" t="n">
        <f aca="false">IF(U7=0,0,MIN(Util_SS,Util_Y1+(Util_SS-Util_Y1)*MIN(U6-Construction_Yrs-1,Ramp_Years-1)/MAX(1,Ramp_Years-1)))</f>
        <v>0.92</v>
      </c>
      <c r="V15" s="54" t="n">
        <f aca="false">IF(V7=0,0,MIN(Util_SS,Util_Y1+(Util_SS-Util_Y1)*MIN(V6-Construction_Yrs-1,Ramp_Years-1)/MAX(1,Ramp_Years-1)))</f>
        <v>0.92</v>
      </c>
      <c r="W15" s="54" t="n">
        <f aca="false">IF(W7=0,0,MIN(Util_SS,Util_Y1+(Util_SS-Util_Y1)*MIN(W6-Construction_Yrs-1,Ramp_Years-1)/MAX(1,Ramp_Years-1)))</f>
        <v>0.92</v>
      </c>
      <c r="X15" s="54" t="n">
        <f aca="false">IF(X7=0,0,MIN(Util_SS,Util_Y1+(Util_SS-Util_Y1)*MIN(X6-Construction_Yrs-1,Ramp_Years-1)/MAX(1,Ramp_Years-1)))</f>
        <v>0.92</v>
      </c>
      <c r="Y15" s="54" t="n">
        <f aca="false">IF(Y7=0,0,MIN(Util_SS,Util_Y1+(Util_SS-Util_Y1)*MIN(Y6-Construction_Yrs-1,Ramp_Years-1)/MAX(1,Ramp_Years-1)))</f>
        <v>0.92</v>
      </c>
      <c r="Z15" s="54" t="n">
        <f aca="false">IF(Z7=0,0,MIN(Util_SS,Util_Y1+(Util_SS-Util_Y1)*MIN(Z6-Construction_Yrs-1,Ramp_Years-1)/MAX(1,Ramp_Years-1)))</f>
        <v>0.92</v>
      </c>
      <c r="AA15" s="54" t="n">
        <f aca="false">IF(AA7=0,0,MIN(Util_SS,Util_Y1+(Util_SS-Util_Y1)*MIN(AA6-Construction_Yrs-1,Ramp_Years-1)/MAX(1,Ramp_Years-1)))</f>
        <v>0.92</v>
      </c>
    </row>
    <row r="16" customFormat="false" ht="15" hidden="false" customHeight="false" outlineLevel="0" collapsed="false">
      <c r="A16" s="5"/>
      <c r="B16" s="46" t="s">
        <v>208</v>
      </c>
      <c r="C16" s="47" t="n">
        <f aca="false">Nameplate_Capacity*C15</f>
        <v>0</v>
      </c>
      <c r="D16" s="47" t="n">
        <f aca="false">Nameplate_Capacity*D15</f>
        <v>0</v>
      </c>
      <c r="E16" s="47" t="n">
        <f aca="false">Nameplate_Capacity*E15</f>
        <v>0</v>
      </c>
      <c r="F16" s="47" t="n">
        <f aca="false">Nameplate_Capacity*F15</f>
        <v>0</v>
      </c>
      <c r="G16" s="47" t="n">
        <f aca="false">Nameplate_Capacity*G15</f>
        <v>350</v>
      </c>
      <c r="H16" s="47" t="n">
        <f aca="false">Nameplate_Capacity*H15</f>
        <v>405</v>
      </c>
      <c r="I16" s="47" t="n">
        <f aca="false">Nameplate_Capacity*I15</f>
        <v>460</v>
      </c>
      <c r="J16" s="47" t="n">
        <f aca="false">Nameplate_Capacity*J15</f>
        <v>460</v>
      </c>
      <c r="K16" s="47" t="n">
        <f aca="false">Nameplate_Capacity*K15</f>
        <v>460</v>
      </c>
      <c r="L16" s="47" t="n">
        <f aca="false">Nameplate_Capacity*L15</f>
        <v>460</v>
      </c>
      <c r="M16" s="47" t="n">
        <f aca="false">Nameplate_Capacity*M15</f>
        <v>460</v>
      </c>
      <c r="N16" s="47" t="n">
        <f aca="false">Nameplate_Capacity*N15</f>
        <v>460</v>
      </c>
      <c r="O16" s="47" t="n">
        <f aca="false">Nameplate_Capacity*O15</f>
        <v>460</v>
      </c>
      <c r="P16" s="47" t="n">
        <f aca="false">Nameplate_Capacity*P15</f>
        <v>460</v>
      </c>
      <c r="Q16" s="47" t="n">
        <f aca="false">Nameplate_Capacity*Q15</f>
        <v>460</v>
      </c>
      <c r="R16" s="47" t="n">
        <f aca="false">Nameplate_Capacity*R15</f>
        <v>460</v>
      </c>
      <c r="S16" s="47" t="n">
        <f aca="false">Nameplate_Capacity*S15</f>
        <v>460</v>
      </c>
      <c r="T16" s="47" t="n">
        <f aca="false">Nameplate_Capacity*T15</f>
        <v>460</v>
      </c>
      <c r="U16" s="47" t="n">
        <f aca="false">Nameplate_Capacity*U15</f>
        <v>460</v>
      </c>
      <c r="V16" s="47" t="n">
        <f aca="false">Nameplate_Capacity*V15</f>
        <v>460</v>
      </c>
      <c r="W16" s="47" t="n">
        <f aca="false">Nameplate_Capacity*W15</f>
        <v>460</v>
      </c>
      <c r="X16" s="47" t="n">
        <f aca="false">Nameplate_Capacity*X15</f>
        <v>460</v>
      </c>
      <c r="Y16" s="47" t="n">
        <f aca="false">Nameplate_Capacity*Y15</f>
        <v>460</v>
      </c>
      <c r="Z16" s="47" t="n">
        <f aca="false">Nameplate_Capacity*Z15</f>
        <v>460</v>
      </c>
      <c r="AA16" s="47" t="n">
        <f aca="false">Nameplate_Capacity*AA15</f>
        <v>460</v>
      </c>
    </row>
    <row r="17" customFormat="false" ht="15" hidden="false" customHeight="false" outlineLevel="0" collapsed="false">
      <c r="A17" s="5"/>
      <c r="B17" s="46" t="s">
        <v>95</v>
      </c>
      <c r="C17" s="51" t="n">
        <f aca="false">Variable_Tariff*(1+Tariff_Escalation)^MAX(0,C6-Construction_Yrs-1)*C7</f>
        <v>0</v>
      </c>
      <c r="D17" s="51" t="n">
        <f aca="false">Variable_Tariff*(1+Tariff_Escalation)^MAX(0,D6-Construction_Yrs-1)*D7</f>
        <v>0</v>
      </c>
      <c r="E17" s="51" t="n">
        <f aca="false">Variable_Tariff*(1+Tariff_Escalation)^MAX(0,E6-Construction_Yrs-1)*E7</f>
        <v>0</v>
      </c>
      <c r="F17" s="51" t="n">
        <f aca="false">Variable_Tariff*(1+Tariff_Escalation)^MAX(0,F6-Construction_Yrs-1)*F7</f>
        <v>0</v>
      </c>
      <c r="G17" s="51" t="n">
        <f aca="false">Variable_Tariff*(1+Tariff_Escalation)^MAX(0,G6-Construction_Yrs-1)*G7</f>
        <v>0.1</v>
      </c>
      <c r="H17" s="51" t="n">
        <f aca="false">Variable_Tariff*(1+Tariff_Escalation)^MAX(0,H6-Construction_Yrs-1)*H7</f>
        <v>0.1025</v>
      </c>
      <c r="I17" s="51" t="n">
        <f aca="false">Variable_Tariff*(1+Tariff_Escalation)^MAX(0,I6-Construction_Yrs-1)*I7</f>
        <v>0.1050625</v>
      </c>
      <c r="J17" s="51" t="n">
        <f aca="false">Variable_Tariff*(1+Tariff_Escalation)^MAX(0,J6-Construction_Yrs-1)*J7</f>
        <v>0.1076890625</v>
      </c>
      <c r="K17" s="51" t="n">
        <f aca="false">Variable_Tariff*(1+Tariff_Escalation)^MAX(0,K6-Construction_Yrs-1)*K7</f>
        <v>0.1103812890625</v>
      </c>
      <c r="L17" s="51" t="n">
        <f aca="false">Variable_Tariff*(1+Tariff_Escalation)^MAX(0,L6-Construction_Yrs-1)*L7</f>
        <v>0.113140821289062</v>
      </c>
      <c r="M17" s="51" t="n">
        <f aca="false">Variable_Tariff*(1+Tariff_Escalation)^MAX(0,M6-Construction_Yrs-1)*M7</f>
        <v>0.115969341821289</v>
      </c>
      <c r="N17" s="51" t="n">
        <f aca="false">Variable_Tariff*(1+Tariff_Escalation)^MAX(0,N6-Construction_Yrs-1)*N7</f>
        <v>0.118868575366821</v>
      </c>
      <c r="O17" s="51" t="n">
        <f aca="false">Variable_Tariff*(1+Tariff_Escalation)^MAX(0,O6-Construction_Yrs-1)*O7</f>
        <v>0.121840289750992</v>
      </c>
      <c r="P17" s="51" t="n">
        <f aca="false">Variable_Tariff*(1+Tariff_Escalation)^MAX(0,P6-Construction_Yrs-1)*P7</f>
        <v>0.124886296994767</v>
      </c>
      <c r="Q17" s="51" t="n">
        <f aca="false">Variable_Tariff*(1+Tariff_Escalation)^MAX(0,Q6-Construction_Yrs-1)*Q7</f>
        <v>0.128008454419636</v>
      </c>
      <c r="R17" s="51" t="n">
        <f aca="false">Variable_Tariff*(1+Tariff_Escalation)^MAX(0,R6-Construction_Yrs-1)*R7</f>
        <v>0.131208665780127</v>
      </c>
      <c r="S17" s="51" t="n">
        <f aca="false">Variable_Tariff*(1+Tariff_Escalation)^MAX(0,S6-Construction_Yrs-1)*S7</f>
        <v>0.13448888242463</v>
      </c>
      <c r="T17" s="51" t="n">
        <f aca="false">Variable_Tariff*(1+Tariff_Escalation)^MAX(0,T6-Construction_Yrs-1)*T7</f>
        <v>0.137851104485245</v>
      </c>
      <c r="U17" s="51" t="n">
        <f aca="false">Variable_Tariff*(1+Tariff_Escalation)^MAX(0,U6-Construction_Yrs-1)*U7</f>
        <v>0.141297382097377</v>
      </c>
      <c r="V17" s="51" t="n">
        <f aca="false">Variable_Tariff*(1+Tariff_Escalation)^MAX(0,V6-Construction_Yrs-1)*V7</f>
        <v>0.144829816649811</v>
      </c>
      <c r="W17" s="51" t="n">
        <f aca="false">Variable_Tariff*(1+Tariff_Escalation)^MAX(0,W6-Construction_Yrs-1)*W7</f>
        <v>0.148450562066056</v>
      </c>
      <c r="X17" s="51" t="n">
        <f aca="false">Variable_Tariff*(1+Tariff_Escalation)^MAX(0,X6-Construction_Yrs-1)*X7</f>
        <v>0.152161826117708</v>
      </c>
      <c r="Y17" s="51" t="n">
        <f aca="false">Variable_Tariff*(1+Tariff_Escalation)^MAX(0,Y6-Construction_Yrs-1)*Y7</f>
        <v>0.15596587177065</v>
      </c>
      <c r="Z17" s="51" t="n">
        <f aca="false">Variable_Tariff*(1+Tariff_Escalation)^MAX(0,Z6-Construction_Yrs-1)*Z7</f>
        <v>0.159865018564917</v>
      </c>
      <c r="AA17" s="51" t="n">
        <f aca="false">Variable_Tariff*(1+Tariff_Escalation)^MAX(0,AA6-Construction_Yrs-1)*AA7</f>
        <v>0.163861644029039</v>
      </c>
    </row>
    <row r="18" customFormat="false" ht="15" hidden="false" customHeight="false" outlineLevel="0" collapsed="false">
      <c r="A18" s="5"/>
      <c r="B18" s="52" t="s">
        <v>209</v>
      </c>
      <c r="C18" s="53" t="n">
        <f aca="false">C16*C17</f>
        <v>0</v>
      </c>
      <c r="D18" s="53" t="n">
        <f aca="false">D16*D17</f>
        <v>0</v>
      </c>
      <c r="E18" s="53" t="n">
        <f aca="false">E16*E17</f>
        <v>0</v>
      </c>
      <c r="F18" s="53" t="n">
        <f aca="false">F16*F17</f>
        <v>0</v>
      </c>
      <c r="G18" s="53" t="n">
        <f aca="false">G16*G17</f>
        <v>35</v>
      </c>
      <c r="H18" s="53" t="n">
        <f aca="false">H16*H17</f>
        <v>41.5125</v>
      </c>
      <c r="I18" s="53" t="n">
        <f aca="false">I16*I17</f>
        <v>48.32875</v>
      </c>
      <c r="J18" s="53" t="n">
        <f aca="false">J16*J17</f>
        <v>49.53696875</v>
      </c>
      <c r="K18" s="53" t="n">
        <f aca="false">K16*K17</f>
        <v>50.77539296875</v>
      </c>
      <c r="L18" s="53" t="n">
        <f aca="false">L16*L17</f>
        <v>52.0447777929687</v>
      </c>
      <c r="M18" s="53" t="n">
        <f aca="false">M16*M17</f>
        <v>53.3458972377929</v>
      </c>
      <c r="N18" s="53" t="n">
        <f aca="false">N16*N17</f>
        <v>54.6795446687378</v>
      </c>
      <c r="O18" s="53" t="n">
        <f aca="false">O16*O17</f>
        <v>56.0465332854562</v>
      </c>
      <c r="P18" s="53" t="n">
        <f aca="false">P16*P17</f>
        <v>57.4476966175926</v>
      </c>
      <c r="Q18" s="53" t="n">
        <f aca="false">Q16*Q17</f>
        <v>58.8838890330324</v>
      </c>
      <c r="R18" s="53" t="n">
        <f aca="false">R16*R17</f>
        <v>60.3559862588582</v>
      </c>
      <c r="S18" s="53" t="n">
        <f aca="false">S16*S17</f>
        <v>61.8648859153297</v>
      </c>
      <c r="T18" s="53" t="n">
        <f aca="false">T16*T17</f>
        <v>63.4115080632129</v>
      </c>
      <c r="U18" s="53" t="n">
        <f aca="false">U16*U17</f>
        <v>64.9967957647932</v>
      </c>
      <c r="V18" s="53" t="n">
        <f aca="false">V16*V17</f>
        <v>66.621715658913</v>
      </c>
      <c r="W18" s="53" t="n">
        <f aca="false">W16*W17</f>
        <v>68.2872585503859</v>
      </c>
      <c r="X18" s="53" t="n">
        <f aca="false">X16*X17</f>
        <v>69.9944400141455</v>
      </c>
      <c r="Y18" s="53" t="n">
        <f aca="false">Y16*Y17</f>
        <v>71.7443010144991</v>
      </c>
      <c r="Z18" s="53" t="n">
        <f aca="false">Z16*Z17</f>
        <v>73.5379085398616</v>
      </c>
      <c r="AA18" s="53" t="n">
        <f aca="false">AA16*AA17</f>
        <v>75.3763562533581</v>
      </c>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row>
    <row r="20" customFormat="false" ht="15" hidden="false" customHeight="false" outlineLevel="0" collapsed="false">
      <c r="A20" s="5"/>
      <c r="B20" s="44" t="s">
        <v>210</v>
      </c>
      <c r="C20" s="45"/>
      <c r="D20" s="45"/>
      <c r="E20" s="45"/>
      <c r="F20" s="45"/>
      <c r="G20" s="45"/>
      <c r="H20" s="45"/>
      <c r="I20" s="45"/>
      <c r="J20" s="45"/>
      <c r="K20" s="45"/>
      <c r="L20" s="45"/>
      <c r="M20" s="45"/>
      <c r="N20" s="45"/>
      <c r="O20" s="45"/>
      <c r="P20" s="45"/>
      <c r="Q20" s="45"/>
      <c r="R20" s="45"/>
      <c r="S20" s="45"/>
      <c r="T20" s="45"/>
      <c r="U20" s="45"/>
      <c r="V20" s="45"/>
      <c r="W20" s="45"/>
      <c r="X20" s="45"/>
      <c r="Y20" s="45"/>
      <c r="Z20" s="45"/>
      <c r="AA20" s="45"/>
    </row>
    <row r="21" customFormat="false" ht="15" hidden="false" customHeight="false" outlineLevel="0" collapsed="false">
      <c r="A21" s="5"/>
      <c r="B21" s="46" t="s">
        <v>211</v>
      </c>
      <c r="C21" s="47" t="n">
        <f aca="false">IF(C7=0,0,Ship_Calls_Yr*(C15/Util_SS)*Berthing_Fee*(1+Ancillary_Escalation)^MAX(0,C6-Construction_Yrs-1)/1000000)</f>
        <v>0</v>
      </c>
      <c r="D21" s="47" t="n">
        <f aca="false">IF(D7=0,0,Ship_Calls_Yr*(D15/Util_SS)*Berthing_Fee*(1+Ancillary_Escalation)^MAX(0,D6-Construction_Yrs-1)/1000000)</f>
        <v>0</v>
      </c>
      <c r="E21" s="47" t="n">
        <f aca="false">IF(E7=0,0,Ship_Calls_Yr*(E15/Util_SS)*Berthing_Fee*(1+Ancillary_Escalation)^MAX(0,E6-Construction_Yrs-1)/1000000)</f>
        <v>0</v>
      </c>
      <c r="F21" s="47" t="n">
        <f aca="false">IF(F7=0,0,Ship_Calls_Yr*(F15/Util_SS)*Berthing_Fee*(1+Ancillary_Escalation)^MAX(0,F6-Construction_Yrs-1)/1000000)</f>
        <v>0</v>
      </c>
      <c r="G21" s="47" t="n">
        <f aca="false">IF(G7=0,0,Ship_Calls_Yr*(G15/Util_SS)*Berthing_Fee*(1+Ancillary_Escalation)^MAX(0,G6-Construction_Yrs-1)/1000000)</f>
        <v>6.84782608695652</v>
      </c>
      <c r="H21" s="47" t="n">
        <f aca="false">IF(H7=0,0,Ship_Calls_Yr*(H15/Util_SS)*Berthing_Fee*(1+Ancillary_Escalation)^MAX(0,H6-Construction_Yrs-1)/1000000)</f>
        <v>8.08239130434783</v>
      </c>
      <c r="I21" s="47" t="n">
        <f aca="false">IF(I7=0,0,Ship_Calls_Yr*(I15/Util_SS)*Berthing_Fee*(1+Ancillary_Escalation)^MAX(0,I6-Construction_Yrs-1)/1000000)</f>
        <v>9.3636</v>
      </c>
      <c r="J21" s="47" t="n">
        <f aca="false">IF(J7=0,0,Ship_Calls_Yr*(J15/Util_SS)*Berthing_Fee*(1+Ancillary_Escalation)^MAX(0,J6-Construction_Yrs-1)/1000000)</f>
        <v>9.550872</v>
      </c>
      <c r="K21" s="47" t="n">
        <f aca="false">IF(K7=0,0,Ship_Calls_Yr*(K15/Util_SS)*Berthing_Fee*(1+Ancillary_Escalation)^MAX(0,K6-Construction_Yrs-1)/1000000)</f>
        <v>9.74188944</v>
      </c>
      <c r="L21" s="47" t="n">
        <f aca="false">IF(L7=0,0,Ship_Calls_Yr*(L15/Util_SS)*Berthing_Fee*(1+Ancillary_Escalation)^MAX(0,L6-Construction_Yrs-1)/1000000)</f>
        <v>9.9367272288</v>
      </c>
      <c r="M21" s="47" t="n">
        <f aca="false">IF(M7=0,0,Ship_Calls_Yr*(M15/Util_SS)*Berthing_Fee*(1+Ancillary_Escalation)^MAX(0,M6-Construction_Yrs-1)/1000000)</f>
        <v>10.135461773376</v>
      </c>
      <c r="N21" s="47" t="n">
        <f aca="false">IF(N7=0,0,Ship_Calls_Yr*(N15/Util_SS)*Berthing_Fee*(1+Ancillary_Escalation)^MAX(0,N6-Construction_Yrs-1)/1000000)</f>
        <v>10.3381710088435</v>
      </c>
      <c r="O21" s="47" t="n">
        <f aca="false">IF(O7=0,0,Ship_Calls_Yr*(O15/Util_SS)*Berthing_Fee*(1+Ancillary_Escalation)^MAX(0,O6-Construction_Yrs-1)/1000000)</f>
        <v>10.5449344290204</v>
      </c>
      <c r="P21" s="47" t="n">
        <f aca="false">IF(P7=0,0,Ship_Calls_Yr*(P15/Util_SS)*Berthing_Fee*(1+Ancillary_Escalation)^MAX(0,P6-Construction_Yrs-1)/1000000)</f>
        <v>10.7558331176008</v>
      </c>
      <c r="Q21" s="47" t="n">
        <f aca="false">IF(Q7=0,0,Ship_Calls_Yr*(Q15/Util_SS)*Berthing_Fee*(1+Ancillary_Escalation)^MAX(0,Q6-Construction_Yrs-1)/1000000)</f>
        <v>10.9709497799528</v>
      </c>
      <c r="R21" s="47" t="n">
        <f aca="false">IF(R7=0,0,Ship_Calls_Yr*(R15/Util_SS)*Berthing_Fee*(1+Ancillary_Escalation)^MAX(0,R6-Construction_Yrs-1)/1000000)</f>
        <v>11.1903687755519</v>
      </c>
      <c r="S21" s="47" t="n">
        <f aca="false">IF(S7=0,0,Ship_Calls_Yr*(S15/Util_SS)*Berthing_Fee*(1+Ancillary_Escalation)^MAX(0,S6-Construction_Yrs-1)/1000000)</f>
        <v>11.4141761510629</v>
      </c>
      <c r="T21" s="47" t="n">
        <f aca="false">IF(T7=0,0,Ship_Calls_Yr*(T15/Util_SS)*Berthing_Fee*(1+Ancillary_Escalation)^MAX(0,T6-Construction_Yrs-1)/1000000)</f>
        <v>11.6424596740842</v>
      </c>
      <c r="U21" s="47" t="n">
        <f aca="false">IF(U7=0,0,Ship_Calls_Yr*(U15/Util_SS)*Berthing_Fee*(1+Ancillary_Escalation)^MAX(0,U6-Construction_Yrs-1)/1000000)</f>
        <v>11.8753088675659</v>
      </c>
      <c r="V21" s="47" t="n">
        <f aca="false">IF(V7=0,0,Ship_Calls_Yr*(V15/Util_SS)*Berthing_Fee*(1+Ancillary_Escalation)^MAX(0,V6-Construction_Yrs-1)/1000000)</f>
        <v>12.1128150449172</v>
      </c>
      <c r="W21" s="47" t="n">
        <f aca="false">IF(W7=0,0,Ship_Calls_Yr*(W15/Util_SS)*Berthing_Fee*(1+Ancillary_Escalation)^MAX(0,W6-Construction_Yrs-1)/1000000)</f>
        <v>12.3550713458155</v>
      </c>
      <c r="X21" s="47" t="n">
        <f aca="false">IF(X7=0,0,Ship_Calls_Yr*(X15/Util_SS)*Berthing_Fee*(1+Ancillary_Escalation)^MAX(0,X6-Construction_Yrs-1)/1000000)</f>
        <v>12.6021727727318</v>
      </c>
      <c r="Y21" s="47" t="n">
        <f aca="false">IF(Y7=0,0,Ship_Calls_Yr*(Y15/Util_SS)*Berthing_Fee*(1+Ancillary_Escalation)^MAX(0,Y6-Construction_Yrs-1)/1000000)</f>
        <v>12.8542162281865</v>
      </c>
      <c r="Z21" s="47" t="n">
        <f aca="false">IF(Z7=0,0,Ship_Calls_Yr*(Z15/Util_SS)*Berthing_Fee*(1+Ancillary_Escalation)^MAX(0,Z6-Construction_Yrs-1)/1000000)</f>
        <v>13.1113005527502</v>
      </c>
      <c r="AA21" s="47" t="n">
        <f aca="false">IF(AA7=0,0,Ship_Calls_Yr*(AA15/Util_SS)*Berthing_Fee*(1+Ancillary_Escalation)^MAX(0,AA6-Construction_Yrs-1)/1000000)</f>
        <v>13.3735265638052</v>
      </c>
    </row>
    <row r="22" customFormat="false" ht="15" hidden="false" customHeight="false" outlineLevel="0" collapsed="false">
      <c r="A22" s="5"/>
      <c r="B22" s="52" t="s">
        <v>212</v>
      </c>
      <c r="C22" s="53" t="n">
        <f aca="false">C21</f>
        <v>0</v>
      </c>
      <c r="D22" s="53" t="n">
        <f aca="false">D21</f>
        <v>0</v>
      </c>
      <c r="E22" s="53" t="n">
        <f aca="false">E21</f>
        <v>0</v>
      </c>
      <c r="F22" s="53" t="n">
        <f aca="false">F21</f>
        <v>0</v>
      </c>
      <c r="G22" s="53" t="n">
        <f aca="false">G21</f>
        <v>6.84782608695652</v>
      </c>
      <c r="H22" s="53" t="n">
        <f aca="false">H21</f>
        <v>8.08239130434783</v>
      </c>
      <c r="I22" s="53" t="n">
        <f aca="false">I21</f>
        <v>9.3636</v>
      </c>
      <c r="J22" s="53" t="n">
        <f aca="false">J21</f>
        <v>9.550872</v>
      </c>
      <c r="K22" s="53" t="n">
        <f aca="false">K21</f>
        <v>9.74188944</v>
      </c>
      <c r="L22" s="53" t="n">
        <f aca="false">L21</f>
        <v>9.9367272288</v>
      </c>
      <c r="M22" s="53" t="n">
        <f aca="false">M21</f>
        <v>10.135461773376</v>
      </c>
      <c r="N22" s="53" t="n">
        <f aca="false">N21</f>
        <v>10.3381710088435</v>
      </c>
      <c r="O22" s="53" t="n">
        <f aca="false">O21</f>
        <v>10.5449344290204</v>
      </c>
      <c r="P22" s="53" t="n">
        <f aca="false">P21</f>
        <v>10.7558331176008</v>
      </c>
      <c r="Q22" s="53" t="n">
        <f aca="false">Q21</f>
        <v>10.9709497799528</v>
      </c>
      <c r="R22" s="53" t="n">
        <f aca="false">R21</f>
        <v>11.1903687755519</v>
      </c>
      <c r="S22" s="53" t="n">
        <f aca="false">S21</f>
        <v>11.4141761510629</v>
      </c>
      <c r="T22" s="53" t="n">
        <f aca="false">T21</f>
        <v>11.6424596740842</v>
      </c>
      <c r="U22" s="53" t="n">
        <f aca="false">U21</f>
        <v>11.8753088675659</v>
      </c>
      <c r="V22" s="53" t="n">
        <f aca="false">V21</f>
        <v>12.1128150449172</v>
      </c>
      <c r="W22" s="53" t="n">
        <f aca="false">W21</f>
        <v>12.3550713458155</v>
      </c>
      <c r="X22" s="53" t="n">
        <f aca="false">X21</f>
        <v>12.6021727727318</v>
      </c>
      <c r="Y22" s="53" t="n">
        <f aca="false">Y21</f>
        <v>12.8542162281865</v>
      </c>
      <c r="Z22" s="53" t="n">
        <f aca="false">Z21</f>
        <v>13.1113005527502</v>
      </c>
      <c r="AA22" s="53" t="n">
        <f aca="false">AA21</f>
        <v>13.3735265638052</v>
      </c>
    </row>
    <row r="23" customFormat="false" ht="15" hidden="false" customHeight="false" outlineLevel="0" collapsed="false">
      <c r="A23" s="5"/>
      <c r="B23" s="5"/>
      <c r="C23" s="5"/>
      <c r="D23" s="5"/>
      <c r="E23" s="5"/>
      <c r="F23" s="5"/>
      <c r="G23" s="5"/>
      <c r="H23" s="5"/>
      <c r="I23" s="5"/>
      <c r="J23" s="5"/>
      <c r="K23" s="5"/>
      <c r="L23" s="5"/>
      <c r="M23" s="5"/>
      <c r="N23" s="5"/>
      <c r="O23" s="5"/>
      <c r="P23" s="5"/>
      <c r="Q23" s="5"/>
      <c r="R23" s="5"/>
      <c r="S23" s="5"/>
      <c r="T23" s="5"/>
      <c r="U23" s="5"/>
      <c r="V23" s="5"/>
      <c r="W23" s="5"/>
      <c r="X23" s="5"/>
      <c r="Y23" s="5"/>
      <c r="Z23" s="5"/>
      <c r="AA23" s="5"/>
    </row>
    <row r="24" customFormat="false" ht="15" hidden="false" customHeight="false" outlineLevel="0" collapsed="false">
      <c r="A24" s="5"/>
      <c r="B24" s="37" t="s">
        <v>213</v>
      </c>
      <c r="C24" s="48" t="n">
        <f aca="false">C12+C18+C22</f>
        <v>0</v>
      </c>
      <c r="D24" s="48" t="n">
        <f aca="false">D12+D18+D22</f>
        <v>0</v>
      </c>
      <c r="E24" s="48" t="n">
        <f aca="false">E12+E18+E22</f>
        <v>0</v>
      </c>
      <c r="F24" s="48" t="n">
        <f aca="false">F12+F18+F22</f>
        <v>0</v>
      </c>
      <c r="G24" s="48" t="n">
        <f aca="false">G12+G18+G22</f>
        <v>403.097826086957</v>
      </c>
      <c r="H24" s="48" t="n">
        <f aca="false">H12+H18+H22</f>
        <v>419.876141304348</v>
      </c>
      <c r="I24" s="48" t="n">
        <f aca="false">I12+I18+I22</f>
        <v>437.23063125</v>
      </c>
      <c r="J24" s="48" t="n">
        <f aca="false">J12+J18+J22</f>
        <v>448.11457903125</v>
      </c>
      <c r="K24" s="48" t="n">
        <f aca="false">K12+K18+K22</f>
        <v>459.269689147031</v>
      </c>
      <c r="L24" s="48" t="n">
        <f aca="false">L12+L18+L22</f>
        <v>470.702721928507</v>
      </c>
      <c r="M24" s="48" t="n">
        <f aca="false">M12+M18+M22</f>
        <v>482.420606340575</v>
      </c>
      <c r="N24" s="48" t="n">
        <f aca="false">N12+N18+N22</f>
        <v>494.430444190223</v>
      </c>
      <c r="O24" s="48" t="n">
        <f aca="false">O12+O18+O22</f>
        <v>506.739514439934</v>
      </c>
      <c r="P24" s="48" t="n">
        <f aca="false">P12+P18+P22</f>
        <v>519.355277628788</v>
      </c>
      <c r="Q24" s="48" t="n">
        <f aca="false">Q12+Q18+Q22</f>
        <v>532.285380403919</v>
      </c>
      <c r="R24" s="48" t="n">
        <f aca="false">R12+R18+R22</f>
        <v>545.537660165117</v>
      </c>
      <c r="S24" s="48" t="n">
        <f aca="false">S12+S18+S22</f>
        <v>559.120149825367</v>
      </c>
      <c r="T24" s="48" t="n">
        <f aca="false">T12+T18+T22</f>
        <v>573.041082690246</v>
      </c>
      <c r="U24" s="48" t="n">
        <f aca="false">U12+U18+U22</f>
        <v>587.308897459132</v>
      </c>
      <c r="V24" s="48" t="n">
        <f aca="false">V12+V18+V22</f>
        <v>601.932243351272</v>
      </c>
      <c r="W24" s="48" t="n">
        <f aca="false">W12+W18+W22</f>
        <v>616.91998535983</v>
      </c>
      <c r="X24" s="48" t="n">
        <f aca="false">X12+X18+X22</f>
        <v>632.281209637096</v>
      </c>
      <c r="Y24" s="48" t="n">
        <f aca="false">Y12+Y18+Y22</f>
        <v>648.02522901416</v>
      </c>
      <c r="Z24" s="48" t="n">
        <f aca="false">Z12+Z18+Z22</f>
        <v>664.161588658373</v>
      </c>
      <c r="AA24" s="48" t="n">
        <f aca="false">AA12+AA18+AA22</f>
        <v>680.700071872068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A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2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row>
    <row r="2" customFormat="false" ht="22.05" hidden="false" customHeight="false" outlineLevel="0" collapsed="false">
      <c r="A2" s="5"/>
      <c r="B2" s="28" t="s">
        <v>132</v>
      </c>
      <c r="C2" s="5"/>
      <c r="D2" s="5"/>
      <c r="E2" s="5"/>
      <c r="F2" s="5"/>
      <c r="G2" s="5"/>
      <c r="H2" s="5"/>
      <c r="I2" s="5"/>
      <c r="J2" s="5"/>
      <c r="K2" s="5"/>
      <c r="L2" s="5"/>
      <c r="M2" s="5"/>
      <c r="N2" s="5"/>
      <c r="O2" s="5"/>
      <c r="P2" s="5"/>
      <c r="Q2" s="5"/>
      <c r="R2" s="5"/>
      <c r="S2" s="5"/>
      <c r="T2" s="5"/>
      <c r="U2" s="5"/>
      <c r="V2" s="5"/>
      <c r="W2" s="5"/>
      <c r="X2" s="5"/>
      <c r="Y2" s="5"/>
      <c r="Z2" s="5"/>
      <c r="AA2" s="5"/>
    </row>
    <row r="3" customFormat="false" ht="15" hidden="false" customHeight="false" outlineLevel="0" collapsed="false">
      <c r="A3" s="5"/>
      <c r="B3" s="29" t="s">
        <v>214</v>
      </c>
      <c r="C3" s="5"/>
      <c r="D3" s="5"/>
      <c r="E3" s="5"/>
      <c r="F3" s="5"/>
      <c r="G3" s="5"/>
      <c r="H3" s="5"/>
      <c r="I3" s="5"/>
      <c r="J3" s="5"/>
      <c r="K3" s="5"/>
      <c r="L3" s="5"/>
      <c r="M3" s="5"/>
      <c r="N3" s="5"/>
      <c r="O3" s="5"/>
      <c r="P3" s="5"/>
      <c r="Q3" s="5"/>
      <c r="R3" s="5"/>
      <c r="S3" s="5"/>
      <c r="T3" s="5"/>
      <c r="U3" s="5"/>
      <c r="V3" s="5"/>
      <c r="W3" s="5"/>
      <c r="X3" s="5"/>
      <c r="Y3" s="5"/>
      <c r="Z3" s="5"/>
      <c r="AA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row>
    <row r="5" customFormat="false" ht="15" hidden="false" customHeight="false" outlineLevel="0" collapsed="false">
      <c r="A5" s="5"/>
      <c r="B5" s="41" t="s">
        <v>66</v>
      </c>
      <c r="C5" s="42" t="n">
        <f aca="false">Base_Year+0</f>
        <v>2025</v>
      </c>
      <c r="D5" s="42" t="n">
        <f aca="false">Base_Year+1</f>
        <v>2026</v>
      </c>
      <c r="E5" s="42" t="n">
        <f aca="false">Base_Year+2</f>
        <v>2027</v>
      </c>
      <c r="F5" s="42" t="n">
        <f aca="false">Base_Year+3</f>
        <v>2028</v>
      </c>
      <c r="G5" s="42" t="n">
        <f aca="false">Base_Year+4</f>
        <v>2029</v>
      </c>
      <c r="H5" s="42" t="n">
        <f aca="false">Base_Year+5</f>
        <v>2030</v>
      </c>
      <c r="I5" s="42" t="n">
        <f aca="false">Base_Year+6</f>
        <v>2031</v>
      </c>
      <c r="J5" s="42" t="n">
        <f aca="false">Base_Year+7</f>
        <v>2032</v>
      </c>
      <c r="K5" s="42" t="n">
        <f aca="false">Base_Year+8</f>
        <v>2033</v>
      </c>
      <c r="L5" s="42" t="n">
        <f aca="false">Base_Year+9</f>
        <v>2034</v>
      </c>
      <c r="M5" s="42" t="n">
        <f aca="false">Base_Year+10</f>
        <v>2035</v>
      </c>
      <c r="N5" s="42" t="n">
        <f aca="false">Base_Year+11</f>
        <v>2036</v>
      </c>
      <c r="O5" s="42" t="n">
        <f aca="false">Base_Year+12</f>
        <v>2037</v>
      </c>
      <c r="P5" s="42" t="n">
        <f aca="false">Base_Year+13</f>
        <v>2038</v>
      </c>
      <c r="Q5" s="42" t="n">
        <f aca="false">Base_Year+14</f>
        <v>2039</v>
      </c>
      <c r="R5" s="42" t="n">
        <f aca="false">Base_Year+15</f>
        <v>2040</v>
      </c>
      <c r="S5" s="42" t="n">
        <f aca="false">Base_Year+16</f>
        <v>2041</v>
      </c>
      <c r="T5" s="42" t="n">
        <f aca="false">Base_Year+17</f>
        <v>2042</v>
      </c>
      <c r="U5" s="42" t="n">
        <f aca="false">Base_Year+18</f>
        <v>2043</v>
      </c>
      <c r="V5" s="42" t="n">
        <f aca="false">Base_Year+19</f>
        <v>2044</v>
      </c>
      <c r="W5" s="42" t="n">
        <f aca="false">Base_Year+20</f>
        <v>2045</v>
      </c>
      <c r="X5" s="42" t="n">
        <f aca="false">Base_Year+21</f>
        <v>2046</v>
      </c>
      <c r="Y5" s="42" t="n">
        <f aca="false">Base_Year+22</f>
        <v>2047</v>
      </c>
      <c r="Z5" s="42" t="n">
        <f aca="false">Base_Year+23</f>
        <v>2048</v>
      </c>
      <c r="AA5" s="42" t="n">
        <f aca="false">Base_Year+24</f>
        <v>2049</v>
      </c>
    </row>
    <row r="6" customFormat="false" ht="15" hidden="false" customHeight="false" outlineLevel="0" collapsed="false">
      <c r="A6" s="5"/>
      <c r="B6" s="8" t="s">
        <v>192</v>
      </c>
      <c r="C6" s="43" t="n">
        <f aca="false">COLUMN(C1)-2</f>
        <v>1</v>
      </c>
      <c r="D6" s="43" t="n">
        <f aca="false">COLUMN(D1)-2</f>
        <v>2</v>
      </c>
      <c r="E6" s="43" t="n">
        <f aca="false">COLUMN(E1)-2</f>
        <v>3</v>
      </c>
      <c r="F6" s="43" t="n">
        <f aca="false">COLUMN(F1)-2</f>
        <v>4</v>
      </c>
      <c r="G6" s="43" t="n">
        <f aca="false">COLUMN(G1)-2</f>
        <v>5</v>
      </c>
      <c r="H6" s="43" t="n">
        <f aca="false">COLUMN(H1)-2</f>
        <v>6</v>
      </c>
      <c r="I6" s="43" t="n">
        <f aca="false">COLUMN(I1)-2</f>
        <v>7</v>
      </c>
      <c r="J6" s="43" t="n">
        <f aca="false">COLUMN(J1)-2</f>
        <v>8</v>
      </c>
      <c r="K6" s="43" t="n">
        <f aca="false">COLUMN(K1)-2</f>
        <v>9</v>
      </c>
      <c r="L6" s="43" t="n">
        <f aca="false">COLUMN(L1)-2</f>
        <v>10</v>
      </c>
      <c r="M6" s="43" t="n">
        <f aca="false">COLUMN(M1)-2</f>
        <v>11</v>
      </c>
      <c r="N6" s="43" t="n">
        <f aca="false">COLUMN(N1)-2</f>
        <v>12</v>
      </c>
      <c r="O6" s="43" t="n">
        <f aca="false">COLUMN(O1)-2</f>
        <v>13</v>
      </c>
      <c r="P6" s="43" t="n">
        <f aca="false">COLUMN(P1)-2</f>
        <v>14</v>
      </c>
      <c r="Q6" s="43" t="n">
        <f aca="false">COLUMN(Q1)-2</f>
        <v>15</v>
      </c>
      <c r="R6" s="43" t="n">
        <f aca="false">COLUMN(R1)-2</f>
        <v>16</v>
      </c>
      <c r="S6" s="43" t="n">
        <f aca="false">COLUMN(S1)-2</f>
        <v>17</v>
      </c>
      <c r="T6" s="43" t="n">
        <f aca="false">COLUMN(T1)-2</f>
        <v>18</v>
      </c>
      <c r="U6" s="43" t="n">
        <f aca="false">COLUMN(U1)-2</f>
        <v>19</v>
      </c>
      <c r="V6" s="43" t="n">
        <f aca="false">COLUMN(V1)-2</f>
        <v>20</v>
      </c>
      <c r="W6" s="43" t="n">
        <f aca="false">COLUMN(W1)-2</f>
        <v>21</v>
      </c>
      <c r="X6" s="43" t="n">
        <f aca="false">COLUMN(X1)-2</f>
        <v>22</v>
      </c>
      <c r="Y6" s="43" t="n">
        <f aca="false">COLUMN(Y1)-2</f>
        <v>23</v>
      </c>
      <c r="Z6" s="43" t="n">
        <f aca="false">COLUMN(Z1)-2</f>
        <v>24</v>
      </c>
      <c r="AA6" s="43" t="n">
        <f aca="false">COLUMN(AA1)-2</f>
        <v>25</v>
      </c>
    </row>
    <row r="7" customFormat="false" ht="15" hidden="false" customHeight="false" outlineLevel="0" collapsed="false">
      <c r="A7" s="5"/>
      <c r="B7" s="8" t="s">
        <v>203</v>
      </c>
      <c r="C7" s="50" t="n">
        <f aca="false">IF(C6&gt;=Construction_Yrs+1,1,0)</f>
        <v>0</v>
      </c>
      <c r="D7" s="50" t="n">
        <f aca="false">IF(D6&gt;=Construction_Yrs+1,1,0)</f>
        <v>0</v>
      </c>
      <c r="E7" s="50" t="n">
        <f aca="false">IF(E6&gt;=Construction_Yrs+1,1,0)</f>
        <v>0</v>
      </c>
      <c r="F7" s="50" t="n">
        <f aca="false">IF(F6&gt;=Construction_Yrs+1,1,0)</f>
        <v>0</v>
      </c>
      <c r="G7" s="50" t="n">
        <f aca="false">IF(G6&gt;=Construction_Yrs+1,1,0)</f>
        <v>1</v>
      </c>
      <c r="H7" s="50" t="n">
        <f aca="false">IF(H6&gt;=Construction_Yrs+1,1,0)</f>
        <v>1</v>
      </c>
      <c r="I7" s="50" t="n">
        <f aca="false">IF(I6&gt;=Construction_Yrs+1,1,0)</f>
        <v>1</v>
      </c>
      <c r="J7" s="50" t="n">
        <f aca="false">IF(J6&gt;=Construction_Yrs+1,1,0)</f>
        <v>1</v>
      </c>
      <c r="K7" s="50" t="n">
        <f aca="false">IF(K6&gt;=Construction_Yrs+1,1,0)</f>
        <v>1</v>
      </c>
      <c r="L7" s="50" t="n">
        <f aca="false">IF(L6&gt;=Construction_Yrs+1,1,0)</f>
        <v>1</v>
      </c>
      <c r="M7" s="50" t="n">
        <f aca="false">IF(M6&gt;=Construction_Yrs+1,1,0)</f>
        <v>1</v>
      </c>
      <c r="N7" s="50" t="n">
        <f aca="false">IF(N6&gt;=Construction_Yrs+1,1,0)</f>
        <v>1</v>
      </c>
      <c r="O7" s="50" t="n">
        <f aca="false">IF(O6&gt;=Construction_Yrs+1,1,0)</f>
        <v>1</v>
      </c>
      <c r="P7" s="50" t="n">
        <f aca="false">IF(P6&gt;=Construction_Yrs+1,1,0)</f>
        <v>1</v>
      </c>
      <c r="Q7" s="50" t="n">
        <f aca="false">IF(Q6&gt;=Construction_Yrs+1,1,0)</f>
        <v>1</v>
      </c>
      <c r="R7" s="50" t="n">
        <f aca="false">IF(R6&gt;=Construction_Yrs+1,1,0)</f>
        <v>1</v>
      </c>
      <c r="S7" s="50" t="n">
        <f aca="false">IF(S6&gt;=Construction_Yrs+1,1,0)</f>
        <v>1</v>
      </c>
      <c r="T7" s="50" t="n">
        <f aca="false">IF(T6&gt;=Construction_Yrs+1,1,0)</f>
        <v>1</v>
      </c>
      <c r="U7" s="50" t="n">
        <f aca="false">IF(U6&gt;=Construction_Yrs+1,1,0)</f>
        <v>1</v>
      </c>
      <c r="V7" s="50" t="n">
        <f aca="false">IF(V6&gt;=Construction_Yrs+1,1,0)</f>
        <v>1</v>
      </c>
      <c r="W7" s="50" t="n">
        <f aca="false">IF(W6&gt;=Construction_Yrs+1,1,0)</f>
        <v>1</v>
      </c>
      <c r="X7" s="50" t="n">
        <f aca="false">IF(X6&gt;=Construction_Yrs+1,1,0)</f>
        <v>1</v>
      </c>
      <c r="Y7" s="50" t="n">
        <f aca="false">IF(Y6&gt;=Construction_Yrs+1,1,0)</f>
        <v>1</v>
      </c>
      <c r="Z7" s="50" t="n">
        <f aca="false">IF(Z6&gt;=Construction_Yrs+1,1,0)</f>
        <v>1</v>
      </c>
      <c r="AA7" s="50" t="n">
        <f aca="false">IF(AA6&gt;=Construction_Yrs+1,1,0)</f>
        <v>1</v>
      </c>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c r="Y8" s="5"/>
      <c r="Z8" s="5"/>
      <c r="AA8" s="5"/>
    </row>
    <row r="9" customFormat="false" ht="15" hidden="false" customHeight="false" outlineLevel="0" collapsed="false">
      <c r="A9" s="5"/>
      <c r="B9" s="44" t="s">
        <v>215</v>
      </c>
      <c r="C9" s="45"/>
      <c r="D9" s="45"/>
      <c r="E9" s="45"/>
      <c r="F9" s="45"/>
      <c r="G9" s="45"/>
      <c r="H9" s="45"/>
      <c r="I9" s="45"/>
      <c r="J9" s="45"/>
      <c r="K9" s="45"/>
      <c r="L9" s="45"/>
      <c r="M9" s="45"/>
      <c r="N9" s="45"/>
      <c r="O9" s="45"/>
      <c r="P9" s="45"/>
      <c r="Q9" s="45"/>
      <c r="R9" s="45"/>
      <c r="S9" s="45"/>
      <c r="T9" s="45"/>
      <c r="U9" s="45"/>
      <c r="V9" s="45"/>
      <c r="W9" s="45"/>
      <c r="X9" s="45"/>
      <c r="Y9" s="45"/>
      <c r="Z9" s="45"/>
      <c r="AA9" s="45"/>
    </row>
    <row r="10" customFormat="false" ht="15" hidden="false" customHeight="false" outlineLevel="0" collapsed="false">
      <c r="A10" s="5"/>
      <c r="B10" s="46" t="s">
        <v>90</v>
      </c>
      <c r="C10" s="47" t="n">
        <f aca="false">REV_Actual_Vol*Gas_Shrinkage*Capacity_Tariff*(1+Tariff_Escalation)^MAX(0,C6-Construction_Yrs-1)*C7</f>
        <v>0</v>
      </c>
      <c r="D10" s="47" t="n">
        <f aca="false">REV_Actual_Vol*Gas_Shrinkage*Capacity_Tariff*(1+Tariff_Escalation)^MAX(0,D6-Construction_Yrs-1)*D7</f>
        <v>0</v>
      </c>
      <c r="E10" s="47" t="n">
        <f aca="false">REV_Actual_Vol*Gas_Shrinkage*Capacity_Tariff*(1+Tariff_Escalation)^MAX(0,E6-Construction_Yrs-1)*E7</f>
        <v>0</v>
      </c>
      <c r="F10" s="47" t="n">
        <f aca="false">REV_Actual_Vol*Gas_Shrinkage*Capacity_Tariff*(1+Tariff_Escalation)^MAX(0,F6-Construction_Yrs-1)*F7</f>
        <v>0</v>
      </c>
      <c r="G10" s="47" t="n">
        <f aca="false">REV_Actual_Vol*Gas_Shrinkage*Capacity_Tariff*(1+Tariff_Escalation)^MAX(0,G6-Construction_Yrs-1)*G7</f>
        <v>5.95</v>
      </c>
      <c r="H10" s="47" t="n">
        <f aca="false">REV_Actual_Vol*Gas_Shrinkage*Capacity_Tariff*(1+Tariff_Escalation)^MAX(0,H6-Construction_Yrs-1)*H7</f>
        <v>7.057125</v>
      </c>
      <c r="I10" s="47" t="n">
        <f aca="false">REV_Actual_Vol*Gas_Shrinkage*Capacity_Tariff*(1+Tariff_Escalation)^MAX(0,I6-Construction_Yrs-1)*I7</f>
        <v>8.2158875</v>
      </c>
      <c r="J10" s="47" t="n">
        <f aca="false">REV_Actual_Vol*Gas_Shrinkage*Capacity_Tariff*(1+Tariff_Escalation)^MAX(0,J6-Construction_Yrs-1)*J7</f>
        <v>8.4212846875</v>
      </c>
      <c r="K10" s="47" t="n">
        <f aca="false">REV_Actual_Vol*Gas_Shrinkage*Capacity_Tariff*(1+Tariff_Escalation)^MAX(0,K6-Construction_Yrs-1)*K7</f>
        <v>8.6318168046875</v>
      </c>
      <c r="L10" s="47" t="n">
        <f aca="false">REV_Actual_Vol*Gas_Shrinkage*Capacity_Tariff*(1+Tariff_Escalation)^MAX(0,L6-Construction_Yrs-1)*L7</f>
        <v>8.84761222480468</v>
      </c>
      <c r="M10" s="47" t="n">
        <f aca="false">REV_Actual_Vol*Gas_Shrinkage*Capacity_Tariff*(1+Tariff_Escalation)^MAX(0,M6-Construction_Yrs-1)*M7</f>
        <v>9.0688025304248</v>
      </c>
      <c r="N10" s="47" t="n">
        <f aca="false">REV_Actual_Vol*Gas_Shrinkage*Capacity_Tariff*(1+Tariff_Escalation)^MAX(0,N6-Construction_Yrs-1)*N7</f>
        <v>9.29552259368542</v>
      </c>
      <c r="O10" s="47" t="n">
        <f aca="false">REV_Actual_Vol*Gas_Shrinkage*Capacity_Tariff*(1+Tariff_Escalation)^MAX(0,O6-Construction_Yrs-1)*O7</f>
        <v>9.52791065852755</v>
      </c>
      <c r="P10" s="47" t="n">
        <f aca="false">REV_Actual_Vol*Gas_Shrinkage*Capacity_Tariff*(1+Tariff_Escalation)^MAX(0,P6-Construction_Yrs-1)*P7</f>
        <v>9.76610842499074</v>
      </c>
      <c r="Q10" s="47" t="n">
        <f aca="false">REV_Actual_Vol*Gas_Shrinkage*Capacity_Tariff*(1+Tariff_Escalation)^MAX(0,Q6-Construction_Yrs-1)*Q7</f>
        <v>10.0102611356155</v>
      </c>
      <c r="R10" s="47" t="n">
        <f aca="false">REV_Actual_Vol*Gas_Shrinkage*Capacity_Tariff*(1+Tariff_Escalation)^MAX(0,R6-Construction_Yrs-1)*R7</f>
        <v>10.2605176640059</v>
      </c>
      <c r="S10" s="47" t="n">
        <f aca="false">REV_Actual_Vol*Gas_Shrinkage*Capacity_Tariff*(1+Tariff_Escalation)^MAX(0,S6-Construction_Yrs-1)*S7</f>
        <v>10.517030605606</v>
      </c>
      <c r="T10" s="47" t="n">
        <f aca="false">REV_Actual_Vol*Gas_Shrinkage*Capacity_Tariff*(1+Tariff_Escalation)^MAX(0,T6-Construction_Yrs-1)*T7</f>
        <v>10.7799563707462</v>
      </c>
      <c r="U10" s="47" t="n">
        <f aca="false">REV_Actual_Vol*Gas_Shrinkage*Capacity_Tariff*(1+Tariff_Escalation)^MAX(0,U6-Construction_Yrs-1)*U7</f>
        <v>11.0494552800148</v>
      </c>
      <c r="V10" s="47" t="n">
        <f aca="false">REV_Actual_Vol*Gas_Shrinkage*Capacity_Tariff*(1+Tariff_Escalation)^MAX(0,V6-Construction_Yrs-1)*V7</f>
        <v>11.3256916620152</v>
      </c>
      <c r="W10" s="47" t="n">
        <f aca="false">REV_Actual_Vol*Gas_Shrinkage*Capacity_Tariff*(1+Tariff_Escalation)^MAX(0,W6-Construction_Yrs-1)*W7</f>
        <v>11.6088339535656</v>
      </c>
      <c r="X10" s="47" t="n">
        <f aca="false">REV_Actual_Vol*Gas_Shrinkage*Capacity_Tariff*(1+Tariff_Escalation)^MAX(0,X6-Construction_Yrs-1)*X7</f>
        <v>11.8990548024047</v>
      </c>
      <c r="Y10" s="47" t="n">
        <f aca="false">REV_Actual_Vol*Gas_Shrinkage*Capacity_Tariff*(1+Tariff_Escalation)^MAX(0,Y6-Construction_Yrs-1)*Y7</f>
        <v>12.1965311724649</v>
      </c>
      <c r="Z10" s="47" t="n">
        <f aca="false">REV_Actual_Vol*Gas_Shrinkage*Capacity_Tariff*(1+Tariff_Escalation)^MAX(0,Z6-Construction_Yrs-1)*Z7</f>
        <v>12.5014444517765</v>
      </c>
      <c r="AA10" s="47" t="n">
        <f aca="false">REV_Actual_Vol*Gas_Shrinkage*Capacity_Tariff*(1+Tariff_Escalation)^MAX(0,AA6-Construction_Yrs-1)*AA7</f>
        <v>12.8139805630709</v>
      </c>
    </row>
    <row r="11" customFormat="false" ht="15" hidden="false" customHeight="false" outlineLevel="0" collapsed="false">
      <c r="A11" s="5"/>
      <c r="B11" s="46" t="s">
        <v>216</v>
      </c>
      <c r="C11" s="47" t="n">
        <f aca="false">REV_Total*0.025*C7</f>
        <v>0</v>
      </c>
      <c r="D11" s="47" t="n">
        <f aca="false">REV_Total*0.025*D7</f>
        <v>0</v>
      </c>
      <c r="E11" s="47" t="n">
        <f aca="false">REV_Total*0.025*E7</f>
        <v>0</v>
      </c>
      <c r="F11" s="47" t="n">
        <f aca="false">REV_Total*0.025*F7</f>
        <v>0</v>
      </c>
      <c r="G11" s="47" t="n">
        <f aca="false">REV_Total*0.025*G7</f>
        <v>10.0774456521739</v>
      </c>
      <c r="H11" s="47" t="n">
        <f aca="false">REV_Total*0.025*H7</f>
        <v>10.4969035326087</v>
      </c>
      <c r="I11" s="47" t="n">
        <f aca="false">REV_Total*0.025*I7</f>
        <v>10.93076578125</v>
      </c>
      <c r="J11" s="47" t="n">
        <f aca="false">REV_Total*0.025*J7</f>
        <v>11.2028644757812</v>
      </c>
      <c r="K11" s="47" t="n">
        <f aca="false">REV_Total*0.025*K7</f>
        <v>11.4817422286758</v>
      </c>
      <c r="L11" s="47" t="n">
        <f aca="false">REV_Total*0.025*L7</f>
        <v>11.7675680482127</v>
      </c>
      <c r="M11" s="47" t="n">
        <f aca="false">REV_Total*0.025*M7</f>
        <v>12.0605151585144</v>
      </c>
      <c r="N11" s="47" t="n">
        <f aca="false">REV_Total*0.025*N7</f>
        <v>12.3607611047556</v>
      </c>
      <c r="O11" s="47" t="n">
        <f aca="false">REV_Total*0.025*O7</f>
        <v>12.6684878609984</v>
      </c>
      <c r="P11" s="47" t="n">
        <f aca="false">REV_Total*0.025*P7</f>
        <v>12.9838819407197</v>
      </c>
      <c r="Q11" s="47" t="n">
        <f aca="false">REV_Total*0.025*Q7</f>
        <v>13.307134510098</v>
      </c>
      <c r="R11" s="47" t="n">
        <f aca="false">REV_Total*0.025*R7</f>
        <v>13.6384415041279</v>
      </c>
      <c r="S11" s="47" t="n">
        <f aca="false">REV_Total*0.025*S7</f>
        <v>13.9780037456342</v>
      </c>
      <c r="T11" s="47" t="n">
        <f aca="false">REV_Total*0.025*T7</f>
        <v>14.3260270672562</v>
      </c>
      <c r="U11" s="47" t="n">
        <f aca="false">REV_Total*0.025*U7</f>
        <v>14.6827224364783</v>
      </c>
      <c r="V11" s="47" t="n">
        <f aca="false">REV_Total*0.025*V7</f>
        <v>15.0483060837818</v>
      </c>
      <c r="W11" s="47" t="n">
        <f aca="false">REV_Total*0.025*W7</f>
        <v>15.4229996339957</v>
      </c>
      <c r="X11" s="47" t="n">
        <f aca="false">REV_Total*0.025*X7</f>
        <v>15.8070302409274</v>
      </c>
      <c r="Y11" s="47" t="n">
        <f aca="false">REV_Total*0.025*Y7</f>
        <v>16.200630725354</v>
      </c>
      <c r="Z11" s="47" t="n">
        <f aca="false">REV_Total*0.025*Z7</f>
        <v>16.6040397164593</v>
      </c>
      <c r="AA11" s="47" t="n">
        <f aca="false">REV_Total*0.025*AA7</f>
        <v>17.0175017968017</v>
      </c>
    </row>
    <row r="12" customFormat="false" ht="15" hidden="false" customHeight="false" outlineLevel="0" collapsed="false">
      <c r="A12" s="5"/>
      <c r="B12" s="52" t="s">
        <v>217</v>
      </c>
      <c r="C12" s="53" t="n">
        <f aca="false">C10+C11</f>
        <v>0</v>
      </c>
      <c r="D12" s="53" t="n">
        <f aca="false">D10+D11</f>
        <v>0</v>
      </c>
      <c r="E12" s="53" t="n">
        <f aca="false">E10+E11</f>
        <v>0</v>
      </c>
      <c r="F12" s="53" t="n">
        <f aca="false">F10+F11</f>
        <v>0</v>
      </c>
      <c r="G12" s="53" t="n">
        <f aca="false">G10+G11</f>
        <v>16.0274456521739</v>
      </c>
      <c r="H12" s="53" t="n">
        <f aca="false">H10+H11</f>
        <v>17.5540285326087</v>
      </c>
      <c r="I12" s="53" t="n">
        <f aca="false">I10+I11</f>
        <v>19.14665328125</v>
      </c>
      <c r="J12" s="53" t="n">
        <f aca="false">J10+J11</f>
        <v>19.6241491632812</v>
      </c>
      <c r="K12" s="53" t="n">
        <f aca="false">K10+K11</f>
        <v>20.1135590333633</v>
      </c>
      <c r="L12" s="53" t="n">
        <f aca="false">L10+L11</f>
        <v>20.6151802730174</v>
      </c>
      <c r="M12" s="53" t="n">
        <f aca="false">M10+M11</f>
        <v>21.1293176889392</v>
      </c>
      <c r="N12" s="53" t="n">
        <f aca="false">N10+N11</f>
        <v>21.656283698441</v>
      </c>
      <c r="O12" s="53" t="n">
        <f aca="false">O10+O11</f>
        <v>22.1963985195259</v>
      </c>
      <c r="P12" s="53" t="n">
        <f aca="false">P10+P11</f>
        <v>22.7499903657104</v>
      </c>
      <c r="Q12" s="53" t="n">
        <f aca="false">Q10+Q11</f>
        <v>23.3173956457135</v>
      </c>
      <c r="R12" s="53" t="n">
        <f aca="false">R10+R11</f>
        <v>23.8989591681338</v>
      </c>
      <c r="S12" s="53" t="n">
        <f aca="false">S10+S11</f>
        <v>24.4950343512402</v>
      </c>
      <c r="T12" s="53" t="n">
        <f aca="false">T10+T11</f>
        <v>25.1059834380023</v>
      </c>
      <c r="U12" s="53" t="n">
        <f aca="false">U10+U11</f>
        <v>25.7321777164931</v>
      </c>
      <c r="V12" s="53" t="n">
        <f aca="false">V10+V11</f>
        <v>26.373997745797</v>
      </c>
      <c r="W12" s="53" t="n">
        <f aca="false">W10+W11</f>
        <v>27.0318335875613</v>
      </c>
      <c r="X12" s="53" t="n">
        <f aca="false">X10+X11</f>
        <v>27.7060850433321</v>
      </c>
      <c r="Y12" s="53" t="n">
        <f aca="false">Y10+Y11</f>
        <v>28.3971618978188</v>
      </c>
      <c r="Z12" s="53" t="n">
        <f aca="false">Z10+Z11</f>
        <v>29.1054841682358</v>
      </c>
      <c r="AA12" s="53" t="n">
        <f aca="false">AA10+AA11</f>
        <v>29.8314823598726</v>
      </c>
    </row>
    <row r="13" customFormat="false" ht="15" hidden="false" customHeight="false" outlineLevel="0" collapsed="false">
      <c r="A13" s="5"/>
      <c r="B13" s="5"/>
      <c r="C13" s="5"/>
      <c r="D13" s="5"/>
      <c r="E13" s="5"/>
      <c r="F13" s="5"/>
      <c r="G13" s="5"/>
      <c r="H13" s="5"/>
      <c r="I13" s="5"/>
      <c r="J13" s="5"/>
      <c r="K13" s="5"/>
      <c r="L13" s="5"/>
      <c r="M13" s="5"/>
      <c r="N13" s="5"/>
      <c r="O13" s="5"/>
      <c r="P13" s="5"/>
      <c r="Q13" s="5"/>
      <c r="R13" s="5"/>
      <c r="S13" s="5"/>
      <c r="T13" s="5"/>
      <c r="U13" s="5"/>
      <c r="V13" s="5"/>
      <c r="W13" s="5"/>
      <c r="X13" s="5"/>
      <c r="Y13" s="5"/>
      <c r="Z13" s="5"/>
      <c r="AA13" s="5"/>
    </row>
    <row r="14" customFormat="false" ht="15" hidden="false" customHeight="false" outlineLevel="0" collapsed="false">
      <c r="A14" s="5"/>
      <c r="B14" s="44" t="s">
        <v>218</v>
      </c>
      <c r="C14" s="45"/>
      <c r="D14" s="45"/>
      <c r="E14" s="45"/>
      <c r="F14" s="45"/>
      <c r="G14" s="45"/>
      <c r="H14" s="45"/>
      <c r="I14" s="45"/>
      <c r="J14" s="45"/>
      <c r="K14" s="45"/>
      <c r="L14" s="45"/>
      <c r="M14" s="45"/>
      <c r="N14" s="45"/>
      <c r="O14" s="45"/>
      <c r="P14" s="45"/>
      <c r="Q14" s="45"/>
      <c r="R14" s="45"/>
      <c r="S14" s="45"/>
      <c r="T14" s="45"/>
      <c r="U14" s="45"/>
      <c r="V14" s="45"/>
      <c r="W14" s="45"/>
      <c r="X14" s="45"/>
      <c r="Y14" s="45"/>
      <c r="Z14" s="45"/>
      <c r="AA14" s="45"/>
    </row>
    <row r="15" customFormat="false" ht="15" hidden="false" customHeight="false" outlineLevel="0" collapsed="false">
      <c r="A15" s="5"/>
      <c r="B15" s="46" t="s">
        <v>133</v>
      </c>
      <c r="C15" s="47" t="n">
        <f aca="false">Staff_Cost*(1+OpEx_Escalation)^MAX(0,C6-Construction_Yrs-1)*C7</f>
        <v>0</v>
      </c>
      <c r="D15" s="47" t="n">
        <f aca="false">Staff_Cost*(1+OpEx_Escalation)^MAX(0,D6-Construction_Yrs-1)*D7</f>
        <v>0</v>
      </c>
      <c r="E15" s="47" t="n">
        <f aca="false">Staff_Cost*(1+OpEx_Escalation)^MAX(0,E6-Construction_Yrs-1)*E7</f>
        <v>0</v>
      </c>
      <c r="F15" s="47" t="n">
        <f aca="false">Staff_Cost*(1+OpEx_Escalation)^MAX(0,F6-Construction_Yrs-1)*F7</f>
        <v>0</v>
      </c>
      <c r="G15" s="47" t="n">
        <f aca="false">Staff_Cost*(1+OpEx_Escalation)^MAX(0,G6-Construction_Yrs-1)*G7</f>
        <v>18</v>
      </c>
      <c r="H15" s="47" t="n">
        <f aca="false">Staff_Cost*(1+OpEx_Escalation)^MAX(0,H6-Construction_Yrs-1)*H7</f>
        <v>18.45</v>
      </c>
      <c r="I15" s="47" t="n">
        <f aca="false">Staff_Cost*(1+OpEx_Escalation)^MAX(0,I6-Construction_Yrs-1)*I7</f>
        <v>18.91125</v>
      </c>
      <c r="J15" s="47" t="n">
        <f aca="false">Staff_Cost*(1+OpEx_Escalation)^MAX(0,J6-Construction_Yrs-1)*J7</f>
        <v>19.38403125</v>
      </c>
      <c r="K15" s="47" t="n">
        <f aca="false">Staff_Cost*(1+OpEx_Escalation)^MAX(0,K6-Construction_Yrs-1)*K7</f>
        <v>19.86863203125</v>
      </c>
      <c r="L15" s="47" t="n">
        <f aca="false">Staff_Cost*(1+OpEx_Escalation)^MAX(0,L6-Construction_Yrs-1)*L7</f>
        <v>20.3653478320312</v>
      </c>
      <c r="M15" s="47" t="n">
        <f aca="false">Staff_Cost*(1+OpEx_Escalation)^MAX(0,M6-Construction_Yrs-1)*M7</f>
        <v>20.874481527832</v>
      </c>
      <c r="N15" s="47" t="n">
        <f aca="false">Staff_Cost*(1+OpEx_Escalation)^MAX(0,N6-Construction_Yrs-1)*N7</f>
        <v>21.3963435660278</v>
      </c>
      <c r="O15" s="47" t="n">
        <f aca="false">Staff_Cost*(1+OpEx_Escalation)^MAX(0,O6-Construction_Yrs-1)*O7</f>
        <v>21.9312521551785</v>
      </c>
      <c r="P15" s="47" t="n">
        <f aca="false">Staff_Cost*(1+OpEx_Escalation)^MAX(0,P6-Construction_Yrs-1)*P7</f>
        <v>22.479533459058</v>
      </c>
      <c r="Q15" s="47" t="n">
        <f aca="false">Staff_Cost*(1+OpEx_Escalation)^MAX(0,Q6-Construction_Yrs-1)*Q7</f>
        <v>23.0415217955344</v>
      </c>
      <c r="R15" s="47" t="n">
        <f aca="false">Staff_Cost*(1+OpEx_Escalation)^MAX(0,R6-Construction_Yrs-1)*R7</f>
        <v>23.6175598404228</v>
      </c>
      <c r="S15" s="47" t="n">
        <f aca="false">Staff_Cost*(1+OpEx_Escalation)^MAX(0,S6-Construction_Yrs-1)*S7</f>
        <v>24.2079988364333</v>
      </c>
      <c r="T15" s="47" t="n">
        <f aca="false">Staff_Cost*(1+OpEx_Escalation)^MAX(0,T6-Construction_Yrs-1)*T7</f>
        <v>24.8131988073442</v>
      </c>
      <c r="U15" s="47" t="n">
        <f aca="false">Staff_Cost*(1+OpEx_Escalation)^MAX(0,U6-Construction_Yrs-1)*U7</f>
        <v>25.4335287775278</v>
      </c>
      <c r="V15" s="47" t="n">
        <f aca="false">Staff_Cost*(1+OpEx_Escalation)^MAX(0,V6-Construction_Yrs-1)*V7</f>
        <v>26.069366996966</v>
      </c>
      <c r="W15" s="47" t="n">
        <f aca="false">Staff_Cost*(1+OpEx_Escalation)^MAX(0,W6-Construction_Yrs-1)*W7</f>
        <v>26.7211011718901</v>
      </c>
      <c r="X15" s="47" t="n">
        <f aca="false">Staff_Cost*(1+OpEx_Escalation)^MAX(0,X6-Construction_Yrs-1)*X7</f>
        <v>27.3891287011874</v>
      </c>
      <c r="Y15" s="47" t="n">
        <f aca="false">Staff_Cost*(1+OpEx_Escalation)^MAX(0,Y6-Construction_Yrs-1)*Y7</f>
        <v>28.0738569187171</v>
      </c>
      <c r="Z15" s="47" t="n">
        <f aca="false">Staff_Cost*(1+OpEx_Escalation)^MAX(0,Z6-Construction_Yrs-1)*Z7</f>
        <v>28.775703341685</v>
      </c>
      <c r="AA15" s="47" t="n">
        <f aca="false">Staff_Cost*(1+OpEx_Escalation)^MAX(0,AA6-Construction_Yrs-1)*AA7</f>
        <v>29.4950959252271</v>
      </c>
    </row>
    <row r="16" customFormat="false" ht="15" hidden="false" customHeight="false" outlineLevel="0" collapsed="false">
      <c r="A16" s="5"/>
      <c r="B16" s="46" t="s">
        <v>136</v>
      </c>
      <c r="C16" s="47" t="n">
        <f aca="false">Total_Base_Capex*Maintenance_Pct*(1+OpEx_Escalation)^MAX(0,C6-Construction_Yrs-1)*C7</f>
        <v>0</v>
      </c>
      <c r="D16" s="47" t="n">
        <f aca="false">Total_Base_Capex*Maintenance_Pct*(1+OpEx_Escalation)^MAX(0,D6-Construction_Yrs-1)*D7</f>
        <v>0</v>
      </c>
      <c r="E16" s="47" t="n">
        <f aca="false">Total_Base_Capex*Maintenance_Pct*(1+OpEx_Escalation)^MAX(0,E6-Construction_Yrs-1)*E7</f>
        <v>0</v>
      </c>
      <c r="F16" s="47" t="n">
        <f aca="false">Total_Base_Capex*Maintenance_Pct*(1+OpEx_Escalation)^MAX(0,F6-Construction_Yrs-1)*F7</f>
        <v>0</v>
      </c>
      <c r="G16" s="47" t="n">
        <f aca="false">Total_Base_Capex*Maintenance_Pct*(1+OpEx_Escalation)^MAX(0,G6-Construction_Yrs-1)*G7</f>
        <v>25.5</v>
      </c>
      <c r="H16" s="47" t="n">
        <f aca="false">Total_Base_Capex*Maintenance_Pct*(1+OpEx_Escalation)^MAX(0,H6-Construction_Yrs-1)*H7</f>
        <v>26.1375</v>
      </c>
      <c r="I16" s="47" t="n">
        <f aca="false">Total_Base_Capex*Maintenance_Pct*(1+OpEx_Escalation)^MAX(0,I6-Construction_Yrs-1)*I7</f>
        <v>26.7909375</v>
      </c>
      <c r="J16" s="47" t="n">
        <f aca="false">Total_Base_Capex*Maintenance_Pct*(1+OpEx_Escalation)^MAX(0,J6-Construction_Yrs-1)*J7</f>
        <v>27.4607109375</v>
      </c>
      <c r="K16" s="47" t="n">
        <f aca="false">Total_Base_Capex*Maintenance_Pct*(1+OpEx_Escalation)^MAX(0,K6-Construction_Yrs-1)*K7</f>
        <v>28.1472287109375</v>
      </c>
      <c r="L16" s="47" t="n">
        <f aca="false">Total_Base_Capex*Maintenance_Pct*(1+OpEx_Escalation)^MAX(0,L6-Construction_Yrs-1)*L7</f>
        <v>28.8509094287109</v>
      </c>
      <c r="M16" s="47" t="n">
        <f aca="false">Total_Base_Capex*Maintenance_Pct*(1+OpEx_Escalation)^MAX(0,M6-Construction_Yrs-1)*M7</f>
        <v>29.5721821644287</v>
      </c>
      <c r="N16" s="47" t="n">
        <f aca="false">Total_Base_Capex*Maintenance_Pct*(1+OpEx_Escalation)^MAX(0,N6-Construction_Yrs-1)*N7</f>
        <v>30.3114867185394</v>
      </c>
      <c r="O16" s="47" t="n">
        <f aca="false">Total_Base_Capex*Maintenance_Pct*(1+OpEx_Escalation)^MAX(0,O6-Construction_Yrs-1)*O7</f>
        <v>31.0692738865029</v>
      </c>
      <c r="P16" s="47" t="n">
        <f aca="false">Total_Base_Capex*Maintenance_Pct*(1+OpEx_Escalation)^MAX(0,P6-Construction_Yrs-1)*P7</f>
        <v>31.8460057336655</v>
      </c>
      <c r="Q16" s="47" t="n">
        <f aca="false">Total_Base_Capex*Maintenance_Pct*(1+OpEx_Escalation)^MAX(0,Q6-Construction_Yrs-1)*Q7</f>
        <v>32.6421558770071</v>
      </c>
      <c r="R16" s="47" t="n">
        <f aca="false">Total_Base_Capex*Maintenance_Pct*(1+OpEx_Escalation)^MAX(0,R6-Construction_Yrs-1)*R7</f>
        <v>33.4582097739323</v>
      </c>
      <c r="S16" s="47" t="n">
        <f aca="false">Total_Base_Capex*Maintenance_Pct*(1+OpEx_Escalation)^MAX(0,S6-Construction_Yrs-1)*S7</f>
        <v>34.2946650182806</v>
      </c>
      <c r="T16" s="47" t="n">
        <f aca="false">Total_Base_Capex*Maintenance_Pct*(1+OpEx_Escalation)^MAX(0,T6-Construction_Yrs-1)*T7</f>
        <v>35.1520316437376</v>
      </c>
      <c r="U16" s="47" t="n">
        <f aca="false">Total_Base_Capex*Maintenance_Pct*(1+OpEx_Escalation)^MAX(0,U6-Construction_Yrs-1)*U7</f>
        <v>36.030832434831</v>
      </c>
      <c r="V16" s="47" t="n">
        <f aca="false">Total_Base_Capex*Maintenance_Pct*(1+OpEx_Escalation)^MAX(0,V6-Construction_Yrs-1)*V7</f>
        <v>36.9316032457018</v>
      </c>
      <c r="W16" s="47" t="n">
        <f aca="false">Total_Base_Capex*Maintenance_Pct*(1+OpEx_Escalation)^MAX(0,W6-Construction_Yrs-1)*W7</f>
        <v>37.8548933268443</v>
      </c>
      <c r="X16" s="47" t="n">
        <f aca="false">Total_Base_Capex*Maintenance_Pct*(1+OpEx_Escalation)^MAX(0,X6-Construction_Yrs-1)*X7</f>
        <v>38.8012656600154</v>
      </c>
      <c r="Y16" s="47" t="n">
        <f aca="false">Total_Base_Capex*Maintenance_Pct*(1+OpEx_Escalation)^MAX(0,Y6-Construction_Yrs-1)*Y7</f>
        <v>39.7712973015158</v>
      </c>
      <c r="Z16" s="47" t="n">
        <f aca="false">Total_Base_Capex*Maintenance_Pct*(1+OpEx_Escalation)^MAX(0,Z6-Construction_Yrs-1)*Z7</f>
        <v>40.7655797340537</v>
      </c>
      <c r="AA16" s="47" t="n">
        <f aca="false">Total_Base_Capex*Maintenance_Pct*(1+OpEx_Escalation)^MAX(0,AA6-Construction_Yrs-1)*AA7</f>
        <v>41.7847192274051</v>
      </c>
    </row>
    <row r="17" customFormat="false" ht="15" hidden="false" customHeight="false" outlineLevel="0" collapsed="false">
      <c r="A17" s="5"/>
      <c r="B17" s="46" t="s">
        <v>139</v>
      </c>
      <c r="C17" s="47" t="n">
        <f aca="false">Total_Base_Capex*Insurance_Pct*(1+OpEx_Escalation)^MAX(0,C6-Construction_Yrs-1)*C7</f>
        <v>0</v>
      </c>
      <c r="D17" s="47" t="n">
        <f aca="false">Total_Base_Capex*Insurance_Pct*(1+OpEx_Escalation)^MAX(0,D6-Construction_Yrs-1)*D7</f>
        <v>0</v>
      </c>
      <c r="E17" s="47" t="n">
        <f aca="false">Total_Base_Capex*Insurance_Pct*(1+OpEx_Escalation)^MAX(0,E6-Construction_Yrs-1)*E7</f>
        <v>0</v>
      </c>
      <c r="F17" s="47" t="n">
        <f aca="false">Total_Base_Capex*Insurance_Pct*(1+OpEx_Escalation)^MAX(0,F6-Construction_Yrs-1)*F7</f>
        <v>0</v>
      </c>
      <c r="G17" s="47" t="n">
        <f aca="false">Total_Base_Capex*Insurance_Pct*(1+OpEx_Escalation)^MAX(0,G6-Construction_Yrs-1)*G7</f>
        <v>13.6</v>
      </c>
      <c r="H17" s="47" t="n">
        <f aca="false">Total_Base_Capex*Insurance_Pct*(1+OpEx_Escalation)^MAX(0,H6-Construction_Yrs-1)*H7</f>
        <v>13.94</v>
      </c>
      <c r="I17" s="47" t="n">
        <f aca="false">Total_Base_Capex*Insurance_Pct*(1+OpEx_Escalation)^MAX(0,I6-Construction_Yrs-1)*I7</f>
        <v>14.2885</v>
      </c>
      <c r="J17" s="47" t="n">
        <f aca="false">Total_Base_Capex*Insurance_Pct*(1+OpEx_Escalation)^MAX(0,J6-Construction_Yrs-1)*J7</f>
        <v>14.6457125</v>
      </c>
      <c r="K17" s="47" t="n">
        <f aca="false">Total_Base_Capex*Insurance_Pct*(1+OpEx_Escalation)^MAX(0,K6-Construction_Yrs-1)*K7</f>
        <v>15.0118553125</v>
      </c>
      <c r="L17" s="47" t="n">
        <f aca="false">Total_Base_Capex*Insurance_Pct*(1+OpEx_Escalation)^MAX(0,L6-Construction_Yrs-1)*L7</f>
        <v>15.3871516953125</v>
      </c>
      <c r="M17" s="47" t="n">
        <f aca="false">Total_Base_Capex*Insurance_Pct*(1+OpEx_Escalation)^MAX(0,M6-Construction_Yrs-1)*M7</f>
        <v>15.7718304876953</v>
      </c>
      <c r="N17" s="47" t="n">
        <f aca="false">Total_Base_Capex*Insurance_Pct*(1+OpEx_Escalation)^MAX(0,N6-Construction_Yrs-1)*N7</f>
        <v>16.1661262498877</v>
      </c>
      <c r="O17" s="47" t="n">
        <f aca="false">Total_Base_Capex*Insurance_Pct*(1+OpEx_Escalation)^MAX(0,O6-Construction_Yrs-1)*O7</f>
        <v>16.5702794061349</v>
      </c>
      <c r="P17" s="47" t="n">
        <f aca="false">Total_Base_Capex*Insurance_Pct*(1+OpEx_Escalation)^MAX(0,P6-Construction_Yrs-1)*P7</f>
        <v>16.9845363912882</v>
      </c>
      <c r="Q17" s="47" t="n">
        <f aca="false">Total_Base_Capex*Insurance_Pct*(1+OpEx_Escalation)^MAX(0,Q6-Construction_Yrs-1)*Q7</f>
        <v>17.4091498010705</v>
      </c>
      <c r="R17" s="47" t="n">
        <f aca="false">Total_Base_Capex*Insurance_Pct*(1+OpEx_Escalation)^MAX(0,R6-Construction_Yrs-1)*R7</f>
        <v>17.8443785460972</v>
      </c>
      <c r="S17" s="47" t="n">
        <f aca="false">Total_Base_Capex*Insurance_Pct*(1+OpEx_Escalation)^MAX(0,S6-Construction_Yrs-1)*S7</f>
        <v>18.2904880097496</v>
      </c>
      <c r="T17" s="47" t="n">
        <f aca="false">Total_Base_Capex*Insurance_Pct*(1+OpEx_Escalation)^MAX(0,T6-Construction_Yrs-1)*T7</f>
        <v>18.7477502099934</v>
      </c>
      <c r="U17" s="47" t="n">
        <f aca="false">Total_Base_Capex*Insurance_Pct*(1+OpEx_Escalation)^MAX(0,U6-Construction_Yrs-1)*U7</f>
        <v>19.2164439652432</v>
      </c>
      <c r="V17" s="47" t="n">
        <f aca="false">Total_Base_Capex*Insurance_Pct*(1+OpEx_Escalation)^MAX(0,V6-Construction_Yrs-1)*V7</f>
        <v>19.6968550643743</v>
      </c>
      <c r="W17" s="47" t="n">
        <f aca="false">Total_Base_Capex*Insurance_Pct*(1+OpEx_Escalation)^MAX(0,W6-Construction_Yrs-1)*W7</f>
        <v>20.1892764409836</v>
      </c>
      <c r="X17" s="47" t="n">
        <f aca="false">Total_Base_Capex*Insurance_Pct*(1+OpEx_Escalation)^MAX(0,X6-Construction_Yrs-1)*X7</f>
        <v>20.6940083520082</v>
      </c>
      <c r="Y17" s="47" t="n">
        <f aca="false">Total_Base_Capex*Insurance_Pct*(1+OpEx_Escalation)^MAX(0,Y6-Construction_Yrs-1)*Y7</f>
        <v>21.2113585608084</v>
      </c>
      <c r="Z17" s="47" t="n">
        <f aca="false">Total_Base_Capex*Insurance_Pct*(1+OpEx_Escalation)^MAX(0,Z6-Construction_Yrs-1)*Z7</f>
        <v>21.7416425248287</v>
      </c>
      <c r="AA17" s="47" t="n">
        <f aca="false">Total_Base_Capex*Insurance_Pct*(1+OpEx_Escalation)^MAX(0,AA6-Construction_Yrs-1)*AA7</f>
        <v>22.2851835879494</v>
      </c>
    </row>
    <row r="18" customFormat="false" ht="15" hidden="false" customHeight="false" outlineLevel="0" collapsed="false">
      <c r="A18" s="5"/>
      <c r="B18" s="46" t="s">
        <v>141</v>
      </c>
      <c r="C18" s="47" t="n">
        <f aca="false">Land_Lease*(1+OpEx_Escalation)^MAX(0,C6-Construction_Yrs-1)*C7</f>
        <v>0</v>
      </c>
      <c r="D18" s="47" t="n">
        <f aca="false">Land_Lease*(1+OpEx_Escalation)^MAX(0,D6-Construction_Yrs-1)*D7</f>
        <v>0</v>
      </c>
      <c r="E18" s="47" t="n">
        <f aca="false">Land_Lease*(1+OpEx_Escalation)^MAX(0,E6-Construction_Yrs-1)*E7</f>
        <v>0</v>
      </c>
      <c r="F18" s="47" t="n">
        <f aca="false">Land_Lease*(1+OpEx_Escalation)^MAX(0,F6-Construction_Yrs-1)*F7</f>
        <v>0</v>
      </c>
      <c r="G18" s="47" t="n">
        <f aca="false">Land_Lease*(1+OpEx_Escalation)^MAX(0,G6-Construction_Yrs-1)*G7</f>
        <v>5</v>
      </c>
      <c r="H18" s="47" t="n">
        <f aca="false">Land_Lease*(1+OpEx_Escalation)^MAX(0,H6-Construction_Yrs-1)*H7</f>
        <v>5.125</v>
      </c>
      <c r="I18" s="47" t="n">
        <f aca="false">Land_Lease*(1+OpEx_Escalation)^MAX(0,I6-Construction_Yrs-1)*I7</f>
        <v>5.253125</v>
      </c>
      <c r="J18" s="47" t="n">
        <f aca="false">Land_Lease*(1+OpEx_Escalation)^MAX(0,J6-Construction_Yrs-1)*J7</f>
        <v>5.384453125</v>
      </c>
      <c r="K18" s="47" t="n">
        <f aca="false">Land_Lease*(1+OpEx_Escalation)^MAX(0,K6-Construction_Yrs-1)*K7</f>
        <v>5.519064453125</v>
      </c>
      <c r="L18" s="47" t="n">
        <f aca="false">Land_Lease*(1+OpEx_Escalation)^MAX(0,L6-Construction_Yrs-1)*L7</f>
        <v>5.65704106445312</v>
      </c>
      <c r="M18" s="47" t="n">
        <f aca="false">Land_Lease*(1+OpEx_Escalation)^MAX(0,M6-Construction_Yrs-1)*M7</f>
        <v>5.79846709106445</v>
      </c>
      <c r="N18" s="47" t="n">
        <f aca="false">Land_Lease*(1+OpEx_Escalation)^MAX(0,N6-Construction_Yrs-1)*N7</f>
        <v>5.94342876834106</v>
      </c>
      <c r="O18" s="47" t="n">
        <f aca="false">Land_Lease*(1+OpEx_Escalation)^MAX(0,O6-Construction_Yrs-1)*O7</f>
        <v>6.09201448754959</v>
      </c>
      <c r="P18" s="47" t="n">
        <f aca="false">Land_Lease*(1+OpEx_Escalation)^MAX(0,P6-Construction_Yrs-1)*P7</f>
        <v>6.24431484973833</v>
      </c>
      <c r="Q18" s="47" t="n">
        <f aca="false">Land_Lease*(1+OpEx_Escalation)^MAX(0,Q6-Construction_Yrs-1)*Q7</f>
        <v>6.40042272098178</v>
      </c>
      <c r="R18" s="47" t="n">
        <f aca="false">Land_Lease*(1+OpEx_Escalation)^MAX(0,R6-Construction_Yrs-1)*R7</f>
        <v>6.56043328900633</v>
      </c>
      <c r="S18" s="47" t="n">
        <f aca="false">Land_Lease*(1+OpEx_Escalation)^MAX(0,S6-Construction_Yrs-1)*S7</f>
        <v>6.72444412123149</v>
      </c>
      <c r="T18" s="47" t="n">
        <f aca="false">Land_Lease*(1+OpEx_Escalation)^MAX(0,T6-Construction_Yrs-1)*T7</f>
        <v>6.89255522426227</v>
      </c>
      <c r="U18" s="47" t="n">
        <f aca="false">Land_Lease*(1+OpEx_Escalation)^MAX(0,U6-Construction_Yrs-1)*U7</f>
        <v>7.06486910486883</v>
      </c>
      <c r="V18" s="47" t="n">
        <f aca="false">Land_Lease*(1+OpEx_Escalation)^MAX(0,V6-Construction_Yrs-1)*V7</f>
        <v>7.24149083249055</v>
      </c>
      <c r="W18" s="47" t="n">
        <f aca="false">Land_Lease*(1+OpEx_Escalation)^MAX(0,W6-Construction_Yrs-1)*W7</f>
        <v>7.42252810330281</v>
      </c>
      <c r="X18" s="47" t="n">
        <f aca="false">Land_Lease*(1+OpEx_Escalation)^MAX(0,X6-Construction_Yrs-1)*X7</f>
        <v>7.60809130588538</v>
      </c>
      <c r="Y18" s="47" t="n">
        <f aca="false">Land_Lease*(1+OpEx_Escalation)^MAX(0,Y6-Construction_Yrs-1)*Y7</f>
        <v>7.79829358853251</v>
      </c>
      <c r="Z18" s="47" t="n">
        <f aca="false">Land_Lease*(1+OpEx_Escalation)^MAX(0,Z6-Construction_Yrs-1)*Z7</f>
        <v>7.99325092824583</v>
      </c>
      <c r="AA18" s="47" t="n">
        <f aca="false">Land_Lease*(1+OpEx_Escalation)^MAX(0,AA6-Construction_Yrs-1)*AA7</f>
        <v>8.19308220145197</v>
      </c>
    </row>
    <row r="19" customFormat="false" ht="15" hidden="false" customHeight="false" outlineLevel="0" collapsed="false">
      <c r="A19" s="5"/>
      <c r="B19" s="46" t="s">
        <v>143</v>
      </c>
      <c r="C19" s="47" t="n">
        <f aca="false">REV_Total*SGA_Pct</f>
        <v>0</v>
      </c>
      <c r="D19" s="47" t="n">
        <f aca="false">REV_Total*SGA_Pct</f>
        <v>0</v>
      </c>
      <c r="E19" s="47" t="n">
        <f aca="false">REV_Total*SGA_Pct</f>
        <v>0</v>
      </c>
      <c r="F19" s="47" t="n">
        <f aca="false">REV_Total*SGA_Pct</f>
        <v>0</v>
      </c>
      <c r="G19" s="47" t="n">
        <f aca="false">REV_Total*SGA_Pct</f>
        <v>12.0929347826087</v>
      </c>
      <c r="H19" s="47" t="n">
        <f aca="false">REV_Total*SGA_Pct</f>
        <v>12.5962842391304</v>
      </c>
      <c r="I19" s="47" t="n">
        <f aca="false">REV_Total*SGA_Pct</f>
        <v>13.1169189375</v>
      </c>
      <c r="J19" s="47" t="n">
        <f aca="false">REV_Total*SGA_Pct</f>
        <v>13.4434373709375</v>
      </c>
      <c r="K19" s="47" t="n">
        <f aca="false">REV_Total*SGA_Pct</f>
        <v>13.7780906744109</v>
      </c>
      <c r="L19" s="47" t="n">
        <f aca="false">REV_Total*SGA_Pct</f>
        <v>14.1210816578552</v>
      </c>
      <c r="M19" s="47" t="n">
        <f aca="false">REV_Total*SGA_Pct</f>
        <v>14.4726181902173</v>
      </c>
      <c r="N19" s="47" t="n">
        <f aca="false">REV_Total*SGA_Pct</f>
        <v>14.8329133257067</v>
      </c>
      <c r="O19" s="47" t="n">
        <f aca="false">REV_Total*SGA_Pct</f>
        <v>15.202185433198</v>
      </c>
      <c r="P19" s="47" t="n">
        <f aca="false">REV_Total*SGA_Pct</f>
        <v>15.5806583288636</v>
      </c>
      <c r="Q19" s="47" t="n">
        <f aca="false">REV_Total*SGA_Pct</f>
        <v>15.9685614121176</v>
      </c>
      <c r="R19" s="47" t="n">
        <f aca="false">REV_Total*SGA_Pct</f>
        <v>16.3661298049535</v>
      </c>
      <c r="S19" s="47" t="n">
        <f aca="false">REV_Total*SGA_Pct</f>
        <v>16.773604494761</v>
      </c>
      <c r="T19" s="47" t="n">
        <f aca="false">REV_Total*SGA_Pct</f>
        <v>17.1912324807074</v>
      </c>
      <c r="U19" s="47" t="n">
        <f aca="false">REV_Total*SGA_Pct</f>
        <v>17.619266923774</v>
      </c>
      <c r="V19" s="47" t="n">
        <f aca="false">REV_Total*SGA_Pct</f>
        <v>18.0579673005382</v>
      </c>
      <c r="W19" s="47" t="n">
        <f aca="false">REV_Total*SGA_Pct</f>
        <v>18.5075995607949</v>
      </c>
      <c r="X19" s="47" t="n">
        <f aca="false">REV_Total*SGA_Pct</f>
        <v>18.9684362891129</v>
      </c>
      <c r="Y19" s="47" t="n">
        <f aca="false">REV_Total*SGA_Pct</f>
        <v>19.4407568704248</v>
      </c>
      <c r="Z19" s="47" t="n">
        <f aca="false">REV_Total*SGA_Pct</f>
        <v>19.9248476597512</v>
      </c>
      <c r="AA19" s="47" t="n">
        <f aca="false">REV_Total*SGA_Pct</f>
        <v>20.421002156162</v>
      </c>
    </row>
    <row r="20" customFormat="false" ht="15" hidden="false" customHeight="false" outlineLevel="0" collapsed="false">
      <c r="A20" s="5"/>
      <c r="B20" s="46" t="s">
        <v>146</v>
      </c>
      <c r="C20" s="47" t="n">
        <f aca="false">Enviro_Compliance*(1+OpEx_Escalation)^MAX(0,C6-Construction_Yrs-1)*C7</f>
        <v>0</v>
      </c>
      <c r="D20" s="47" t="n">
        <f aca="false">Enviro_Compliance*(1+OpEx_Escalation)^MAX(0,D6-Construction_Yrs-1)*D7</f>
        <v>0</v>
      </c>
      <c r="E20" s="47" t="n">
        <f aca="false">Enviro_Compliance*(1+OpEx_Escalation)^MAX(0,E6-Construction_Yrs-1)*E7</f>
        <v>0</v>
      </c>
      <c r="F20" s="47" t="n">
        <f aca="false">Enviro_Compliance*(1+OpEx_Escalation)^MAX(0,F6-Construction_Yrs-1)*F7</f>
        <v>0</v>
      </c>
      <c r="G20" s="47" t="n">
        <f aca="false">Enviro_Compliance*(1+OpEx_Escalation)^MAX(0,G6-Construction_Yrs-1)*G7</f>
        <v>3</v>
      </c>
      <c r="H20" s="47" t="n">
        <f aca="false">Enviro_Compliance*(1+OpEx_Escalation)^MAX(0,H6-Construction_Yrs-1)*H7</f>
        <v>3.075</v>
      </c>
      <c r="I20" s="47" t="n">
        <f aca="false">Enviro_Compliance*(1+OpEx_Escalation)^MAX(0,I6-Construction_Yrs-1)*I7</f>
        <v>3.151875</v>
      </c>
      <c r="J20" s="47" t="n">
        <f aca="false">Enviro_Compliance*(1+OpEx_Escalation)^MAX(0,J6-Construction_Yrs-1)*J7</f>
        <v>3.230671875</v>
      </c>
      <c r="K20" s="47" t="n">
        <f aca="false">Enviro_Compliance*(1+OpEx_Escalation)^MAX(0,K6-Construction_Yrs-1)*K7</f>
        <v>3.311438671875</v>
      </c>
      <c r="L20" s="47" t="n">
        <f aca="false">Enviro_Compliance*(1+OpEx_Escalation)^MAX(0,L6-Construction_Yrs-1)*L7</f>
        <v>3.39422463867187</v>
      </c>
      <c r="M20" s="47" t="n">
        <f aca="false">Enviro_Compliance*(1+OpEx_Escalation)^MAX(0,M6-Construction_Yrs-1)*M7</f>
        <v>3.47908025463867</v>
      </c>
      <c r="N20" s="47" t="n">
        <f aca="false">Enviro_Compliance*(1+OpEx_Escalation)^MAX(0,N6-Construction_Yrs-1)*N7</f>
        <v>3.56605726100464</v>
      </c>
      <c r="O20" s="47" t="n">
        <f aca="false">Enviro_Compliance*(1+OpEx_Escalation)^MAX(0,O6-Construction_Yrs-1)*O7</f>
        <v>3.65520869252975</v>
      </c>
      <c r="P20" s="47" t="n">
        <f aca="false">Enviro_Compliance*(1+OpEx_Escalation)^MAX(0,P6-Construction_Yrs-1)*P7</f>
        <v>3.746588909843</v>
      </c>
      <c r="Q20" s="47" t="n">
        <f aca="false">Enviro_Compliance*(1+OpEx_Escalation)^MAX(0,Q6-Construction_Yrs-1)*Q7</f>
        <v>3.84025363258907</v>
      </c>
      <c r="R20" s="47" t="n">
        <f aca="false">Enviro_Compliance*(1+OpEx_Escalation)^MAX(0,R6-Construction_Yrs-1)*R7</f>
        <v>3.9362599734038</v>
      </c>
      <c r="S20" s="47" t="n">
        <f aca="false">Enviro_Compliance*(1+OpEx_Escalation)^MAX(0,S6-Construction_Yrs-1)*S7</f>
        <v>4.03466647273889</v>
      </c>
      <c r="T20" s="47" t="n">
        <f aca="false">Enviro_Compliance*(1+OpEx_Escalation)^MAX(0,T6-Construction_Yrs-1)*T7</f>
        <v>4.13553313455736</v>
      </c>
      <c r="U20" s="47" t="n">
        <f aca="false">Enviro_Compliance*(1+OpEx_Escalation)^MAX(0,U6-Construction_Yrs-1)*U7</f>
        <v>4.2389214629213</v>
      </c>
      <c r="V20" s="47" t="n">
        <f aca="false">Enviro_Compliance*(1+OpEx_Escalation)^MAX(0,V6-Construction_Yrs-1)*V7</f>
        <v>4.34489449949433</v>
      </c>
      <c r="W20" s="47" t="n">
        <f aca="false">Enviro_Compliance*(1+OpEx_Escalation)^MAX(0,W6-Construction_Yrs-1)*W7</f>
        <v>4.45351686198169</v>
      </c>
      <c r="X20" s="47" t="n">
        <f aca="false">Enviro_Compliance*(1+OpEx_Escalation)^MAX(0,X6-Construction_Yrs-1)*X7</f>
        <v>4.56485478353123</v>
      </c>
      <c r="Y20" s="47" t="n">
        <f aca="false">Enviro_Compliance*(1+OpEx_Escalation)^MAX(0,Y6-Construction_Yrs-1)*Y7</f>
        <v>4.67897615311951</v>
      </c>
      <c r="Z20" s="47" t="n">
        <f aca="false">Enviro_Compliance*(1+OpEx_Escalation)^MAX(0,Z6-Construction_Yrs-1)*Z7</f>
        <v>4.7959505569475</v>
      </c>
      <c r="AA20" s="47" t="n">
        <f aca="false">Enviro_Compliance*(1+OpEx_Escalation)^MAX(0,AA6-Construction_Yrs-1)*AA7</f>
        <v>4.91584932087118</v>
      </c>
    </row>
    <row r="21" customFormat="false" ht="15" hidden="false" customHeight="false" outlineLevel="0" collapsed="false">
      <c r="A21" s="5"/>
      <c r="B21" s="46" t="s">
        <v>148</v>
      </c>
      <c r="C21" s="47" t="n">
        <f aca="false">Security_Cost*(1+OpEx_Escalation)^MAX(0,C6-Construction_Yrs-1)*C7</f>
        <v>0</v>
      </c>
      <c r="D21" s="47" t="n">
        <f aca="false">Security_Cost*(1+OpEx_Escalation)^MAX(0,D6-Construction_Yrs-1)*D7</f>
        <v>0</v>
      </c>
      <c r="E21" s="47" t="n">
        <f aca="false">Security_Cost*(1+OpEx_Escalation)^MAX(0,E6-Construction_Yrs-1)*E7</f>
        <v>0</v>
      </c>
      <c r="F21" s="47" t="n">
        <f aca="false">Security_Cost*(1+OpEx_Escalation)^MAX(0,F6-Construction_Yrs-1)*F7</f>
        <v>0</v>
      </c>
      <c r="G21" s="47" t="n">
        <f aca="false">Security_Cost*(1+OpEx_Escalation)^MAX(0,G6-Construction_Yrs-1)*G7</f>
        <v>2.5</v>
      </c>
      <c r="H21" s="47" t="n">
        <f aca="false">Security_Cost*(1+OpEx_Escalation)^MAX(0,H6-Construction_Yrs-1)*H7</f>
        <v>2.5625</v>
      </c>
      <c r="I21" s="47" t="n">
        <f aca="false">Security_Cost*(1+OpEx_Escalation)^MAX(0,I6-Construction_Yrs-1)*I7</f>
        <v>2.6265625</v>
      </c>
      <c r="J21" s="47" t="n">
        <f aca="false">Security_Cost*(1+OpEx_Escalation)^MAX(0,J6-Construction_Yrs-1)*J7</f>
        <v>2.6922265625</v>
      </c>
      <c r="K21" s="47" t="n">
        <f aca="false">Security_Cost*(1+OpEx_Escalation)^MAX(0,K6-Construction_Yrs-1)*K7</f>
        <v>2.7595322265625</v>
      </c>
      <c r="L21" s="47" t="n">
        <f aca="false">Security_Cost*(1+OpEx_Escalation)^MAX(0,L6-Construction_Yrs-1)*L7</f>
        <v>2.82852053222656</v>
      </c>
      <c r="M21" s="47" t="n">
        <f aca="false">Security_Cost*(1+OpEx_Escalation)^MAX(0,M6-Construction_Yrs-1)*M7</f>
        <v>2.89923354553223</v>
      </c>
      <c r="N21" s="47" t="n">
        <f aca="false">Security_Cost*(1+OpEx_Escalation)^MAX(0,N6-Construction_Yrs-1)*N7</f>
        <v>2.97171438417053</v>
      </c>
      <c r="O21" s="47" t="n">
        <f aca="false">Security_Cost*(1+OpEx_Escalation)^MAX(0,O6-Construction_Yrs-1)*O7</f>
        <v>3.04600724377479</v>
      </c>
      <c r="P21" s="47" t="n">
        <f aca="false">Security_Cost*(1+OpEx_Escalation)^MAX(0,P6-Construction_Yrs-1)*P7</f>
        <v>3.12215742486916</v>
      </c>
      <c r="Q21" s="47" t="n">
        <f aca="false">Security_Cost*(1+OpEx_Escalation)^MAX(0,Q6-Construction_Yrs-1)*Q7</f>
        <v>3.20021136049089</v>
      </c>
      <c r="R21" s="47" t="n">
        <f aca="false">Security_Cost*(1+OpEx_Escalation)^MAX(0,R6-Construction_Yrs-1)*R7</f>
        <v>3.28021664450316</v>
      </c>
      <c r="S21" s="47" t="n">
        <f aca="false">Security_Cost*(1+OpEx_Escalation)^MAX(0,S6-Construction_Yrs-1)*S7</f>
        <v>3.36222206061574</v>
      </c>
      <c r="T21" s="47" t="n">
        <f aca="false">Security_Cost*(1+OpEx_Escalation)^MAX(0,T6-Construction_Yrs-1)*T7</f>
        <v>3.44627761213114</v>
      </c>
      <c r="U21" s="47" t="n">
        <f aca="false">Security_Cost*(1+OpEx_Escalation)^MAX(0,U6-Construction_Yrs-1)*U7</f>
        <v>3.53243455243441</v>
      </c>
      <c r="V21" s="47" t="n">
        <f aca="false">Security_Cost*(1+OpEx_Escalation)^MAX(0,V6-Construction_Yrs-1)*V7</f>
        <v>3.62074541624527</v>
      </c>
      <c r="W21" s="47" t="n">
        <f aca="false">Security_Cost*(1+OpEx_Escalation)^MAX(0,W6-Construction_Yrs-1)*W7</f>
        <v>3.71126405165141</v>
      </c>
      <c r="X21" s="47" t="n">
        <f aca="false">Security_Cost*(1+OpEx_Escalation)^MAX(0,X6-Construction_Yrs-1)*X7</f>
        <v>3.80404565294269</v>
      </c>
      <c r="Y21" s="47" t="n">
        <f aca="false">Security_Cost*(1+OpEx_Escalation)^MAX(0,Y6-Construction_Yrs-1)*Y7</f>
        <v>3.89914679426626</v>
      </c>
      <c r="Z21" s="47" t="n">
        <f aca="false">Security_Cost*(1+OpEx_Escalation)^MAX(0,Z6-Construction_Yrs-1)*Z7</f>
        <v>3.99662546412291</v>
      </c>
      <c r="AA21" s="47" t="n">
        <f aca="false">Security_Cost*(1+OpEx_Escalation)^MAX(0,AA6-Construction_Yrs-1)*AA7</f>
        <v>4.09654110072599</v>
      </c>
    </row>
    <row r="22" customFormat="false" ht="15" hidden="false" customHeight="false" outlineLevel="0" collapsed="false">
      <c r="A22" s="5"/>
      <c r="B22" s="46" t="s">
        <v>219</v>
      </c>
      <c r="C22" s="47" t="n">
        <f aca="false">IF(AND(C7=1,MOD(C6-Construction_Yrs,Turnaround_Interval)=0),Turnaround_Cost*(1+OpEx_Escalation)^MAX(0,C6-Construction_Yrs-1),0)</f>
        <v>0</v>
      </c>
      <c r="D22" s="47" t="n">
        <f aca="false">IF(AND(D7=1,MOD(D6-Construction_Yrs,Turnaround_Interval)=0),Turnaround_Cost*(1+OpEx_Escalation)^MAX(0,D6-Construction_Yrs-1),0)</f>
        <v>0</v>
      </c>
      <c r="E22" s="47" t="n">
        <f aca="false">IF(AND(E7=1,MOD(E6-Construction_Yrs,Turnaround_Interval)=0),Turnaround_Cost*(1+OpEx_Escalation)^MAX(0,E6-Construction_Yrs-1),0)</f>
        <v>0</v>
      </c>
      <c r="F22" s="47" t="n">
        <f aca="false">IF(AND(F7=1,MOD(F6-Construction_Yrs,Turnaround_Interval)=0),Turnaround_Cost*(1+OpEx_Escalation)^MAX(0,F6-Construction_Yrs-1),0)</f>
        <v>0</v>
      </c>
      <c r="G22" s="47" t="n">
        <f aca="false">IF(AND(G7=1,MOD(G6-Construction_Yrs,Turnaround_Interval)=0),Turnaround_Cost*(1+OpEx_Escalation)^MAX(0,G6-Construction_Yrs-1),0)</f>
        <v>0</v>
      </c>
      <c r="H22" s="47" t="n">
        <f aca="false">IF(AND(H7=1,MOD(H6-Construction_Yrs,Turnaround_Interval)=0),Turnaround_Cost*(1+OpEx_Escalation)^MAX(0,H6-Construction_Yrs-1),0)</f>
        <v>0</v>
      </c>
      <c r="I22" s="47" t="n">
        <f aca="false">IF(AND(I7=1,MOD(I6-Construction_Yrs,Turnaround_Interval)=0),Turnaround_Cost*(1+OpEx_Escalation)^MAX(0,I6-Construction_Yrs-1),0)</f>
        <v>0</v>
      </c>
      <c r="J22" s="47" t="n">
        <f aca="false">IF(AND(J7=1,MOD(J6-Construction_Yrs,Turnaround_Interval)=0),Turnaround_Cost*(1+OpEx_Escalation)^MAX(0,J6-Construction_Yrs-1),0)</f>
        <v>0</v>
      </c>
      <c r="K22" s="47" t="n">
        <f aca="false">IF(AND(K7=1,MOD(K6-Construction_Yrs,Turnaround_Interval)=0),Turnaround_Cost*(1+OpEx_Escalation)^MAX(0,K6-Construction_Yrs-1),0)</f>
        <v>44.152515625</v>
      </c>
      <c r="L22" s="47" t="n">
        <f aca="false">IF(AND(L7=1,MOD(L6-Construction_Yrs,Turnaround_Interval)=0),Turnaround_Cost*(1+OpEx_Escalation)^MAX(0,L6-Construction_Yrs-1),0)</f>
        <v>0</v>
      </c>
      <c r="M22" s="47" t="n">
        <f aca="false">IF(AND(M7=1,MOD(M6-Construction_Yrs,Turnaround_Interval)=0),Turnaround_Cost*(1+OpEx_Escalation)^MAX(0,M6-Construction_Yrs-1),0)</f>
        <v>0</v>
      </c>
      <c r="N22" s="47" t="n">
        <f aca="false">IF(AND(N7=1,MOD(N6-Construction_Yrs,Turnaround_Interval)=0),Turnaround_Cost*(1+OpEx_Escalation)^MAX(0,N6-Construction_Yrs-1),0)</f>
        <v>0</v>
      </c>
      <c r="O22" s="47" t="n">
        <f aca="false">IF(AND(O7=1,MOD(O6-Construction_Yrs,Turnaround_Interval)=0),Turnaround_Cost*(1+OpEx_Escalation)^MAX(0,O6-Construction_Yrs-1),0)</f>
        <v>0</v>
      </c>
      <c r="P22" s="47" t="n">
        <f aca="false">IF(AND(P7=1,MOD(P6-Construction_Yrs,Turnaround_Interval)=0),Turnaround_Cost*(1+OpEx_Escalation)^MAX(0,P6-Construction_Yrs-1),0)</f>
        <v>49.9545187979066</v>
      </c>
      <c r="Q22" s="47" t="n">
        <f aca="false">IF(AND(Q7=1,MOD(Q6-Construction_Yrs,Turnaround_Interval)=0),Turnaround_Cost*(1+OpEx_Escalation)^MAX(0,Q6-Construction_Yrs-1),0)</f>
        <v>0</v>
      </c>
      <c r="R22" s="47" t="n">
        <f aca="false">IF(AND(R7=1,MOD(R6-Construction_Yrs,Turnaround_Interval)=0),Turnaround_Cost*(1+OpEx_Escalation)^MAX(0,R6-Construction_Yrs-1),0)</f>
        <v>0</v>
      </c>
      <c r="S22" s="47" t="n">
        <f aca="false">IF(AND(S7=1,MOD(S6-Construction_Yrs,Turnaround_Interval)=0),Turnaround_Cost*(1+OpEx_Escalation)^MAX(0,S6-Construction_Yrs-1),0)</f>
        <v>0</v>
      </c>
      <c r="T22" s="47" t="n">
        <f aca="false">IF(AND(T7=1,MOD(T6-Construction_Yrs,Turnaround_Interval)=0),Turnaround_Cost*(1+OpEx_Escalation)^MAX(0,T6-Construction_Yrs-1),0)</f>
        <v>0</v>
      </c>
      <c r="U22" s="47" t="n">
        <f aca="false">IF(AND(U7=1,MOD(U6-Construction_Yrs,Turnaround_Interval)=0),Turnaround_Cost*(1+OpEx_Escalation)^MAX(0,U6-Construction_Yrs-1),0)</f>
        <v>56.5189528389506</v>
      </c>
      <c r="V22" s="47" t="n">
        <f aca="false">IF(AND(V7=1,MOD(V6-Construction_Yrs,Turnaround_Interval)=0),Turnaround_Cost*(1+OpEx_Escalation)^MAX(0,V6-Construction_Yrs-1),0)</f>
        <v>0</v>
      </c>
      <c r="W22" s="47" t="n">
        <f aca="false">IF(AND(W7=1,MOD(W6-Construction_Yrs,Turnaround_Interval)=0),Turnaround_Cost*(1+OpEx_Escalation)^MAX(0,W6-Construction_Yrs-1),0)</f>
        <v>0</v>
      </c>
      <c r="X22" s="47" t="n">
        <f aca="false">IF(AND(X7=1,MOD(X6-Construction_Yrs,Turnaround_Interval)=0),Turnaround_Cost*(1+OpEx_Escalation)^MAX(0,X6-Construction_Yrs-1),0)</f>
        <v>0</v>
      </c>
      <c r="Y22" s="47" t="n">
        <f aca="false">IF(AND(Y7=1,MOD(Y6-Construction_Yrs,Turnaround_Interval)=0),Turnaround_Cost*(1+OpEx_Escalation)^MAX(0,Y6-Construction_Yrs-1),0)</f>
        <v>0</v>
      </c>
      <c r="Z22" s="47" t="n">
        <f aca="false">IF(AND(Z7=1,MOD(Z6-Construction_Yrs,Turnaround_Interval)=0),Turnaround_Cost*(1+OpEx_Escalation)^MAX(0,Z6-Construction_Yrs-1),0)</f>
        <v>63.9460074259666</v>
      </c>
      <c r="AA22" s="47" t="n">
        <f aca="false">IF(AND(AA7=1,MOD(AA6-Construction_Yrs,Turnaround_Interval)=0),Turnaround_Cost*(1+OpEx_Escalation)^MAX(0,AA6-Construction_Yrs-1),0)</f>
        <v>0</v>
      </c>
    </row>
    <row r="23" customFormat="false" ht="15" hidden="false" customHeight="false" outlineLevel="0" collapsed="false">
      <c r="A23" s="5"/>
      <c r="B23" s="52" t="s">
        <v>220</v>
      </c>
      <c r="C23" s="53" t="n">
        <f aca="false">SUM(C15:C22)</f>
        <v>0</v>
      </c>
      <c r="D23" s="53" t="n">
        <f aca="false">SUM(D15:D22)</f>
        <v>0</v>
      </c>
      <c r="E23" s="53" t="n">
        <f aca="false">SUM(E15:E22)</f>
        <v>0</v>
      </c>
      <c r="F23" s="53" t="n">
        <f aca="false">SUM(F15:F22)</f>
        <v>0</v>
      </c>
      <c r="G23" s="53" t="n">
        <f aca="false">SUM(G15:G22)</f>
        <v>79.6929347826087</v>
      </c>
      <c r="H23" s="53" t="n">
        <f aca="false">SUM(H15:H22)</f>
        <v>81.8862842391304</v>
      </c>
      <c r="I23" s="53" t="n">
        <f aca="false">SUM(I15:I22)</f>
        <v>84.1391689375</v>
      </c>
      <c r="J23" s="53" t="n">
        <f aca="false">SUM(J15:J22)</f>
        <v>86.2412436209375</v>
      </c>
      <c r="K23" s="53" t="n">
        <f aca="false">SUM(K15:K22)</f>
        <v>132.548357705661</v>
      </c>
      <c r="L23" s="53" t="n">
        <f aca="false">SUM(L15:L22)</f>
        <v>90.6042768492614</v>
      </c>
      <c r="M23" s="53" t="n">
        <f aca="false">SUM(M15:M22)</f>
        <v>92.8678932614086</v>
      </c>
      <c r="N23" s="53" t="n">
        <f aca="false">SUM(N15:N22)</f>
        <v>95.1880702736778</v>
      </c>
      <c r="O23" s="53" t="n">
        <f aca="false">SUM(O15:O22)</f>
        <v>97.5662213048684</v>
      </c>
      <c r="P23" s="53" t="n">
        <f aca="false">SUM(P15:P22)</f>
        <v>149.958313895232</v>
      </c>
      <c r="Q23" s="53" t="n">
        <f aca="false">SUM(Q15:Q22)</f>
        <v>102.502276599791</v>
      </c>
      <c r="R23" s="53" t="n">
        <f aca="false">SUM(R15:R22)</f>
        <v>105.063187872319</v>
      </c>
      <c r="S23" s="53" t="n">
        <f aca="false">SUM(S15:S22)</f>
        <v>107.688089013811</v>
      </c>
      <c r="T23" s="53" t="n">
        <f aca="false">SUM(T15:T22)</f>
        <v>110.378579112733</v>
      </c>
      <c r="U23" s="53" t="n">
        <f aca="false">SUM(U15:U22)</f>
        <v>169.655250060551</v>
      </c>
      <c r="V23" s="53" t="n">
        <f aca="false">SUM(V15:V22)</f>
        <v>115.96292335581</v>
      </c>
      <c r="W23" s="53" t="n">
        <f aca="false">SUM(W15:W22)</f>
        <v>118.860179517449</v>
      </c>
      <c r="X23" s="53" t="n">
        <f aca="false">SUM(X15:X22)</f>
        <v>121.829830744683</v>
      </c>
      <c r="Y23" s="53" t="n">
        <f aca="false">SUM(Y15:Y22)</f>
        <v>124.873686187384</v>
      </c>
      <c r="Z23" s="53" t="n">
        <f aca="false">SUM(Z15:Z22)</f>
        <v>191.939607635601</v>
      </c>
      <c r="AA23" s="53" t="n">
        <f aca="false">SUM(AA15:AA22)</f>
        <v>131.191473519793</v>
      </c>
    </row>
    <row r="24" customFormat="false" ht="15" hidden="false" customHeight="false" outlineLevel="0" collapsed="false">
      <c r="A24" s="5"/>
      <c r="B24" s="5"/>
      <c r="C24" s="5"/>
      <c r="D24" s="5"/>
      <c r="E24" s="5"/>
      <c r="F24" s="5"/>
      <c r="G24" s="5"/>
      <c r="H24" s="5"/>
      <c r="I24" s="5"/>
      <c r="J24" s="5"/>
      <c r="K24" s="5"/>
      <c r="L24" s="5"/>
      <c r="M24" s="5"/>
      <c r="N24" s="5"/>
      <c r="O24" s="5"/>
      <c r="P24" s="5"/>
      <c r="Q24" s="5"/>
      <c r="R24" s="5"/>
      <c r="S24" s="5"/>
      <c r="T24" s="5"/>
      <c r="U24" s="5"/>
      <c r="V24" s="5"/>
      <c r="W24" s="5"/>
      <c r="X24" s="5"/>
      <c r="Y24" s="5"/>
      <c r="Z24" s="5"/>
      <c r="AA24" s="5"/>
    </row>
    <row r="25" customFormat="false" ht="15" hidden="false" customHeight="false" outlineLevel="0" collapsed="false">
      <c r="A25" s="5"/>
      <c r="B25" s="37" t="s">
        <v>221</v>
      </c>
      <c r="C25" s="48" t="n">
        <f aca="false">C12+C23</f>
        <v>0</v>
      </c>
      <c r="D25" s="48" t="n">
        <f aca="false">D12+D23</f>
        <v>0</v>
      </c>
      <c r="E25" s="48" t="n">
        <f aca="false">E12+E23</f>
        <v>0</v>
      </c>
      <c r="F25" s="48" t="n">
        <f aca="false">F12+F23</f>
        <v>0</v>
      </c>
      <c r="G25" s="48" t="n">
        <f aca="false">G12+G23</f>
        <v>95.7203804347826</v>
      </c>
      <c r="H25" s="48" t="n">
        <f aca="false">H12+H23</f>
        <v>99.4403127717391</v>
      </c>
      <c r="I25" s="48" t="n">
        <f aca="false">I12+I23</f>
        <v>103.28582221875</v>
      </c>
      <c r="J25" s="48" t="n">
        <f aca="false">J12+J23</f>
        <v>105.865392784219</v>
      </c>
      <c r="K25" s="48" t="n">
        <f aca="false">K12+K23</f>
        <v>152.661916739024</v>
      </c>
      <c r="L25" s="48" t="n">
        <f aca="false">L12+L23</f>
        <v>111.219457122279</v>
      </c>
      <c r="M25" s="48" t="n">
        <f aca="false">M12+M23</f>
        <v>113.997210950348</v>
      </c>
      <c r="N25" s="48" t="n">
        <f aca="false">N12+N23</f>
        <v>116.844353972119</v>
      </c>
      <c r="O25" s="48" t="n">
        <f aca="false">O12+O23</f>
        <v>119.762619824394</v>
      </c>
      <c r="P25" s="48" t="n">
        <f aca="false">P12+P23</f>
        <v>172.708304260943</v>
      </c>
      <c r="Q25" s="48" t="n">
        <f aca="false">Q12+Q23</f>
        <v>125.819672245505</v>
      </c>
      <c r="R25" s="48" t="n">
        <f aca="false">R12+R23</f>
        <v>128.962147040453</v>
      </c>
      <c r="S25" s="48" t="n">
        <f aca="false">S12+S23</f>
        <v>132.183123365051</v>
      </c>
      <c r="T25" s="48" t="n">
        <f aca="false">T12+T23</f>
        <v>135.484562550736</v>
      </c>
      <c r="U25" s="48" t="n">
        <f aca="false">U12+U23</f>
        <v>195.387427777044</v>
      </c>
      <c r="V25" s="48" t="n">
        <f aca="false">V12+V23</f>
        <v>142.336921101607</v>
      </c>
      <c r="W25" s="48" t="n">
        <f aca="false">W12+W23</f>
        <v>145.89201310501</v>
      </c>
      <c r="X25" s="48" t="n">
        <f aca="false">X12+X23</f>
        <v>149.535915788015</v>
      </c>
      <c r="Y25" s="48" t="n">
        <f aca="false">Y12+Y23</f>
        <v>153.270848085203</v>
      </c>
      <c r="Z25" s="48" t="n">
        <f aca="false">Z12+Z23</f>
        <v>221.045091803837</v>
      </c>
      <c r="AA25" s="48" t="n">
        <f aca="false">AA12+AA23</f>
        <v>161.022955879665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A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2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row>
    <row r="2" customFormat="false" ht="22.05" hidden="false" customHeight="false" outlineLevel="0" collapsed="false">
      <c r="A2" s="5"/>
      <c r="B2" s="28" t="s">
        <v>222</v>
      </c>
      <c r="C2" s="5"/>
      <c r="D2" s="5"/>
      <c r="E2" s="5"/>
      <c r="F2" s="5"/>
      <c r="G2" s="5"/>
      <c r="H2" s="5"/>
      <c r="I2" s="5"/>
      <c r="J2" s="5"/>
      <c r="K2" s="5"/>
      <c r="L2" s="5"/>
      <c r="M2" s="5"/>
      <c r="N2" s="5"/>
      <c r="O2" s="5"/>
      <c r="P2" s="5"/>
      <c r="Q2" s="5"/>
      <c r="R2" s="5"/>
      <c r="S2" s="5"/>
      <c r="T2" s="5"/>
      <c r="U2" s="5"/>
      <c r="V2" s="5"/>
      <c r="W2" s="5"/>
      <c r="X2" s="5"/>
      <c r="Y2" s="5"/>
      <c r="Z2" s="5"/>
      <c r="AA2" s="5"/>
    </row>
    <row r="3" customFormat="false" ht="15" hidden="false" customHeight="false" outlineLevel="0" collapsed="false">
      <c r="A3" s="5"/>
      <c r="B3" s="29" t="s">
        <v>223</v>
      </c>
      <c r="C3" s="5"/>
      <c r="D3" s="5"/>
      <c r="E3" s="5"/>
      <c r="F3" s="5"/>
      <c r="G3" s="5"/>
      <c r="H3" s="5"/>
      <c r="I3" s="5"/>
      <c r="J3" s="5"/>
      <c r="K3" s="5"/>
      <c r="L3" s="5"/>
      <c r="M3" s="5"/>
      <c r="N3" s="5"/>
      <c r="O3" s="5"/>
      <c r="P3" s="5"/>
      <c r="Q3" s="5"/>
      <c r="R3" s="5"/>
      <c r="S3" s="5"/>
      <c r="T3" s="5"/>
      <c r="U3" s="5"/>
      <c r="V3" s="5"/>
      <c r="W3" s="5"/>
      <c r="X3" s="5"/>
      <c r="Y3" s="5"/>
      <c r="Z3" s="5"/>
      <c r="AA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row>
    <row r="5" customFormat="false" ht="15" hidden="false" customHeight="false" outlineLevel="0" collapsed="false">
      <c r="A5" s="5"/>
      <c r="B5" s="41" t="s">
        <v>66</v>
      </c>
      <c r="C5" s="42" t="n">
        <f aca="false">Base_Year+0</f>
        <v>2025</v>
      </c>
      <c r="D5" s="42" t="n">
        <f aca="false">Base_Year+1</f>
        <v>2026</v>
      </c>
      <c r="E5" s="42" t="n">
        <f aca="false">Base_Year+2</f>
        <v>2027</v>
      </c>
      <c r="F5" s="42" t="n">
        <f aca="false">Base_Year+3</f>
        <v>2028</v>
      </c>
      <c r="G5" s="42" t="n">
        <f aca="false">Base_Year+4</f>
        <v>2029</v>
      </c>
      <c r="H5" s="42" t="n">
        <f aca="false">Base_Year+5</f>
        <v>2030</v>
      </c>
      <c r="I5" s="42" t="n">
        <f aca="false">Base_Year+6</f>
        <v>2031</v>
      </c>
      <c r="J5" s="42" t="n">
        <f aca="false">Base_Year+7</f>
        <v>2032</v>
      </c>
      <c r="K5" s="42" t="n">
        <f aca="false">Base_Year+8</f>
        <v>2033</v>
      </c>
      <c r="L5" s="42" t="n">
        <f aca="false">Base_Year+9</f>
        <v>2034</v>
      </c>
      <c r="M5" s="42" t="n">
        <f aca="false">Base_Year+10</f>
        <v>2035</v>
      </c>
      <c r="N5" s="42" t="n">
        <f aca="false">Base_Year+11</f>
        <v>2036</v>
      </c>
      <c r="O5" s="42" t="n">
        <f aca="false">Base_Year+12</f>
        <v>2037</v>
      </c>
      <c r="P5" s="42" t="n">
        <f aca="false">Base_Year+13</f>
        <v>2038</v>
      </c>
      <c r="Q5" s="42" t="n">
        <f aca="false">Base_Year+14</f>
        <v>2039</v>
      </c>
      <c r="R5" s="42" t="n">
        <f aca="false">Base_Year+15</f>
        <v>2040</v>
      </c>
      <c r="S5" s="42" t="n">
        <f aca="false">Base_Year+16</f>
        <v>2041</v>
      </c>
      <c r="T5" s="42" t="n">
        <f aca="false">Base_Year+17</f>
        <v>2042</v>
      </c>
      <c r="U5" s="42" t="n">
        <f aca="false">Base_Year+18</f>
        <v>2043</v>
      </c>
      <c r="V5" s="42" t="n">
        <f aca="false">Base_Year+19</f>
        <v>2044</v>
      </c>
      <c r="W5" s="42" t="n">
        <f aca="false">Base_Year+20</f>
        <v>2045</v>
      </c>
      <c r="X5" s="42" t="n">
        <f aca="false">Base_Year+21</f>
        <v>2046</v>
      </c>
      <c r="Y5" s="42" t="n">
        <f aca="false">Base_Year+22</f>
        <v>2047</v>
      </c>
      <c r="Z5" s="42" t="n">
        <f aca="false">Base_Year+23</f>
        <v>2048</v>
      </c>
      <c r="AA5" s="42" t="n">
        <f aca="false">Base_Year+24</f>
        <v>2049</v>
      </c>
    </row>
    <row r="6" customFormat="false" ht="15" hidden="false" customHeight="false" outlineLevel="0" collapsed="false">
      <c r="A6" s="5"/>
      <c r="B6" s="8" t="s">
        <v>192</v>
      </c>
      <c r="C6" s="43" t="n">
        <f aca="false">COLUMN(C1)-2</f>
        <v>1</v>
      </c>
      <c r="D6" s="43" t="n">
        <f aca="false">COLUMN(D1)-2</f>
        <v>2</v>
      </c>
      <c r="E6" s="43" t="n">
        <f aca="false">COLUMN(E1)-2</f>
        <v>3</v>
      </c>
      <c r="F6" s="43" t="n">
        <f aca="false">COLUMN(F1)-2</f>
        <v>4</v>
      </c>
      <c r="G6" s="43" t="n">
        <f aca="false">COLUMN(G1)-2</f>
        <v>5</v>
      </c>
      <c r="H6" s="43" t="n">
        <f aca="false">COLUMN(H1)-2</f>
        <v>6</v>
      </c>
      <c r="I6" s="43" t="n">
        <f aca="false">COLUMN(I1)-2</f>
        <v>7</v>
      </c>
      <c r="J6" s="43" t="n">
        <f aca="false">COLUMN(J1)-2</f>
        <v>8</v>
      </c>
      <c r="K6" s="43" t="n">
        <f aca="false">COLUMN(K1)-2</f>
        <v>9</v>
      </c>
      <c r="L6" s="43" t="n">
        <f aca="false">COLUMN(L1)-2</f>
        <v>10</v>
      </c>
      <c r="M6" s="43" t="n">
        <f aca="false">COLUMN(M1)-2</f>
        <v>11</v>
      </c>
      <c r="N6" s="43" t="n">
        <f aca="false">COLUMN(N1)-2</f>
        <v>12</v>
      </c>
      <c r="O6" s="43" t="n">
        <f aca="false">COLUMN(O1)-2</f>
        <v>13</v>
      </c>
      <c r="P6" s="43" t="n">
        <f aca="false">COLUMN(P1)-2</f>
        <v>14</v>
      </c>
      <c r="Q6" s="43" t="n">
        <f aca="false">COLUMN(Q1)-2</f>
        <v>15</v>
      </c>
      <c r="R6" s="43" t="n">
        <f aca="false">COLUMN(R1)-2</f>
        <v>16</v>
      </c>
      <c r="S6" s="43" t="n">
        <f aca="false">COLUMN(S1)-2</f>
        <v>17</v>
      </c>
      <c r="T6" s="43" t="n">
        <f aca="false">COLUMN(T1)-2</f>
        <v>18</v>
      </c>
      <c r="U6" s="43" t="n">
        <f aca="false">COLUMN(U1)-2</f>
        <v>19</v>
      </c>
      <c r="V6" s="43" t="n">
        <f aca="false">COLUMN(V1)-2</f>
        <v>20</v>
      </c>
      <c r="W6" s="43" t="n">
        <f aca="false">COLUMN(W1)-2</f>
        <v>21</v>
      </c>
      <c r="X6" s="43" t="n">
        <f aca="false">COLUMN(X1)-2</f>
        <v>22</v>
      </c>
      <c r="Y6" s="43" t="n">
        <f aca="false">COLUMN(Y1)-2</f>
        <v>23</v>
      </c>
      <c r="Z6" s="43" t="n">
        <f aca="false">COLUMN(Z1)-2</f>
        <v>24</v>
      </c>
      <c r="AA6" s="43" t="n">
        <f aca="false">COLUMN(AA1)-2</f>
        <v>25</v>
      </c>
    </row>
    <row r="7" customFormat="false" ht="15" hidden="false" customHeight="false" outlineLevel="0" collapsed="false">
      <c r="A7" s="5"/>
      <c r="B7" s="8" t="s">
        <v>203</v>
      </c>
      <c r="C7" s="50" t="n">
        <f aca="false">IF(C6&gt;=Construction_Yrs+1,1,0)</f>
        <v>0</v>
      </c>
      <c r="D7" s="50" t="n">
        <f aca="false">IF(D6&gt;=Construction_Yrs+1,1,0)</f>
        <v>0</v>
      </c>
      <c r="E7" s="50" t="n">
        <f aca="false">IF(E6&gt;=Construction_Yrs+1,1,0)</f>
        <v>0</v>
      </c>
      <c r="F7" s="50" t="n">
        <f aca="false">IF(F6&gt;=Construction_Yrs+1,1,0)</f>
        <v>0</v>
      </c>
      <c r="G7" s="50" t="n">
        <f aca="false">IF(G6&gt;=Construction_Yrs+1,1,0)</f>
        <v>1</v>
      </c>
      <c r="H7" s="50" t="n">
        <f aca="false">IF(H6&gt;=Construction_Yrs+1,1,0)</f>
        <v>1</v>
      </c>
      <c r="I7" s="50" t="n">
        <f aca="false">IF(I6&gt;=Construction_Yrs+1,1,0)</f>
        <v>1</v>
      </c>
      <c r="J7" s="50" t="n">
        <f aca="false">IF(J6&gt;=Construction_Yrs+1,1,0)</f>
        <v>1</v>
      </c>
      <c r="K7" s="50" t="n">
        <f aca="false">IF(K6&gt;=Construction_Yrs+1,1,0)</f>
        <v>1</v>
      </c>
      <c r="L7" s="50" t="n">
        <f aca="false">IF(L6&gt;=Construction_Yrs+1,1,0)</f>
        <v>1</v>
      </c>
      <c r="M7" s="50" t="n">
        <f aca="false">IF(M6&gt;=Construction_Yrs+1,1,0)</f>
        <v>1</v>
      </c>
      <c r="N7" s="50" t="n">
        <f aca="false">IF(N6&gt;=Construction_Yrs+1,1,0)</f>
        <v>1</v>
      </c>
      <c r="O7" s="50" t="n">
        <f aca="false">IF(O6&gt;=Construction_Yrs+1,1,0)</f>
        <v>1</v>
      </c>
      <c r="P7" s="50" t="n">
        <f aca="false">IF(P6&gt;=Construction_Yrs+1,1,0)</f>
        <v>1</v>
      </c>
      <c r="Q7" s="50" t="n">
        <f aca="false">IF(Q6&gt;=Construction_Yrs+1,1,0)</f>
        <v>1</v>
      </c>
      <c r="R7" s="50" t="n">
        <f aca="false">IF(R6&gt;=Construction_Yrs+1,1,0)</f>
        <v>1</v>
      </c>
      <c r="S7" s="50" t="n">
        <f aca="false">IF(S6&gt;=Construction_Yrs+1,1,0)</f>
        <v>1</v>
      </c>
      <c r="T7" s="50" t="n">
        <f aca="false">IF(T6&gt;=Construction_Yrs+1,1,0)</f>
        <v>1</v>
      </c>
      <c r="U7" s="50" t="n">
        <f aca="false">IF(U6&gt;=Construction_Yrs+1,1,0)</f>
        <v>1</v>
      </c>
      <c r="V7" s="50" t="n">
        <f aca="false">IF(V6&gt;=Construction_Yrs+1,1,0)</f>
        <v>1</v>
      </c>
      <c r="W7" s="50" t="n">
        <f aca="false">IF(W6&gt;=Construction_Yrs+1,1,0)</f>
        <v>1</v>
      </c>
      <c r="X7" s="50" t="n">
        <f aca="false">IF(X6&gt;=Construction_Yrs+1,1,0)</f>
        <v>1</v>
      </c>
      <c r="Y7" s="50" t="n">
        <f aca="false">IF(Y6&gt;=Construction_Yrs+1,1,0)</f>
        <v>1</v>
      </c>
      <c r="Z7" s="50" t="n">
        <f aca="false">IF(Z6&gt;=Construction_Yrs+1,1,0)</f>
        <v>1</v>
      </c>
      <c r="AA7" s="50" t="n">
        <f aca="false">IF(AA6&gt;=Construction_Yrs+1,1,0)</f>
        <v>1</v>
      </c>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c r="Y8" s="5"/>
      <c r="Z8" s="5"/>
      <c r="AA8" s="5"/>
    </row>
    <row r="9" customFormat="false" ht="15" hidden="false" customHeight="false" outlineLevel="0" collapsed="false">
      <c r="A9" s="5"/>
      <c r="B9" s="44" t="s">
        <v>224</v>
      </c>
      <c r="C9" s="45"/>
      <c r="D9" s="45"/>
      <c r="E9" s="45"/>
      <c r="F9" s="45"/>
      <c r="G9" s="45"/>
      <c r="H9" s="45"/>
      <c r="I9" s="45"/>
      <c r="J9" s="45"/>
      <c r="K9" s="45"/>
      <c r="L9" s="45"/>
      <c r="M9" s="45"/>
      <c r="N9" s="45"/>
      <c r="O9" s="45"/>
      <c r="P9" s="45"/>
      <c r="Q9" s="45"/>
      <c r="R9" s="45"/>
      <c r="S9" s="45"/>
      <c r="T9" s="45"/>
      <c r="U9" s="45"/>
      <c r="V9" s="45"/>
      <c r="W9" s="45"/>
      <c r="X9" s="45"/>
      <c r="Y9" s="45"/>
      <c r="Z9" s="45"/>
      <c r="AA9" s="45"/>
    </row>
    <row r="10" customFormat="false" ht="15" hidden="false" customHeight="false" outlineLevel="0" collapsed="false">
      <c r="A10" s="5"/>
      <c r="B10" s="46" t="s">
        <v>225</v>
      </c>
      <c r="C10" s="47" t="n">
        <f aca="false">IF(C6=Construction_Yrs,Capex_Marine+(Capex_Marine/Total_Base_Capex)*Construction!$F$21,0)</f>
        <v>0</v>
      </c>
      <c r="D10" s="47" t="n">
        <f aca="false">IF(D6=Construction_Yrs,Capex_Marine+(Capex_Marine/Total_Base_Capex)*Construction!$F$21,0)</f>
        <v>0</v>
      </c>
      <c r="E10" s="47" t="n">
        <f aca="false">IF(E6=Construction_Yrs,Capex_Marine+(Capex_Marine/Total_Base_Capex)*Construction!$F$21,0)</f>
        <v>0</v>
      </c>
      <c r="F10" s="47" t="n">
        <f aca="false">IF(F6=Construction_Yrs,Capex_Marine+(Capex_Marine/Total_Base_Capex)*Construction!$F$21,0)</f>
        <v>402.43125</v>
      </c>
      <c r="G10" s="47" t="n">
        <f aca="false">IF(G6=Construction_Yrs,Capex_Marine+(Capex_Marine/Total_Base_Capex)*Construction!$F$21,0)</f>
        <v>0</v>
      </c>
      <c r="H10" s="47" t="n">
        <f aca="false">IF(H6=Construction_Yrs,Capex_Marine+(Capex_Marine/Total_Base_Capex)*Construction!$F$21,0)</f>
        <v>0</v>
      </c>
      <c r="I10" s="47" t="n">
        <f aca="false">IF(I6=Construction_Yrs,Capex_Marine+(Capex_Marine/Total_Base_Capex)*Construction!$F$21,0)</f>
        <v>0</v>
      </c>
      <c r="J10" s="47" t="n">
        <f aca="false">IF(J6=Construction_Yrs,Capex_Marine+(Capex_Marine/Total_Base_Capex)*Construction!$F$21,0)</f>
        <v>0</v>
      </c>
      <c r="K10" s="47" t="n">
        <f aca="false">IF(K6=Construction_Yrs,Capex_Marine+(Capex_Marine/Total_Base_Capex)*Construction!$F$21,0)</f>
        <v>0</v>
      </c>
      <c r="L10" s="47" t="n">
        <f aca="false">IF(L6=Construction_Yrs,Capex_Marine+(Capex_Marine/Total_Base_Capex)*Construction!$F$21,0)</f>
        <v>0</v>
      </c>
      <c r="M10" s="47" t="n">
        <f aca="false">IF(M6=Construction_Yrs,Capex_Marine+(Capex_Marine/Total_Base_Capex)*Construction!$F$21,0)</f>
        <v>0</v>
      </c>
      <c r="N10" s="47" t="n">
        <f aca="false">IF(N6=Construction_Yrs,Capex_Marine+(Capex_Marine/Total_Base_Capex)*Construction!$F$21,0)</f>
        <v>0</v>
      </c>
      <c r="O10" s="47" t="n">
        <f aca="false">IF(O6=Construction_Yrs,Capex_Marine+(Capex_Marine/Total_Base_Capex)*Construction!$F$21,0)</f>
        <v>0</v>
      </c>
      <c r="P10" s="47" t="n">
        <f aca="false">IF(P6=Construction_Yrs,Capex_Marine+(Capex_Marine/Total_Base_Capex)*Construction!$F$21,0)</f>
        <v>0</v>
      </c>
      <c r="Q10" s="47" t="n">
        <f aca="false">IF(Q6=Construction_Yrs,Capex_Marine+(Capex_Marine/Total_Base_Capex)*Construction!$F$21,0)</f>
        <v>0</v>
      </c>
      <c r="R10" s="47" t="n">
        <f aca="false">IF(R6=Construction_Yrs,Capex_Marine+(Capex_Marine/Total_Base_Capex)*Construction!$F$21,0)</f>
        <v>0</v>
      </c>
      <c r="S10" s="47" t="n">
        <f aca="false">IF(S6=Construction_Yrs,Capex_Marine+(Capex_Marine/Total_Base_Capex)*Construction!$F$21,0)</f>
        <v>0</v>
      </c>
      <c r="T10" s="47" t="n">
        <f aca="false">IF(T6=Construction_Yrs,Capex_Marine+(Capex_Marine/Total_Base_Capex)*Construction!$F$21,0)</f>
        <v>0</v>
      </c>
      <c r="U10" s="47" t="n">
        <f aca="false">IF(U6=Construction_Yrs,Capex_Marine+(Capex_Marine/Total_Base_Capex)*Construction!$F$21,0)</f>
        <v>0</v>
      </c>
      <c r="V10" s="47" t="n">
        <f aca="false">IF(V6=Construction_Yrs,Capex_Marine+(Capex_Marine/Total_Base_Capex)*Construction!$F$21,0)</f>
        <v>0</v>
      </c>
      <c r="W10" s="47" t="n">
        <f aca="false">IF(W6=Construction_Yrs,Capex_Marine+(Capex_Marine/Total_Base_Capex)*Construction!$F$21,0)</f>
        <v>0</v>
      </c>
      <c r="X10" s="47" t="n">
        <f aca="false">IF(X6=Construction_Yrs,Capex_Marine+(Capex_Marine/Total_Base_Capex)*Construction!$F$21,0)</f>
        <v>0</v>
      </c>
      <c r="Y10" s="47" t="n">
        <f aca="false">IF(Y6=Construction_Yrs,Capex_Marine+(Capex_Marine/Total_Base_Capex)*Construction!$F$21,0)</f>
        <v>0</v>
      </c>
      <c r="Z10" s="47" t="n">
        <f aca="false">IF(Z6=Construction_Yrs,Capex_Marine+(Capex_Marine/Total_Base_Capex)*Construction!$F$21,0)</f>
        <v>0</v>
      </c>
      <c r="AA10" s="47" t="n">
        <f aca="false">IF(AA6=Construction_Yrs,Capex_Marine+(Capex_Marine/Total_Base_Capex)*Construction!$F$21,0)</f>
        <v>0</v>
      </c>
    </row>
    <row r="11" customFormat="false" ht="15" hidden="false" customHeight="false" outlineLevel="0" collapsed="false">
      <c r="A11" s="5"/>
      <c r="B11" s="55" t="s">
        <v>226</v>
      </c>
      <c r="C11" s="47" t="n">
        <f aca="false">IF(C7=0,0,MIN(C10/Life_Marine,MAX(0,C10)))</f>
        <v>0</v>
      </c>
      <c r="D11" s="47" t="n">
        <f aca="false">IF(D7=0,0,MIN(SUM($C$10:D10)/Life_Marine,MAX(0,SUM($C$10:D10)-C12)))</f>
        <v>0</v>
      </c>
      <c r="E11" s="47" t="n">
        <f aca="false">IF(E7=0,0,MIN(SUM($C$10:E10)/Life_Marine,MAX(0,SUM($C$10:E10)-D12)))</f>
        <v>0</v>
      </c>
      <c r="F11" s="47" t="n">
        <f aca="false">IF(F7=0,0,MIN(SUM($C$10:F10)/Life_Marine,MAX(0,SUM($C$10:F10)-E12)))</f>
        <v>0</v>
      </c>
      <c r="G11" s="47" t="n">
        <f aca="false">IF(G7=0,0,MIN(SUM($C$10:G10)/Life_Marine,MAX(0,SUM($C$10:G10)-F12)))</f>
        <v>11.4980357142857</v>
      </c>
      <c r="H11" s="47" t="n">
        <f aca="false">IF(H7=0,0,MIN(SUM($C$10:H10)/Life_Marine,MAX(0,SUM($C$10:H10)-G12)))</f>
        <v>11.4980357142857</v>
      </c>
      <c r="I11" s="47" t="n">
        <f aca="false">IF(I7=0,0,MIN(SUM($C$10:I10)/Life_Marine,MAX(0,SUM($C$10:I10)-H12)))</f>
        <v>11.4980357142857</v>
      </c>
      <c r="J11" s="47" t="n">
        <f aca="false">IF(J7=0,0,MIN(SUM($C$10:J10)/Life_Marine,MAX(0,SUM($C$10:J10)-I12)))</f>
        <v>11.4980357142857</v>
      </c>
      <c r="K11" s="47" t="n">
        <f aca="false">IF(K7=0,0,MIN(SUM($C$10:K10)/Life_Marine,MAX(0,SUM($C$10:K10)-J12)))</f>
        <v>11.4980357142857</v>
      </c>
      <c r="L11" s="47" t="n">
        <f aca="false">IF(L7=0,0,MIN(SUM($C$10:L10)/Life_Marine,MAX(0,SUM($C$10:L10)-K12)))</f>
        <v>11.4980357142857</v>
      </c>
      <c r="M11" s="47" t="n">
        <f aca="false">IF(M7=0,0,MIN(SUM($C$10:M10)/Life_Marine,MAX(0,SUM($C$10:M10)-L12)))</f>
        <v>11.4980357142857</v>
      </c>
      <c r="N11" s="47" t="n">
        <f aca="false">IF(N7=0,0,MIN(SUM($C$10:N10)/Life_Marine,MAX(0,SUM($C$10:N10)-M12)))</f>
        <v>11.4980357142857</v>
      </c>
      <c r="O11" s="47" t="n">
        <f aca="false">IF(O7=0,0,MIN(SUM($C$10:O10)/Life_Marine,MAX(0,SUM($C$10:O10)-N12)))</f>
        <v>11.4980357142857</v>
      </c>
      <c r="P11" s="47" t="n">
        <f aca="false">IF(P7=0,0,MIN(SUM($C$10:P10)/Life_Marine,MAX(0,SUM($C$10:P10)-O12)))</f>
        <v>11.4980357142857</v>
      </c>
      <c r="Q11" s="47" t="n">
        <f aca="false">IF(Q7=0,0,MIN(SUM($C$10:Q10)/Life_Marine,MAX(0,SUM($C$10:Q10)-P12)))</f>
        <v>11.4980357142857</v>
      </c>
      <c r="R11" s="47" t="n">
        <f aca="false">IF(R7=0,0,MIN(SUM($C$10:R10)/Life_Marine,MAX(0,SUM($C$10:R10)-Q12)))</f>
        <v>11.4980357142857</v>
      </c>
      <c r="S11" s="47" t="n">
        <f aca="false">IF(S7=0,0,MIN(SUM($C$10:S10)/Life_Marine,MAX(0,SUM($C$10:S10)-R12)))</f>
        <v>11.4980357142857</v>
      </c>
      <c r="T11" s="47" t="n">
        <f aca="false">IF(T7=0,0,MIN(SUM($C$10:T10)/Life_Marine,MAX(0,SUM($C$10:T10)-S12)))</f>
        <v>11.4980357142857</v>
      </c>
      <c r="U11" s="47" t="n">
        <f aca="false">IF(U7=0,0,MIN(SUM($C$10:U10)/Life_Marine,MAX(0,SUM($C$10:U10)-T12)))</f>
        <v>11.4980357142857</v>
      </c>
      <c r="V11" s="47" t="n">
        <f aca="false">IF(V7=0,0,MIN(SUM($C$10:V10)/Life_Marine,MAX(0,SUM($C$10:V10)-U12)))</f>
        <v>11.4980357142857</v>
      </c>
      <c r="W11" s="47" t="n">
        <f aca="false">IF(W7=0,0,MIN(SUM($C$10:W10)/Life_Marine,MAX(0,SUM($C$10:W10)-V12)))</f>
        <v>11.4980357142857</v>
      </c>
      <c r="X11" s="47" t="n">
        <f aca="false">IF(X7=0,0,MIN(SUM($C$10:X10)/Life_Marine,MAX(0,SUM($C$10:X10)-W12)))</f>
        <v>11.4980357142857</v>
      </c>
      <c r="Y11" s="47" t="n">
        <f aca="false">IF(Y7=0,0,MIN(SUM($C$10:Y10)/Life_Marine,MAX(0,SUM($C$10:Y10)-X12)))</f>
        <v>11.4980357142857</v>
      </c>
      <c r="Z11" s="47" t="n">
        <f aca="false">IF(Z7=0,0,MIN(SUM($C$10:Z10)/Life_Marine,MAX(0,SUM($C$10:Z10)-Y12)))</f>
        <v>11.4980357142857</v>
      </c>
      <c r="AA11" s="47" t="n">
        <f aca="false">IF(AA7=0,0,MIN(SUM($C$10:AA10)/Life_Marine,MAX(0,SUM($C$10:AA10)-Z12)))</f>
        <v>11.4980357142857</v>
      </c>
    </row>
    <row r="12" customFormat="false" ht="15" hidden="false" customHeight="false" outlineLevel="0" collapsed="false">
      <c r="A12" s="5"/>
      <c r="B12" s="55" t="s">
        <v>227</v>
      </c>
      <c r="C12" s="47" t="n">
        <f aca="false">C11</f>
        <v>0</v>
      </c>
      <c r="D12" s="47" t="n">
        <f aca="false">C12+D11</f>
        <v>0</v>
      </c>
      <c r="E12" s="47" t="n">
        <f aca="false">D12+E11</f>
        <v>0</v>
      </c>
      <c r="F12" s="47" t="n">
        <f aca="false">E12+F11</f>
        <v>0</v>
      </c>
      <c r="G12" s="47" t="n">
        <f aca="false">F12+G11</f>
        <v>11.4980357142857</v>
      </c>
      <c r="H12" s="47" t="n">
        <f aca="false">G12+H11</f>
        <v>22.9960714285714</v>
      </c>
      <c r="I12" s="47" t="n">
        <f aca="false">H12+I11</f>
        <v>34.4941071428571</v>
      </c>
      <c r="J12" s="47" t="n">
        <f aca="false">I12+J11</f>
        <v>45.9921428571429</v>
      </c>
      <c r="K12" s="47" t="n">
        <f aca="false">J12+K11</f>
        <v>57.4901785714286</v>
      </c>
      <c r="L12" s="47" t="n">
        <f aca="false">K12+L11</f>
        <v>68.9882142857143</v>
      </c>
      <c r="M12" s="47" t="n">
        <f aca="false">L12+M11</f>
        <v>80.48625</v>
      </c>
      <c r="N12" s="47" t="n">
        <f aca="false">M12+N11</f>
        <v>91.9842857142857</v>
      </c>
      <c r="O12" s="47" t="n">
        <f aca="false">N12+O11</f>
        <v>103.482321428571</v>
      </c>
      <c r="P12" s="47" t="n">
        <f aca="false">O12+P11</f>
        <v>114.980357142857</v>
      </c>
      <c r="Q12" s="47" t="n">
        <f aca="false">P12+Q11</f>
        <v>126.478392857143</v>
      </c>
      <c r="R12" s="47" t="n">
        <f aca="false">Q12+R11</f>
        <v>137.976428571429</v>
      </c>
      <c r="S12" s="47" t="n">
        <f aca="false">R12+S11</f>
        <v>149.474464285714</v>
      </c>
      <c r="T12" s="47" t="n">
        <f aca="false">S12+T11</f>
        <v>160.9725</v>
      </c>
      <c r="U12" s="47" t="n">
        <f aca="false">T12+U11</f>
        <v>172.470535714286</v>
      </c>
      <c r="V12" s="47" t="n">
        <f aca="false">U12+V11</f>
        <v>183.968571428571</v>
      </c>
      <c r="W12" s="47" t="n">
        <f aca="false">V12+W11</f>
        <v>195.466607142857</v>
      </c>
      <c r="X12" s="47" t="n">
        <f aca="false">W12+X11</f>
        <v>206.964642857143</v>
      </c>
      <c r="Y12" s="47" t="n">
        <f aca="false">X12+Y11</f>
        <v>218.462678571429</v>
      </c>
      <c r="Z12" s="47" t="n">
        <f aca="false">Y12+Z11</f>
        <v>229.960714285714</v>
      </c>
      <c r="AA12" s="47" t="n">
        <f aca="false">Z12+AA11</f>
        <v>241.45875</v>
      </c>
    </row>
    <row r="13" customFormat="false" ht="15" hidden="false" customHeight="false" outlineLevel="0" collapsed="false">
      <c r="A13" s="5"/>
      <c r="B13" s="5"/>
      <c r="C13" s="5"/>
      <c r="D13" s="5"/>
      <c r="E13" s="5"/>
      <c r="F13" s="5"/>
      <c r="G13" s="5"/>
      <c r="H13" s="5"/>
      <c r="I13" s="5"/>
      <c r="J13" s="5"/>
      <c r="K13" s="5"/>
      <c r="L13" s="5"/>
      <c r="M13" s="5"/>
      <c r="N13" s="5"/>
      <c r="O13" s="5"/>
      <c r="P13" s="5"/>
      <c r="Q13" s="5"/>
      <c r="R13" s="5"/>
      <c r="S13" s="5"/>
      <c r="T13" s="5"/>
      <c r="U13" s="5"/>
      <c r="V13" s="5"/>
      <c r="W13" s="5"/>
      <c r="X13" s="5"/>
      <c r="Y13" s="5"/>
      <c r="Z13" s="5"/>
      <c r="AA13" s="5"/>
    </row>
    <row r="14" customFormat="false" ht="15" hidden="false" customHeight="false" outlineLevel="0" collapsed="false">
      <c r="A14" s="5"/>
      <c r="B14" s="46" t="s">
        <v>228</v>
      </c>
      <c r="C14" s="47" t="n">
        <f aca="false">IF(C6=Construction_Yrs,Capex_Tanks+(Capex_Tanks/Total_Base_Capex)*Construction!$F$21,0)</f>
        <v>0</v>
      </c>
      <c r="D14" s="47" t="n">
        <f aca="false">IF(D6=Construction_Yrs,Capex_Tanks+(Capex_Tanks/Total_Base_Capex)*Construction!$F$21,0)</f>
        <v>0</v>
      </c>
      <c r="E14" s="47" t="n">
        <f aca="false">IF(E6=Construction_Yrs,Capex_Tanks+(Capex_Tanks/Total_Base_Capex)*Construction!$F$21,0)</f>
        <v>0</v>
      </c>
      <c r="F14" s="47" t="n">
        <f aca="false">IF(F6=Construction_Yrs,Capex_Tanks+(Capex_Tanks/Total_Base_Capex)*Construction!$F$21,0)</f>
        <v>509.74625</v>
      </c>
      <c r="G14" s="47" t="n">
        <f aca="false">IF(G6=Construction_Yrs,Capex_Tanks+(Capex_Tanks/Total_Base_Capex)*Construction!$F$21,0)</f>
        <v>0</v>
      </c>
      <c r="H14" s="47" t="n">
        <f aca="false">IF(H6=Construction_Yrs,Capex_Tanks+(Capex_Tanks/Total_Base_Capex)*Construction!$F$21,0)</f>
        <v>0</v>
      </c>
      <c r="I14" s="47" t="n">
        <f aca="false">IF(I6=Construction_Yrs,Capex_Tanks+(Capex_Tanks/Total_Base_Capex)*Construction!$F$21,0)</f>
        <v>0</v>
      </c>
      <c r="J14" s="47" t="n">
        <f aca="false">IF(J6=Construction_Yrs,Capex_Tanks+(Capex_Tanks/Total_Base_Capex)*Construction!$F$21,0)</f>
        <v>0</v>
      </c>
      <c r="K14" s="47" t="n">
        <f aca="false">IF(K6=Construction_Yrs,Capex_Tanks+(Capex_Tanks/Total_Base_Capex)*Construction!$F$21,0)</f>
        <v>0</v>
      </c>
      <c r="L14" s="47" t="n">
        <f aca="false">IF(L6=Construction_Yrs,Capex_Tanks+(Capex_Tanks/Total_Base_Capex)*Construction!$F$21,0)</f>
        <v>0</v>
      </c>
      <c r="M14" s="47" t="n">
        <f aca="false">IF(M6=Construction_Yrs,Capex_Tanks+(Capex_Tanks/Total_Base_Capex)*Construction!$F$21,0)</f>
        <v>0</v>
      </c>
      <c r="N14" s="47" t="n">
        <f aca="false">IF(N6=Construction_Yrs,Capex_Tanks+(Capex_Tanks/Total_Base_Capex)*Construction!$F$21,0)</f>
        <v>0</v>
      </c>
      <c r="O14" s="47" t="n">
        <f aca="false">IF(O6=Construction_Yrs,Capex_Tanks+(Capex_Tanks/Total_Base_Capex)*Construction!$F$21,0)</f>
        <v>0</v>
      </c>
      <c r="P14" s="47" t="n">
        <f aca="false">IF(P6=Construction_Yrs,Capex_Tanks+(Capex_Tanks/Total_Base_Capex)*Construction!$F$21,0)</f>
        <v>0</v>
      </c>
      <c r="Q14" s="47" t="n">
        <f aca="false">IF(Q6=Construction_Yrs,Capex_Tanks+(Capex_Tanks/Total_Base_Capex)*Construction!$F$21,0)</f>
        <v>0</v>
      </c>
      <c r="R14" s="47" t="n">
        <f aca="false">IF(R6=Construction_Yrs,Capex_Tanks+(Capex_Tanks/Total_Base_Capex)*Construction!$F$21,0)</f>
        <v>0</v>
      </c>
      <c r="S14" s="47" t="n">
        <f aca="false">IF(S6=Construction_Yrs,Capex_Tanks+(Capex_Tanks/Total_Base_Capex)*Construction!$F$21,0)</f>
        <v>0</v>
      </c>
      <c r="T14" s="47" t="n">
        <f aca="false">IF(T6=Construction_Yrs,Capex_Tanks+(Capex_Tanks/Total_Base_Capex)*Construction!$F$21,0)</f>
        <v>0</v>
      </c>
      <c r="U14" s="47" t="n">
        <f aca="false">IF(U6=Construction_Yrs,Capex_Tanks+(Capex_Tanks/Total_Base_Capex)*Construction!$F$21,0)</f>
        <v>0</v>
      </c>
      <c r="V14" s="47" t="n">
        <f aca="false">IF(V6=Construction_Yrs,Capex_Tanks+(Capex_Tanks/Total_Base_Capex)*Construction!$F$21,0)</f>
        <v>0</v>
      </c>
      <c r="W14" s="47" t="n">
        <f aca="false">IF(W6=Construction_Yrs,Capex_Tanks+(Capex_Tanks/Total_Base_Capex)*Construction!$F$21,0)</f>
        <v>0</v>
      </c>
      <c r="X14" s="47" t="n">
        <f aca="false">IF(X6=Construction_Yrs,Capex_Tanks+(Capex_Tanks/Total_Base_Capex)*Construction!$F$21,0)</f>
        <v>0</v>
      </c>
      <c r="Y14" s="47" t="n">
        <f aca="false">IF(Y6=Construction_Yrs,Capex_Tanks+(Capex_Tanks/Total_Base_Capex)*Construction!$F$21,0)</f>
        <v>0</v>
      </c>
      <c r="Z14" s="47" t="n">
        <f aca="false">IF(Z6=Construction_Yrs,Capex_Tanks+(Capex_Tanks/Total_Base_Capex)*Construction!$F$21,0)</f>
        <v>0</v>
      </c>
      <c r="AA14" s="47" t="n">
        <f aca="false">IF(AA6=Construction_Yrs,Capex_Tanks+(Capex_Tanks/Total_Base_Capex)*Construction!$F$21,0)</f>
        <v>0</v>
      </c>
    </row>
    <row r="15" customFormat="false" ht="15" hidden="false" customHeight="false" outlineLevel="0" collapsed="false">
      <c r="A15" s="5"/>
      <c r="B15" s="55" t="s">
        <v>229</v>
      </c>
      <c r="C15" s="47" t="n">
        <f aca="false">IF(C7=0,0,MIN(C14/Life_Tanks,MAX(0,C14)))</f>
        <v>0</v>
      </c>
      <c r="D15" s="47" t="n">
        <f aca="false">IF(D7=0,0,MIN(SUM($C$14:D14)/Life_Tanks,MAX(0,SUM($C$14:D14)-C16)))</f>
        <v>0</v>
      </c>
      <c r="E15" s="47" t="n">
        <f aca="false">IF(E7=0,0,MIN(SUM($C$14:E14)/Life_Tanks,MAX(0,SUM($C$14:E14)-D16)))</f>
        <v>0</v>
      </c>
      <c r="F15" s="47" t="n">
        <f aca="false">IF(F7=0,0,MIN(SUM($C$14:F14)/Life_Tanks,MAX(0,SUM($C$14:F14)-E16)))</f>
        <v>0</v>
      </c>
      <c r="G15" s="47" t="n">
        <f aca="false">IF(G7=0,0,MIN(SUM($C$14:G14)/Life_Tanks,MAX(0,SUM($C$14:G14)-F16)))</f>
        <v>16.9915416666667</v>
      </c>
      <c r="H15" s="47" t="n">
        <f aca="false">IF(H7=0,0,MIN(SUM($C$14:H14)/Life_Tanks,MAX(0,SUM($C$14:H14)-G16)))</f>
        <v>16.9915416666667</v>
      </c>
      <c r="I15" s="47" t="n">
        <f aca="false">IF(I7=0,0,MIN(SUM($C$14:I14)/Life_Tanks,MAX(0,SUM($C$14:I14)-H16)))</f>
        <v>16.9915416666667</v>
      </c>
      <c r="J15" s="47" t="n">
        <f aca="false">IF(J7=0,0,MIN(SUM($C$14:J14)/Life_Tanks,MAX(0,SUM($C$14:J14)-I16)))</f>
        <v>16.9915416666667</v>
      </c>
      <c r="K15" s="47" t="n">
        <f aca="false">IF(K7=0,0,MIN(SUM($C$14:K14)/Life_Tanks,MAX(0,SUM($C$14:K14)-J16)))</f>
        <v>16.9915416666667</v>
      </c>
      <c r="L15" s="47" t="n">
        <f aca="false">IF(L7=0,0,MIN(SUM($C$14:L14)/Life_Tanks,MAX(0,SUM($C$14:L14)-K16)))</f>
        <v>16.9915416666667</v>
      </c>
      <c r="M15" s="47" t="n">
        <f aca="false">IF(M7=0,0,MIN(SUM($C$14:M14)/Life_Tanks,MAX(0,SUM($C$14:M14)-L16)))</f>
        <v>16.9915416666667</v>
      </c>
      <c r="N15" s="47" t="n">
        <f aca="false">IF(N7=0,0,MIN(SUM($C$14:N14)/Life_Tanks,MAX(0,SUM($C$14:N14)-M16)))</f>
        <v>16.9915416666667</v>
      </c>
      <c r="O15" s="47" t="n">
        <f aca="false">IF(O7=0,0,MIN(SUM($C$14:O14)/Life_Tanks,MAX(0,SUM($C$14:O14)-N16)))</f>
        <v>16.9915416666667</v>
      </c>
      <c r="P15" s="47" t="n">
        <f aca="false">IF(P7=0,0,MIN(SUM($C$14:P14)/Life_Tanks,MAX(0,SUM($C$14:P14)-O16)))</f>
        <v>16.9915416666667</v>
      </c>
      <c r="Q15" s="47" t="n">
        <f aca="false">IF(Q7=0,0,MIN(SUM($C$14:Q14)/Life_Tanks,MAX(0,SUM($C$14:Q14)-P16)))</f>
        <v>16.9915416666667</v>
      </c>
      <c r="R15" s="47" t="n">
        <f aca="false">IF(R7=0,0,MIN(SUM($C$14:R14)/Life_Tanks,MAX(0,SUM($C$14:R14)-Q16)))</f>
        <v>16.9915416666667</v>
      </c>
      <c r="S15" s="47" t="n">
        <f aca="false">IF(S7=0,0,MIN(SUM($C$14:S14)/Life_Tanks,MAX(0,SUM($C$14:S14)-R16)))</f>
        <v>16.9915416666667</v>
      </c>
      <c r="T15" s="47" t="n">
        <f aca="false">IF(T7=0,0,MIN(SUM($C$14:T14)/Life_Tanks,MAX(0,SUM($C$14:T14)-S16)))</f>
        <v>16.9915416666667</v>
      </c>
      <c r="U15" s="47" t="n">
        <f aca="false">IF(U7=0,0,MIN(SUM($C$14:U14)/Life_Tanks,MAX(0,SUM($C$14:U14)-T16)))</f>
        <v>16.9915416666667</v>
      </c>
      <c r="V15" s="47" t="n">
        <f aca="false">IF(V7=0,0,MIN(SUM($C$14:V14)/Life_Tanks,MAX(0,SUM($C$14:V14)-U16)))</f>
        <v>16.9915416666667</v>
      </c>
      <c r="W15" s="47" t="n">
        <f aca="false">IF(W7=0,0,MIN(SUM($C$14:W14)/Life_Tanks,MAX(0,SUM($C$14:W14)-V16)))</f>
        <v>16.9915416666667</v>
      </c>
      <c r="X15" s="47" t="n">
        <f aca="false">IF(X7=0,0,MIN(SUM($C$14:X14)/Life_Tanks,MAX(0,SUM($C$14:X14)-W16)))</f>
        <v>16.9915416666667</v>
      </c>
      <c r="Y15" s="47" t="n">
        <f aca="false">IF(Y7=0,0,MIN(SUM($C$14:Y14)/Life_Tanks,MAX(0,SUM($C$14:Y14)-X16)))</f>
        <v>16.9915416666667</v>
      </c>
      <c r="Z15" s="47" t="n">
        <f aca="false">IF(Z7=0,0,MIN(SUM($C$14:Z14)/Life_Tanks,MAX(0,SUM($C$14:Z14)-Y16)))</f>
        <v>16.9915416666667</v>
      </c>
      <c r="AA15" s="47" t="n">
        <f aca="false">IF(AA7=0,0,MIN(SUM($C$14:AA14)/Life_Tanks,MAX(0,SUM($C$14:AA14)-Z16)))</f>
        <v>16.9915416666667</v>
      </c>
    </row>
    <row r="16" customFormat="false" ht="15" hidden="false" customHeight="false" outlineLevel="0" collapsed="false">
      <c r="A16" s="5"/>
      <c r="B16" s="55" t="s">
        <v>230</v>
      </c>
      <c r="C16" s="47" t="n">
        <f aca="false">C15</f>
        <v>0</v>
      </c>
      <c r="D16" s="47" t="n">
        <f aca="false">C16+D15</f>
        <v>0</v>
      </c>
      <c r="E16" s="47" t="n">
        <f aca="false">D16+E15</f>
        <v>0</v>
      </c>
      <c r="F16" s="47" t="n">
        <f aca="false">E16+F15</f>
        <v>0</v>
      </c>
      <c r="G16" s="47" t="n">
        <f aca="false">F16+G15</f>
        <v>16.9915416666667</v>
      </c>
      <c r="H16" s="47" t="n">
        <f aca="false">G16+H15</f>
        <v>33.9830833333333</v>
      </c>
      <c r="I16" s="47" t="n">
        <f aca="false">H16+I15</f>
        <v>50.974625</v>
      </c>
      <c r="J16" s="47" t="n">
        <f aca="false">I16+J15</f>
        <v>67.9661666666667</v>
      </c>
      <c r="K16" s="47" t="n">
        <f aca="false">J16+K15</f>
        <v>84.9577083333333</v>
      </c>
      <c r="L16" s="47" t="n">
        <f aca="false">K16+L15</f>
        <v>101.94925</v>
      </c>
      <c r="M16" s="47" t="n">
        <f aca="false">L16+M15</f>
        <v>118.940791666667</v>
      </c>
      <c r="N16" s="47" t="n">
        <f aca="false">M16+N15</f>
        <v>135.932333333333</v>
      </c>
      <c r="O16" s="47" t="n">
        <f aca="false">N16+O15</f>
        <v>152.923875</v>
      </c>
      <c r="P16" s="47" t="n">
        <f aca="false">O16+P15</f>
        <v>169.915416666667</v>
      </c>
      <c r="Q16" s="47" t="n">
        <f aca="false">P16+Q15</f>
        <v>186.906958333333</v>
      </c>
      <c r="R16" s="47" t="n">
        <f aca="false">Q16+R15</f>
        <v>203.8985</v>
      </c>
      <c r="S16" s="47" t="n">
        <f aca="false">R16+S15</f>
        <v>220.890041666667</v>
      </c>
      <c r="T16" s="47" t="n">
        <f aca="false">S16+T15</f>
        <v>237.881583333333</v>
      </c>
      <c r="U16" s="47" t="n">
        <f aca="false">T16+U15</f>
        <v>254.873125</v>
      </c>
      <c r="V16" s="47" t="n">
        <f aca="false">U16+V15</f>
        <v>271.864666666667</v>
      </c>
      <c r="W16" s="47" t="n">
        <f aca="false">V16+W15</f>
        <v>288.856208333333</v>
      </c>
      <c r="X16" s="47" t="n">
        <f aca="false">W16+X15</f>
        <v>305.84775</v>
      </c>
      <c r="Y16" s="47" t="n">
        <f aca="false">X16+Y15</f>
        <v>322.839291666667</v>
      </c>
      <c r="Z16" s="47" t="n">
        <f aca="false">Y16+Z15</f>
        <v>339.830833333333</v>
      </c>
      <c r="AA16" s="47" t="n">
        <f aca="false">Z16+AA15</f>
        <v>356.822375</v>
      </c>
    </row>
    <row r="17" customFormat="false" ht="15" hidden="false" customHeight="false" outlineLevel="0" collapsed="false">
      <c r="A17" s="5"/>
      <c r="B17" s="5"/>
      <c r="C17" s="5"/>
      <c r="D17" s="5"/>
      <c r="E17" s="5"/>
      <c r="F17" s="5"/>
      <c r="G17" s="5"/>
      <c r="H17" s="5"/>
      <c r="I17" s="5"/>
      <c r="J17" s="5"/>
      <c r="K17" s="5"/>
      <c r="L17" s="5"/>
      <c r="M17" s="5"/>
      <c r="N17" s="5"/>
      <c r="O17" s="5"/>
      <c r="P17" s="5"/>
      <c r="Q17" s="5"/>
      <c r="R17" s="5"/>
      <c r="S17" s="5"/>
      <c r="T17" s="5"/>
      <c r="U17" s="5"/>
      <c r="V17" s="5"/>
      <c r="W17" s="5"/>
      <c r="X17" s="5"/>
      <c r="Y17" s="5"/>
      <c r="Z17" s="5"/>
      <c r="AA17" s="5"/>
    </row>
    <row r="18" customFormat="false" ht="15" hidden="false" customHeight="false" outlineLevel="0" collapsed="false">
      <c r="A18" s="5"/>
      <c r="B18" s="46" t="s">
        <v>231</v>
      </c>
      <c r="C18" s="47" t="n">
        <f aca="false">IF(C6=Construction_Yrs,Capex_Regas+(Capex_Regas/Total_Base_Capex)*Construction!$F$21,0)</f>
        <v>0</v>
      </c>
      <c r="D18" s="47" t="n">
        <f aca="false">IF(D6=Construction_Yrs,Capex_Regas+(Capex_Regas/Total_Base_Capex)*Construction!$F$21,0)</f>
        <v>0</v>
      </c>
      <c r="E18" s="47" t="n">
        <f aca="false">IF(E6=Construction_Yrs,Capex_Regas+(Capex_Regas/Total_Base_Capex)*Construction!$F$21,0)</f>
        <v>0</v>
      </c>
      <c r="F18" s="47" t="n">
        <f aca="false">IF(F6=Construction_Yrs,Capex_Regas+(Capex_Regas/Total_Base_Capex)*Construction!$F$21,0)</f>
        <v>321.945</v>
      </c>
      <c r="G18" s="47" t="n">
        <f aca="false">IF(G6=Construction_Yrs,Capex_Regas+(Capex_Regas/Total_Base_Capex)*Construction!$F$21,0)</f>
        <v>0</v>
      </c>
      <c r="H18" s="47" t="n">
        <f aca="false">IF(H6=Construction_Yrs,Capex_Regas+(Capex_Regas/Total_Base_Capex)*Construction!$F$21,0)</f>
        <v>0</v>
      </c>
      <c r="I18" s="47" t="n">
        <f aca="false">IF(I6=Construction_Yrs,Capex_Regas+(Capex_Regas/Total_Base_Capex)*Construction!$F$21,0)</f>
        <v>0</v>
      </c>
      <c r="J18" s="47" t="n">
        <f aca="false">IF(J6=Construction_Yrs,Capex_Regas+(Capex_Regas/Total_Base_Capex)*Construction!$F$21,0)</f>
        <v>0</v>
      </c>
      <c r="K18" s="47" t="n">
        <f aca="false">IF(K6=Construction_Yrs,Capex_Regas+(Capex_Regas/Total_Base_Capex)*Construction!$F$21,0)</f>
        <v>0</v>
      </c>
      <c r="L18" s="47" t="n">
        <f aca="false">IF(L6=Construction_Yrs,Capex_Regas+(Capex_Regas/Total_Base_Capex)*Construction!$F$21,0)</f>
        <v>0</v>
      </c>
      <c r="M18" s="47" t="n">
        <f aca="false">IF(M6=Construction_Yrs,Capex_Regas+(Capex_Regas/Total_Base_Capex)*Construction!$F$21,0)</f>
        <v>0</v>
      </c>
      <c r="N18" s="47" t="n">
        <f aca="false">IF(N6=Construction_Yrs,Capex_Regas+(Capex_Regas/Total_Base_Capex)*Construction!$F$21,0)</f>
        <v>0</v>
      </c>
      <c r="O18" s="47" t="n">
        <f aca="false">IF(O6=Construction_Yrs,Capex_Regas+(Capex_Regas/Total_Base_Capex)*Construction!$F$21,0)</f>
        <v>0</v>
      </c>
      <c r="P18" s="47" t="n">
        <f aca="false">IF(P6=Construction_Yrs,Capex_Regas+(Capex_Regas/Total_Base_Capex)*Construction!$F$21,0)</f>
        <v>0</v>
      </c>
      <c r="Q18" s="47" t="n">
        <f aca="false">IF(Q6=Construction_Yrs,Capex_Regas+(Capex_Regas/Total_Base_Capex)*Construction!$F$21,0)</f>
        <v>0</v>
      </c>
      <c r="R18" s="47" t="n">
        <f aca="false">IF(R6=Construction_Yrs,Capex_Regas+(Capex_Regas/Total_Base_Capex)*Construction!$F$21,0)</f>
        <v>0</v>
      </c>
      <c r="S18" s="47" t="n">
        <f aca="false">IF(S6=Construction_Yrs,Capex_Regas+(Capex_Regas/Total_Base_Capex)*Construction!$F$21,0)</f>
        <v>0</v>
      </c>
      <c r="T18" s="47" t="n">
        <f aca="false">IF(T6=Construction_Yrs,Capex_Regas+(Capex_Regas/Total_Base_Capex)*Construction!$F$21,0)</f>
        <v>0</v>
      </c>
      <c r="U18" s="47" t="n">
        <f aca="false">IF(U6=Construction_Yrs,Capex_Regas+(Capex_Regas/Total_Base_Capex)*Construction!$F$21,0)</f>
        <v>0</v>
      </c>
      <c r="V18" s="47" t="n">
        <f aca="false">IF(V6=Construction_Yrs,Capex_Regas+(Capex_Regas/Total_Base_Capex)*Construction!$F$21,0)</f>
        <v>0</v>
      </c>
      <c r="W18" s="47" t="n">
        <f aca="false">IF(W6=Construction_Yrs,Capex_Regas+(Capex_Regas/Total_Base_Capex)*Construction!$F$21,0)</f>
        <v>0</v>
      </c>
      <c r="X18" s="47" t="n">
        <f aca="false">IF(X6=Construction_Yrs,Capex_Regas+(Capex_Regas/Total_Base_Capex)*Construction!$F$21,0)</f>
        <v>0</v>
      </c>
      <c r="Y18" s="47" t="n">
        <f aca="false">IF(Y6=Construction_Yrs,Capex_Regas+(Capex_Regas/Total_Base_Capex)*Construction!$F$21,0)</f>
        <v>0</v>
      </c>
      <c r="Z18" s="47" t="n">
        <f aca="false">IF(Z6=Construction_Yrs,Capex_Regas+(Capex_Regas/Total_Base_Capex)*Construction!$F$21,0)</f>
        <v>0</v>
      </c>
      <c r="AA18" s="47" t="n">
        <f aca="false">IF(AA6=Construction_Yrs,Capex_Regas+(Capex_Regas/Total_Base_Capex)*Construction!$F$21,0)</f>
        <v>0</v>
      </c>
    </row>
    <row r="19" customFormat="false" ht="15" hidden="false" customHeight="false" outlineLevel="0" collapsed="false">
      <c r="A19" s="5"/>
      <c r="B19" s="55" t="s">
        <v>232</v>
      </c>
      <c r="C19" s="47" t="n">
        <f aca="false">IF(C7=0,0,MIN(C18/Life_Regas,MAX(0,C18)))</f>
        <v>0</v>
      </c>
      <c r="D19" s="47" t="n">
        <f aca="false">IF(D7=0,0,MIN(SUM($C$18:D18)/Life_Regas,MAX(0,SUM($C$18:D18)-C20)))</f>
        <v>0</v>
      </c>
      <c r="E19" s="47" t="n">
        <f aca="false">IF(E7=0,0,MIN(SUM($C$18:E18)/Life_Regas,MAX(0,SUM($C$18:E18)-D20)))</f>
        <v>0</v>
      </c>
      <c r="F19" s="47" t="n">
        <f aca="false">IF(F7=0,0,MIN(SUM($C$18:F18)/Life_Regas,MAX(0,SUM($C$18:F18)-E20)))</f>
        <v>0</v>
      </c>
      <c r="G19" s="47" t="n">
        <f aca="false">IF(G7=0,0,MIN(SUM($C$18:G18)/Life_Regas,MAX(0,SUM($C$18:G18)-F20)))</f>
        <v>16.09725</v>
      </c>
      <c r="H19" s="47" t="n">
        <f aca="false">IF(H7=0,0,MIN(SUM($C$18:H18)/Life_Regas,MAX(0,SUM($C$18:H18)-G20)))</f>
        <v>16.09725</v>
      </c>
      <c r="I19" s="47" t="n">
        <f aca="false">IF(I7=0,0,MIN(SUM($C$18:I18)/Life_Regas,MAX(0,SUM($C$18:I18)-H20)))</f>
        <v>16.09725</v>
      </c>
      <c r="J19" s="47" t="n">
        <f aca="false">IF(J7=0,0,MIN(SUM($C$18:J18)/Life_Regas,MAX(0,SUM($C$18:J18)-I20)))</f>
        <v>16.09725</v>
      </c>
      <c r="K19" s="47" t="n">
        <f aca="false">IF(K7=0,0,MIN(SUM($C$18:K18)/Life_Regas,MAX(0,SUM($C$18:K18)-J20)))</f>
        <v>16.09725</v>
      </c>
      <c r="L19" s="47" t="n">
        <f aca="false">IF(L7=0,0,MIN(SUM($C$18:L18)/Life_Regas,MAX(0,SUM($C$18:L18)-K20)))</f>
        <v>16.09725</v>
      </c>
      <c r="M19" s="47" t="n">
        <f aca="false">IF(M7=0,0,MIN(SUM($C$18:M18)/Life_Regas,MAX(0,SUM($C$18:M18)-L20)))</f>
        <v>16.09725</v>
      </c>
      <c r="N19" s="47" t="n">
        <f aca="false">IF(N7=0,0,MIN(SUM($C$18:N18)/Life_Regas,MAX(0,SUM($C$18:N18)-M20)))</f>
        <v>16.09725</v>
      </c>
      <c r="O19" s="47" t="n">
        <f aca="false">IF(O7=0,0,MIN(SUM($C$18:O18)/Life_Regas,MAX(0,SUM($C$18:O18)-N20)))</f>
        <v>16.09725</v>
      </c>
      <c r="P19" s="47" t="n">
        <f aca="false">IF(P7=0,0,MIN(SUM($C$18:P18)/Life_Regas,MAX(0,SUM($C$18:P18)-O20)))</f>
        <v>16.09725</v>
      </c>
      <c r="Q19" s="47" t="n">
        <f aca="false">IF(Q7=0,0,MIN(SUM($C$18:Q18)/Life_Regas,MAX(0,SUM($C$18:Q18)-P20)))</f>
        <v>16.09725</v>
      </c>
      <c r="R19" s="47" t="n">
        <f aca="false">IF(R7=0,0,MIN(SUM($C$18:R18)/Life_Regas,MAX(0,SUM($C$18:R18)-Q20)))</f>
        <v>16.09725</v>
      </c>
      <c r="S19" s="47" t="n">
        <f aca="false">IF(S7=0,0,MIN(SUM($C$18:S18)/Life_Regas,MAX(0,SUM($C$18:S18)-R20)))</f>
        <v>16.09725</v>
      </c>
      <c r="T19" s="47" t="n">
        <f aca="false">IF(T7=0,0,MIN(SUM($C$18:T18)/Life_Regas,MAX(0,SUM($C$18:T18)-S20)))</f>
        <v>16.09725</v>
      </c>
      <c r="U19" s="47" t="n">
        <f aca="false">IF(U7=0,0,MIN(SUM($C$18:U18)/Life_Regas,MAX(0,SUM($C$18:U18)-T20)))</f>
        <v>16.09725</v>
      </c>
      <c r="V19" s="47" t="n">
        <f aca="false">IF(V7=0,0,MIN(SUM($C$18:V18)/Life_Regas,MAX(0,SUM($C$18:V18)-U20)))</f>
        <v>16.09725</v>
      </c>
      <c r="W19" s="47" t="n">
        <f aca="false">IF(W7=0,0,MIN(SUM($C$18:W18)/Life_Regas,MAX(0,SUM($C$18:W18)-V20)))</f>
        <v>16.09725</v>
      </c>
      <c r="X19" s="47" t="n">
        <f aca="false">IF(X7=0,0,MIN(SUM($C$18:X18)/Life_Regas,MAX(0,SUM($C$18:X18)-W20)))</f>
        <v>16.09725</v>
      </c>
      <c r="Y19" s="47" t="n">
        <f aca="false">IF(Y7=0,0,MIN(SUM($C$18:Y18)/Life_Regas,MAX(0,SUM($C$18:Y18)-X20)))</f>
        <v>16.09725</v>
      </c>
      <c r="Z19" s="47" t="n">
        <f aca="false">IF(Z7=0,0,MIN(SUM($C$18:Z18)/Life_Regas,MAX(0,SUM($C$18:Z18)-Y20)))</f>
        <v>16.09725</v>
      </c>
      <c r="AA19" s="47" t="n">
        <f aca="false">IF(AA7=0,0,MIN(SUM($C$18:AA18)/Life_Regas,MAX(0,SUM($C$18:AA18)-Z20)))</f>
        <v>0</v>
      </c>
    </row>
    <row r="20" customFormat="false" ht="15" hidden="false" customHeight="false" outlineLevel="0" collapsed="false">
      <c r="A20" s="5"/>
      <c r="B20" s="55" t="s">
        <v>233</v>
      </c>
      <c r="C20" s="47" t="n">
        <f aca="false">C19</f>
        <v>0</v>
      </c>
      <c r="D20" s="47" t="n">
        <f aca="false">C20+D19</f>
        <v>0</v>
      </c>
      <c r="E20" s="47" t="n">
        <f aca="false">D20+E19</f>
        <v>0</v>
      </c>
      <c r="F20" s="47" t="n">
        <f aca="false">E20+F19</f>
        <v>0</v>
      </c>
      <c r="G20" s="47" t="n">
        <f aca="false">F20+G19</f>
        <v>16.09725</v>
      </c>
      <c r="H20" s="47" t="n">
        <f aca="false">G20+H19</f>
        <v>32.1945</v>
      </c>
      <c r="I20" s="47" t="n">
        <f aca="false">H20+I19</f>
        <v>48.29175</v>
      </c>
      <c r="J20" s="47" t="n">
        <f aca="false">I20+J19</f>
        <v>64.389</v>
      </c>
      <c r="K20" s="47" t="n">
        <f aca="false">J20+K19</f>
        <v>80.48625</v>
      </c>
      <c r="L20" s="47" t="n">
        <f aca="false">K20+L19</f>
        <v>96.5835</v>
      </c>
      <c r="M20" s="47" t="n">
        <f aca="false">L20+M19</f>
        <v>112.68075</v>
      </c>
      <c r="N20" s="47" t="n">
        <f aca="false">M20+N19</f>
        <v>128.778</v>
      </c>
      <c r="O20" s="47" t="n">
        <f aca="false">N20+O19</f>
        <v>144.87525</v>
      </c>
      <c r="P20" s="47" t="n">
        <f aca="false">O20+P19</f>
        <v>160.9725</v>
      </c>
      <c r="Q20" s="47" t="n">
        <f aca="false">P20+Q19</f>
        <v>177.06975</v>
      </c>
      <c r="R20" s="47" t="n">
        <f aca="false">Q20+R19</f>
        <v>193.167</v>
      </c>
      <c r="S20" s="47" t="n">
        <f aca="false">R20+S19</f>
        <v>209.26425</v>
      </c>
      <c r="T20" s="47" t="n">
        <f aca="false">S20+T19</f>
        <v>225.3615</v>
      </c>
      <c r="U20" s="47" t="n">
        <f aca="false">T20+U19</f>
        <v>241.45875</v>
      </c>
      <c r="V20" s="47" t="n">
        <f aca="false">U20+V19</f>
        <v>257.556</v>
      </c>
      <c r="W20" s="47" t="n">
        <f aca="false">V20+W19</f>
        <v>273.65325</v>
      </c>
      <c r="X20" s="47" t="n">
        <f aca="false">W20+X19</f>
        <v>289.7505</v>
      </c>
      <c r="Y20" s="47" t="n">
        <f aca="false">X20+Y19</f>
        <v>305.84775</v>
      </c>
      <c r="Z20" s="47" t="n">
        <f aca="false">Y20+Z19</f>
        <v>321.945</v>
      </c>
      <c r="AA20" s="47" t="n">
        <f aca="false">Z20+AA19</f>
        <v>321.945</v>
      </c>
    </row>
    <row r="21" customFormat="false" ht="15" hidden="false" customHeight="false" outlineLevel="0" collapsed="false">
      <c r="A21" s="5"/>
      <c r="B21" s="5"/>
      <c r="C21" s="5"/>
      <c r="D21" s="5"/>
      <c r="E21" s="5"/>
      <c r="F21" s="5"/>
      <c r="G21" s="5"/>
      <c r="H21" s="5"/>
      <c r="I21" s="5"/>
      <c r="J21" s="5"/>
      <c r="K21" s="5"/>
      <c r="L21" s="5"/>
      <c r="M21" s="5"/>
      <c r="N21" s="5"/>
      <c r="O21" s="5"/>
      <c r="P21" s="5"/>
      <c r="Q21" s="5"/>
      <c r="R21" s="5"/>
      <c r="S21" s="5"/>
      <c r="T21" s="5"/>
      <c r="U21" s="5"/>
      <c r="V21" s="5"/>
      <c r="W21" s="5"/>
      <c r="X21" s="5"/>
      <c r="Y21" s="5"/>
      <c r="Z21" s="5"/>
      <c r="AA21" s="5"/>
    </row>
    <row r="22" customFormat="false" ht="15" hidden="false" customHeight="false" outlineLevel="0" collapsed="false">
      <c r="A22" s="5"/>
      <c r="B22" s="46" t="s">
        <v>234</v>
      </c>
      <c r="C22" s="47" t="n">
        <f aca="false">IF(C6=Construction_Yrs,Capex_Pipeline+(Capex_Pipeline/Total_Base_Capex)*Construction!$F$21,0)</f>
        <v>0</v>
      </c>
      <c r="D22" s="47" t="n">
        <f aca="false">IF(D6=Construction_Yrs,Capex_Pipeline+(Capex_Pipeline/Total_Base_Capex)*Construction!$F$21,0)</f>
        <v>0</v>
      </c>
      <c r="E22" s="47" t="n">
        <f aca="false">IF(E6=Construction_Yrs,Capex_Pipeline+(Capex_Pipeline/Total_Base_Capex)*Construction!$F$21,0)</f>
        <v>0</v>
      </c>
      <c r="F22" s="47" t="n">
        <f aca="false">IF(F6=Construction_Yrs,Capex_Pipeline+(Capex_Pipeline/Total_Base_Capex)*Construction!$F$21,0)</f>
        <v>214.63</v>
      </c>
      <c r="G22" s="47" t="n">
        <f aca="false">IF(G6=Construction_Yrs,Capex_Pipeline+(Capex_Pipeline/Total_Base_Capex)*Construction!$F$21,0)</f>
        <v>0</v>
      </c>
      <c r="H22" s="47" t="n">
        <f aca="false">IF(H6=Construction_Yrs,Capex_Pipeline+(Capex_Pipeline/Total_Base_Capex)*Construction!$F$21,0)</f>
        <v>0</v>
      </c>
      <c r="I22" s="47" t="n">
        <f aca="false">IF(I6=Construction_Yrs,Capex_Pipeline+(Capex_Pipeline/Total_Base_Capex)*Construction!$F$21,0)</f>
        <v>0</v>
      </c>
      <c r="J22" s="47" t="n">
        <f aca="false">IF(J6=Construction_Yrs,Capex_Pipeline+(Capex_Pipeline/Total_Base_Capex)*Construction!$F$21,0)</f>
        <v>0</v>
      </c>
      <c r="K22" s="47" t="n">
        <f aca="false">IF(K6=Construction_Yrs,Capex_Pipeline+(Capex_Pipeline/Total_Base_Capex)*Construction!$F$21,0)</f>
        <v>0</v>
      </c>
      <c r="L22" s="47" t="n">
        <f aca="false">IF(L6=Construction_Yrs,Capex_Pipeline+(Capex_Pipeline/Total_Base_Capex)*Construction!$F$21,0)</f>
        <v>0</v>
      </c>
      <c r="M22" s="47" t="n">
        <f aca="false">IF(M6=Construction_Yrs,Capex_Pipeline+(Capex_Pipeline/Total_Base_Capex)*Construction!$F$21,0)</f>
        <v>0</v>
      </c>
      <c r="N22" s="47" t="n">
        <f aca="false">IF(N6=Construction_Yrs,Capex_Pipeline+(Capex_Pipeline/Total_Base_Capex)*Construction!$F$21,0)</f>
        <v>0</v>
      </c>
      <c r="O22" s="47" t="n">
        <f aca="false">IF(O6=Construction_Yrs,Capex_Pipeline+(Capex_Pipeline/Total_Base_Capex)*Construction!$F$21,0)</f>
        <v>0</v>
      </c>
      <c r="P22" s="47" t="n">
        <f aca="false">IF(P6=Construction_Yrs,Capex_Pipeline+(Capex_Pipeline/Total_Base_Capex)*Construction!$F$21,0)</f>
        <v>0</v>
      </c>
      <c r="Q22" s="47" t="n">
        <f aca="false">IF(Q6=Construction_Yrs,Capex_Pipeline+(Capex_Pipeline/Total_Base_Capex)*Construction!$F$21,0)</f>
        <v>0</v>
      </c>
      <c r="R22" s="47" t="n">
        <f aca="false">IF(R6=Construction_Yrs,Capex_Pipeline+(Capex_Pipeline/Total_Base_Capex)*Construction!$F$21,0)</f>
        <v>0</v>
      </c>
      <c r="S22" s="47" t="n">
        <f aca="false">IF(S6=Construction_Yrs,Capex_Pipeline+(Capex_Pipeline/Total_Base_Capex)*Construction!$F$21,0)</f>
        <v>0</v>
      </c>
      <c r="T22" s="47" t="n">
        <f aca="false">IF(T6=Construction_Yrs,Capex_Pipeline+(Capex_Pipeline/Total_Base_Capex)*Construction!$F$21,0)</f>
        <v>0</v>
      </c>
      <c r="U22" s="47" t="n">
        <f aca="false">IF(U6=Construction_Yrs,Capex_Pipeline+(Capex_Pipeline/Total_Base_Capex)*Construction!$F$21,0)</f>
        <v>0</v>
      </c>
      <c r="V22" s="47" t="n">
        <f aca="false">IF(V6=Construction_Yrs,Capex_Pipeline+(Capex_Pipeline/Total_Base_Capex)*Construction!$F$21,0)</f>
        <v>0</v>
      </c>
      <c r="W22" s="47" t="n">
        <f aca="false">IF(W6=Construction_Yrs,Capex_Pipeline+(Capex_Pipeline/Total_Base_Capex)*Construction!$F$21,0)</f>
        <v>0</v>
      </c>
      <c r="X22" s="47" t="n">
        <f aca="false">IF(X6=Construction_Yrs,Capex_Pipeline+(Capex_Pipeline/Total_Base_Capex)*Construction!$F$21,0)</f>
        <v>0</v>
      </c>
      <c r="Y22" s="47" t="n">
        <f aca="false">IF(Y6=Construction_Yrs,Capex_Pipeline+(Capex_Pipeline/Total_Base_Capex)*Construction!$F$21,0)</f>
        <v>0</v>
      </c>
      <c r="Z22" s="47" t="n">
        <f aca="false">IF(Z6=Construction_Yrs,Capex_Pipeline+(Capex_Pipeline/Total_Base_Capex)*Construction!$F$21,0)</f>
        <v>0</v>
      </c>
      <c r="AA22" s="47" t="n">
        <f aca="false">IF(AA6=Construction_Yrs,Capex_Pipeline+(Capex_Pipeline/Total_Base_Capex)*Construction!$F$21,0)</f>
        <v>0</v>
      </c>
    </row>
    <row r="23" customFormat="false" ht="15" hidden="false" customHeight="false" outlineLevel="0" collapsed="false">
      <c r="A23" s="5"/>
      <c r="B23" s="55" t="s">
        <v>235</v>
      </c>
      <c r="C23" s="47" t="n">
        <f aca="false">IF(C7=0,0,MIN(C22/Life_Pipeline,MAX(0,C22)))</f>
        <v>0</v>
      </c>
      <c r="D23" s="47" t="n">
        <f aca="false">IF(D7=0,0,MIN(SUM($C$22:D22)/Life_Pipeline,MAX(0,SUM($C$22:D22)-C24)))</f>
        <v>0</v>
      </c>
      <c r="E23" s="47" t="n">
        <f aca="false">IF(E7=0,0,MIN(SUM($C$22:E22)/Life_Pipeline,MAX(0,SUM($C$22:E22)-D24)))</f>
        <v>0</v>
      </c>
      <c r="F23" s="47" t="n">
        <f aca="false">IF(F7=0,0,MIN(SUM($C$22:F22)/Life_Pipeline,MAX(0,SUM($C$22:F22)-E24)))</f>
        <v>0</v>
      </c>
      <c r="G23" s="47" t="n">
        <f aca="false">IF(G7=0,0,MIN(SUM($C$22:G22)/Life_Pipeline,MAX(0,SUM($C$22:G22)-F24)))</f>
        <v>6.13228571428572</v>
      </c>
      <c r="H23" s="47" t="n">
        <f aca="false">IF(H7=0,0,MIN(SUM($C$22:H22)/Life_Pipeline,MAX(0,SUM($C$22:H22)-G24)))</f>
        <v>6.13228571428572</v>
      </c>
      <c r="I23" s="47" t="n">
        <f aca="false">IF(I7=0,0,MIN(SUM($C$22:I22)/Life_Pipeline,MAX(0,SUM($C$22:I22)-H24)))</f>
        <v>6.13228571428572</v>
      </c>
      <c r="J23" s="47" t="n">
        <f aca="false">IF(J7=0,0,MIN(SUM($C$22:J22)/Life_Pipeline,MAX(0,SUM($C$22:J22)-I24)))</f>
        <v>6.13228571428572</v>
      </c>
      <c r="K23" s="47" t="n">
        <f aca="false">IF(K7=0,0,MIN(SUM($C$22:K22)/Life_Pipeline,MAX(0,SUM($C$22:K22)-J24)))</f>
        <v>6.13228571428572</v>
      </c>
      <c r="L23" s="47" t="n">
        <f aca="false">IF(L7=0,0,MIN(SUM($C$22:L22)/Life_Pipeline,MAX(0,SUM($C$22:L22)-K24)))</f>
        <v>6.13228571428572</v>
      </c>
      <c r="M23" s="47" t="n">
        <f aca="false">IF(M7=0,0,MIN(SUM($C$22:M22)/Life_Pipeline,MAX(0,SUM($C$22:M22)-L24)))</f>
        <v>6.13228571428572</v>
      </c>
      <c r="N23" s="47" t="n">
        <f aca="false">IF(N7=0,0,MIN(SUM($C$22:N22)/Life_Pipeline,MAX(0,SUM($C$22:N22)-M24)))</f>
        <v>6.13228571428572</v>
      </c>
      <c r="O23" s="47" t="n">
        <f aca="false">IF(O7=0,0,MIN(SUM($C$22:O22)/Life_Pipeline,MAX(0,SUM($C$22:O22)-N24)))</f>
        <v>6.13228571428572</v>
      </c>
      <c r="P23" s="47" t="n">
        <f aca="false">IF(P7=0,0,MIN(SUM($C$22:P22)/Life_Pipeline,MAX(0,SUM($C$22:P22)-O24)))</f>
        <v>6.13228571428572</v>
      </c>
      <c r="Q23" s="47" t="n">
        <f aca="false">IF(Q7=0,0,MIN(SUM($C$22:Q22)/Life_Pipeline,MAX(0,SUM($C$22:Q22)-P24)))</f>
        <v>6.13228571428572</v>
      </c>
      <c r="R23" s="47" t="n">
        <f aca="false">IF(R7=0,0,MIN(SUM($C$22:R22)/Life_Pipeline,MAX(0,SUM($C$22:R22)-Q24)))</f>
        <v>6.13228571428572</v>
      </c>
      <c r="S23" s="47" t="n">
        <f aca="false">IF(S7=0,0,MIN(SUM($C$22:S22)/Life_Pipeline,MAX(0,SUM($C$22:S22)-R24)))</f>
        <v>6.13228571428572</v>
      </c>
      <c r="T23" s="47" t="n">
        <f aca="false">IF(T7=0,0,MIN(SUM($C$22:T22)/Life_Pipeline,MAX(0,SUM($C$22:T22)-S24)))</f>
        <v>6.13228571428572</v>
      </c>
      <c r="U23" s="47" t="n">
        <f aca="false">IF(U7=0,0,MIN(SUM($C$22:U22)/Life_Pipeline,MAX(0,SUM($C$22:U22)-T24)))</f>
        <v>6.13228571428572</v>
      </c>
      <c r="V23" s="47" t="n">
        <f aca="false">IF(V7=0,0,MIN(SUM($C$22:V22)/Life_Pipeline,MAX(0,SUM($C$22:V22)-U24)))</f>
        <v>6.13228571428572</v>
      </c>
      <c r="W23" s="47" t="n">
        <f aca="false">IF(W7=0,0,MIN(SUM($C$22:W22)/Life_Pipeline,MAX(0,SUM($C$22:W22)-V24)))</f>
        <v>6.13228571428572</v>
      </c>
      <c r="X23" s="47" t="n">
        <f aca="false">IF(X7=0,0,MIN(SUM($C$22:X22)/Life_Pipeline,MAX(0,SUM($C$22:X22)-W24)))</f>
        <v>6.13228571428572</v>
      </c>
      <c r="Y23" s="47" t="n">
        <f aca="false">IF(Y7=0,0,MIN(SUM($C$22:Y22)/Life_Pipeline,MAX(0,SUM($C$22:Y22)-X24)))</f>
        <v>6.13228571428572</v>
      </c>
      <c r="Z23" s="47" t="n">
        <f aca="false">IF(Z7=0,0,MIN(SUM($C$22:Z22)/Life_Pipeline,MAX(0,SUM($C$22:Z22)-Y24)))</f>
        <v>6.13228571428572</v>
      </c>
      <c r="AA23" s="47" t="n">
        <f aca="false">IF(AA7=0,0,MIN(SUM($C$22:AA22)/Life_Pipeline,MAX(0,SUM($C$22:AA22)-Z24)))</f>
        <v>6.13228571428572</v>
      </c>
    </row>
    <row r="24" customFormat="false" ht="15" hidden="false" customHeight="false" outlineLevel="0" collapsed="false">
      <c r="A24" s="5"/>
      <c r="B24" s="55" t="s">
        <v>236</v>
      </c>
      <c r="C24" s="47" t="n">
        <f aca="false">C23</f>
        <v>0</v>
      </c>
      <c r="D24" s="47" t="n">
        <f aca="false">C24+D23</f>
        <v>0</v>
      </c>
      <c r="E24" s="47" t="n">
        <f aca="false">D24+E23</f>
        <v>0</v>
      </c>
      <c r="F24" s="47" t="n">
        <f aca="false">E24+F23</f>
        <v>0</v>
      </c>
      <c r="G24" s="47" t="n">
        <f aca="false">F24+G23</f>
        <v>6.13228571428572</v>
      </c>
      <c r="H24" s="47" t="n">
        <f aca="false">G24+H23</f>
        <v>12.2645714285714</v>
      </c>
      <c r="I24" s="47" t="n">
        <f aca="false">H24+I23</f>
        <v>18.3968571428571</v>
      </c>
      <c r="J24" s="47" t="n">
        <f aca="false">I24+J23</f>
        <v>24.5291428571429</v>
      </c>
      <c r="K24" s="47" t="n">
        <f aca="false">J24+K23</f>
        <v>30.6614285714286</v>
      </c>
      <c r="L24" s="47" t="n">
        <f aca="false">K24+L23</f>
        <v>36.7937142857143</v>
      </c>
      <c r="M24" s="47" t="n">
        <f aca="false">L24+M23</f>
        <v>42.926</v>
      </c>
      <c r="N24" s="47" t="n">
        <f aca="false">M24+N23</f>
        <v>49.0582857142857</v>
      </c>
      <c r="O24" s="47" t="n">
        <f aca="false">N24+O23</f>
        <v>55.1905714285714</v>
      </c>
      <c r="P24" s="47" t="n">
        <f aca="false">O24+P23</f>
        <v>61.3228571428571</v>
      </c>
      <c r="Q24" s="47" t="n">
        <f aca="false">P24+Q23</f>
        <v>67.4551428571429</v>
      </c>
      <c r="R24" s="47" t="n">
        <f aca="false">Q24+R23</f>
        <v>73.5874285714286</v>
      </c>
      <c r="S24" s="47" t="n">
        <f aca="false">R24+S23</f>
        <v>79.7197142857143</v>
      </c>
      <c r="T24" s="47" t="n">
        <f aca="false">S24+T23</f>
        <v>85.852</v>
      </c>
      <c r="U24" s="47" t="n">
        <f aca="false">T24+U23</f>
        <v>91.9842857142857</v>
      </c>
      <c r="V24" s="47" t="n">
        <f aca="false">U24+V23</f>
        <v>98.1165714285714</v>
      </c>
      <c r="W24" s="47" t="n">
        <f aca="false">V24+W23</f>
        <v>104.248857142857</v>
      </c>
      <c r="X24" s="47" t="n">
        <f aca="false">W24+X23</f>
        <v>110.381142857143</v>
      </c>
      <c r="Y24" s="47" t="n">
        <f aca="false">X24+Y23</f>
        <v>116.513428571429</v>
      </c>
      <c r="Z24" s="47" t="n">
        <f aca="false">Y24+Z23</f>
        <v>122.645714285714</v>
      </c>
      <c r="AA24" s="47" t="n">
        <f aca="false">Z24+AA23</f>
        <v>128.778</v>
      </c>
    </row>
    <row r="25" customFormat="false" ht="15" hidden="false" customHeight="false" outlineLevel="0" collapsed="false">
      <c r="A25" s="5"/>
      <c r="B25" s="5"/>
      <c r="C25" s="5"/>
      <c r="D25" s="5"/>
      <c r="E25" s="5"/>
      <c r="F25" s="5"/>
      <c r="G25" s="5"/>
      <c r="H25" s="5"/>
      <c r="I25" s="5"/>
      <c r="J25" s="5"/>
      <c r="K25" s="5"/>
      <c r="L25" s="5"/>
      <c r="M25" s="5"/>
      <c r="N25" s="5"/>
      <c r="O25" s="5"/>
      <c r="P25" s="5"/>
      <c r="Q25" s="5"/>
      <c r="R25" s="5"/>
      <c r="S25" s="5"/>
      <c r="T25" s="5"/>
      <c r="U25" s="5"/>
      <c r="V25" s="5"/>
      <c r="W25" s="5"/>
      <c r="X25" s="5"/>
      <c r="Y25" s="5"/>
      <c r="Z25" s="5"/>
      <c r="AA25" s="5"/>
    </row>
    <row r="26" customFormat="false" ht="15" hidden="false" customHeight="false" outlineLevel="0" collapsed="false">
      <c r="A26" s="5"/>
      <c r="B26" s="46" t="s">
        <v>237</v>
      </c>
      <c r="C26" s="47" t="n">
        <f aca="false">IF(C6=Construction_Yrs,Capex_Utilities+(Capex_Utilities/Total_Base_Capex)*Construction!$F$21,0)</f>
        <v>0</v>
      </c>
      <c r="D26" s="47" t="n">
        <f aca="false">IF(D6=Construction_Yrs,Capex_Utilities+(Capex_Utilities/Total_Base_Capex)*Construction!$F$21,0)</f>
        <v>0</v>
      </c>
      <c r="E26" s="47" t="n">
        <f aca="false">IF(E6=Construction_Yrs,Capex_Utilities+(Capex_Utilities/Total_Base_Capex)*Construction!$F$21,0)</f>
        <v>0</v>
      </c>
      <c r="F26" s="47" t="n">
        <f aca="false">IF(F6=Construction_Yrs,Capex_Utilities+(Capex_Utilities/Total_Base_Capex)*Construction!$F$21,0)</f>
        <v>214.63</v>
      </c>
      <c r="G26" s="47" t="n">
        <f aca="false">IF(G6=Construction_Yrs,Capex_Utilities+(Capex_Utilities/Total_Base_Capex)*Construction!$F$21,0)</f>
        <v>0</v>
      </c>
      <c r="H26" s="47" t="n">
        <f aca="false">IF(H6=Construction_Yrs,Capex_Utilities+(Capex_Utilities/Total_Base_Capex)*Construction!$F$21,0)</f>
        <v>0</v>
      </c>
      <c r="I26" s="47" t="n">
        <f aca="false">IF(I6=Construction_Yrs,Capex_Utilities+(Capex_Utilities/Total_Base_Capex)*Construction!$F$21,0)</f>
        <v>0</v>
      </c>
      <c r="J26" s="47" t="n">
        <f aca="false">IF(J6=Construction_Yrs,Capex_Utilities+(Capex_Utilities/Total_Base_Capex)*Construction!$F$21,0)</f>
        <v>0</v>
      </c>
      <c r="K26" s="47" t="n">
        <f aca="false">IF(K6=Construction_Yrs,Capex_Utilities+(Capex_Utilities/Total_Base_Capex)*Construction!$F$21,0)</f>
        <v>0</v>
      </c>
      <c r="L26" s="47" t="n">
        <f aca="false">IF(L6=Construction_Yrs,Capex_Utilities+(Capex_Utilities/Total_Base_Capex)*Construction!$F$21,0)</f>
        <v>0</v>
      </c>
      <c r="M26" s="47" t="n">
        <f aca="false">IF(M6=Construction_Yrs,Capex_Utilities+(Capex_Utilities/Total_Base_Capex)*Construction!$F$21,0)</f>
        <v>0</v>
      </c>
      <c r="N26" s="47" t="n">
        <f aca="false">IF(N6=Construction_Yrs,Capex_Utilities+(Capex_Utilities/Total_Base_Capex)*Construction!$F$21,0)</f>
        <v>0</v>
      </c>
      <c r="O26" s="47" t="n">
        <f aca="false">IF(O6=Construction_Yrs,Capex_Utilities+(Capex_Utilities/Total_Base_Capex)*Construction!$F$21,0)</f>
        <v>0</v>
      </c>
      <c r="P26" s="47" t="n">
        <f aca="false">IF(P6=Construction_Yrs,Capex_Utilities+(Capex_Utilities/Total_Base_Capex)*Construction!$F$21,0)</f>
        <v>0</v>
      </c>
      <c r="Q26" s="47" t="n">
        <f aca="false">IF(Q6=Construction_Yrs,Capex_Utilities+(Capex_Utilities/Total_Base_Capex)*Construction!$F$21,0)</f>
        <v>0</v>
      </c>
      <c r="R26" s="47" t="n">
        <f aca="false">IF(R6=Construction_Yrs,Capex_Utilities+(Capex_Utilities/Total_Base_Capex)*Construction!$F$21,0)</f>
        <v>0</v>
      </c>
      <c r="S26" s="47" t="n">
        <f aca="false">IF(S6=Construction_Yrs,Capex_Utilities+(Capex_Utilities/Total_Base_Capex)*Construction!$F$21,0)</f>
        <v>0</v>
      </c>
      <c r="T26" s="47" t="n">
        <f aca="false">IF(T6=Construction_Yrs,Capex_Utilities+(Capex_Utilities/Total_Base_Capex)*Construction!$F$21,0)</f>
        <v>0</v>
      </c>
      <c r="U26" s="47" t="n">
        <f aca="false">IF(U6=Construction_Yrs,Capex_Utilities+(Capex_Utilities/Total_Base_Capex)*Construction!$F$21,0)</f>
        <v>0</v>
      </c>
      <c r="V26" s="47" t="n">
        <f aca="false">IF(V6=Construction_Yrs,Capex_Utilities+(Capex_Utilities/Total_Base_Capex)*Construction!$F$21,0)</f>
        <v>0</v>
      </c>
      <c r="W26" s="47" t="n">
        <f aca="false">IF(W6=Construction_Yrs,Capex_Utilities+(Capex_Utilities/Total_Base_Capex)*Construction!$F$21,0)</f>
        <v>0</v>
      </c>
      <c r="X26" s="47" t="n">
        <f aca="false">IF(X6=Construction_Yrs,Capex_Utilities+(Capex_Utilities/Total_Base_Capex)*Construction!$F$21,0)</f>
        <v>0</v>
      </c>
      <c r="Y26" s="47" t="n">
        <f aca="false">IF(Y6=Construction_Yrs,Capex_Utilities+(Capex_Utilities/Total_Base_Capex)*Construction!$F$21,0)</f>
        <v>0</v>
      </c>
      <c r="Z26" s="47" t="n">
        <f aca="false">IF(Z6=Construction_Yrs,Capex_Utilities+(Capex_Utilities/Total_Base_Capex)*Construction!$F$21,0)</f>
        <v>0</v>
      </c>
      <c r="AA26" s="47" t="n">
        <f aca="false">IF(AA6=Construction_Yrs,Capex_Utilities+(Capex_Utilities/Total_Base_Capex)*Construction!$F$21,0)</f>
        <v>0</v>
      </c>
    </row>
    <row r="27" customFormat="false" ht="15" hidden="false" customHeight="false" outlineLevel="0" collapsed="false">
      <c r="A27" s="5"/>
      <c r="B27" s="55" t="s">
        <v>238</v>
      </c>
      <c r="C27" s="47" t="n">
        <f aca="false">IF(C7=0,0,MIN(C26/Life_Utilities,MAX(0,C26)))</f>
        <v>0</v>
      </c>
      <c r="D27" s="47" t="n">
        <f aca="false">IF(D7=0,0,MIN(SUM($C$26:D26)/Life_Utilities,MAX(0,SUM($C$26:D26)-C28)))</f>
        <v>0</v>
      </c>
      <c r="E27" s="47" t="n">
        <f aca="false">IF(E7=0,0,MIN(SUM($C$26:E26)/Life_Utilities,MAX(0,SUM($C$26:E26)-D28)))</f>
        <v>0</v>
      </c>
      <c r="F27" s="47" t="n">
        <f aca="false">IF(F7=0,0,MIN(SUM($C$26:F26)/Life_Utilities,MAX(0,SUM($C$26:F26)-E28)))</f>
        <v>0</v>
      </c>
      <c r="G27" s="47" t="n">
        <f aca="false">IF(G7=0,0,MIN(SUM($C$26:G26)/Life_Utilities,MAX(0,SUM($C$26:G26)-F28)))</f>
        <v>14.3086666666667</v>
      </c>
      <c r="H27" s="47" t="n">
        <f aca="false">IF(H7=0,0,MIN(SUM($C$26:H26)/Life_Utilities,MAX(0,SUM($C$26:H26)-G28)))</f>
        <v>14.3086666666667</v>
      </c>
      <c r="I27" s="47" t="n">
        <f aca="false">IF(I7=0,0,MIN(SUM($C$26:I26)/Life_Utilities,MAX(0,SUM($C$26:I26)-H28)))</f>
        <v>14.3086666666667</v>
      </c>
      <c r="J27" s="47" t="n">
        <f aca="false">IF(J7=0,0,MIN(SUM($C$26:J26)/Life_Utilities,MAX(0,SUM($C$26:J26)-I28)))</f>
        <v>14.3086666666667</v>
      </c>
      <c r="K27" s="47" t="n">
        <f aca="false">IF(K7=0,0,MIN(SUM($C$26:K26)/Life_Utilities,MAX(0,SUM($C$26:K26)-J28)))</f>
        <v>14.3086666666667</v>
      </c>
      <c r="L27" s="47" t="n">
        <f aca="false">IF(L7=0,0,MIN(SUM($C$26:L26)/Life_Utilities,MAX(0,SUM($C$26:L26)-K28)))</f>
        <v>14.3086666666667</v>
      </c>
      <c r="M27" s="47" t="n">
        <f aca="false">IF(M7=0,0,MIN(SUM($C$26:M26)/Life_Utilities,MAX(0,SUM($C$26:M26)-L28)))</f>
        <v>14.3086666666667</v>
      </c>
      <c r="N27" s="47" t="n">
        <f aca="false">IF(N7=0,0,MIN(SUM($C$26:N26)/Life_Utilities,MAX(0,SUM($C$26:N26)-M28)))</f>
        <v>14.3086666666667</v>
      </c>
      <c r="O27" s="47" t="n">
        <f aca="false">IF(O7=0,0,MIN(SUM($C$26:O26)/Life_Utilities,MAX(0,SUM($C$26:O26)-N28)))</f>
        <v>14.3086666666667</v>
      </c>
      <c r="P27" s="47" t="n">
        <f aca="false">IF(P7=0,0,MIN(SUM($C$26:P26)/Life_Utilities,MAX(0,SUM($C$26:P26)-O28)))</f>
        <v>14.3086666666667</v>
      </c>
      <c r="Q27" s="47" t="n">
        <f aca="false">IF(Q7=0,0,MIN(SUM($C$26:Q26)/Life_Utilities,MAX(0,SUM($C$26:Q26)-P28)))</f>
        <v>14.3086666666667</v>
      </c>
      <c r="R27" s="47" t="n">
        <f aca="false">IF(R7=0,0,MIN(SUM($C$26:R26)/Life_Utilities,MAX(0,SUM($C$26:R26)-Q28)))</f>
        <v>14.3086666666667</v>
      </c>
      <c r="S27" s="47" t="n">
        <f aca="false">IF(S7=0,0,MIN(SUM($C$26:S26)/Life_Utilities,MAX(0,SUM($C$26:S26)-R28)))</f>
        <v>14.3086666666667</v>
      </c>
      <c r="T27" s="47" t="n">
        <f aca="false">IF(T7=0,0,MIN(SUM($C$26:T26)/Life_Utilities,MAX(0,SUM($C$26:T26)-S28)))</f>
        <v>14.3086666666667</v>
      </c>
      <c r="U27" s="47" t="n">
        <f aca="false">IF(U7=0,0,MIN(SUM($C$26:U26)/Life_Utilities,MAX(0,SUM($C$26:U26)-T28)))</f>
        <v>14.3086666666667</v>
      </c>
      <c r="V27" s="47" t="n">
        <f aca="false">IF(V7=0,0,MIN(SUM($C$26:V26)/Life_Utilities,MAX(0,SUM($C$26:V26)-U28)))</f>
        <v>0</v>
      </c>
      <c r="W27" s="47" t="n">
        <f aca="false">IF(W7=0,0,MIN(SUM($C$26:W26)/Life_Utilities,MAX(0,SUM($C$26:W26)-V28)))</f>
        <v>0</v>
      </c>
      <c r="X27" s="47" t="n">
        <f aca="false">IF(X7=0,0,MIN(SUM($C$26:X26)/Life_Utilities,MAX(0,SUM($C$26:X26)-W28)))</f>
        <v>0</v>
      </c>
      <c r="Y27" s="47" t="n">
        <f aca="false">IF(Y7=0,0,MIN(SUM($C$26:Y26)/Life_Utilities,MAX(0,SUM($C$26:Y26)-X28)))</f>
        <v>0</v>
      </c>
      <c r="Z27" s="47" t="n">
        <f aca="false">IF(Z7=0,0,MIN(SUM($C$26:Z26)/Life_Utilities,MAX(0,SUM($C$26:Z26)-Y28)))</f>
        <v>0</v>
      </c>
      <c r="AA27" s="47" t="n">
        <f aca="false">IF(AA7=0,0,MIN(SUM($C$26:AA26)/Life_Utilities,MAX(0,SUM($C$26:AA26)-Z28)))</f>
        <v>0</v>
      </c>
    </row>
    <row r="28" customFormat="false" ht="15" hidden="false" customHeight="false" outlineLevel="0" collapsed="false">
      <c r="A28" s="5"/>
      <c r="B28" s="55" t="s">
        <v>239</v>
      </c>
      <c r="C28" s="47" t="n">
        <f aca="false">C27</f>
        <v>0</v>
      </c>
      <c r="D28" s="47" t="n">
        <f aca="false">C28+D27</f>
        <v>0</v>
      </c>
      <c r="E28" s="47" t="n">
        <f aca="false">D28+E27</f>
        <v>0</v>
      </c>
      <c r="F28" s="47" t="n">
        <f aca="false">E28+F27</f>
        <v>0</v>
      </c>
      <c r="G28" s="47" t="n">
        <f aca="false">F28+G27</f>
        <v>14.3086666666667</v>
      </c>
      <c r="H28" s="47" t="n">
        <f aca="false">G28+H27</f>
        <v>28.6173333333333</v>
      </c>
      <c r="I28" s="47" t="n">
        <f aca="false">H28+I27</f>
        <v>42.926</v>
      </c>
      <c r="J28" s="47" t="n">
        <f aca="false">I28+J27</f>
        <v>57.2346666666667</v>
      </c>
      <c r="K28" s="47" t="n">
        <f aca="false">J28+K27</f>
        <v>71.5433333333333</v>
      </c>
      <c r="L28" s="47" t="n">
        <f aca="false">K28+L27</f>
        <v>85.852</v>
      </c>
      <c r="M28" s="47" t="n">
        <f aca="false">L28+M27</f>
        <v>100.160666666667</v>
      </c>
      <c r="N28" s="47" t="n">
        <f aca="false">M28+N27</f>
        <v>114.469333333333</v>
      </c>
      <c r="O28" s="47" t="n">
        <f aca="false">N28+O27</f>
        <v>128.778</v>
      </c>
      <c r="P28" s="47" t="n">
        <f aca="false">O28+P27</f>
        <v>143.086666666667</v>
      </c>
      <c r="Q28" s="47" t="n">
        <f aca="false">P28+Q27</f>
        <v>157.395333333333</v>
      </c>
      <c r="R28" s="47" t="n">
        <f aca="false">Q28+R27</f>
        <v>171.704</v>
      </c>
      <c r="S28" s="47" t="n">
        <f aca="false">R28+S27</f>
        <v>186.012666666667</v>
      </c>
      <c r="T28" s="47" t="n">
        <f aca="false">S28+T27</f>
        <v>200.321333333333</v>
      </c>
      <c r="U28" s="47" t="n">
        <f aca="false">T28+U27</f>
        <v>214.63</v>
      </c>
      <c r="V28" s="47" t="n">
        <f aca="false">U28+V27</f>
        <v>214.63</v>
      </c>
      <c r="W28" s="47" t="n">
        <f aca="false">V28+W27</f>
        <v>214.63</v>
      </c>
      <c r="X28" s="47" t="n">
        <f aca="false">W28+X27</f>
        <v>214.63</v>
      </c>
      <c r="Y28" s="47" t="n">
        <f aca="false">X28+Y27</f>
        <v>214.63</v>
      </c>
      <c r="Z28" s="47" t="n">
        <f aca="false">Y28+Z27</f>
        <v>214.63</v>
      </c>
      <c r="AA28" s="47" t="n">
        <f aca="false">Z28+AA27</f>
        <v>214.63</v>
      </c>
    </row>
    <row r="29" customFormat="false" ht="15" hidden="false" customHeight="false" outlineLevel="0" collapsed="false">
      <c r="A29" s="5"/>
      <c r="B29" s="5"/>
      <c r="C29" s="5"/>
      <c r="D29" s="5"/>
      <c r="E29" s="5"/>
      <c r="F29" s="5"/>
      <c r="G29" s="5"/>
      <c r="H29" s="5"/>
      <c r="I29" s="5"/>
      <c r="J29" s="5"/>
      <c r="K29" s="5"/>
      <c r="L29" s="5"/>
      <c r="M29" s="5"/>
      <c r="N29" s="5"/>
      <c r="O29" s="5"/>
      <c r="P29" s="5"/>
      <c r="Q29" s="5"/>
      <c r="R29" s="5"/>
      <c r="S29" s="5"/>
      <c r="T29" s="5"/>
      <c r="U29" s="5"/>
      <c r="V29" s="5"/>
      <c r="W29" s="5"/>
      <c r="X29" s="5"/>
      <c r="Y29" s="5"/>
      <c r="Z29" s="5"/>
      <c r="AA29" s="5"/>
    </row>
    <row r="30" customFormat="false" ht="15" hidden="false" customHeight="false" outlineLevel="0" collapsed="false">
      <c r="A30" s="5"/>
      <c r="B30" s="37" t="s">
        <v>240</v>
      </c>
      <c r="C30" s="48" t="n">
        <f aca="false">C11+C15+C19+C23+C27</f>
        <v>0</v>
      </c>
      <c r="D30" s="48" t="n">
        <f aca="false">D11+D15+D19+D23+D27</f>
        <v>0</v>
      </c>
      <c r="E30" s="48" t="n">
        <f aca="false">E11+E15+E19+E23+E27</f>
        <v>0</v>
      </c>
      <c r="F30" s="48" t="n">
        <f aca="false">F11+F15+F19+F23+F27</f>
        <v>0</v>
      </c>
      <c r="G30" s="48" t="n">
        <f aca="false">G11+G15+G19+G23+G27</f>
        <v>65.0277797619048</v>
      </c>
      <c r="H30" s="48" t="n">
        <f aca="false">H11+H15+H19+H23+H27</f>
        <v>65.0277797619048</v>
      </c>
      <c r="I30" s="48" t="n">
        <f aca="false">I11+I15+I19+I23+I27</f>
        <v>65.0277797619048</v>
      </c>
      <c r="J30" s="48" t="n">
        <f aca="false">J11+J15+J19+J23+J27</f>
        <v>65.0277797619048</v>
      </c>
      <c r="K30" s="48" t="n">
        <f aca="false">K11+K15+K19+K23+K27</f>
        <v>65.0277797619048</v>
      </c>
      <c r="L30" s="48" t="n">
        <f aca="false">L11+L15+L19+L23+L27</f>
        <v>65.0277797619048</v>
      </c>
      <c r="M30" s="48" t="n">
        <f aca="false">M11+M15+M19+M23+M27</f>
        <v>65.0277797619048</v>
      </c>
      <c r="N30" s="48" t="n">
        <f aca="false">N11+N15+N19+N23+N27</f>
        <v>65.0277797619048</v>
      </c>
      <c r="O30" s="48" t="n">
        <f aca="false">O11+O15+O19+O23+O27</f>
        <v>65.0277797619048</v>
      </c>
      <c r="P30" s="48" t="n">
        <f aca="false">P11+P15+P19+P23+P27</f>
        <v>65.0277797619048</v>
      </c>
      <c r="Q30" s="48" t="n">
        <f aca="false">Q11+Q15+Q19+Q23+Q27</f>
        <v>65.0277797619048</v>
      </c>
      <c r="R30" s="48" t="n">
        <f aca="false">R11+R15+R19+R23+R27</f>
        <v>65.0277797619048</v>
      </c>
      <c r="S30" s="48" t="n">
        <f aca="false">S11+S15+S19+S23+S27</f>
        <v>65.0277797619048</v>
      </c>
      <c r="T30" s="48" t="n">
        <f aca="false">T11+T15+T19+T23+T27</f>
        <v>65.0277797619048</v>
      </c>
      <c r="U30" s="48" t="n">
        <f aca="false">U11+U15+U19+U23+U27</f>
        <v>65.0277797619048</v>
      </c>
      <c r="V30" s="48" t="n">
        <f aca="false">V11+V15+V19+V23+V27</f>
        <v>50.7191130952381</v>
      </c>
      <c r="W30" s="48" t="n">
        <f aca="false">W11+W15+W19+W23+W27</f>
        <v>50.7191130952381</v>
      </c>
      <c r="X30" s="48" t="n">
        <f aca="false">X11+X15+X19+X23+X27</f>
        <v>50.7191130952381</v>
      </c>
      <c r="Y30" s="48" t="n">
        <f aca="false">Y11+Y15+Y19+Y23+Y27</f>
        <v>50.7191130952381</v>
      </c>
      <c r="Z30" s="48" t="n">
        <f aca="false">Z11+Z15+Z19+Z23+Z27</f>
        <v>50.7191130952381</v>
      </c>
      <c r="AA30" s="48" t="n">
        <f aca="false">AA11+AA15+AA19+AA23+AA27</f>
        <v>34.6218630952381</v>
      </c>
    </row>
    <row r="31" customFormat="false" ht="15" hidden="false" customHeight="false" outlineLevel="0" collapsed="false">
      <c r="A31" s="5"/>
      <c r="B31" s="46" t="s">
        <v>241</v>
      </c>
      <c r="C31" s="47" t="n">
        <f aca="false">C12+C16+C20+C24+C28</f>
        <v>0</v>
      </c>
      <c r="D31" s="47" t="n">
        <f aca="false">D12+D16+D20+D24+D28</f>
        <v>0</v>
      </c>
      <c r="E31" s="47" t="n">
        <f aca="false">E12+E16+E20+E24+E28</f>
        <v>0</v>
      </c>
      <c r="F31" s="47" t="n">
        <f aca="false">F12+F16+F20+F24+F28</f>
        <v>0</v>
      </c>
      <c r="G31" s="47" t="n">
        <f aca="false">G12+G16+G20+G24+G28</f>
        <v>65.0277797619048</v>
      </c>
      <c r="H31" s="47" t="n">
        <f aca="false">H12+H16+H20+H24+H28</f>
        <v>130.05555952381</v>
      </c>
      <c r="I31" s="47" t="n">
        <f aca="false">I12+I16+I20+I24+I28</f>
        <v>195.083339285714</v>
      </c>
      <c r="J31" s="47" t="n">
        <f aca="false">J12+J16+J20+J24+J28</f>
        <v>260.111119047619</v>
      </c>
      <c r="K31" s="47" t="n">
        <f aca="false">K12+K16+K20+K24+K28</f>
        <v>325.138898809524</v>
      </c>
      <c r="L31" s="47" t="n">
        <f aca="false">L12+L16+L20+L24+L28</f>
        <v>390.166678571429</v>
      </c>
      <c r="M31" s="47" t="n">
        <f aca="false">M12+M16+M20+M24+M28</f>
        <v>455.194458333333</v>
      </c>
      <c r="N31" s="47" t="n">
        <f aca="false">N12+N16+N20+N24+N28</f>
        <v>520.222238095238</v>
      </c>
      <c r="O31" s="47" t="n">
        <f aca="false">O12+O16+O20+O24+O28</f>
        <v>585.250017857143</v>
      </c>
      <c r="P31" s="47" t="n">
        <f aca="false">P12+P16+P20+P24+P28</f>
        <v>650.277797619048</v>
      </c>
      <c r="Q31" s="47" t="n">
        <f aca="false">Q12+Q16+Q20+Q24+Q28</f>
        <v>715.305577380952</v>
      </c>
      <c r="R31" s="47" t="n">
        <f aca="false">R12+R16+R20+R24+R28</f>
        <v>780.333357142857</v>
      </c>
      <c r="S31" s="47" t="n">
        <f aca="false">S12+S16+S20+S24+S28</f>
        <v>845.361136904762</v>
      </c>
      <c r="T31" s="47" t="n">
        <f aca="false">T12+T16+T20+T24+T28</f>
        <v>910.388916666667</v>
      </c>
      <c r="U31" s="47" t="n">
        <f aca="false">U12+U16+U20+U24+U28</f>
        <v>975.416696428571</v>
      </c>
      <c r="V31" s="47" t="n">
        <f aca="false">V12+V16+V20+V24+V28</f>
        <v>1026.13580952381</v>
      </c>
      <c r="W31" s="47" t="n">
        <f aca="false">W12+W16+W20+W24+W28</f>
        <v>1076.85492261905</v>
      </c>
      <c r="X31" s="47" t="n">
        <f aca="false">X12+X16+X20+X24+X28</f>
        <v>1127.57403571429</v>
      </c>
      <c r="Y31" s="47" t="n">
        <f aca="false">Y12+Y16+Y20+Y24+Y28</f>
        <v>1178.29314880952</v>
      </c>
      <c r="Z31" s="47" t="n">
        <f aca="false">Z12+Z16+Z20+Z24+Z28</f>
        <v>1229.01226190476</v>
      </c>
      <c r="AA31" s="47" t="n">
        <f aca="false">AA12+AA16+AA20+AA24+AA28</f>
        <v>1263.634125</v>
      </c>
    </row>
    <row r="32" customFormat="false" ht="15" hidden="false" customHeight="false" outlineLevel="0" collapsed="false">
      <c r="A32" s="5"/>
      <c r="B32" s="52" t="s">
        <v>242</v>
      </c>
      <c r="C32" s="53" t="n">
        <f aca="false">SUM($C$10:C10)+SUM($C$14:C14)+SUM($C$18:C18)+SUM($C$22:C22)+SUM($C$26:C26)-C31</f>
        <v>0</v>
      </c>
      <c r="D32" s="53" t="n">
        <f aca="false">SUM($C$10:D10)+SUM($C$14:D14)+SUM($C$18:D18)+SUM($C$22:D22)+SUM($C$26:D26)-D31</f>
        <v>0</v>
      </c>
      <c r="E32" s="53" t="n">
        <f aca="false">SUM($C$10:E10)+SUM($C$14:E14)+SUM($C$18:E18)+SUM($C$22:E22)+SUM($C$26:E26)-E31</f>
        <v>0</v>
      </c>
      <c r="F32" s="53" t="n">
        <f aca="false">SUM($C$10:F10)+SUM($C$14:F14)+SUM($C$18:F18)+SUM($C$22:F22)+SUM($C$26:F26)-F31</f>
        <v>1663.3825</v>
      </c>
      <c r="G32" s="53" t="n">
        <f aca="false">SUM($C$10:G10)+SUM($C$14:G14)+SUM($C$18:G18)+SUM($C$22:G22)+SUM($C$26:G26)-G31</f>
        <v>1598.3547202381</v>
      </c>
      <c r="H32" s="53" t="n">
        <f aca="false">SUM($C$10:H10)+SUM($C$14:H14)+SUM($C$18:H18)+SUM($C$22:H22)+SUM($C$26:H26)-H31</f>
        <v>1533.32694047619</v>
      </c>
      <c r="I32" s="53" t="n">
        <f aca="false">SUM($C$10:I10)+SUM($C$14:I14)+SUM($C$18:I18)+SUM($C$22:I22)+SUM($C$26:I26)-I31</f>
        <v>1468.29916071429</v>
      </c>
      <c r="J32" s="53" t="n">
        <f aca="false">SUM($C$10:J10)+SUM($C$14:J14)+SUM($C$18:J18)+SUM($C$22:J22)+SUM($C$26:J26)-J31</f>
        <v>1403.27138095238</v>
      </c>
      <c r="K32" s="53" t="n">
        <f aca="false">SUM($C$10:K10)+SUM($C$14:K14)+SUM($C$18:K18)+SUM($C$22:K22)+SUM($C$26:K26)-K31</f>
        <v>1338.24360119048</v>
      </c>
      <c r="L32" s="53" t="n">
        <f aca="false">SUM($C$10:L10)+SUM($C$14:L14)+SUM($C$18:L18)+SUM($C$22:L22)+SUM($C$26:L26)-L31</f>
        <v>1273.21582142857</v>
      </c>
      <c r="M32" s="53" t="n">
        <f aca="false">SUM($C$10:M10)+SUM($C$14:M14)+SUM($C$18:M18)+SUM($C$22:M22)+SUM($C$26:M26)-M31</f>
        <v>1208.18804166667</v>
      </c>
      <c r="N32" s="53" t="n">
        <f aca="false">SUM($C$10:N10)+SUM($C$14:N14)+SUM($C$18:N18)+SUM($C$22:N22)+SUM($C$26:N26)-N31</f>
        <v>1143.16026190476</v>
      </c>
      <c r="O32" s="53" t="n">
        <f aca="false">SUM($C$10:O10)+SUM($C$14:O14)+SUM($C$18:O18)+SUM($C$22:O22)+SUM($C$26:O26)-O31</f>
        <v>1078.13248214286</v>
      </c>
      <c r="P32" s="53" t="n">
        <f aca="false">SUM($C$10:P10)+SUM($C$14:P14)+SUM($C$18:P18)+SUM($C$22:P22)+SUM($C$26:P26)-P31</f>
        <v>1013.10470238095</v>
      </c>
      <c r="Q32" s="53" t="n">
        <f aca="false">SUM($C$10:Q10)+SUM($C$14:Q14)+SUM($C$18:Q18)+SUM($C$22:Q22)+SUM($C$26:Q26)-Q31</f>
        <v>948.076922619048</v>
      </c>
      <c r="R32" s="53" t="n">
        <f aca="false">SUM($C$10:R10)+SUM($C$14:R14)+SUM($C$18:R18)+SUM($C$22:R22)+SUM($C$26:R26)-R31</f>
        <v>883.049142857143</v>
      </c>
      <c r="S32" s="53" t="n">
        <f aca="false">SUM($C$10:S10)+SUM($C$14:S14)+SUM($C$18:S18)+SUM($C$22:S22)+SUM($C$26:S26)-S31</f>
        <v>818.021363095238</v>
      </c>
      <c r="T32" s="53" t="n">
        <f aca="false">SUM($C$10:T10)+SUM($C$14:T14)+SUM($C$18:T18)+SUM($C$22:T22)+SUM($C$26:T26)-T31</f>
        <v>752.993583333334</v>
      </c>
      <c r="U32" s="53" t="n">
        <f aca="false">SUM($C$10:U10)+SUM($C$14:U14)+SUM($C$18:U18)+SUM($C$22:U22)+SUM($C$26:U26)-U31</f>
        <v>687.965803571429</v>
      </c>
      <c r="V32" s="53" t="n">
        <f aca="false">SUM($C$10:V10)+SUM($C$14:V14)+SUM($C$18:V18)+SUM($C$22:V22)+SUM($C$26:V26)-V31</f>
        <v>637.246690476191</v>
      </c>
      <c r="W32" s="53" t="n">
        <f aca="false">SUM($C$10:W10)+SUM($C$14:W14)+SUM($C$18:W18)+SUM($C$22:W22)+SUM($C$26:W26)-W31</f>
        <v>586.527577380953</v>
      </c>
      <c r="X32" s="53" t="n">
        <f aca="false">SUM($C$10:X10)+SUM($C$14:X14)+SUM($C$18:X18)+SUM($C$22:X22)+SUM($C$26:X26)-X31</f>
        <v>535.808464285715</v>
      </c>
      <c r="Y32" s="53" t="n">
        <f aca="false">SUM($C$10:Y10)+SUM($C$14:Y14)+SUM($C$18:Y18)+SUM($C$22:Y22)+SUM($C$26:Y26)-Y31</f>
        <v>485.089351190476</v>
      </c>
      <c r="Z32" s="53" t="n">
        <f aca="false">SUM($C$10:Z10)+SUM($C$14:Z14)+SUM($C$18:Z18)+SUM($C$22:Z22)+SUM($C$26:Z26)-Z31</f>
        <v>434.370238095238</v>
      </c>
      <c r="AA32" s="53" t="n">
        <f aca="false">SUM($C$10:AA10)+SUM($C$14:AA14)+SUM($C$18:AA18)+SUM($C$22:AA22)+SUM($C$26:AA26)-AA31</f>
        <v>399.748375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A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2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row>
    <row r="2" customFormat="false" ht="22.05" hidden="false" customHeight="false" outlineLevel="0" collapsed="false">
      <c r="A2" s="5"/>
      <c r="B2" s="28" t="s">
        <v>243</v>
      </c>
      <c r="C2" s="5"/>
      <c r="D2" s="5"/>
      <c r="E2" s="5"/>
      <c r="F2" s="5"/>
      <c r="G2" s="5"/>
      <c r="H2" s="5"/>
      <c r="I2" s="5"/>
      <c r="J2" s="5"/>
      <c r="K2" s="5"/>
      <c r="L2" s="5"/>
      <c r="M2" s="5"/>
      <c r="N2" s="5"/>
      <c r="O2" s="5"/>
      <c r="P2" s="5"/>
      <c r="Q2" s="5"/>
      <c r="R2" s="5"/>
      <c r="S2" s="5"/>
      <c r="T2" s="5"/>
      <c r="U2" s="5"/>
      <c r="V2" s="5"/>
      <c r="W2" s="5"/>
      <c r="X2" s="5"/>
      <c r="Y2" s="5"/>
      <c r="Z2" s="5"/>
      <c r="AA2" s="5"/>
    </row>
    <row r="3" customFormat="false" ht="15" hidden="false" customHeight="false" outlineLevel="0" collapsed="false">
      <c r="A3" s="5"/>
      <c r="B3" s="29" t="s">
        <v>244</v>
      </c>
      <c r="C3" s="5"/>
      <c r="D3" s="5"/>
      <c r="E3" s="5"/>
      <c r="F3" s="5"/>
      <c r="G3" s="5"/>
      <c r="H3" s="5"/>
      <c r="I3" s="5"/>
      <c r="J3" s="5"/>
      <c r="K3" s="5"/>
      <c r="L3" s="5"/>
      <c r="M3" s="5"/>
      <c r="N3" s="5"/>
      <c r="O3" s="5"/>
      <c r="P3" s="5"/>
      <c r="Q3" s="5"/>
      <c r="R3" s="5"/>
      <c r="S3" s="5"/>
      <c r="T3" s="5"/>
      <c r="U3" s="5"/>
      <c r="V3" s="5"/>
      <c r="W3" s="5"/>
      <c r="X3" s="5"/>
      <c r="Y3" s="5"/>
      <c r="Z3" s="5"/>
      <c r="AA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row>
    <row r="5" customFormat="false" ht="15" hidden="false" customHeight="false" outlineLevel="0" collapsed="false">
      <c r="A5" s="5"/>
      <c r="B5" s="41" t="s">
        <v>66</v>
      </c>
      <c r="C5" s="42" t="n">
        <f aca="false">Base_Year+0</f>
        <v>2025</v>
      </c>
      <c r="D5" s="42" t="n">
        <f aca="false">Base_Year+1</f>
        <v>2026</v>
      </c>
      <c r="E5" s="42" t="n">
        <f aca="false">Base_Year+2</f>
        <v>2027</v>
      </c>
      <c r="F5" s="42" t="n">
        <f aca="false">Base_Year+3</f>
        <v>2028</v>
      </c>
      <c r="G5" s="42" t="n">
        <f aca="false">Base_Year+4</f>
        <v>2029</v>
      </c>
      <c r="H5" s="42" t="n">
        <f aca="false">Base_Year+5</f>
        <v>2030</v>
      </c>
      <c r="I5" s="42" t="n">
        <f aca="false">Base_Year+6</f>
        <v>2031</v>
      </c>
      <c r="J5" s="42" t="n">
        <f aca="false">Base_Year+7</f>
        <v>2032</v>
      </c>
      <c r="K5" s="42" t="n">
        <f aca="false">Base_Year+8</f>
        <v>2033</v>
      </c>
      <c r="L5" s="42" t="n">
        <f aca="false">Base_Year+9</f>
        <v>2034</v>
      </c>
      <c r="M5" s="42" t="n">
        <f aca="false">Base_Year+10</f>
        <v>2035</v>
      </c>
      <c r="N5" s="42" t="n">
        <f aca="false">Base_Year+11</f>
        <v>2036</v>
      </c>
      <c r="O5" s="42" t="n">
        <f aca="false">Base_Year+12</f>
        <v>2037</v>
      </c>
      <c r="P5" s="42" t="n">
        <f aca="false">Base_Year+13</f>
        <v>2038</v>
      </c>
      <c r="Q5" s="42" t="n">
        <f aca="false">Base_Year+14</f>
        <v>2039</v>
      </c>
      <c r="R5" s="42" t="n">
        <f aca="false">Base_Year+15</f>
        <v>2040</v>
      </c>
      <c r="S5" s="42" t="n">
        <f aca="false">Base_Year+16</f>
        <v>2041</v>
      </c>
      <c r="T5" s="42" t="n">
        <f aca="false">Base_Year+17</f>
        <v>2042</v>
      </c>
      <c r="U5" s="42" t="n">
        <f aca="false">Base_Year+18</f>
        <v>2043</v>
      </c>
      <c r="V5" s="42" t="n">
        <f aca="false">Base_Year+19</f>
        <v>2044</v>
      </c>
      <c r="W5" s="42" t="n">
        <f aca="false">Base_Year+20</f>
        <v>2045</v>
      </c>
      <c r="X5" s="42" t="n">
        <f aca="false">Base_Year+21</f>
        <v>2046</v>
      </c>
      <c r="Y5" s="42" t="n">
        <f aca="false">Base_Year+22</f>
        <v>2047</v>
      </c>
      <c r="Z5" s="42" t="n">
        <f aca="false">Base_Year+23</f>
        <v>2048</v>
      </c>
      <c r="AA5" s="42" t="n">
        <f aca="false">Base_Year+24</f>
        <v>2049</v>
      </c>
    </row>
    <row r="6" customFormat="false" ht="15" hidden="false" customHeight="false" outlineLevel="0" collapsed="false">
      <c r="A6" s="5"/>
      <c r="B6" s="8" t="s">
        <v>192</v>
      </c>
      <c r="C6" s="43" t="n">
        <f aca="false">COLUMN(C1)-2</f>
        <v>1</v>
      </c>
      <c r="D6" s="43" t="n">
        <f aca="false">COLUMN(D1)-2</f>
        <v>2</v>
      </c>
      <c r="E6" s="43" t="n">
        <f aca="false">COLUMN(E1)-2</f>
        <v>3</v>
      </c>
      <c r="F6" s="43" t="n">
        <f aca="false">COLUMN(F1)-2</f>
        <v>4</v>
      </c>
      <c r="G6" s="43" t="n">
        <f aca="false">COLUMN(G1)-2</f>
        <v>5</v>
      </c>
      <c r="H6" s="43" t="n">
        <f aca="false">COLUMN(H1)-2</f>
        <v>6</v>
      </c>
      <c r="I6" s="43" t="n">
        <f aca="false">COLUMN(I1)-2</f>
        <v>7</v>
      </c>
      <c r="J6" s="43" t="n">
        <f aca="false">COLUMN(J1)-2</f>
        <v>8</v>
      </c>
      <c r="K6" s="43" t="n">
        <f aca="false">COLUMN(K1)-2</f>
        <v>9</v>
      </c>
      <c r="L6" s="43" t="n">
        <f aca="false">COLUMN(L1)-2</f>
        <v>10</v>
      </c>
      <c r="M6" s="43" t="n">
        <f aca="false">COLUMN(M1)-2</f>
        <v>11</v>
      </c>
      <c r="N6" s="43" t="n">
        <f aca="false">COLUMN(N1)-2</f>
        <v>12</v>
      </c>
      <c r="O6" s="43" t="n">
        <f aca="false">COLUMN(O1)-2</f>
        <v>13</v>
      </c>
      <c r="P6" s="43" t="n">
        <f aca="false">COLUMN(P1)-2</f>
        <v>14</v>
      </c>
      <c r="Q6" s="43" t="n">
        <f aca="false">COLUMN(Q1)-2</f>
        <v>15</v>
      </c>
      <c r="R6" s="43" t="n">
        <f aca="false">COLUMN(R1)-2</f>
        <v>16</v>
      </c>
      <c r="S6" s="43" t="n">
        <f aca="false">COLUMN(S1)-2</f>
        <v>17</v>
      </c>
      <c r="T6" s="43" t="n">
        <f aca="false">COLUMN(T1)-2</f>
        <v>18</v>
      </c>
      <c r="U6" s="43" t="n">
        <f aca="false">COLUMN(U1)-2</f>
        <v>19</v>
      </c>
      <c r="V6" s="43" t="n">
        <f aca="false">COLUMN(V1)-2</f>
        <v>20</v>
      </c>
      <c r="W6" s="43" t="n">
        <f aca="false">COLUMN(W1)-2</f>
        <v>21</v>
      </c>
      <c r="X6" s="43" t="n">
        <f aca="false">COLUMN(X1)-2</f>
        <v>22</v>
      </c>
      <c r="Y6" s="43" t="n">
        <f aca="false">COLUMN(Y1)-2</f>
        <v>23</v>
      </c>
      <c r="Z6" s="43" t="n">
        <f aca="false">COLUMN(Z1)-2</f>
        <v>24</v>
      </c>
      <c r="AA6" s="43" t="n">
        <f aca="false">COLUMN(AA1)-2</f>
        <v>25</v>
      </c>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c r="W7" s="5"/>
      <c r="X7" s="5"/>
      <c r="Y7" s="5"/>
      <c r="Z7" s="5"/>
      <c r="AA7" s="5"/>
    </row>
    <row r="8" customFormat="false" ht="15" hidden="false" customHeight="false" outlineLevel="0" collapsed="false">
      <c r="A8" s="5"/>
      <c r="B8" s="44" t="s">
        <v>245</v>
      </c>
      <c r="C8" s="45"/>
      <c r="D8" s="45"/>
      <c r="E8" s="45"/>
      <c r="F8" s="45"/>
      <c r="G8" s="45"/>
      <c r="H8" s="45"/>
      <c r="I8" s="45"/>
      <c r="J8" s="45"/>
      <c r="K8" s="45"/>
      <c r="L8" s="45"/>
      <c r="M8" s="45"/>
      <c r="N8" s="45"/>
      <c r="O8" s="45"/>
      <c r="P8" s="45"/>
      <c r="Q8" s="45"/>
      <c r="R8" s="45"/>
      <c r="S8" s="45"/>
      <c r="T8" s="45"/>
      <c r="U8" s="45"/>
      <c r="V8" s="45"/>
      <c r="W8" s="45"/>
      <c r="X8" s="45"/>
      <c r="Y8" s="45"/>
      <c r="Z8" s="45"/>
      <c r="AA8" s="45"/>
    </row>
    <row r="9" customFormat="false" ht="15" hidden="false" customHeight="false" outlineLevel="0" collapsed="false">
      <c r="A9" s="5"/>
      <c r="B9" s="46" t="s">
        <v>246</v>
      </c>
      <c r="C9" s="47" t="n">
        <f aca="false">Total_Base_Capex*Debt_Pct</f>
        <v>1190</v>
      </c>
      <c r="D9" s="47" t="n">
        <f aca="false">Total_Base_Capex*Debt_Pct</f>
        <v>1190</v>
      </c>
      <c r="E9" s="47" t="n">
        <f aca="false">Total_Base_Capex*Debt_Pct</f>
        <v>1190</v>
      </c>
      <c r="F9" s="47" t="n">
        <f aca="false">Total_Base_Capex*Debt_Pct</f>
        <v>1190</v>
      </c>
      <c r="G9" s="47" t="n">
        <f aca="false">Total_Base_Capex*Debt_Pct</f>
        <v>1190</v>
      </c>
      <c r="H9" s="47" t="n">
        <f aca="false">Total_Base_Capex*Debt_Pct</f>
        <v>1190</v>
      </c>
      <c r="I9" s="47" t="n">
        <f aca="false">Total_Base_Capex*Debt_Pct</f>
        <v>1190</v>
      </c>
      <c r="J9" s="47" t="n">
        <f aca="false">Total_Base_Capex*Debt_Pct</f>
        <v>1190</v>
      </c>
      <c r="K9" s="47" t="n">
        <f aca="false">Total_Base_Capex*Debt_Pct</f>
        <v>1190</v>
      </c>
      <c r="L9" s="47" t="n">
        <f aca="false">Total_Base_Capex*Debt_Pct</f>
        <v>1190</v>
      </c>
      <c r="M9" s="47" t="n">
        <f aca="false">Total_Base_Capex*Debt_Pct</f>
        <v>1190</v>
      </c>
      <c r="N9" s="47" t="n">
        <f aca="false">Total_Base_Capex*Debt_Pct</f>
        <v>1190</v>
      </c>
      <c r="O9" s="47" t="n">
        <f aca="false">Total_Base_Capex*Debt_Pct</f>
        <v>1190</v>
      </c>
      <c r="P9" s="47" t="n">
        <f aca="false">Total_Base_Capex*Debt_Pct</f>
        <v>1190</v>
      </c>
      <c r="Q9" s="47" t="n">
        <f aca="false">Total_Base_Capex*Debt_Pct</f>
        <v>1190</v>
      </c>
      <c r="R9" s="47" t="n">
        <f aca="false">Total_Base_Capex*Debt_Pct</f>
        <v>1190</v>
      </c>
      <c r="S9" s="47" t="n">
        <f aca="false">Total_Base_Capex*Debt_Pct</f>
        <v>1190</v>
      </c>
      <c r="T9" s="47" t="n">
        <f aca="false">Total_Base_Capex*Debt_Pct</f>
        <v>1190</v>
      </c>
      <c r="U9" s="47" t="n">
        <f aca="false">Total_Base_Capex*Debt_Pct</f>
        <v>1190</v>
      </c>
      <c r="V9" s="47" t="n">
        <f aca="false">Total_Base_Capex*Debt_Pct</f>
        <v>1190</v>
      </c>
      <c r="W9" s="47" t="n">
        <f aca="false">Total_Base_Capex*Debt_Pct</f>
        <v>1190</v>
      </c>
      <c r="X9" s="47" t="n">
        <f aca="false">Total_Base_Capex*Debt_Pct</f>
        <v>1190</v>
      </c>
      <c r="Y9" s="47" t="n">
        <f aca="false">Total_Base_Capex*Debt_Pct</f>
        <v>1190</v>
      </c>
      <c r="Z9" s="47" t="n">
        <f aca="false">Total_Base_Capex*Debt_Pct</f>
        <v>1190</v>
      </c>
      <c r="AA9" s="47" t="n">
        <f aca="false">Total_Base_Capex*Debt_Pct</f>
        <v>1190</v>
      </c>
    </row>
    <row r="10" customFormat="false" ht="15" hidden="false" customHeight="false" outlineLevel="0" collapsed="false">
      <c r="A10" s="5"/>
      <c r="B10" s="5"/>
      <c r="C10" s="5"/>
      <c r="D10" s="5"/>
      <c r="E10" s="5"/>
      <c r="F10" s="5"/>
      <c r="G10" s="5"/>
      <c r="H10" s="5"/>
      <c r="I10" s="5"/>
      <c r="J10" s="5"/>
      <c r="K10" s="5"/>
      <c r="L10" s="5"/>
      <c r="M10" s="5"/>
      <c r="N10" s="5"/>
      <c r="O10" s="5"/>
      <c r="P10" s="5"/>
      <c r="Q10" s="5"/>
      <c r="R10" s="5"/>
      <c r="S10" s="5"/>
      <c r="T10" s="5"/>
      <c r="U10" s="5"/>
      <c r="V10" s="5"/>
      <c r="W10" s="5"/>
      <c r="X10" s="5"/>
      <c r="Y10" s="5"/>
      <c r="Z10" s="5"/>
      <c r="AA10" s="5"/>
    </row>
    <row r="11" customFormat="false" ht="15" hidden="false" customHeight="false" outlineLevel="0" collapsed="false">
      <c r="A11" s="5"/>
      <c r="B11" s="44" t="s">
        <v>247</v>
      </c>
      <c r="C11" s="45"/>
      <c r="D11" s="45"/>
      <c r="E11" s="45"/>
      <c r="F11" s="45"/>
      <c r="G11" s="45"/>
      <c r="H11" s="45"/>
      <c r="I11" s="45"/>
      <c r="J11" s="45"/>
      <c r="K11" s="45"/>
      <c r="L11" s="45"/>
      <c r="M11" s="45"/>
      <c r="N11" s="45"/>
      <c r="O11" s="45"/>
      <c r="P11" s="45"/>
      <c r="Q11" s="45"/>
      <c r="R11" s="45"/>
      <c r="S11" s="45"/>
      <c r="T11" s="45"/>
      <c r="U11" s="45"/>
      <c r="V11" s="45"/>
      <c r="W11" s="45"/>
      <c r="X11" s="45"/>
      <c r="Y11" s="45"/>
      <c r="Z11" s="45"/>
      <c r="AA11" s="45"/>
    </row>
    <row r="12" customFormat="false" ht="15" hidden="false" customHeight="false" outlineLevel="0" collapsed="false">
      <c r="A12" s="5"/>
      <c r="B12" s="46" t="s">
        <v>248</v>
      </c>
      <c r="C12" s="47" t="n">
        <f aca="false">IF(C6&lt;=Construction_Yrs,C9*Construction!C26,0)</f>
        <v>178.5</v>
      </c>
      <c r="D12" s="47" t="n">
        <f aca="false">IF(D6&lt;=Construction_Yrs,D9*Construction!D26,0)</f>
        <v>357</v>
      </c>
      <c r="E12" s="47" t="n">
        <f aca="false">IF(E6&lt;=Construction_Yrs,E9*Construction!E26,0)</f>
        <v>416.5</v>
      </c>
      <c r="F12" s="47" t="n">
        <f aca="false">IF(F6&lt;=Construction_Yrs,F9*Construction!F26,0)</f>
        <v>238</v>
      </c>
      <c r="G12" s="47" t="n">
        <f aca="false">IF(G6&lt;=Construction_Yrs,G9*Construction!G26,0)</f>
        <v>0</v>
      </c>
      <c r="H12" s="47" t="n">
        <f aca="false">IF(H6&lt;=Construction_Yrs,H9*Construction!H26,0)</f>
        <v>0</v>
      </c>
      <c r="I12" s="47" t="n">
        <f aca="false">IF(I6&lt;=Construction_Yrs,I9*Construction!I26,0)</f>
        <v>0</v>
      </c>
      <c r="J12" s="47" t="n">
        <f aca="false">IF(J6&lt;=Construction_Yrs,J9*Construction!J26,0)</f>
        <v>0</v>
      </c>
      <c r="K12" s="47" t="n">
        <f aca="false">IF(K6&lt;=Construction_Yrs,K9*Construction!K26,0)</f>
        <v>0</v>
      </c>
      <c r="L12" s="47" t="n">
        <f aca="false">IF(L6&lt;=Construction_Yrs,L9*Construction!L26,0)</f>
        <v>0</v>
      </c>
      <c r="M12" s="47" t="n">
        <f aca="false">IF(M6&lt;=Construction_Yrs,M9*Construction!M26,0)</f>
        <v>0</v>
      </c>
      <c r="N12" s="47" t="n">
        <f aca="false">IF(N6&lt;=Construction_Yrs,N9*Construction!N26,0)</f>
        <v>0</v>
      </c>
      <c r="O12" s="47" t="n">
        <f aca="false">IF(O6&lt;=Construction_Yrs,O9*Construction!O26,0)</f>
        <v>0</v>
      </c>
      <c r="P12" s="47" t="n">
        <f aca="false">IF(P6&lt;=Construction_Yrs,P9*Construction!P26,0)</f>
        <v>0</v>
      </c>
      <c r="Q12" s="47" t="n">
        <f aca="false">IF(Q6&lt;=Construction_Yrs,Q9*Construction!Q26,0)</f>
        <v>0</v>
      </c>
      <c r="R12" s="47" t="n">
        <f aca="false">IF(R6&lt;=Construction_Yrs,R9*Construction!R26,0)</f>
        <v>0</v>
      </c>
      <c r="S12" s="47" t="n">
        <f aca="false">IF(S6&lt;=Construction_Yrs,S9*Construction!S26,0)</f>
        <v>0</v>
      </c>
      <c r="T12" s="47" t="n">
        <f aca="false">IF(T6&lt;=Construction_Yrs,T9*Construction!T26,0)</f>
        <v>0</v>
      </c>
      <c r="U12" s="47" t="n">
        <f aca="false">IF(U6&lt;=Construction_Yrs,U9*Construction!U26,0)</f>
        <v>0</v>
      </c>
      <c r="V12" s="47" t="n">
        <f aca="false">IF(V6&lt;=Construction_Yrs,V9*Construction!V26,0)</f>
        <v>0</v>
      </c>
      <c r="W12" s="47" t="n">
        <f aca="false">IF(W6&lt;=Construction_Yrs,W9*Construction!W26,0)</f>
        <v>0</v>
      </c>
      <c r="X12" s="47" t="n">
        <f aca="false">IF(X6&lt;=Construction_Yrs,X9*Construction!X26,0)</f>
        <v>0</v>
      </c>
      <c r="Y12" s="47" t="n">
        <f aca="false">IF(Y6&lt;=Construction_Yrs,Y9*Construction!Y26,0)</f>
        <v>0</v>
      </c>
      <c r="Z12" s="47" t="n">
        <f aca="false">IF(Z6&lt;=Construction_Yrs,Z9*Construction!Z26,0)</f>
        <v>0</v>
      </c>
      <c r="AA12" s="47" t="n">
        <f aca="false">IF(AA6&lt;=Construction_Yrs,AA9*Construction!AA26,0)</f>
        <v>0</v>
      </c>
    </row>
    <row r="13" customFormat="false" ht="15" hidden="false" customHeight="false" outlineLevel="0" collapsed="false">
      <c r="A13" s="5"/>
      <c r="B13" s="46" t="s">
        <v>249</v>
      </c>
      <c r="C13" s="47" t="n">
        <f aca="false">C12</f>
        <v>178.5</v>
      </c>
      <c r="D13" s="47" t="n">
        <f aca="false">C13+D12</f>
        <v>535.5</v>
      </c>
      <c r="E13" s="47" t="n">
        <f aca="false">D13+E12</f>
        <v>952</v>
      </c>
      <c r="F13" s="47" t="n">
        <f aca="false">E13+F12</f>
        <v>1190</v>
      </c>
      <c r="G13" s="47" t="n">
        <f aca="false">F13+G12</f>
        <v>1190</v>
      </c>
      <c r="H13" s="47" t="n">
        <f aca="false">G13+H12</f>
        <v>1190</v>
      </c>
      <c r="I13" s="47" t="n">
        <f aca="false">H13+I12</f>
        <v>1190</v>
      </c>
      <c r="J13" s="47" t="n">
        <f aca="false">I13+J12</f>
        <v>1190</v>
      </c>
      <c r="K13" s="47" t="n">
        <f aca="false">J13+K12</f>
        <v>1190</v>
      </c>
      <c r="L13" s="47" t="n">
        <f aca="false">K13+L12</f>
        <v>1190</v>
      </c>
      <c r="M13" s="47" t="n">
        <f aca="false">L13+M12</f>
        <v>1190</v>
      </c>
      <c r="N13" s="47" t="n">
        <f aca="false">M13+N12</f>
        <v>1190</v>
      </c>
      <c r="O13" s="47" t="n">
        <f aca="false">N13+O12</f>
        <v>1190</v>
      </c>
      <c r="P13" s="47" t="n">
        <f aca="false">O13+P12</f>
        <v>1190</v>
      </c>
      <c r="Q13" s="47" t="n">
        <f aca="false">P13+Q12</f>
        <v>1190</v>
      </c>
      <c r="R13" s="47" t="n">
        <f aca="false">Q13+R12</f>
        <v>1190</v>
      </c>
      <c r="S13" s="47" t="n">
        <f aca="false">R13+S12</f>
        <v>1190</v>
      </c>
      <c r="T13" s="47" t="n">
        <f aca="false">S13+T12</f>
        <v>1190</v>
      </c>
      <c r="U13" s="47" t="n">
        <f aca="false">T13+U12</f>
        <v>1190</v>
      </c>
      <c r="V13" s="47" t="n">
        <f aca="false">U13+V12</f>
        <v>1190</v>
      </c>
      <c r="W13" s="47" t="n">
        <f aca="false">V13+W12</f>
        <v>1190</v>
      </c>
      <c r="X13" s="47" t="n">
        <f aca="false">W13+X12</f>
        <v>1190</v>
      </c>
      <c r="Y13" s="47" t="n">
        <f aca="false">X13+Y12</f>
        <v>1190</v>
      </c>
      <c r="Z13" s="47" t="n">
        <f aca="false">Y13+Z12</f>
        <v>1190</v>
      </c>
      <c r="AA13" s="47" t="n">
        <f aca="false">Z13+AA12</f>
        <v>1190</v>
      </c>
    </row>
    <row r="14" customFormat="false" ht="15" hidden="false" customHeight="false" outlineLevel="0" collapsed="false">
      <c r="A14" s="5"/>
      <c r="B14" s="5"/>
      <c r="C14" s="5"/>
      <c r="D14" s="5"/>
      <c r="E14" s="5"/>
      <c r="F14" s="5"/>
      <c r="G14" s="5"/>
      <c r="H14" s="5"/>
      <c r="I14" s="5"/>
      <c r="J14" s="5"/>
      <c r="K14" s="5"/>
      <c r="L14" s="5"/>
      <c r="M14" s="5"/>
      <c r="N14" s="5"/>
      <c r="O14" s="5"/>
      <c r="P14" s="5"/>
      <c r="Q14" s="5"/>
      <c r="R14" s="5"/>
      <c r="S14" s="5"/>
      <c r="T14" s="5"/>
      <c r="U14" s="5"/>
      <c r="V14" s="5"/>
      <c r="W14" s="5"/>
      <c r="X14" s="5"/>
      <c r="Y14" s="5"/>
      <c r="Z14" s="5"/>
      <c r="AA14" s="5"/>
    </row>
    <row r="15" customFormat="false" ht="15" hidden="false" customHeight="false" outlineLevel="0" collapsed="false">
      <c r="A15" s="5"/>
      <c r="B15" s="44" t="s">
        <v>250</v>
      </c>
      <c r="C15" s="45"/>
      <c r="D15" s="45"/>
      <c r="E15" s="45"/>
      <c r="F15" s="45"/>
      <c r="G15" s="45"/>
      <c r="H15" s="45"/>
      <c r="I15" s="45"/>
      <c r="J15" s="45"/>
      <c r="K15" s="45"/>
      <c r="L15" s="45"/>
      <c r="M15" s="45"/>
      <c r="N15" s="45"/>
      <c r="O15" s="45"/>
      <c r="P15" s="45"/>
      <c r="Q15" s="45"/>
      <c r="R15" s="45"/>
      <c r="S15" s="45"/>
      <c r="T15" s="45"/>
      <c r="U15" s="45"/>
      <c r="V15" s="45"/>
      <c r="W15" s="45"/>
      <c r="X15" s="45"/>
      <c r="Y15" s="45"/>
      <c r="Z15" s="45"/>
      <c r="AA15" s="45"/>
    </row>
    <row r="16" customFormat="false" ht="15" hidden="false" customHeight="false" outlineLevel="0" collapsed="false">
      <c r="A16" s="5"/>
      <c r="B16" s="46" t="s">
        <v>251</v>
      </c>
      <c r="C16" s="47" t="n">
        <f aca="false">0</f>
        <v>0</v>
      </c>
      <c r="D16" s="47" t="n">
        <f aca="false">C18</f>
        <v>178.5</v>
      </c>
      <c r="E16" s="47" t="n">
        <f aca="false">D18</f>
        <v>535.5</v>
      </c>
      <c r="F16" s="47" t="n">
        <f aca="false">E18</f>
        <v>952</v>
      </c>
      <c r="G16" s="47" t="n">
        <f aca="false">F18</f>
        <v>1190</v>
      </c>
      <c r="H16" s="47" t="n">
        <f aca="false">G18</f>
        <v>1190</v>
      </c>
      <c r="I16" s="47" t="n">
        <f aca="false">H18</f>
        <v>1190</v>
      </c>
      <c r="J16" s="47" t="n">
        <f aca="false">I18</f>
        <v>1141.70677977541</v>
      </c>
      <c r="K16" s="47" t="n">
        <f aca="false">J18</f>
        <v>1090.75743243847</v>
      </c>
      <c r="L16" s="47" t="n">
        <f aca="false">K18</f>
        <v>1037.00587099799</v>
      </c>
      <c r="M16" s="47" t="n">
        <f aca="false">L18</f>
        <v>980.297973678294</v>
      </c>
      <c r="N16" s="47" t="n">
        <f aca="false">M18</f>
        <v>920.47114200601</v>
      </c>
      <c r="O16" s="47" t="n">
        <f aca="false">N18</f>
        <v>857.353834591751</v>
      </c>
      <c r="P16" s="47" t="n">
        <f aca="false">O18</f>
        <v>790.765075269707</v>
      </c>
      <c r="Q16" s="47" t="n">
        <f aca="false">P18</f>
        <v>720.513934184952</v>
      </c>
      <c r="R16" s="47" t="n">
        <f aca="false">Q18</f>
        <v>646.398980340534</v>
      </c>
      <c r="S16" s="47" t="n">
        <f aca="false">R18</f>
        <v>568.207704034674</v>
      </c>
      <c r="T16" s="47" t="n">
        <f aca="false">S18</f>
        <v>485.715907531991</v>
      </c>
      <c r="U16" s="47" t="n">
        <f aca="false">T18</f>
        <v>398.68706222166</v>
      </c>
      <c r="V16" s="47" t="n">
        <f aca="false">U18</f>
        <v>306.871630419262</v>
      </c>
      <c r="W16" s="47" t="n">
        <f aca="false">V18</f>
        <v>210.006349867732</v>
      </c>
      <c r="X16" s="47" t="n">
        <f aca="false">W18</f>
        <v>107.813478885867</v>
      </c>
      <c r="Y16" s="47" t="n">
        <f aca="false">X18</f>
        <v>0</v>
      </c>
      <c r="Z16" s="47" t="n">
        <f aca="false">Y18</f>
        <v>0</v>
      </c>
      <c r="AA16" s="47" t="n">
        <f aca="false">Z18</f>
        <v>0</v>
      </c>
    </row>
    <row r="17" customFormat="false" ht="15" hidden="false" customHeight="false" outlineLevel="0" collapsed="false">
      <c r="A17" s="5"/>
      <c r="B17" s="46" t="s">
        <v>252</v>
      </c>
      <c r="C17" s="47" t="n">
        <f aca="false">IF(AND(C6&gt;Construction_Yrs+IO_Period,C16&gt;0),-PMT(Interest_Rate,MAX(1,Debt_Tenor-(C6-Construction_Yrs-1)),C16)-C16*Interest_Rate,0)</f>
        <v>0</v>
      </c>
      <c r="D17" s="47" t="n">
        <f aca="false">IF(AND(D6&gt;Construction_Yrs+IO_Period,D16&gt;0),-PMT(Interest_Rate,MAX(1,Debt_Tenor-(D6-Construction_Yrs-1)),D16)-D16*Interest_Rate,0)</f>
        <v>0</v>
      </c>
      <c r="E17" s="47" t="n">
        <f aca="false">IF(AND(E6&gt;Construction_Yrs+IO_Period,E16&gt;0),-PMT(Interest_Rate,MAX(1,Debt_Tenor-(E6-Construction_Yrs-1)),E16)-E16*Interest_Rate,0)</f>
        <v>0</v>
      </c>
      <c r="F17" s="47" t="n">
        <f aca="false">IF(AND(F6&gt;Construction_Yrs+IO_Period,F16&gt;0),-PMT(Interest_Rate,MAX(1,Debt_Tenor-(F6-Construction_Yrs-1)),F16)-F16*Interest_Rate,0)</f>
        <v>0</v>
      </c>
      <c r="G17" s="47" t="n">
        <f aca="false">IF(AND(G6&gt;Construction_Yrs+IO_Period,G16&gt;0),-PMT(Interest_Rate,MAX(1,Debt_Tenor-(G6-Construction_Yrs-1)),G16)-G16*Interest_Rate,0)</f>
        <v>0</v>
      </c>
      <c r="H17" s="47" t="n">
        <f aca="false">IF(AND(H6&gt;Construction_Yrs+IO_Period,H16&gt;0),-PMT(Interest_Rate,MAX(1,Debt_Tenor-(H6-Construction_Yrs-1)),H16)-H16*Interest_Rate,0)</f>
        <v>0</v>
      </c>
      <c r="I17" s="47" t="n">
        <f aca="false">IF(AND(I6&gt;Construction_Yrs+IO_Period,I16&gt;0),-PMT(Interest_Rate,MAX(1,Debt_Tenor-(I6-Construction_Yrs-1)),I16)-I16*Interest_Rate,0)</f>
        <v>48.2932202245898</v>
      </c>
      <c r="J17" s="47" t="n">
        <f aca="false">IF(AND(J6&gt;Construction_Yrs+IO_Period,J16&gt;0),-PMT(Interest_Rate,MAX(1,Debt_Tenor-(J6-Construction_Yrs-1)),J16)-J16*Interest_Rate,0)</f>
        <v>50.9493473369423</v>
      </c>
      <c r="K17" s="47" t="n">
        <f aca="false">IF(AND(K6&gt;Construction_Yrs+IO_Period,K16&gt;0),-PMT(Interest_Rate,MAX(1,Debt_Tenor-(K6-Construction_Yrs-1)),K16)-K16*Interest_Rate,0)</f>
        <v>53.7515614404741</v>
      </c>
      <c r="L17" s="47" t="n">
        <f aca="false">IF(AND(L6&gt;Construction_Yrs+IO_Period,L16&gt;0),-PMT(Interest_Rate,MAX(1,Debt_Tenor-(L6-Construction_Yrs-1)),L16)-L16*Interest_Rate,0)</f>
        <v>56.7078973197002</v>
      </c>
      <c r="M17" s="47" t="n">
        <f aca="false">IF(AND(M6&gt;Construction_Yrs+IO_Period,M16&gt;0),-PMT(Interest_Rate,MAX(1,Debt_Tenor-(M6-Construction_Yrs-1)),M16)-M16*Interest_Rate,0)</f>
        <v>59.8268316722836</v>
      </c>
      <c r="N17" s="47" t="n">
        <f aca="false">IF(AND(N6&gt;Construction_Yrs+IO_Period,N16&gt;0),-PMT(Interest_Rate,MAX(1,Debt_Tenor-(N6-Construction_Yrs-1)),N16)-N16*Interest_Rate,0)</f>
        <v>63.1173074142593</v>
      </c>
      <c r="O17" s="47" t="n">
        <f aca="false">IF(AND(O6&gt;Construction_Yrs+IO_Period,O16&gt;0),-PMT(Interest_Rate,MAX(1,Debt_Tenor-(O6-Construction_Yrs-1)),O16)-O16*Interest_Rate,0)</f>
        <v>66.5887593220435</v>
      </c>
      <c r="P17" s="47" t="n">
        <f aca="false">IF(AND(P6&gt;Construction_Yrs+IO_Period,P16&gt;0),-PMT(Interest_Rate,MAX(1,Debt_Tenor-(P6-Construction_Yrs-1)),P16)-P16*Interest_Rate,0)</f>
        <v>70.2511410847559</v>
      </c>
      <c r="Q17" s="47" t="n">
        <f aca="false">IF(AND(Q6&gt;Construction_Yrs+IO_Period,Q16&gt;0),-PMT(Interest_Rate,MAX(1,Debt_Tenor-(Q6-Construction_Yrs-1)),Q16)-Q16*Interest_Rate,0)</f>
        <v>74.1149538444175</v>
      </c>
      <c r="R17" s="47" t="n">
        <f aca="false">IF(AND(R6&gt;Construction_Yrs+IO_Period,R16&gt;0),-PMT(Interest_Rate,MAX(1,Debt_Tenor-(R6-Construction_Yrs-1)),R16)-R16*Interest_Rate,0)</f>
        <v>78.1912763058604</v>
      </c>
      <c r="S17" s="47" t="n">
        <f aca="false">IF(AND(S6&gt;Construction_Yrs+IO_Period,S16&gt;0),-PMT(Interest_Rate,MAX(1,Debt_Tenor-(S6-Construction_Yrs-1)),S16)-S16*Interest_Rate,0)</f>
        <v>82.4917965026827</v>
      </c>
      <c r="T17" s="47" t="n">
        <f aca="false">IF(AND(T6&gt;Construction_Yrs+IO_Period,T16&gt;0),-PMT(Interest_Rate,MAX(1,Debt_Tenor-(T6-Construction_Yrs-1)),T16)-T16*Interest_Rate,0)</f>
        <v>87.0288453103303</v>
      </c>
      <c r="U17" s="47" t="n">
        <f aca="false">IF(AND(U6&gt;Construction_Yrs+IO_Period,U16&gt;0),-PMT(Interest_Rate,MAX(1,Debt_Tenor-(U6-Construction_Yrs-1)),U16)-U16*Interest_Rate,0)</f>
        <v>91.8154318023985</v>
      </c>
      <c r="V17" s="47" t="n">
        <f aca="false">IF(AND(V6&gt;Construction_Yrs+IO_Period,V16&gt;0),-PMT(Interest_Rate,MAX(1,Debt_Tenor-(V6-Construction_Yrs-1)),V16)-V16*Interest_Rate,0)</f>
        <v>96.8652805515304</v>
      </c>
      <c r="W17" s="47" t="n">
        <f aca="false">IF(AND(W6&gt;Construction_Yrs+IO_Period,W16&gt;0),-PMT(Interest_Rate,MAX(1,Debt_Tenor-(W6-Construction_Yrs-1)),W16)-W16*Interest_Rate,0)</f>
        <v>102.192870981865</v>
      </c>
      <c r="X17" s="47" t="n">
        <f aca="false">IF(AND(X6&gt;Construction_Yrs+IO_Period,X16&gt;0),-PMT(Interest_Rate,MAX(1,Debt_Tenor-(X6-Construction_Yrs-1)),X16)-X16*Interest_Rate,0)</f>
        <v>107.813478885867</v>
      </c>
      <c r="Y17" s="47" t="n">
        <f aca="false">IF(AND(Y6&gt;Construction_Yrs+IO_Period,Y16&gt;0),-PMT(Interest_Rate,MAX(1,Debt_Tenor-(Y6-Construction_Yrs-1)),Y16)-Y16*Interest_Rate,0)</f>
        <v>0</v>
      </c>
      <c r="Z17" s="47" t="n">
        <f aca="false">IF(AND(Z6&gt;Construction_Yrs+IO_Period,Z16&gt;0),-PMT(Interest_Rate,MAX(1,Debt_Tenor-(Z6-Construction_Yrs-1)),Z16)-Z16*Interest_Rate,0)</f>
        <v>0</v>
      </c>
      <c r="AA17" s="47" t="n">
        <f aca="false">IF(AND(AA6&gt;Construction_Yrs+IO_Period,AA16&gt;0),-PMT(Interest_Rate,MAX(1,Debt_Tenor-(AA6-Construction_Yrs-1)),AA16)-AA16*Interest_Rate,0)</f>
        <v>0</v>
      </c>
    </row>
    <row r="18" customFormat="false" ht="15" hidden="false" customHeight="false" outlineLevel="0" collapsed="false">
      <c r="A18" s="5"/>
      <c r="B18" s="52" t="s">
        <v>253</v>
      </c>
      <c r="C18" s="53" t="n">
        <f aca="false">C16+C12-C17</f>
        <v>178.5</v>
      </c>
      <c r="D18" s="53" t="n">
        <f aca="false">D16+D12-D17</f>
        <v>535.5</v>
      </c>
      <c r="E18" s="53" t="n">
        <f aca="false">E16+E12-E17</f>
        <v>952</v>
      </c>
      <c r="F18" s="53" t="n">
        <f aca="false">F16+F12-F17</f>
        <v>1190</v>
      </c>
      <c r="G18" s="53" t="n">
        <f aca="false">G16+G12-G17</f>
        <v>1190</v>
      </c>
      <c r="H18" s="53" t="n">
        <f aca="false">H16+H12-H17</f>
        <v>1190</v>
      </c>
      <c r="I18" s="53" t="n">
        <f aca="false">I16+I12-I17</f>
        <v>1141.70677977541</v>
      </c>
      <c r="J18" s="53" t="n">
        <f aca="false">J16+J12-J17</f>
        <v>1090.75743243847</v>
      </c>
      <c r="K18" s="53" t="n">
        <f aca="false">K16+K12-K17</f>
        <v>1037.00587099799</v>
      </c>
      <c r="L18" s="53" t="n">
        <f aca="false">L16+L12-L17</f>
        <v>980.297973678294</v>
      </c>
      <c r="M18" s="53" t="n">
        <f aca="false">M16+M12-M17</f>
        <v>920.47114200601</v>
      </c>
      <c r="N18" s="53" t="n">
        <f aca="false">N16+N12-N17</f>
        <v>857.353834591751</v>
      </c>
      <c r="O18" s="53" t="n">
        <f aca="false">O16+O12-O17</f>
        <v>790.765075269707</v>
      </c>
      <c r="P18" s="53" t="n">
        <f aca="false">P16+P12-P17</f>
        <v>720.513934184952</v>
      </c>
      <c r="Q18" s="53" t="n">
        <f aca="false">Q16+Q12-Q17</f>
        <v>646.398980340534</v>
      </c>
      <c r="R18" s="53" t="n">
        <f aca="false">R16+R12-R17</f>
        <v>568.207704034674</v>
      </c>
      <c r="S18" s="53" t="n">
        <f aca="false">S16+S12-S17</f>
        <v>485.715907531991</v>
      </c>
      <c r="T18" s="53" t="n">
        <f aca="false">T16+T12-T17</f>
        <v>398.68706222166</v>
      </c>
      <c r="U18" s="53" t="n">
        <f aca="false">U16+U12-U17</f>
        <v>306.871630419262</v>
      </c>
      <c r="V18" s="53" t="n">
        <f aca="false">V16+V12-V17</f>
        <v>210.006349867732</v>
      </c>
      <c r="W18" s="53" t="n">
        <f aca="false">W16+W12-W17</f>
        <v>107.813478885867</v>
      </c>
      <c r="X18" s="53" t="n">
        <f aca="false">X16+X12-X17</f>
        <v>0</v>
      </c>
      <c r="Y18" s="53" t="n">
        <f aca="false">Y16+Y12-Y17</f>
        <v>0</v>
      </c>
      <c r="Z18" s="53" t="n">
        <f aca="false">Z16+Z12-Z17</f>
        <v>0</v>
      </c>
      <c r="AA18" s="53" t="n">
        <f aca="false">AA16+AA12-AA17</f>
        <v>0</v>
      </c>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row>
    <row r="20" customFormat="false" ht="15" hidden="false" customHeight="false" outlineLevel="0" collapsed="false">
      <c r="A20" s="5"/>
      <c r="B20" s="44" t="s">
        <v>254</v>
      </c>
      <c r="C20" s="45"/>
      <c r="D20" s="45"/>
      <c r="E20" s="45"/>
      <c r="F20" s="45"/>
      <c r="G20" s="45"/>
      <c r="H20" s="45"/>
      <c r="I20" s="45"/>
      <c r="J20" s="45"/>
      <c r="K20" s="45"/>
      <c r="L20" s="45"/>
      <c r="M20" s="45"/>
      <c r="N20" s="45"/>
      <c r="O20" s="45"/>
      <c r="P20" s="45"/>
      <c r="Q20" s="45"/>
      <c r="R20" s="45"/>
      <c r="S20" s="45"/>
      <c r="T20" s="45"/>
      <c r="U20" s="45"/>
      <c r="V20" s="45"/>
      <c r="W20" s="45"/>
      <c r="X20" s="45"/>
      <c r="Y20" s="45"/>
      <c r="Z20" s="45"/>
      <c r="AA20" s="45"/>
    </row>
    <row r="21" customFormat="false" ht="15" hidden="false" customHeight="false" outlineLevel="0" collapsed="false">
      <c r="A21" s="5"/>
      <c r="B21" s="46" t="s">
        <v>255</v>
      </c>
      <c r="C21" s="47" t="n">
        <f aca="false">(C16+C12/2)*Interest_Rate</f>
        <v>4.90875</v>
      </c>
      <c r="D21" s="47" t="n">
        <f aca="false">(D16+D12/2)*Interest_Rate</f>
        <v>19.635</v>
      </c>
      <c r="E21" s="47" t="n">
        <f aca="false">(E16+E12/2)*Interest_Rate</f>
        <v>40.90625</v>
      </c>
      <c r="F21" s="47" t="n">
        <f aca="false">(F16+F12/2)*Interest_Rate</f>
        <v>58.905</v>
      </c>
      <c r="G21" s="47" t="n">
        <f aca="false">(G16+G12/2)*Interest_Rate</f>
        <v>65.45</v>
      </c>
      <c r="H21" s="47" t="n">
        <f aca="false">(H16+H12/2)*Interest_Rate</f>
        <v>65.45</v>
      </c>
      <c r="I21" s="47" t="n">
        <f aca="false">(I16+I12/2)*Interest_Rate</f>
        <v>65.45</v>
      </c>
      <c r="J21" s="47" t="n">
        <f aca="false">(J16+J12/2)*Interest_Rate</f>
        <v>62.7938728876476</v>
      </c>
      <c r="K21" s="47" t="n">
        <f aca="false">(K16+K12/2)*Interest_Rate</f>
        <v>59.9916587841157</v>
      </c>
      <c r="L21" s="47" t="n">
        <f aca="false">(L16+L12/2)*Interest_Rate</f>
        <v>57.0353229048897</v>
      </c>
      <c r="M21" s="47" t="n">
        <f aca="false">(M16+M12/2)*Interest_Rate</f>
        <v>53.9163885523062</v>
      </c>
      <c r="N21" s="47" t="n">
        <f aca="false">(N16+N12/2)*Interest_Rate</f>
        <v>50.6259128103306</v>
      </c>
      <c r="O21" s="47" t="n">
        <f aca="false">(O16+O12/2)*Interest_Rate</f>
        <v>47.1544609025463</v>
      </c>
      <c r="P21" s="47" t="n">
        <f aca="false">(P16+P12/2)*Interest_Rate</f>
        <v>43.4920791398339</v>
      </c>
      <c r="Q21" s="47" t="n">
        <f aca="false">(Q16+Q12/2)*Interest_Rate</f>
        <v>39.6282663801723</v>
      </c>
      <c r="R21" s="47" t="n">
        <f aca="false">(R16+R12/2)*Interest_Rate</f>
        <v>35.5519439187294</v>
      </c>
      <c r="S21" s="47" t="n">
        <f aca="false">(S16+S12/2)*Interest_Rate</f>
        <v>31.251423721907</v>
      </c>
      <c r="T21" s="47" t="n">
        <f aca="false">(T16+T12/2)*Interest_Rate</f>
        <v>26.7143749142595</v>
      </c>
      <c r="U21" s="47" t="n">
        <f aca="false">(U16+U12/2)*Interest_Rate</f>
        <v>21.9277884221913</v>
      </c>
      <c r="V21" s="47" t="n">
        <f aca="false">(V16+V12/2)*Interest_Rate</f>
        <v>16.8779396730594</v>
      </c>
      <c r="W21" s="47" t="n">
        <f aca="false">(W16+W12/2)*Interest_Rate</f>
        <v>11.5503492427252</v>
      </c>
      <c r="X21" s="47" t="n">
        <f aca="false">(X16+X12/2)*Interest_Rate</f>
        <v>5.92974133872269</v>
      </c>
      <c r="Y21" s="47" t="n">
        <f aca="false">(Y16+Y12/2)*Interest_Rate</f>
        <v>0</v>
      </c>
      <c r="Z21" s="47" t="n">
        <f aca="false">(Z16+Z12/2)*Interest_Rate</f>
        <v>0</v>
      </c>
      <c r="AA21" s="47" t="n">
        <f aca="false">(AA16+AA12/2)*Interest_Rate</f>
        <v>0</v>
      </c>
    </row>
    <row r="22" customFormat="false" ht="15" hidden="false" customHeight="false" outlineLevel="0" collapsed="false">
      <c r="A22" s="5"/>
      <c r="B22" s="46" t="s">
        <v>256</v>
      </c>
      <c r="C22" s="56" t="n">
        <f aca="false">IF(C6&lt;=Construction_Yrs,1,0)</f>
        <v>1</v>
      </c>
      <c r="D22" s="56" t="n">
        <f aca="false">IF(D6&lt;=Construction_Yrs,1,0)</f>
        <v>1</v>
      </c>
      <c r="E22" s="56" t="n">
        <f aca="false">IF(E6&lt;=Construction_Yrs,1,0)</f>
        <v>1</v>
      </c>
      <c r="F22" s="56" t="n">
        <f aca="false">IF(F6&lt;=Construction_Yrs,1,0)</f>
        <v>1</v>
      </c>
      <c r="G22" s="56" t="n">
        <f aca="false">IF(G6&lt;=Construction_Yrs,1,0)</f>
        <v>0</v>
      </c>
      <c r="H22" s="56" t="n">
        <f aca="false">IF(H6&lt;=Construction_Yrs,1,0)</f>
        <v>0</v>
      </c>
      <c r="I22" s="56" t="n">
        <f aca="false">IF(I6&lt;=Construction_Yrs,1,0)</f>
        <v>0</v>
      </c>
      <c r="J22" s="56" t="n">
        <f aca="false">IF(J6&lt;=Construction_Yrs,1,0)</f>
        <v>0</v>
      </c>
      <c r="K22" s="56" t="n">
        <f aca="false">IF(K6&lt;=Construction_Yrs,1,0)</f>
        <v>0</v>
      </c>
      <c r="L22" s="56" t="n">
        <f aca="false">IF(L6&lt;=Construction_Yrs,1,0)</f>
        <v>0</v>
      </c>
      <c r="M22" s="56" t="n">
        <f aca="false">IF(M6&lt;=Construction_Yrs,1,0)</f>
        <v>0</v>
      </c>
      <c r="N22" s="56" t="n">
        <f aca="false">IF(N6&lt;=Construction_Yrs,1,0)</f>
        <v>0</v>
      </c>
      <c r="O22" s="56" t="n">
        <f aca="false">IF(O6&lt;=Construction_Yrs,1,0)</f>
        <v>0</v>
      </c>
      <c r="P22" s="56" t="n">
        <f aca="false">IF(P6&lt;=Construction_Yrs,1,0)</f>
        <v>0</v>
      </c>
      <c r="Q22" s="56" t="n">
        <f aca="false">IF(Q6&lt;=Construction_Yrs,1,0)</f>
        <v>0</v>
      </c>
      <c r="R22" s="56" t="n">
        <f aca="false">IF(R6&lt;=Construction_Yrs,1,0)</f>
        <v>0</v>
      </c>
      <c r="S22" s="56" t="n">
        <f aca="false">IF(S6&lt;=Construction_Yrs,1,0)</f>
        <v>0</v>
      </c>
      <c r="T22" s="56" t="n">
        <f aca="false">IF(T6&lt;=Construction_Yrs,1,0)</f>
        <v>0</v>
      </c>
      <c r="U22" s="56" t="n">
        <f aca="false">IF(U6&lt;=Construction_Yrs,1,0)</f>
        <v>0</v>
      </c>
      <c r="V22" s="56" t="n">
        <f aca="false">IF(V6&lt;=Construction_Yrs,1,0)</f>
        <v>0</v>
      </c>
      <c r="W22" s="56" t="n">
        <f aca="false">IF(W6&lt;=Construction_Yrs,1,0)</f>
        <v>0</v>
      </c>
      <c r="X22" s="56" t="n">
        <f aca="false">IF(X6&lt;=Construction_Yrs,1,0)</f>
        <v>0</v>
      </c>
      <c r="Y22" s="56" t="n">
        <f aca="false">IF(Y6&lt;=Construction_Yrs,1,0)</f>
        <v>0</v>
      </c>
      <c r="Z22" s="56" t="n">
        <f aca="false">IF(Z6&lt;=Construction_Yrs,1,0)</f>
        <v>0</v>
      </c>
      <c r="AA22" s="56" t="n">
        <f aca="false">IF(AA6&lt;=Construction_Yrs,1,0)</f>
        <v>0</v>
      </c>
    </row>
    <row r="23" customFormat="false" ht="15" hidden="false" customHeight="false" outlineLevel="0" collapsed="false">
      <c r="A23" s="5"/>
      <c r="B23" s="46" t="s">
        <v>257</v>
      </c>
      <c r="C23" s="47" t="n">
        <f aca="false">C21*(1-C22)</f>
        <v>0</v>
      </c>
      <c r="D23" s="47" t="n">
        <f aca="false">D21*(1-D22)</f>
        <v>0</v>
      </c>
      <c r="E23" s="47" t="n">
        <f aca="false">E21*(1-E22)</f>
        <v>0</v>
      </c>
      <c r="F23" s="47" t="n">
        <f aca="false">F21*(1-F22)</f>
        <v>0</v>
      </c>
      <c r="G23" s="47" t="n">
        <f aca="false">G21*(1-G22)</f>
        <v>65.45</v>
      </c>
      <c r="H23" s="47" t="n">
        <f aca="false">H21*(1-H22)</f>
        <v>65.45</v>
      </c>
      <c r="I23" s="47" t="n">
        <f aca="false">I21*(1-I22)</f>
        <v>65.45</v>
      </c>
      <c r="J23" s="47" t="n">
        <f aca="false">J21*(1-J22)</f>
        <v>62.7938728876476</v>
      </c>
      <c r="K23" s="47" t="n">
        <f aca="false">K21*(1-K22)</f>
        <v>59.9916587841157</v>
      </c>
      <c r="L23" s="47" t="n">
        <f aca="false">L21*(1-L22)</f>
        <v>57.0353229048897</v>
      </c>
      <c r="M23" s="47" t="n">
        <f aca="false">M21*(1-M22)</f>
        <v>53.9163885523062</v>
      </c>
      <c r="N23" s="47" t="n">
        <f aca="false">N21*(1-N22)</f>
        <v>50.6259128103306</v>
      </c>
      <c r="O23" s="47" t="n">
        <f aca="false">O21*(1-O22)</f>
        <v>47.1544609025463</v>
      </c>
      <c r="P23" s="47" t="n">
        <f aca="false">P21*(1-P22)</f>
        <v>43.4920791398339</v>
      </c>
      <c r="Q23" s="47" t="n">
        <f aca="false">Q21*(1-Q22)</f>
        <v>39.6282663801723</v>
      </c>
      <c r="R23" s="47" t="n">
        <f aca="false">R21*(1-R22)</f>
        <v>35.5519439187294</v>
      </c>
      <c r="S23" s="47" t="n">
        <f aca="false">S21*(1-S22)</f>
        <v>31.251423721907</v>
      </c>
      <c r="T23" s="47" t="n">
        <f aca="false">T21*(1-T22)</f>
        <v>26.7143749142595</v>
      </c>
      <c r="U23" s="47" t="n">
        <f aca="false">U21*(1-U22)</f>
        <v>21.9277884221913</v>
      </c>
      <c r="V23" s="47" t="n">
        <f aca="false">V21*(1-V22)</f>
        <v>16.8779396730594</v>
      </c>
      <c r="W23" s="47" t="n">
        <f aca="false">W21*(1-W22)</f>
        <v>11.5503492427252</v>
      </c>
      <c r="X23" s="47" t="n">
        <f aca="false">X21*(1-X22)</f>
        <v>5.92974133872269</v>
      </c>
      <c r="Y23" s="47" t="n">
        <f aca="false">Y21*(1-Y22)</f>
        <v>0</v>
      </c>
      <c r="Z23" s="47" t="n">
        <f aca="false">Z21*(1-Z22)</f>
        <v>0</v>
      </c>
      <c r="AA23" s="47" t="n">
        <f aca="false">AA21*(1-AA22)</f>
        <v>0</v>
      </c>
    </row>
    <row r="24" customFormat="false" ht="15" hidden="false" customHeight="false" outlineLevel="0" collapsed="false">
      <c r="A24" s="5"/>
      <c r="B24" s="46" t="s">
        <v>163</v>
      </c>
      <c r="C24" s="47" t="n">
        <f aca="false">MAX(0,(C9-C13))*Commitment_Fee_Rate</f>
        <v>4.046</v>
      </c>
      <c r="D24" s="47" t="n">
        <f aca="false">MAX(0,(D9-D13))*Commitment_Fee_Rate</f>
        <v>2.618</v>
      </c>
      <c r="E24" s="47" t="n">
        <f aca="false">MAX(0,(E9-E13))*Commitment_Fee_Rate</f>
        <v>0.952</v>
      </c>
      <c r="F24" s="47" t="n">
        <f aca="false">MAX(0,(F9-F13))*Commitment_Fee_Rate</f>
        <v>0</v>
      </c>
      <c r="G24" s="47" t="n">
        <f aca="false">MAX(0,(G9-G13))*Commitment_Fee_Rate</f>
        <v>0</v>
      </c>
      <c r="H24" s="47" t="n">
        <f aca="false">MAX(0,(H9-H13))*Commitment_Fee_Rate</f>
        <v>0</v>
      </c>
      <c r="I24" s="47" t="n">
        <f aca="false">MAX(0,(I9-I13))*Commitment_Fee_Rate</f>
        <v>0</v>
      </c>
      <c r="J24" s="47" t="n">
        <f aca="false">MAX(0,(J9-J13))*Commitment_Fee_Rate</f>
        <v>0</v>
      </c>
      <c r="K24" s="47" t="n">
        <f aca="false">MAX(0,(K9-K13))*Commitment_Fee_Rate</f>
        <v>0</v>
      </c>
      <c r="L24" s="47" t="n">
        <f aca="false">MAX(0,(L9-L13))*Commitment_Fee_Rate</f>
        <v>0</v>
      </c>
      <c r="M24" s="47" t="n">
        <f aca="false">MAX(0,(M9-M13))*Commitment_Fee_Rate</f>
        <v>0</v>
      </c>
      <c r="N24" s="47" t="n">
        <f aca="false">MAX(0,(N9-N13))*Commitment_Fee_Rate</f>
        <v>0</v>
      </c>
      <c r="O24" s="47" t="n">
        <f aca="false">MAX(0,(O9-O13))*Commitment_Fee_Rate</f>
        <v>0</v>
      </c>
      <c r="P24" s="47" t="n">
        <f aca="false">MAX(0,(P9-P13))*Commitment_Fee_Rate</f>
        <v>0</v>
      </c>
      <c r="Q24" s="47" t="n">
        <f aca="false">MAX(0,(Q9-Q13))*Commitment_Fee_Rate</f>
        <v>0</v>
      </c>
      <c r="R24" s="47" t="n">
        <f aca="false">MAX(0,(R9-R13))*Commitment_Fee_Rate</f>
        <v>0</v>
      </c>
      <c r="S24" s="47" t="n">
        <f aca="false">MAX(0,(S9-S13))*Commitment_Fee_Rate</f>
        <v>0</v>
      </c>
      <c r="T24" s="47" t="n">
        <f aca="false">MAX(0,(T9-T13))*Commitment_Fee_Rate</f>
        <v>0</v>
      </c>
      <c r="U24" s="47" t="n">
        <f aca="false">MAX(0,(U9-U13))*Commitment_Fee_Rate</f>
        <v>0</v>
      </c>
      <c r="V24" s="47" t="n">
        <f aca="false">MAX(0,(V9-V13))*Commitment_Fee_Rate</f>
        <v>0</v>
      </c>
      <c r="W24" s="47" t="n">
        <f aca="false">MAX(0,(W9-W13))*Commitment_Fee_Rate</f>
        <v>0</v>
      </c>
      <c r="X24" s="47" t="n">
        <f aca="false">MAX(0,(X9-X13))*Commitment_Fee_Rate</f>
        <v>0</v>
      </c>
      <c r="Y24" s="47" t="n">
        <f aca="false">MAX(0,(Y9-Y13))*Commitment_Fee_Rate</f>
        <v>0</v>
      </c>
      <c r="Z24" s="47" t="n">
        <f aca="false">MAX(0,(Z9-Z13))*Commitment_Fee_Rate</f>
        <v>0</v>
      </c>
      <c r="AA24" s="47" t="n">
        <f aca="false">MAX(0,(AA9-AA13))*Commitment_Fee_Rate</f>
        <v>0</v>
      </c>
    </row>
    <row r="25" customFormat="false" ht="15" hidden="false" customHeight="false" outlineLevel="0" collapsed="false">
      <c r="A25" s="5"/>
      <c r="B25" s="52" t="s">
        <v>258</v>
      </c>
      <c r="C25" s="53" t="n">
        <f aca="false">C23+C24</f>
        <v>4.046</v>
      </c>
      <c r="D25" s="53" t="n">
        <f aca="false">D23+D24</f>
        <v>2.618</v>
      </c>
      <c r="E25" s="53" t="n">
        <f aca="false">E23+E24</f>
        <v>0.952</v>
      </c>
      <c r="F25" s="53" t="n">
        <f aca="false">F23+F24</f>
        <v>0</v>
      </c>
      <c r="G25" s="53" t="n">
        <f aca="false">G23+G24</f>
        <v>65.45</v>
      </c>
      <c r="H25" s="53" t="n">
        <f aca="false">H23+H24</f>
        <v>65.45</v>
      </c>
      <c r="I25" s="53" t="n">
        <f aca="false">I23+I24</f>
        <v>65.45</v>
      </c>
      <c r="J25" s="53" t="n">
        <f aca="false">J23+J24</f>
        <v>62.7938728876476</v>
      </c>
      <c r="K25" s="53" t="n">
        <f aca="false">K23+K24</f>
        <v>59.9916587841157</v>
      </c>
      <c r="L25" s="53" t="n">
        <f aca="false">L23+L24</f>
        <v>57.0353229048897</v>
      </c>
      <c r="M25" s="53" t="n">
        <f aca="false">M23+M24</f>
        <v>53.9163885523062</v>
      </c>
      <c r="N25" s="53" t="n">
        <f aca="false">N23+N24</f>
        <v>50.6259128103306</v>
      </c>
      <c r="O25" s="53" t="n">
        <f aca="false">O23+O24</f>
        <v>47.1544609025463</v>
      </c>
      <c r="P25" s="53" t="n">
        <f aca="false">P23+P24</f>
        <v>43.4920791398339</v>
      </c>
      <c r="Q25" s="53" t="n">
        <f aca="false">Q23+Q24</f>
        <v>39.6282663801723</v>
      </c>
      <c r="R25" s="53" t="n">
        <f aca="false">R23+R24</f>
        <v>35.5519439187294</v>
      </c>
      <c r="S25" s="53" t="n">
        <f aca="false">S23+S24</f>
        <v>31.251423721907</v>
      </c>
      <c r="T25" s="53" t="n">
        <f aca="false">T23+T24</f>
        <v>26.7143749142595</v>
      </c>
      <c r="U25" s="53" t="n">
        <f aca="false">U23+U24</f>
        <v>21.9277884221913</v>
      </c>
      <c r="V25" s="53" t="n">
        <f aca="false">V23+V24</f>
        <v>16.8779396730594</v>
      </c>
      <c r="W25" s="53" t="n">
        <f aca="false">W23+W24</f>
        <v>11.5503492427252</v>
      </c>
      <c r="X25" s="53" t="n">
        <f aca="false">X23+X24</f>
        <v>5.92974133872269</v>
      </c>
      <c r="Y25" s="53" t="n">
        <f aca="false">Y23+Y24</f>
        <v>0</v>
      </c>
      <c r="Z25" s="53" t="n">
        <f aca="false">Z23+Z24</f>
        <v>0</v>
      </c>
      <c r="AA25" s="53" t="n">
        <f aca="false">AA23+AA24</f>
        <v>0</v>
      </c>
    </row>
    <row r="26" customFormat="false" ht="15" hidden="false" customHeight="false" outlineLevel="0" collapsed="false">
      <c r="A26" s="5"/>
      <c r="B26" s="5"/>
      <c r="C26" s="5"/>
      <c r="D26" s="5"/>
      <c r="E26" s="5"/>
      <c r="F26" s="5"/>
      <c r="G26" s="5"/>
      <c r="H26" s="5"/>
      <c r="I26" s="5"/>
      <c r="J26" s="5"/>
      <c r="K26" s="5"/>
      <c r="L26" s="5"/>
      <c r="M26" s="5"/>
      <c r="N26" s="5"/>
      <c r="O26" s="5"/>
      <c r="P26" s="5"/>
      <c r="Q26" s="5"/>
      <c r="R26" s="5"/>
      <c r="S26" s="5"/>
      <c r="T26" s="5"/>
      <c r="U26" s="5"/>
      <c r="V26" s="5"/>
      <c r="W26" s="5"/>
      <c r="X26" s="5"/>
      <c r="Y26" s="5"/>
      <c r="Z26" s="5"/>
      <c r="AA26" s="5"/>
    </row>
    <row r="27" customFormat="false" ht="15" hidden="false" customHeight="false" outlineLevel="0" collapsed="false">
      <c r="A27" s="5"/>
      <c r="B27" s="44" t="s">
        <v>259</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row>
    <row r="28" customFormat="false" ht="15" hidden="false" customHeight="false" outlineLevel="0" collapsed="false">
      <c r="A28" s="5"/>
      <c r="B28" s="46" t="s">
        <v>260</v>
      </c>
      <c r="C28" s="47" t="n">
        <f aca="false">IF(AND(C6&gt;=Construction_Yrs+1,C18&gt;0),DSRA_Months/12*(C17+C23),0)</f>
        <v>0</v>
      </c>
      <c r="D28" s="47" t="n">
        <f aca="false">IF(AND(D6&gt;=Construction_Yrs+1,D18&gt;0),DSRA_Months/12*(D17+D23),0)</f>
        <v>0</v>
      </c>
      <c r="E28" s="47" t="n">
        <f aca="false">IF(AND(E6&gt;=Construction_Yrs+1,E18&gt;0),DSRA_Months/12*(E17+E23),0)</f>
        <v>0</v>
      </c>
      <c r="F28" s="47" t="n">
        <f aca="false">IF(AND(F6&gt;=Construction_Yrs+1,F18&gt;0),DSRA_Months/12*(F17+F23),0)</f>
        <v>0</v>
      </c>
      <c r="G28" s="47" t="n">
        <f aca="false">IF(AND(G6&gt;=Construction_Yrs+1,G18&gt;0),DSRA_Months/12*(G17+G23),0)</f>
        <v>32.725</v>
      </c>
      <c r="H28" s="47" t="n">
        <f aca="false">IF(AND(H6&gt;=Construction_Yrs+1,H18&gt;0),DSRA_Months/12*(H17+H23),0)</f>
        <v>32.725</v>
      </c>
      <c r="I28" s="47" t="n">
        <f aca="false">IF(AND(I6&gt;=Construction_Yrs+1,I18&gt;0),DSRA_Months/12*(I17+I23),0)</f>
        <v>56.8716101122949</v>
      </c>
      <c r="J28" s="47" t="n">
        <f aca="false">IF(AND(J6&gt;=Construction_Yrs+1,J18&gt;0),DSRA_Months/12*(J17+J23),0)</f>
        <v>56.8716101122949</v>
      </c>
      <c r="K28" s="47" t="n">
        <f aca="false">IF(AND(K6&gt;=Construction_Yrs+1,K18&gt;0),DSRA_Months/12*(K17+K23),0)</f>
        <v>56.8716101122949</v>
      </c>
      <c r="L28" s="47" t="n">
        <f aca="false">IF(AND(L6&gt;=Construction_Yrs+1,L18&gt;0),DSRA_Months/12*(L17+L23),0)</f>
        <v>56.8716101122949</v>
      </c>
      <c r="M28" s="47" t="n">
        <f aca="false">IF(AND(M6&gt;=Construction_Yrs+1,M18&gt;0),DSRA_Months/12*(M17+M23),0)</f>
        <v>56.8716101122949</v>
      </c>
      <c r="N28" s="47" t="n">
        <f aca="false">IF(AND(N6&gt;=Construction_Yrs+1,N18&gt;0),DSRA_Months/12*(N17+N23),0)</f>
        <v>56.8716101122949</v>
      </c>
      <c r="O28" s="47" t="n">
        <f aca="false">IF(AND(O6&gt;=Construction_Yrs+1,O18&gt;0),DSRA_Months/12*(O17+O23),0)</f>
        <v>56.8716101122949</v>
      </c>
      <c r="P28" s="47" t="n">
        <f aca="false">IF(AND(P6&gt;=Construction_Yrs+1,P18&gt;0),DSRA_Months/12*(P17+P23),0)</f>
        <v>56.8716101122949</v>
      </c>
      <c r="Q28" s="47" t="n">
        <f aca="false">IF(AND(Q6&gt;=Construction_Yrs+1,Q18&gt;0),DSRA_Months/12*(Q17+Q23),0)</f>
        <v>56.8716101122949</v>
      </c>
      <c r="R28" s="47" t="n">
        <f aca="false">IF(AND(R6&gt;=Construction_Yrs+1,R18&gt;0),DSRA_Months/12*(R17+R23),0)</f>
        <v>56.8716101122949</v>
      </c>
      <c r="S28" s="47" t="n">
        <f aca="false">IF(AND(S6&gt;=Construction_Yrs+1,S18&gt;0),DSRA_Months/12*(S17+S23),0)</f>
        <v>56.8716101122949</v>
      </c>
      <c r="T28" s="47" t="n">
        <f aca="false">IF(AND(T6&gt;=Construction_Yrs+1,T18&gt;0),DSRA_Months/12*(T17+T23),0)</f>
        <v>56.8716101122949</v>
      </c>
      <c r="U28" s="47" t="n">
        <f aca="false">IF(AND(U6&gt;=Construction_Yrs+1,U18&gt;0),DSRA_Months/12*(U17+U23),0)</f>
        <v>56.8716101122949</v>
      </c>
      <c r="V28" s="47" t="n">
        <f aca="false">IF(AND(V6&gt;=Construction_Yrs+1,V18&gt;0),DSRA_Months/12*(V17+V23),0)</f>
        <v>56.8716101122949</v>
      </c>
      <c r="W28" s="47" t="n">
        <f aca="false">IF(AND(W6&gt;=Construction_Yrs+1,W18&gt;0),DSRA_Months/12*(W17+W23),0)</f>
        <v>56.8716101122949</v>
      </c>
      <c r="X28" s="47" t="n">
        <f aca="false">IF(AND(X6&gt;=Construction_Yrs+1,X18&gt;0),DSRA_Months/12*(X17+X23),0)</f>
        <v>0</v>
      </c>
      <c r="Y28" s="47" t="n">
        <f aca="false">IF(AND(Y6&gt;=Construction_Yrs+1,Y18&gt;0),DSRA_Months/12*(Y17+Y23),0)</f>
        <v>0</v>
      </c>
      <c r="Z28" s="47" t="n">
        <f aca="false">IF(AND(Z6&gt;=Construction_Yrs+1,Z18&gt;0),DSRA_Months/12*(Z17+Z23),0)</f>
        <v>0</v>
      </c>
      <c r="AA28" s="47" t="n">
        <f aca="false">IF(AND(AA6&gt;=Construction_Yrs+1,AA18&gt;0),DSRA_Months/12*(AA17+AA23),0)</f>
        <v>0</v>
      </c>
    </row>
    <row r="29" customFormat="false" ht="15" hidden="false" customHeight="false" outlineLevel="0" collapsed="false">
      <c r="A29" s="5"/>
      <c r="B29" s="5"/>
      <c r="C29" s="5"/>
      <c r="D29" s="5"/>
      <c r="E29" s="5"/>
      <c r="F29" s="5"/>
      <c r="G29" s="5"/>
      <c r="H29" s="5"/>
      <c r="I29" s="5"/>
      <c r="J29" s="5"/>
      <c r="K29" s="5"/>
      <c r="L29" s="5"/>
      <c r="M29" s="5"/>
      <c r="N29" s="5"/>
      <c r="O29" s="5"/>
      <c r="P29" s="5"/>
      <c r="Q29" s="5"/>
      <c r="R29" s="5"/>
      <c r="S29" s="5"/>
      <c r="T29" s="5"/>
      <c r="U29" s="5"/>
      <c r="V29" s="5"/>
      <c r="W29" s="5"/>
      <c r="X29" s="5"/>
      <c r="Y29" s="5"/>
      <c r="Z29" s="5"/>
      <c r="AA29" s="5"/>
    </row>
    <row r="30" customFormat="false" ht="15" hidden="false" customHeight="false" outlineLevel="0" collapsed="false">
      <c r="A30" s="5"/>
      <c r="B30" s="44" t="s">
        <v>261</v>
      </c>
      <c r="C30" s="45"/>
      <c r="D30" s="45"/>
      <c r="E30" s="45"/>
      <c r="F30" s="45"/>
      <c r="G30" s="45"/>
      <c r="H30" s="45"/>
      <c r="I30" s="45"/>
      <c r="J30" s="45"/>
      <c r="K30" s="45"/>
      <c r="L30" s="45"/>
      <c r="M30" s="45"/>
      <c r="N30" s="45"/>
      <c r="O30" s="45"/>
      <c r="P30" s="45"/>
      <c r="Q30" s="45"/>
      <c r="R30" s="45"/>
      <c r="S30" s="45"/>
      <c r="T30" s="45"/>
      <c r="U30" s="45"/>
      <c r="V30" s="45"/>
      <c r="W30" s="45"/>
      <c r="X30" s="45"/>
      <c r="Y30" s="45"/>
      <c r="Z30" s="45"/>
      <c r="AA30" s="45"/>
    </row>
    <row r="31" customFormat="false" ht="15" hidden="false" customHeight="false" outlineLevel="0" collapsed="false">
      <c r="A31" s="5"/>
      <c r="B31" s="46" t="s">
        <v>262</v>
      </c>
      <c r="C31" s="47" t="n">
        <f aca="false">C17+C23</f>
        <v>0</v>
      </c>
      <c r="D31" s="47" t="n">
        <f aca="false">D17+D23</f>
        <v>0</v>
      </c>
      <c r="E31" s="47" t="n">
        <f aca="false">E17+E23</f>
        <v>0</v>
      </c>
      <c r="F31" s="47" t="n">
        <f aca="false">F17+F23</f>
        <v>0</v>
      </c>
      <c r="G31" s="47" t="n">
        <f aca="false">G17+G23</f>
        <v>65.45</v>
      </c>
      <c r="H31" s="47" t="n">
        <f aca="false">H17+H23</f>
        <v>65.45</v>
      </c>
      <c r="I31" s="47" t="n">
        <f aca="false">I17+I23</f>
        <v>113.74322022459</v>
      </c>
      <c r="J31" s="47" t="n">
        <f aca="false">J17+J23</f>
        <v>113.74322022459</v>
      </c>
      <c r="K31" s="47" t="n">
        <f aca="false">K17+K23</f>
        <v>113.74322022459</v>
      </c>
      <c r="L31" s="47" t="n">
        <f aca="false">L17+L23</f>
        <v>113.74322022459</v>
      </c>
      <c r="M31" s="47" t="n">
        <f aca="false">M17+M23</f>
        <v>113.74322022459</v>
      </c>
      <c r="N31" s="47" t="n">
        <f aca="false">N17+N23</f>
        <v>113.74322022459</v>
      </c>
      <c r="O31" s="47" t="n">
        <f aca="false">O17+O23</f>
        <v>113.74322022459</v>
      </c>
      <c r="P31" s="47" t="n">
        <f aca="false">P17+P23</f>
        <v>113.74322022459</v>
      </c>
      <c r="Q31" s="47" t="n">
        <f aca="false">Q17+Q23</f>
        <v>113.74322022459</v>
      </c>
      <c r="R31" s="47" t="n">
        <f aca="false">R17+R23</f>
        <v>113.74322022459</v>
      </c>
      <c r="S31" s="47" t="n">
        <f aca="false">S17+S23</f>
        <v>113.74322022459</v>
      </c>
      <c r="T31" s="47" t="n">
        <f aca="false">T17+T23</f>
        <v>113.74322022459</v>
      </c>
      <c r="U31" s="47" t="n">
        <f aca="false">U17+U23</f>
        <v>113.74322022459</v>
      </c>
      <c r="V31" s="47" t="n">
        <f aca="false">V17+V23</f>
        <v>113.74322022459</v>
      </c>
      <c r="W31" s="47" t="n">
        <f aca="false">W17+W23</f>
        <v>113.74322022459</v>
      </c>
      <c r="X31" s="47" t="n">
        <f aca="false">X17+X23</f>
        <v>113.74322022459</v>
      </c>
      <c r="Y31" s="47" t="n">
        <f aca="false">Y17+Y23</f>
        <v>0</v>
      </c>
      <c r="Z31" s="47" t="n">
        <f aca="false">Z17+Z23</f>
        <v>0</v>
      </c>
      <c r="AA31" s="47" t="n">
        <f aca="false">AA17+AA23</f>
        <v>0</v>
      </c>
    </row>
    <row r="32" customFormat="false" ht="15" hidden="false" customHeight="false" outlineLevel="0" collapsed="false">
      <c r="A32" s="5"/>
      <c r="B32" s="46" t="s">
        <v>263</v>
      </c>
      <c r="C32" s="57" t="n">
        <f aca="false">IF(C31=0,0,(REV_Total-OC_Total_Costs)/MAX(1,C31))</f>
        <v>0</v>
      </c>
      <c r="D32" s="57" t="n">
        <f aca="false">IF(D31=0,0,(REV_Total-OC_Total_Costs)/MAX(1,D31))</f>
        <v>0</v>
      </c>
      <c r="E32" s="57" t="n">
        <f aca="false">IF(E31=0,0,(REV_Total-OC_Total_Costs)/MAX(1,E31))</f>
        <v>0</v>
      </c>
      <c r="F32" s="57" t="n">
        <f aca="false">IF(F31=0,0,(REV_Total-OC_Total_Costs)/MAX(1,F31))</f>
        <v>0</v>
      </c>
      <c r="G32" s="57" t="n">
        <f aca="false">IF(G31=0,0,(REV_Total-OC_Total_Costs)/MAX(1,G31))</f>
        <v>4.69637044541137</v>
      </c>
      <c r="H32" s="57" t="n">
        <f aca="false">IF(H31=0,0,(REV_Total-OC_Total_Costs)/MAX(1,H31))</f>
        <v>4.89588737253795</v>
      </c>
      <c r="I32" s="57" t="n">
        <f aca="false">IF(I31=0,0,(REV_Total-OC_Total_Costs)/MAX(1,I31))</f>
        <v>2.935953530873</v>
      </c>
      <c r="J32" s="57" t="n">
        <f aca="false">IF(J31=0,0,(REV_Total-OC_Total_Costs)/MAX(1,J31))</f>
        <v>3.00896339642265</v>
      </c>
      <c r="K32" s="57" t="n">
        <f aca="false">IF(K31=0,0,(REV_Total-OC_Total_Costs)/MAX(1,K31))</f>
        <v>2.69561360934392</v>
      </c>
      <c r="L32" s="57" t="n">
        <f aca="false">IF(L31=0,0,(REV_Total-OC_Total_Costs)/MAX(1,L31))</f>
        <v>3.16048081016536</v>
      </c>
      <c r="M32" s="57" t="n">
        <f aca="false">IF(M31=0,0,(REV_Total-OC_Total_Costs)/MAX(1,M31))</f>
        <v>3.23908004945493</v>
      </c>
      <c r="N32" s="57" t="n">
        <f aca="false">IF(N31=0,0,(REV_Total-OC_Total_Costs)/MAX(1,N31))</f>
        <v>3.31963601410746</v>
      </c>
      <c r="O32" s="57" t="n">
        <f aca="false">IF(O31=0,0,(REV_Total-OC_Total_Costs)/MAX(1,O31))</f>
        <v>3.40219745714462</v>
      </c>
      <c r="P32" s="57" t="n">
        <f aca="false">IF(P31=0,0,(REV_Total-OC_Total_Costs)/MAX(1,P31))</f>
        <v>3.04762756569911</v>
      </c>
      <c r="Q32" s="57" t="n">
        <f aca="false">IF(Q31=0,0,(REV_Total-OC_Total_Costs)/MAX(1,Q31))</f>
        <v>3.57353789839811</v>
      </c>
      <c r="R32" s="57" t="n">
        <f aca="false">IF(R31=0,0,(REV_Total-OC_Total_Costs)/MAX(1,R31))</f>
        <v>3.66242060231917</v>
      </c>
      <c r="S32" s="57" t="n">
        <f aca="false">IF(S31=0,0,(REV_Total-OC_Total_Costs)/MAX(1,S31))</f>
        <v>3.75351625896748</v>
      </c>
      <c r="T32" s="57" t="n">
        <f aca="false">IF(T31=0,0,(REV_Total-OC_Total_Costs)/MAX(1,T31))</f>
        <v>3.8468800098638</v>
      </c>
      <c r="U32" s="57" t="n">
        <f aca="false">IF(U31=0,0,(REV_Total-OC_Total_Costs)/MAX(1,U31))</f>
        <v>3.44566883993811</v>
      </c>
      <c r="V32" s="57" t="n">
        <f aca="false">IF(V31=0,0,(REV_Total-OC_Total_Costs)/MAX(1,V31))</f>
        <v>4.04063926924329</v>
      </c>
      <c r="W32" s="57" t="n">
        <f aca="false">IF(W31=0,0,(REV_Total-OC_Total_Costs)/MAX(1,W31))</f>
        <v>4.1411520732819</v>
      </c>
      <c r="X32" s="57" t="n">
        <f aca="false">IF(X31=0,0,(REV_Total-OC_Total_Costs)/MAX(1,X31))</f>
        <v>4.24416763386762</v>
      </c>
      <c r="Y32" s="57" t="n">
        <f aca="false">IF(Y31=0,0,(REV_Total-OC_Total_Costs)/MAX(1,Y31))</f>
        <v>0</v>
      </c>
      <c r="Z32" s="57" t="n">
        <f aca="false">IF(Z31=0,0,(REV_Total-OC_Total_Costs)/MAX(1,Z31))</f>
        <v>0</v>
      </c>
      <c r="AA32" s="57" t="n">
        <f aca="false">IF(AA31=0,0,(REV_Total-OC_Total_Costs)/MAX(1,AA31))</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A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27" min="3" style="0" width="14"/>
  </cols>
  <sheetData>
    <row r="1" customFormat="false" ht="15" hidden="false" customHeight="false" outlineLevel="0" collapsed="false">
      <c r="A1" s="5"/>
      <c r="B1" s="5"/>
      <c r="C1" s="5"/>
      <c r="D1" s="5"/>
      <c r="E1" s="5"/>
      <c r="F1" s="5"/>
      <c r="G1" s="5"/>
      <c r="H1" s="5"/>
      <c r="I1" s="5"/>
      <c r="J1" s="5"/>
      <c r="K1" s="5"/>
      <c r="L1" s="5"/>
      <c r="M1" s="5"/>
      <c r="N1" s="5"/>
      <c r="O1" s="5"/>
      <c r="P1" s="5"/>
      <c r="Q1" s="5"/>
      <c r="R1" s="5"/>
      <c r="S1" s="5"/>
      <c r="T1" s="5"/>
      <c r="U1" s="5"/>
      <c r="V1" s="5"/>
      <c r="W1" s="5"/>
      <c r="X1" s="5"/>
      <c r="Y1" s="5"/>
      <c r="Z1" s="5"/>
      <c r="AA1" s="5"/>
    </row>
    <row r="2" customFormat="false" ht="22.05" hidden="false" customHeight="false" outlineLevel="0" collapsed="false">
      <c r="A2" s="5"/>
      <c r="B2" s="28" t="s">
        <v>264</v>
      </c>
      <c r="C2" s="5"/>
      <c r="D2" s="5"/>
      <c r="E2" s="5"/>
      <c r="F2" s="5"/>
      <c r="G2" s="5"/>
      <c r="H2" s="5"/>
      <c r="I2" s="5"/>
      <c r="J2" s="5"/>
      <c r="K2" s="5"/>
      <c r="L2" s="5"/>
      <c r="M2" s="5"/>
      <c r="N2" s="5"/>
      <c r="O2" s="5"/>
      <c r="P2" s="5"/>
      <c r="Q2" s="5"/>
      <c r="R2" s="5"/>
      <c r="S2" s="5"/>
      <c r="T2" s="5"/>
      <c r="U2" s="5"/>
      <c r="V2" s="5"/>
      <c r="W2" s="5"/>
      <c r="X2" s="5"/>
      <c r="Y2" s="5"/>
      <c r="Z2" s="5"/>
      <c r="AA2" s="5"/>
    </row>
    <row r="3" customFormat="false" ht="15" hidden="false" customHeight="false" outlineLevel="0" collapsed="false">
      <c r="A3" s="5"/>
      <c r="B3" s="29" t="s">
        <v>265</v>
      </c>
      <c r="C3" s="5"/>
      <c r="D3" s="5"/>
      <c r="E3" s="5"/>
      <c r="F3" s="5"/>
      <c r="G3" s="5"/>
      <c r="H3" s="5"/>
      <c r="I3" s="5"/>
      <c r="J3" s="5"/>
      <c r="K3" s="5"/>
      <c r="L3" s="5"/>
      <c r="M3" s="5"/>
      <c r="N3" s="5"/>
      <c r="O3" s="5"/>
      <c r="P3" s="5"/>
      <c r="Q3" s="5"/>
      <c r="R3" s="5"/>
      <c r="S3" s="5"/>
      <c r="T3" s="5"/>
      <c r="U3" s="5"/>
      <c r="V3" s="5"/>
      <c r="W3" s="5"/>
      <c r="X3" s="5"/>
      <c r="Y3" s="5"/>
      <c r="Z3" s="5"/>
      <c r="AA3" s="5"/>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row>
    <row r="5" customFormat="false" ht="15" hidden="false" customHeight="false" outlineLevel="0" collapsed="false">
      <c r="A5" s="5"/>
      <c r="B5" s="41" t="s">
        <v>66</v>
      </c>
      <c r="C5" s="42" t="n">
        <f aca="false">Base_Year+0</f>
        <v>2025</v>
      </c>
      <c r="D5" s="42" t="n">
        <f aca="false">Base_Year+1</f>
        <v>2026</v>
      </c>
      <c r="E5" s="42" t="n">
        <f aca="false">Base_Year+2</f>
        <v>2027</v>
      </c>
      <c r="F5" s="42" t="n">
        <f aca="false">Base_Year+3</f>
        <v>2028</v>
      </c>
      <c r="G5" s="42" t="n">
        <f aca="false">Base_Year+4</f>
        <v>2029</v>
      </c>
      <c r="H5" s="42" t="n">
        <f aca="false">Base_Year+5</f>
        <v>2030</v>
      </c>
      <c r="I5" s="42" t="n">
        <f aca="false">Base_Year+6</f>
        <v>2031</v>
      </c>
      <c r="J5" s="42" t="n">
        <f aca="false">Base_Year+7</f>
        <v>2032</v>
      </c>
      <c r="K5" s="42" t="n">
        <f aca="false">Base_Year+8</f>
        <v>2033</v>
      </c>
      <c r="L5" s="42" t="n">
        <f aca="false">Base_Year+9</f>
        <v>2034</v>
      </c>
      <c r="M5" s="42" t="n">
        <f aca="false">Base_Year+10</f>
        <v>2035</v>
      </c>
      <c r="N5" s="42" t="n">
        <f aca="false">Base_Year+11</f>
        <v>2036</v>
      </c>
      <c r="O5" s="42" t="n">
        <f aca="false">Base_Year+12</f>
        <v>2037</v>
      </c>
      <c r="P5" s="42" t="n">
        <f aca="false">Base_Year+13</f>
        <v>2038</v>
      </c>
      <c r="Q5" s="42" t="n">
        <f aca="false">Base_Year+14</f>
        <v>2039</v>
      </c>
      <c r="R5" s="42" t="n">
        <f aca="false">Base_Year+15</f>
        <v>2040</v>
      </c>
      <c r="S5" s="42" t="n">
        <f aca="false">Base_Year+16</f>
        <v>2041</v>
      </c>
      <c r="T5" s="42" t="n">
        <f aca="false">Base_Year+17</f>
        <v>2042</v>
      </c>
      <c r="U5" s="42" t="n">
        <f aca="false">Base_Year+18</f>
        <v>2043</v>
      </c>
      <c r="V5" s="42" t="n">
        <f aca="false">Base_Year+19</f>
        <v>2044</v>
      </c>
      <c r="W5" s="42" t="n">
        <f aca="false">Base_Year+20</f>
        <v>2045</v>
      </c>
      <c r="X5" s="42" t="n">
        <f aca="false">Base_Year+21</f>
        <v>2046</v>
      </c>
      <c r="Y5" s="42" t="n">
        <f aca="false">Base_Year+22</f>
        <v>2047</v>
      </c>
      <c r="Z5" s="42" t="n">
        <f aca="false">Base_Year+23</f>
        <v>2048</v>
      </c>
      <c r="AA5" s="42" t="n">
        <f aca="false">Base_Year+24</f>
        <v>2049</v>
      </c>
    </row>
    <row r="6" customFormat="false" ht="15" hidden="false" customHeight="false" outlineLevel="0" collapsed="false">
      <c r="A6" s="5"/>
      <c r="B6" s="8" t="s">
        <v>192</v>
      </c>
      <c r="C6" s="43" t="n">
        <f aca="false">COLUMN(C1)-2</f>
        <v>1</v>
      </c>
      <c r="D6" s="43" t="n">
        <f aca="false">COLUMN(D1)-2</f>
        <v>2</v>
      </c>
      <c r="E6" s="43" t="n">
        <f aca="false">COLUMN(E1)-2</f>
        <v>3</v>
      </c>
      <c r="F6" s="43" t="n">
        <f aca="false">COLUMN(F1)-2</f>
        <v>4</v>
      </c>
      <c r="G6" s="43" t="n">
        <f aca="false">COLUMN(G1)-2</f>
        <v>5</v>
      </c>
      <c r="H6" s="43" t="n">
        <f aca="false">COLUMN(H1)-2</f>
        <v>6</v>
      </c>
      <c r="I6" s="43" t="n">
        <f aca="false">COLUMN(I1)-2</f>
        <v>7</v>
      </c>
      <c r="J6" s="43" t="n">
        <f aca="false">COLUMN(J1)-2</f>
        <v>8</v>
      </c>
      <c r="K6" s="43" t="n">
        <f aca="false">COLUMN(K1)-2</f>
        <v>9</v>
      </c>
      <c r="L6" s="43" t="n">
        <f aca="false">COLUMN(L1)-2</f>
        <v>10</v>
      </c>
      <c r="M6" s="43" t="n">
        <f aca="false">COLUMN(M1)-2</f>
        <v>11</v>
      </c>
      <c r="N6" s="43" t="n">
        <f aca="false">COLUMN(N1)-2</f>
        <v>12</v>
      </c>
      <c r="O6" s="43" t="n">
        <f aca="false">COLUMN(O1)-2</f>
        <v>13</v>
      </c>
      <c r="P6" s="43" t="n">
        <f aca="false">COLUMN(P1)-2</f>
        <v>14</v>
      </c>
      <c r="Q6" s="43" t="n">
        <f aca="false">COLUMN(Q1)-2</f>
        <v>15</v>
      </c>
      <c r="R6" s="43" t="n">
        <f aca="false">COLUMN(R1)-2</f>
        <v>16</v>
      </c>
      <c r="S6" s="43" t="n">
        <f aca="false">COLUMN(S1)-2</f>
        <v>17</v>
      </c>
      <c r="T6" s="43" t="n">
        <f aca="false">COLUMN(T1)-2</f>
        <v>18</v>
      </c>
      <c r="U6" s="43" t="n">
        <f aca="false">COLUMN(U1)-2</f>
        <v>19</v>
      </c>
      <c r="V6" s="43" t="n">
        <f aca="false">COLUMN(V1)-2</f>
        <v>20</v>
      </c>
      <c r="W6" s="43" t="n">
        <f aca="false">COLUMN(W1)-2</f>
        <v>21</v>
      </c>
      <c r="X6" s="43" t="n">
        <f aca="false">COLUMN(X1)-2</f>
        <v>22</v>
      </c>
      <c r="Y6" s="43" t="n">
        <f aca="false">COLUMN(Y1)-2</f>
        <v>23</v>
      </c>
      <c r="Z6" s="43" t="n">
        <f aca="false">COLUMN(Z1)-2</f>
        <v>24</v>
      </c>
      <c r="AA6" s="43" t="n">
        <f aca="false">COLUMN(AA1)-2</f>
        <v>25</v>
      </c>
    </row>
    <row r="7" customFormat="false" ht="15" hidden="false" customHeight="false" outlineLevel="0" collapsed="false">
      <c r="A7" s="5"/>
      <c r="B7" s="8" t="s">
        <v>203</v>
      </c>
      <c r="C7" s="50" t="n">
        <f aca="false">IF(C6&gt;=Construction_Yrs+1,1,0)</f>
        <v>0</v>
      </c>
      <c r="D7" s="50" t="n">
        <f aca="false">IF(D6&gt;=Construction_Yrs+1,1,0)</f>
        <v>0</v>
      </c>
      <c r="E7" s="50" t="n">
        <f aca="false">IF(E6&gt;=Construction_Yrs+1,1,0)</f>
        <v>0</v>
      </c>
      <c r="F7" s="50" t="n">
        <f aca="false">IF(F6&gt;=Construction_Yrs+1,1,0)</f>
        <v>0</v>
      </c>
      <c r="G7" s="50" t="n">
        <f aca="false">IF(G6&gt;=Construction_Yrs+1,1,0)</f>
        <v>1</v>
      </c>
      <c r="H7" s="50" t="n">
        <f aca="false">IF(H6&gt;=Construction_Yrs+1,1,0)</f>
        <v>1</v>
      </c>
      <c r="I7" s="50" t="n">
        <f aca="false">IF(I6&gt;=Construction_Yrs+1,1,0)</f>
        <v>1</v>
      </c>
      <c r="J7" s="50" t="n">
        <f aca="false">IF(J6&gt;=Construction_Yrs+1,1,0)</f>
        <v>1</v>
      </c>
      <c r="K7" s="50" t="n">
        <f aca="false">IF(K6&gt;=Construction_Yrs+1,1,0)</f>
        <v>1</v>
      </c>
      <c r="L7" s="50" t="n">
        <f aca="false">IF(L6&gt;=Construction_Yrs+1,1,0)</f>
        <v>1</v>
      </c>
      <c r="M7" s="50" t="n">
        <f aca="false">IF(M6&gt;=Construction_Yrs+1,1,0)</f>
        <v>1</v>
      </c>
      <c r="N7" s="50" t="n">
        <f aca="false">IF(N6&gt;=Construction_Yrs+1,1,0)</f>
        <v>1</v>
      </c>
      <c r="O7" s="50" t="n">
        <f aca="false">IF(O6&gt;=Construction_Yrs+1,1,0)</f>
        <v>1</v>
      </c>
      <c r="P7" s="50" t="n">
        <f aca="false">IF(P6&gt;=Construction_Yrs+1,1,0)</f>
        <v>1</v>
      </c>
      <c r="Q7" s="50" t="n">
        <f aca="false">IF(Q6&gt;=Construction_Yrs+1,1,0)</f>
        <v>1</v>
      </c>
      <c r="R7" s="50" t="n">
        <f aca="false">IF(R6&gt;=Construction_Yrs+1,1,0)</f>
        <v>1</v>
      </c>
      <c r="S7" s="50" t="n">
        <f aca="false">IF(S6&gt;=Construction_Yrs+1,1,0)</f>
        <v>1</v>
      </c>
      <c r="T7" s="50" t="n">
        <f aca="false">IF(T6&gt;=Construction_Yrs+1,1,0)</f>
        <v>1</v>
      </c>
      <c r="U7" s="50" t="n">
        <f aca="false">IF(U6&gt;=Construction_Yrs+1,1,0)</f>
        <v>1</v>
      </c>
      <c r="V7" s="50" t="n">
        <f aca="false">IF(V6&gt;=Construction_Yrs+1,1,0)</f>
        <v>1</v>
      </c>
      <c r="W7" s="50" t="n">
        <f aca="false">IF(W6&gt;=Construction_Yrs+1,1,0)</f>
        <v>1</v>
      </c>
      <c r="X7" s="50" t="n">
        <f aca="false">IF(X6&gt;=Construction_Yrs+1,1,0)</f>
        <v>1</v>
      </c>
      <c r="Y7" s="50" t="n">
        <f aca="false">IF(Y6&gt;=Construction_Yrs+1,1,0)</f>
        <v>1</v>
      </c>
      <c r="Z7" s="50" t="n">
        <f aca="false">IF(Z6&gt;=Construction_Yrs+1,1,0)</f>
        <v>1</v>
      </c>
      <c r="AA7" s="50" t="n">
        <f aca="false">IF(AA6&gt;=Construction_Yrs+1,1,0)</f>
        <v>1</v>
      </c>
    </row>
    <row r="8" customFormat="false" ht="15" hidden="false" customHeight="false" outlineLevel="0" collapsed="false">
      <c r="A8" s="5"/>
      <c r="B8" s="5"/>
      <c r="C8" s="5"/>
      <c r="D8" s="5"/>
      <c r="E8" s="5"/>
      <c r="F8" s="5"/>
      <c r="G8" s="5"/>
      <c r="H8" s="5"/>
      <c r="I8" s="5"/>
      <c r="J8" s="5"/>
      <c r="K8" s="5"/>
      <c r="L8" s="5"/>
      <c r="M8" s="5"/>
      <c r="N8" s="5"/>
      <c r="O8" s="5"/>
      <c r="P8" s="5"/>
      <c r="Q8" s="5"/>
      <c r="R8" s="5"/>
      <c r="S8" s="5"/>
      <c r="T8" s="5"/>
      <c r="U8" s="5"/>
      <c r="V8" s="5"/>
      <c r="W8" s="5"/>
      <c r="X8" s="5"/>
      <c r="Y8" s="5"/>
      <c r="Z8" s="5"/>
      <c r="AA8" s="5"/>
    </row>
    <row r="9" customFormat="false" ht="15" hidden="false" customHeight="false" outlineLevel="0" collapsed="false">
      <c r="A9" s="5"/>
      <c r="B9" s="44" t="s">
        <v>266</v>
      </c>
      <c r="C9" s="45"/>
      <c r="D9" s="45"/>
      <c r="E9" s="45"/>
      <c r="F9" s="45"/>
      <c r="G9" s="45"/>
      <c r="H9" s="45"/>
      <c r="I9" s="45"/>
      <c r="J9" s="45"/>
      <c r="K9" s="45"/>
      <c r="L9" s="45"/>
      <c r="M9" s="45"/>
      <c r="N9" s="45"/>
      <c r="O9" s="45"/>
      <c r="P9" s="45"/>
      <c r="Q9" s="45"/>
      <c r="R9" s="45"/>
      <c r="S9" s="45"/>
      <c r="T9" s="45"/>
      <c r="U9" s="45"/>
      <c r="V9" s="45"/>
      <c r="W9" s="45"/>
      <c r="X9" s="45"/>
      <c r="Y9" s="45"/>
      <c r="Z9" s="45"/>
      <c r="AA9" s="45"/>
    </row>
    <row r="10" customFormat="false" ht="15" hidden="false" customHeight="false" outlineLevel="0" collapsed="false">
      <c r="A10" s="5"/>
      <c r="B10" s="46" t="s">
        <v>205</v>
      </c>
      <c r="C10" s="47" t="n">
        <f aca="false">REV_Cap_Revenue</f>
        <v>0</v>
      </c>
      <c r="D10" s="47" t="n">
        <f aca="false">REV_Cap_Revenue</f>
        <v>0</v>
      </c>
      <c r="E10" s="47" t="n">
        <f aca="false">REV_Cap_Revenue</f>
        <v>0</v>
      </c>
      <c r="F10" s="47" t="n">
        <f aca="false">REV_Cap_Revenue</f>
        <v>0</v>
      </c>
      <c r="G10" s="47" t="n">
        <f aca="false">REV_Cap_Revenue</f>
        <v>361.25</v>
      </c>
      <c r="H10" s="47" t="n">
        <f aca="false">REV_Cap_Revenue</f>
        <v>370.28125</v>
      </c>
      <c r="I10" s="47" t="n">
        <f aca="false">REV_Cap_Revenue</f>
        <v>379.53828125</v>
      </c>
      <c r="J10" s="47" t="n">
        <f aca="false">REV_Cap_Revenue</f>
        <v>389.02673828125</v>
      </c>
      <c r="K10" s="47" t="n">
        <f aca="false">REV_Cap_Revenue</f>
        <v>398.752406738281</v>
      </c>
      <c r="L10" s="47" t="n">
        <f aca="false">REV_Cap_Revenue</f>
        <v>408.721216906738</v>
      </c>
      <c r="M10" s="47" t="n">
        <f aca="false">REV_Cap_Revenue</f>
        <v>418.939247329406</v>
      </c>
      <c r="N10" s="47" t="n">
        <f aca="false">REV_Cap_Revenue</f>
        <v>429.412728512642</v>
      </c>
      <c r="O10" s="47" t="n">
        <f aca="false">REV_Cap_Revenue</f>
        <v>440.148046725458</v>
      </c>
      <c r="P10" s="47" t="n">
        <f aca="false">REV_Cap_Revenue</f>
        <v>451.151747893594</v>
      </c>
      <c r="Q10" s="47" t="n">
        <f aca="false">REV_Cap_Revenue</f>
        <v>462.430541590934</v>
      </c>
      <c r="R10" s="47" t="n">
        <f aca="false">REV_Cap_Revenue</f>
        <v>473.991305130707</v>
      </c>
      <c r="S10" s="47" t="n">
        <f aca="false">REV_Cap_Revenue</f>
        <v>485.841087758975</v>
      </c>
      <c r="T10" s="47" t="n">
        <f aca="false">REV_Cap_Revenue</f>
        <v>497.987114952949</v>
      </c>
      <c r="U10" s="47" t="n">
        <f aca="false">REV_Cap_Revenue</f>
        <v>510.436792826773</v>
      </c>
      <c r="V10" s="47" t="n">
        <f aca="false">REV_Cap_Revenue</f>
        <v>523.197712647442</v>
      </c>
      <c r="W10" s="47" t="n">
        <f aca="false">REV_Cap_Revenue</f>
        <v>536.277655463628</v>
      </c>
      <c r="X10" s="47" t="n">
        <f aca="false">REV_Cap_Revenue</f>
        <v>549.684596850219</v>
      </c>
      <c r="Y10" s="47" t="n">
        <f aca="false">REV_Cap_Revenue</f>
        <v>563.426711771474</v>
      </c>
      <c r="Z10" s="47" t="n">
        <f aca="false">REV_Cap_Revenue</f>
        <v>577.512379565761</v>
      </c>
      <c r="AA10" s="47" t="n">
        <f aca="false">REV_Cap_Revenue</f>
        <v>591.950189054905</v>
      </c>
    </row>
    <row r="11" customFormat="false" ht="15" hidden="false" customHeight="false" outlineLevel="0" collapsed="false">
      <c r="A11" s="5"/>
      <c r="B11" s="46" t="s">
        <v>209</v>
      </c>
      <c r="C11" s="47" t="n">
        <f aca="false">REV_Var_Revenue</f>
        <v>0</v>
      </c>
      <c r="D11" s="47" t="n">
        <f aca="false">REV_Var_Revenue</f>
        <v>0</v>
      </c>
      <c r="E11" s="47" t="n">
        <f aca="false">REV_Var_Revenue</f>
        <v>0</v>
      </c>
      <c r="F11" s="47" t="n">
        <f aca="false">REV_Var_Revenue</f>
        <v>0</v>
      </c>
      <c r="G11" s="47" t="n">
        <f aca="false">REV_Var_Revenue</f>
        <v>35</v>
      </c>
      <c r="H11" s="47" t="n">
        <f aca="false">REV_Var_Revenue</f>
        <v>41.5125</v>
      </c>
      <c r="I11" s="47" t="n">
        <f aca="false">REV_Var_Revenue</f>
        <v>48.32875</v>
      </c>
      <c r="J11" s="47" t="n">
        <f aca="false">REV_Var_Revenue</f>
        <v>49.53696875</v>
      </c>
      <c r="K11" s="47" t="n">
        <f aca="false">REV_Var_Revenue</f>
        <v>50.77539296875</v>
      </c>
      <c r="L11" s="47" t="n">
        <f aca="false">REV_Var_Revenue</f>
        <v>52.0447777929687</v>
      </c>
      <c r="M11" s="47" t="n">
        <f aca="false">REV_Var_Revenue</f>
        <v>53.3458972377929</v>
      </c>
      <c r="N11" s="47" t="n">
        <f aca="false">REV_Var_Revenue</f>
        <v>54.6795446687378</v>
      </c>
      <c r="O11" s="47" t="n">
        <f aca="false">REV_Var_Revenue</f>
        <v>56.0465332854562</v>
      </c>
      <c r="P11" s="47" t="n">
        <f aca="false">REV_Var_Revenue</f>
        <v>57.4476966175926</v>
      </c>
      <c r="Q11" s="47" t="n">
        <f aca="false">REV_Var_Revenue</f>
        <v>58.8838890330324</v>
      </c>
      <c r="R11" s="47" t="n">
        <f aca="false">REV_Var_Revenue</f>
        <v>60.3559862588582</v>
      </c>
      <c r="S11" s="47" t="n">
        <f aca="false">REV_Var_Revenue</f>
        <v>61.8648859153297</v>
      </c>
      <c r="T11" s="47" t="n">
        <f aca="false">REV_Var_Revenue</f>
        <v>63.4115080632129</v>
      </c>
      <c r="U11" s="47" t="n">
        <f aca="false">REV_Var_Revenue</f>
        <v>64.9967957647932</v>
      </c>
      <c r="V11" s="47" t="n">
        <f aca="false">REV_Var_Revenue</f>
        <v>66.621715658913</v>
      </c>
      <c r="W11" s="47" t="n">
        <f aca="false">REV_Var_Revenue</f>
        <v>68.2872585503859</v>
      </c>
      <c r="X11" s="47" t="n">
        <f aca="false">REV_Var_Revenue</f>
        <v>69.9944400141455</v>
      </c>
      <c r="Y11" s="47" t="n">
        <f aca="false">REV_Var_Revenue</f>
        <v>71.7443010144991</v>
      </c>
      <c r="Z11" s="47" t="n">
        <f aca="false">REV_Var_Revenue</f>
        <v>73.5379085398616</v>
      </c>
      <c r="AA11" s="47" t="n">
        <f aca="false">REV_Var_Revenue</f>
        <v>75.3763562533581</v>
      </c>
    </row>
    <row r="12" customFormat="false" ht="15" hidden="false" customHeight="false" outlineLevel="0" collapsed="false">
      <c r="A12" s="5"/>
      <c r="B12" s="46" t="s">
        <v>267</v>
      </c>
      <c r="C12" s="47" t="n">
        <f aca="false">REV_Anc_Revenue</f>
        <v>0</v>
      </c>
      <c r="D12" s="47" t="n">
        <f aca="false">REV_Anc_Revenue</f>
        <v>0</v>
      </c>
      <c r="E12" s="47" t="n">
        <f aca="false">REV_Anc_Revenue</f>
        <v>0</v>
      </c>
      <c r="F12" s="47" t="n">
        <f aca="false">REV_Anc_Revenue</f>
        <v>0</v>
      </c>
      <c r="G12" s="47" t="n">
        <f aca="false">REV_Anc_Revenue</f>
        <v>6.84782608695652</v>
      </c>
      <c r="H12" s="47" t="n">
        <f aca="false">REV_Anc_Revenue</f>
        <v>8.08239130434783</v>
      </c>
      <c r="I12" s="47" t="n">
        <f aca="false">REV_Anc_Revenue</f>
        <v>9.3636</v>
      </c>
      <c r="J12" s="47" t="n">
        <f aca="false">REV_Anc_Revenue</f>
        <v>9.550872</v>
      </c>
      <c r="K12" s="47" t="n">
        <f aca="false">REV_Anc_Revenue</f>
        <v>9.74188944</v>
      </c>
      <c r="L12" s="47" t="n">
        <f aca="false">REV_Anc_Revenue</f>
        <v>9.9367272288</v>
      </c>
      <c r="M12" s="47" t="n">
        <f aca="false">REV_Anc_Revenue</f>
        <v>10.135461773376</v>
      </c>
      <c r="N12" s="47" t="n">
        <f aca="false">REV_Anc_Revenue</f>
        <v>10.3381710088435</v>
      </c>
      <c r="O12" s="47" t="n">
        <f aca="false">REV_Anc_Revenue</f>
        <v>10.5449344290204</v>
      </c>
      <c r="P12" s="47" t="n">
        <f aca="false">REV_Anc_Revenue</f>
        <v>10.7558331176008</v>
      </c>
      <c r="Q12" s="47" t="n">
        <f aca="false">REV_Anc_Revenue</f>
        <v>10.9709497799528</v>
      </c>
      <c r="R12" s="47" t="n">
        <f aca="false">REV_Anc_Revenue</f>
        <v>11.1903687755519</v>
      </c>
      <c r="S12" s="47" t="n">
        <f aca="false">REV_Anc_Revenue</f>
        <v>11.4141761510629</v>
      </c>
      <c r="T12" s="47" t="n">
        <f aca="false">REV_Anc_Revenue</f>
        <v>11.6424596740842</v>
      </c>
      <c r="U12" s="47" t="n">
        <f aca="false">REV_Anc_Revenue</f>
        <v>11.8753088675659</v>
      </c>
      <c r="V12" s="47" t="n">
        <f aca="false">REV_Anc_Revenue</f>
        <v>12.1128150449172</v>
      </c>
      <c r="W12" s="47" t="n">
        <f aca="false">REV_Anc_Revenue</f>
        <v>12.3550713458155</v>
      </c>
      <c r="X12" s="47" t="n">
        <f aca="false">REV_Anc_Revenue</f>
        <v>12.6021727727318</v>
      </c>
      <c r="Y12" s="47" t="n">
        <f aca="false">REV_Anc_Revenue</f>
        <v>12.8542162281865</v>
      </c>
      <c r="Z12" s="47" t="n">
        <f aca="false">REV_Anc_Revenue</f>
        <v>13.1113005527502</v>
      </c>
      <c r="AA12" s="47" t="n">
        <f aca="false">REV_Anc_Revenue</f>
        <v>13.3735265638052</v>
      </c>
    </row>
    <row r="13" customFormat="false" ht="15" hidden="false" customHeight="false" outlineLevel="0" collapsed="false">
      <c r="A13" s="5"/>
      <c r="B13" s="37" t="s">
        <v>213</v>
      </c>
      <c r="C13" s="48" t="n">
        <f aca="false">C10+C11+C12</f>
        <v>0</v>
      </c>
      <c r="D13" s="48" t="n">
        <f aca="false">D10+D11+D12</f>
        <v>0</v>
      </c>
      <c r="E13" s="48" t="n">
        <f aca="false">E10+E11+E12</f>
        <v>0</v>
      </c>
      <c r="F13" s="48" t="n">
        <f aca="false">F10+F11+F12</f>
        <v>0</v>
      </c>
      <c r="G13" s="48" t="n">
        <f aca="false">G10+G11+G12</f>
        <v>403.097826086957</v>
      </c>
      <c r="H13" s="48" t="n">
        <f aca="false">H10+H11+H12</f>
        <v>419.876141304348</v>
      </c>
      <c r="I13" s="48" t="n">
        <f aca="false">I10+I11+I12</f>
        <v>437.23063125</v>
      </c>
      <c r="J13" s="48" t="n">
        <f aca="false">J10+J11+J12</f>
        <v>448.11457903125</v>
      </c>
      <c r="K13" s="48" t="n">
        <f aca="false">K10+K11+K12</f>
        <v>459.269689147031</v>
      </c>
      <c r="L13" s="48" t="n">
        <f aca="false">L10+L11+L12</f>
        <v>470.702721928507</v>
      </c>
      <c r="M13" s="48" t="n">
        <f aca="false">M10+M11+M12</f>
        <v>482.420606340575</v>
      </c>
      <c r="N13" s="48" t="n">
        <f aca="false">N10+N11+N12</f>
        <v>494.430444190223</v>
      </c>
      <c r="O13" s="48" t="n">
        <f aca="false">O10+O11+O12</f>
        <v>506.739514439934</v>
      </c>
      <c r="P13" s="48" t="n">
        <f aca="false">P10+P11+P12</f>
        <v>519.355277628788</v>
      </c>
      <c r="Q13" s="48" t="n">
        <f aca="false">Q10+Q11+Q12</f>
        <v>532.285380403919</v>
      </c>
      <c r="R13" s="48" t="n">
        <f aca="false">R10+R11+R12</f>
        <v>545.537660165117</v>
      </c>
      <c r="S13" s="48" t="n">
        <f aca="false">S10+S11+S12</f>
        <v>559.120149825367</v>
      </c>
      <c r="T13" s="48" t="n">
        <f aca="false">T10+T11+T12</f>
        <v>573.041082690246</v>
      </c>
      <c r="U13" s="48" t="n">
        <f aca="false">U10+U11+U12</f>
        <v>587.308897459132</v>
      </c>
      <c r="V13" s="48" t="n">
        <f aca="false">V10+V11+V12</f>
        <v>601.932243351272</v>
      </c>
      <c r="W13" s="48" t="n">
        <f aca="false">W10+W11+W12</f>
        <v>616.91998535983</v>
      </c>
      <c r="X13" s="48" t="n">
        <f aca="false">X10+X11+X12</f>
        <v>632.281209637096</v>
      </c>
      <c r="Y13" s="48" t="n">
        <f aca="false">Y10+Y11+Y12</f>
        <v>648.02522901416</v>
      </c>
      <c r="Z13" s="48" t="n">
        <f aca="false">Z10+Z11+Z12</f>
        <v>664.161588658373</v>
      </c>
      <c r="AA13" s="48" t="n">
        <f aca="false">AA10+AA11+AA12</f>
        <v>680.700071872068</v>
      </c>
    </row>
    <row r="14" customFormat="false" ht="15" hidden="false" customHeight="false" outlineLevel="0" collapsed="false">
      <c r="A14" s="5"/>
      <c r="B14" s="5"/>
      <c r="C14" s="5"/>
      <c r="D14" s="5"/>
      <c r="E14" s="5"/>
      <c r="F14" s="5"/>
      <c r="G14" s="5"/>
      <c r="H14" s="5"/>
      <c r="I14" s="5"/>
      <c r="J14" s="5"/>
      <c r="K14" s="5"/>
      <c r="L14" s="5"/>
      <c r="M14" s="5"/>
      <c r="N14" s="5"/>
      <c r="O14" s="5"/>
      <c r="P14" s="5"/>
      <c r="Q14" s="5"/>
      <c r="R14" s="5"/>
      <c r="S14" s="5"/>
      <c r="T14" s="5"/>
      <c r="U14" s="5"/>
      <c r="V14" s="5"/>
      <c r="W14" s="5"/>
      <c r="X14" s="5"/>
      <c r="Y14" s="5"/>
      <c r="Z14" s="5"/>
      <c r="AA14" s="5"/>
    </row>
    <row r="15" customFormat="false" ht="15" hidden="false" customHeight="false" outlineLevel="0" collapsed="false">
      <c r="A15" s="5"/>
      <c r="B15" s="44" t="s">
        <v>215</v>
      </c>
      <c r="C15" s="45"/>
      <c r="D15" s="45"/>
      <c r="E15" s="45"/>
      <c r="F15" s="45"/>
      <c r="G15" s="45"/>
      <c r="H15" s="45"/>
      <c r="I15" s="45"/>
      <c r="J15" s="45"/>
      <c r="K15" s="45"/>
      <c r="L15" s="45"/>
      <c r="M15" s="45"/>
      <c r="N15" s="45"/>
      <c r="O15" s="45"/>
      <c r="P15" s="45"/>
      <c r="Q15" s="45"/>
      <c r="R15" s="45"/>
      <c r="S15" s="45"/>
      <c r="T15" s="45"/>
      <c r="U15" s="45"/>
      <c r="V15" s="45"/>
      <c r="W15" s="45"/>
      <c r="X15" s="45"/>
      <c r="Y15" s="45"/>
      <c r="Z15" s="45"/>
      <c r="AA15" s="45"/>
    </row>
    <row r="16" customFormat="false" ht="15" hidden="false" customHeight="false" outlineLevel="0" collapsed="false">
      <c r="A16" s="5"/>
      <c r="B16" s="46" t="s">
        <v>268</v>
      </c>
      <c r="C16" s="47" t="n">
        <f aca="false">OC_Total_COGS</f>
        <v>0</v>
      </c>
      <c r="D16" s="47" t="n">
        <f aca="false">OC_Total_COGS</f>
        <v>0</v>
      </c>
      <c r="E16" s="47" t="n">
        <f aca="false">OC_Total_COGS</f>
        <v>0</v>
      </c>
      <c r="F16" s="47" t="n">
        <f aca="false">OC_Total_COGS</f>
        <v>0</v>
      </c>
      <c r="G16" s="47" t="n">
        <f aca="false">OC_Total_COGS</f>
        <v>16.0274456521739</v>
      </c>
      <c r="H16" s="47" t="n">
        <f aca="false">OC_Total_COGS</f>
        <v>17.5540285326087</v>
      </c>
      <c r="I16" s="47" t="n">
        <f aca="false">OC_Total_COGS</f>
        <v>19.14665328125</v>
      </c>
      <c r="J16" s="47" t="n">
        <f aca="false">OC_Total_COGS</f>
        <v>19.6241491632812</v>
      </c>
      <c r="K16" s="47" t="n">
        <f aca="false">OC_Total_COGS</f>
        <v>20.1135590333633</v>
      </c>
      <c r="L16" s="47" t="n">
        <f aca="false">OC_Total_COGS</f>
        <v>20.6151802730174</v>
      </c>
      <c r="M16" s="47" t="n">
        <f aca="false">OC_Total_COGS</f>
        <v>21.1293176889392</v>
      </c>
      <c r="N16" s="47" t="n">
        <f aca="false">OC_Total_COGS</f>
        <v>21.656283698441</v>
      </c>
      <c r="O16" s="47" t="n">
        <f aca="false">OC_Total_COGS</f>
        <v>22.1963985195259</v>
      </c>
      <c r="P16" s="47" t="n">
        <f aca="false">OC_Total_COGS</f>
        <v>22.7499903657104</v>
      </c>
      <c r="Q16" s="47" t="n">
        <f aca="false">OC_Total_COGS</f>
        <v>23.3173956457135</v>
      </c>
      <c r="R16" s="47" t="n">
        <f aca="false">OC_Total_COGS</f>
        <v>23.8989591681338</v>
      </c>
      <c r="S16" s="47" t="n">
        <f aca="false">OC_Total_COGS</f>
        <v>24.4950343512402</v>
      </c>
      <c r="T16" s="47" t="n">
        <f aca="false">OC_Total_COGS</f>
        <v>25.1059834380023</v>
      </c>
      <c r="U16" s="47" t="n">
        <f aca="false">OC_Total_COGS</f>
        <v>25.7321777164931</v>
      </c>
      <c r="V16" s="47" t="n">
        <f aca="false">OC_Total_COGS</f>
        <v>26.373997745797</v>
      </c>
      <c r="W16" s="47" t="n">
        <f aca="false">OC_Total_COGS</f>
        <v>27.0318335875613</v>
      </c>
      <c r="X16" s="47" t="n">
        <f aca="false">OC_Total_COGS</f>
        <v>27.7060850433321</v>
      </c>
      <c r="Y16" s="47" t="n">
        <f aca="false">OC_Total_COGS</f>
        <v>28.3971618978188</v>
      </c>
      <c r="Z16" s="47" t="n">
        <f aca="false">OC_Total_COGS</f>
        <v>29.1054841682358</v>
      </c>
      <c r="AA16" s="47" t="n">
        <f aca="false">OC_Total_COGS</f>
        <v>29.8314823598726</v>
      </c>
    </row>
    <row r="17" customFormat="false" ht="15" hidden="false" customHeight="false" outlineLevel="0" collapsed="false">
      <c r="A17" s="5"/>
      <c r="B17" s="52" t="s">
        <v>269</v>
      </c>
      <c r="C17" s="53" t="n">
        <f aca="false">C13-C16</f>
        <v>0</v>
      </c>
      <c r="D17" s="53" t="n">
        <f aca="false">D13-D16</f>
        <v>0</v>
      </c>
      <c r="E17" s="53" t="n">
        <f aca="false">E13-E16</f>
        <v>0</v>
      </c>
      <c r="F17" s="53" t="n">
        <f aca="false">F13-F16</f>
        <v>0</v>
      </c>
      <c r="G17" s="53" t="n">
        <f aca="false">G13-G16</f>
        <v>387.070380434783</v>
      </c>
      <c r="H17" s="53" t="n">
        <f aca="false">H13-H16</f>
        <v>402.322112771739</v>
      </c>
      <c r="I17" s="53" t="n">
        <f aca="false">I13-I16</f>
        <v>418.08397796875</v>
      </c>
      <c r="J17" s="53" t="n">
        <f aca="false">J13-J16</f>
        <v>428.490429867969</v>
      </c>
      <c r="K17" s="53" t="n">
        <f aca="false">K13-K16</f>
        <v>439.156130113668</v>
      </c>
      <c r="L17" s="53" t="n">
        <f aca="false">L13-L16</f>
        <v>450.087541655489</v>
      </c>
      <c r="M17" s="53" t="n">
        <f aca="false">M13-M16</f>
        <v>461.291288651636</v>
      </c>
      <c r="N17" s="53" t="n">
        <f aca="false">N13-N16</f>
        <v>472.774160491782</v>
      </c>
      <c r="O17" s="53" t="n">
        <f aca="false">O13-O16</f>
        <v>484.543115920408</v>
      </c>
      <c r="P17" s="53" t="n">
        <f aca="false">P13-P16</f>
        <v>496.605287263077</v>
      </c>
      <c r="Q17" s="53" t="n">
        <f aca="false">Q13-Q16</f>
        <v>508.967984758206</v>
      </c>
      <c r="R17" s="53" t="n">
        <f aca="false">R13-R16</f>
        <v>521.638700996983</v>
      </c>
      <c r="S17" s="53" t="n">
        <f aca="false">S13-S16</f>
        <v>534.625115474127</v>
      </c>
      <c r="T17" s="53" t="n">
        <f aca="false">T13-T16</f>
        <v>547.935099252244</v>
      </c>
      <c r="U17" s="53" t="n">
        <f aca="false">U13-U16</f>
        <v>561.576719742639</v>
      </c>
      <c r="V17" s="53" t="n">
        <f aca="false">V13-V16</f>
        <v>575.558245605475</v>
      </c>
      <c r="W17" s="53" t="n">
        <f aca="false">W13-W16</f>
        <v>589.888151772268</v>
      </c>
      <c r="X17" s="53" t="n">
        <f aca="false">X13-X16</f>
        <v>604.575124593764</v>
      </c>
      <c r="Y17" s="53" t="n">
        <f aca="false">Y13-Y16</f>
        <v>619.628067116341</v>
      </c>
      <c r="Z17" s="53" t="n">
        <f aca="false">Z13-Z16</f>
        <v>635.056104490137</v>
      </c>
      <c r="AA17" s="53" t="n">
        <f aca="false">AA13-AA16</f>
        <v>650.868589512196</v>
      </c>
    </row>
    <row r="18" customFormat="false" ht="15" hidden="false" customHeight="false" outlineLevel="0" collapsed="false">
      <c r="A18" s="5"/>
      <c r="B18" s="46" t="s">
        <v>270</v>
      </c>
      <c r="C18" s="54" t="n">
        <f aca="false">IF(C13=0,0,C17/C13)</f>
        <v>0</v>
      </c>
      <c r="D18" s="54" t="n">
        <f aca="false">IF(D13=0,0,D17/D13)</f>
        <v>0</v>
      </c>
      <c r="E18" s="54" t="n">
        <f aca="false">IF(E13=0,0,E17/E13)</f>
        <v>0</v>
      </c>
      <c r="F18" s="54" t="n">
        <f aca="false">IF(F13=0,0,F17/F13)</f>
        <v>0</v>
      </c>
      <c r="G18" s="54" t="n">
        <f aca="false">IF(G13=0,0,G17/G13)</f>
        <v>0.960239315086962</v>
      </c>
      <c r="H18" s="54" t="n">
        <f aca="false">IF(H13=0,0,H17/H13)</f>
        <v>0.958192364829121</v>
      </c>
      <c r="I18" s="54" t="n">
        <f aca="false">IF(I13=0,0,I17/I13)</f>
        <v>0.956209259112264</v>
      </c>
      <c r="J18" s="54" t="n">
        <f aca="false">IF(J13=0,0,J17/J13)</f>
        <v>0.956207295898059</v>
      </c>
      <c r="K18" s="54" t="n">
        <f aca="false">IF(K13=0,0,K17/K13)</f>
        <v>0.956205341853239</v>
      </c>
      <c r="L18" s="54" t="n">
        <f aca="false">IF(L13=0,0,L17/L13)</f>
        <v>0.956203396936913</v>
      </c>
      <c r="M18" s="54" t="n">
        <f aca="false">IF(M13=0,0,M17/M13)</f>
        <v>0.956201461108354</v>
      </c>
      <c r="N18" s="54" t="n">
        <f aca="false">IF(N13=0,0,N17/N13)</f>
        <v>0.956199534326998</v>
      </c>
      <c r="O18" s="54" t="n">
        <f aca="false">IF(O13=0,0,O17/O13)</f>
        <v>0.956197616552445</v>
      </c>
      <c r="P18" s="54" t="n">
        <f aca="false">IF(P13=0,0,P17/P13)</f>
        <v>0.956195707744456</v>
      </c>
      <c r="Q18" s="54" t="n">
        <f aca="false">IF(Q13=0,0,Q17/Q13)</f>
        <v>0.956193807862956</v>
      </c>
      <c r="R18" s="54" t="n">
        <f aca="false">IF(R13=0,0,R17/R13)</f>
        <v>0.95619191686803</v>
      </c>
      <c r="S18" s="54" t="n">
        <f aca="false">IF(S13=0,0,S17/S13)</f>
        <v>0.956190034719924</v>
      </c>
      <c r="T18" s="54" t="n">
        <f aca="false">IF(T13=0,0,T17/T13)</f>
        <v>0.956188161379045</v>
      </c>
      <c r="U18" s="54" t="n">
        <f aca="false">IF(U13=0,0,U17/U13)</f>
        <v>0.95618629680596</v>
      </c>
      <c r="V18" s="54" t="n">
        <f aca="false">IF(V13=0,0,V17/V13)</f>
        <v>0.956184440961396</v>
      </c>
      <c r="W18" s="54" t="n">
        <f aca="false">IF(W13=0,0,W17/W13)</f>
        <v>0.956182593806238</v>
      </c>
      <c r="X18" s="54" t="n">
        <f aca="false">IF(X13=0,0,X17/X13)</f>
        <v>0.956180755301531</v>
      </c>
      <c r="Y18" s="54" t="n">
        <f aca="false">IF(Y13=0,0,Y17/Y13)</f>
        <v>0.956178925408476</v>
      </c>
      <c r="Z18" s="54" t="n">
        <f aca="false">IF(Z13=0,0,Z17/Z13)</f>
        <v>0.956177104088435</v>
      </c>
      <c r="AA18" s="54" t="n">
        <f aca="false">IF(AA13=0,0,AA17/AA13)</f>
        <v>0.956175291302923</v>
      </c>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row>
    <row r="20" customFormat="false" ht="15" hidden="false" customHeight="false" outlineLevel="0" collapsed="false">
      <c r="A20" s="5"/>
      <c r="B20" s="44" t="s">
        <v>218</v>
      </c>
      <c r="C20" s="45"/>
      <c r="D20" s="45"/>
      <c r="E20" s="45"/>
      <c r="F20" s="45"/>
      <c r="G20" s="45"/>
      <c r="H20" s="45"/>
      <c r="I20" s="45"/>
      <c r="J20" s="45"/>
      <c r="K20" s="45"/>
      <c r="L20" s="45"/>
      <c r="M20" s="45"/>
      <c r="N20" s="45"/>
      <c r="O20" s="45"/>
      <c r="P20" s="45"/>
      <c r="Q20" s="45"/>
      <c r="R20" s="45"/>
      <c r="S20" s="45"/>
      <c r="T20" s="45"/>
      <c r="U20" s="45"/>
      <c r="V20" s="45"/>
      <c r="W20" s="45"/>
      <c r="X20" s="45"/>
      <c r="Y20" s="45"/>
      <c r="Z20" s="45"/>
      <c r="AA20" s="45"/>
    </row>
    <row r="21" customFormat="false" ht="15" hidden="false" customHeight="false" outlineLevel="0" collapsed="false">
      <c r="A21" s="5"/>
      <c r="B21" s="46" t="s">
        <v>271</v>
      </c>
      <c r="C21" s="47" t="n">
        <f aca="false">OC_Total_OpEx</f>
        <v>0</v>
      </c>
      <c r="D21" s="47" t="n">
        <f aca="false">OC_Total_OpEx</f>
        <v>0</v>
      </c>
      <c r="E21" s="47" t="n">
        <f aca="false">OC_Total_OpEx</f>
        <v>0</v>
      </c>
      <c r="F21" s="47" t="n">
        <f aca="false">OC_Total_OpEx</f>
        <v>0</v>
      </c>
      <c r="G21" s="47" t="n">
        <f aca="false">OC_Total_OpEx</f>
        <v>79.6929347826087</v>
      </c>
      <c r="H21" s="47" t="n">
        <f aca="false">OC_Total_OpEx</f>
        <v>81.8862842391304</v>
      </c>
      <c r="I21" s="47" t="n">
        <f aca="false">OC_Total_OpEx</f>
        <v>84.1391689375</v>
      </c>
      <c r="J21" s="47" t="n">
        <f aca="false">OC_Total_OpEx</f>
        <v>86.2412436209375</v>
      </c>
      <c r="K21" s="47" t="n">
        <f aca="false">OC_Total_OpEx</f>
        <v>132.548357705661</v>
      </c>
      <c r="L21" s="47" t="n">
        <f aca="false">OC_Total_OpEx</f>
        <v>90.6042768492614</v>
      </c>
      <c r="M21" s="47" t="n">
        <f aca="false">OC_Total_OpEx</f>
        <v>92.8678932614086</v>
      </c>
      <c r="N21" s="47" t="n">
        <f aca="false">OC_Total_OpEx</f>
        <v>95.1880702736778</v>
      </c>
      <c r="O21" s="47" t="n">
        <f aca="false">OC_Total_OpEx</f>
        <v>97.5662213048684</v>
      </c>
      <c r="P21" s="47" t="n">
        <f aca="false">OC_Total_OpEx</f>
        <v>149.958313895232</v>
      </c>
      <c r="Q21" s="47" t="n">
        <f aca="false">OC_Total_OpEx</f>
        <v>102.502276599791</v>
      </c>
      <c r="R21" s="47" t="n">
        <f aca="false">OC_Total_OpEx</f>
        <v>105.063187872319</v>
      </c>
      <c r="S21" s="47" t="n">
        <f aca="false">OC_Total_OpEx</f>
        <v>107.688089013811</v>
      </c>
      <c r="T21" s="47" t="n">
        <f aca="false">OC_Total_OpEx</f>
        <v>110.378579112733</v>
      </c>
      <c r="U21" s="47" t="n">
        <f aca="false">OC_Total_OpEx</f>
        <v>169.655250060551</v>
      </c>
      <c r="V21" s="47" t="n">
        <f aca="false">OC_Total_OpEx</f>
        <v>115.96292335581</v>
      </c>
      <c r="W21" s="47" t="n">
        <f aca="false">OC_Total_OpEx</f>
        <v>118.860179517449</v>
      </c>
      <c r="X21" s="47" t="n">
        <f aca="false">OC_Total_OpEx</f>
        <v>121.829830744683</v>
      </c>
      <c r="Y21" s="47" t="n">
        <f aca="false">OC_Total_OpEx</f>
        <v>124.873686187384</v>
      </c>
      <c r="Z21" s="47" t="n">
        <f aca="false">OC_Total_OpEx</f>
        <v>191.939607635601</v>
      </c>
      <c r="AA21" s="47" t="n">
        <f aca="false">OC_Total_OpEx</f>
        <v>131.191473519793</v>
      </c>
    </row>
    <row r="22" customFormat="false" ht="15" hidden="false" customHeight="false" outlineLevel="0" collapsed="false">
      <c r="A22" s="5"/>
      <c r="B22" s="52" t="s">
        <v>272</v>
      </c>
      <c r="C22" s="53" t="n">
        <f aca="false">C17-C21</f>
        <v>0</v>
      </c>
      <c r="D22" s="53" t="n">
        <f aca="false">D17-D21</f>
        <v>0</v>
      </c>
      <c r="E22" s="53" t="n">
        <f aca="false">E17-E21</f>
        <v>0</v>
      </c>
      <c r="F22" s="53" t="n">
        <f aca="false">F17-F21</f>
        <v>0</v>
      </c>
      <c r="G22" s="53" t="n">
        <f aca="false">G17-G21</f>
        <v>307.377445652174</v>
      </c>
      <c r="H22" s="53" t="n">
        <f aca="false">H17-H21</f>
        <v>320.435828532609</v>
      </c>
      <c r="I22" s="53" t="n">
        <f aca="false">I17-I21</f>
        <v>333.94480903125</v>
      </c>
      <c r="J22" s="53" t="n">
        <f aca="false">J17-J21</f>
        <v>342.249186247031</v>
      </c>
      <c r="K22" s="53" t="n">
        <f aca="false">K17-K21</f>
        <v>306.607772408007</v>
      </c>
      <c r="L22" s="53" t="n">
        <f aca="false">L17-L21</f>
        <v>359.483264806228</v>
      </c>
      <c r="M22" s="53" t="n">
        <f aca="false">M17-M21</f>
        <v>368.423395390228</v>
      </c>
      <c r="N22" s="53" t="n">
        <f aca="false">N17-N21</f>
        <v>377.586090218104</v>
      </c>
      <c r="O22" s="53" t="n">
        <f aca="false">O17-O21</f>
        <v>386.97689461554</v>
      </c>
      <c r="P22" s="53" t="n">
        <f aca="false">P17-P21</f>
        <v>346.646973367845</v>
      </c>
      <c r="Q22" s="53" t="n">
        <f aca="false">Q17-Q21</f>
        <v>406.465708158414</v>
      </c>
      <c r="R22" s="53" t="n">
        <f aca="false">R17-R21</f>
        <v>416.575513124664</v>
      </c>
      <c r="S22" s="53" t="n">
        <f aca="false">S17-S21</f>
        <v>426.937026460317</v>
      </c>
      <c r="T22" s="53" t="n">
        <f aca="false">T17-T21</f>
        <v>437.556520139511</v>
      </c>
      <c r="U22" s="53" t="n">
        <f aca="false">U17-U21</f>
        <v>391.921469682088</v>
      </c>
      <c r="V22" s="53" t="n">
        <f aca="false">V17-V21</f>
        <v>459.595322249665</v>
      </c>
      <c r="W22" s="53" t="n">
        <f aca="false">W17-W21</f>
        <v>471.027972254819</v>
      </c>
      <c r="X22" s="53" t="n">
        <f aca="false">X17-X21</f>
        <v>482.745293849081</v>
      </c>
      <c r="Y22" s="53" t="n">
        <f aca="false">Y17-Y21</f>
        <v>494.754380928957</v>
      </c>
      <c r="Z22" s="53" t="n">
        <f aca="false">Z17-Z21</f>
        <v>443.116496854536</v>
      </c>
      <c r="AA22" s="53" t="n">
        <f aca="false">AA17-AA21</f>
        <v>519.677115992403</v>
      </c>
    </row>
    <row r="23" customFormat="false" ht="15" hidden="false" customHeight="false" outlineLevel="0" collapsed="false">
      <c r="A23" s="5"/>
      <c r="B23" s="46" t="s">
        <v>273</v>
      </c>
      <c r="C23" s="54" t="n">
        <f aca="false">IF(C13=0,0,C22/C13)</f>
        <v>0</v>
      </c>
      <c r="D23" s="54" t="n">
        <f aca="false">IF(D13=0,0,D22/D13)</f>
        <v>0</v>
      </c>
      <c r="E23" s="54" t="n">
        <f aca="false">IF(E13=0,0,E22/E13)</f>
        <v>0</v>
      </c>
      <c r="F23" s="54" t="n">
        <f aca="false">IF(F13=0,0,F22/F13)</f>
        <v>0</v>
      </c>
      <c r="G23" s="54" t="n">
        <f aca="false">IF(G13=0,0,G22/G13)</f>
        <v>0.762538088175812</v>
      </c>
      <c r="H23" s="54" t="n">
        <f aca="false">IF(H13=0,0,H22/H13)</f>
        <v>0.763167508249392</v>
      </c>
      <c r="I23" s="54" t="n">
        <f aca="false">IF(I13=0,0,I22/I13)</f>
        <v>0.76377267547915</v>
      </c>
      <c r="J23" s="54" t="n">
        <f aca="false">IF(J13=0,0,J22/J13)</f>
        <v>0.763753741257242</v>
      </c>
      <c r="K23" s="54" t="n">
        <f aca="false">IF(K13=0,0,K22/K13)</f>
        <v>0.667598536662517</v>
      </c>
      <c r="L23" s="54" t="n">
        <f aca="false">IF(L13=0,0,L22/L13)</f>
        <v>0.763716137721482</v>
      </c>
      <c r="M23" s="54" t="n">
        <f aca="false">IF(M13=0,0,M22/M13)</f>
        <v>0.763697467620467</v>
      </c>
      <c r="N23" s="54" t="n">
        <f aca="false">IF(N13=0,0,N22/N13)</f>
        <v>0.763678884775216</v>
      </c>
      <c r="O23" s="54" t="n">
        <f aca="false">IF(O13=0,0,O22/O13)</f>
        <v>0.763660388796086</v>
      </c>
      <c r="P23" s="54" t="n">
        <f aca="false">IF(P13=0,0,P22/P13)</f>
        <v>0.667456341159226</v>
      </c>
      <c r="Q23" s="54" t="n">
        <f aca="false">IF(Q13=0,0,Q22/Q13)</f>
        <v>0.763623655885443</v>
      </c>
      <c r="R23" s="54" t="n">
        <f aca="false">IF(R13=0,0,R22/R13)</f>
        <v>0.763605418182459</v>
      </c>
      <c r="S23" s="54" t="n">
        <f aca="false">IF(S13=0,0,S22/S13)</f>
        <v>0.763587265802643</v>
      </c>
      <c r="T23" s="54" t="n">
        <f aca="false">IF(T13=0,0,T22/T13)</f>
        <v>0.763569198364141</v>
      </c>
      <c r="U23" s="54" t="n">
        <f aca="false">IF(U13=0,0,U22/U13)</f>
        <v>0.667317439558047</v>
      </c>
      <c r="V23" s="54" t="n">
        <f aca="false">IF(V13=0,0,V22/V13)</f>
        <v>0.763533316791366</v>
      </c>
      <c r="W23" s="54" t="n">
        <f aca="false">IF(W13=0,0,W22/W13)</f>
        <v>0.763515501901083</v>
      </c>
      <c r="X23" s="54" t="n">
        <f aca="false">IF(X13=0,0,X22/X13)</f>
        <v>0.763497770440082</v>
      </c>
      <c r="Y23" s="54" t="n">
        <f aca="false">IF(Y13=0,0,Y22/Y13)</f>
        <v>0.763480122034178</v>
      </c>
      <c r="Z23" s="54" t="n">
        <f aca="false">IF(Z13=0,0,Z22/Z13)</f>
        <v>0.667181758809095</v>
      </c>
      <c r="AA23" s="54" t="n">
        <f aca="false">IF(AA13=0,0,AA22/AA13)</f>
        <v>0.763445072898526</v>
      </c>
    </row>
    <row r="24" customFormat="false" ht="15" hidden="false" customHeight="false" outlineLevel="0" collapsed="false">
      <c r="A24" s="5"/>
      <c r="B24" s="5"/>
      <c r="C24" s="5"/>
      <c r="D24" s="5"/>
      <c r="E24" s="5"/>
      <c r="F24" s="5"/>
      <c r="G24" s="5"/>
      <c r="H24" s="5"/>
      <c r="I24" s="5"/>
      <c r="J24" s="5"/>
      <c r="K24" s="5"/>
      <c r="L24" s="5"/>
      <c r="M24" s="5"/>
      <c r="N24" s="5"/>
      <c r="O24" s="5"/>
      <c r="P24" s="5"/>
      <c r="Q24" s="5"/>
      <c r="R24" s="5"/>
      <c r="S24" s="5"/>
      <c r="T24" s="5"/>
      <c r="U24" s="5"/>
      <c r="V24" s="5"/>
      <c r="W24" s="5"/>
      <c r="X24" s="5"/>
      <c r="Y24" s="5"/>
      <c r="Z24" s="5"/>
      <c r="AA24" s="5"/>
    </row>
    <row r="25" customFormat="false" ht="15" hidden="false" customHeight="false" outlineLevel="0" collapsed="false">
      <c r="A25" s="5"/>
      <c r="B25" s="46" t="s">
        <v>14</v>
      </c>
      <c r="C25" s="47" t="n">
        <f aca="false">DEP_Total</f>
        <v>0</v>
      </c>
      <c r="D25" s="47" t="n">
        <f aca="false">DEP_Total</f>
        <v>0</v>
      </c>
      <c r="E25" s="47" t="n">
        <f aca="false">DEP_Total</f>
        <v>0</v>
      </c>
      <c r="F25" s="47" t="n">
        <f aca="false">DEP_Total</f>
        <v>0</v>
      </c>
      <c r="G25" s="47" t="n">
        <f aca="false">DEP_Total</f>
        <v>65.0277797619048</v>
      </c>
      <c r="H25" s="47" t="n">
        <f aca="false">DEP_Total</f>
        <v>65.0277797619048</v>
      </c>
      <c r="I25" s="47" t="n">
        <f aca="false">DEP_Total</f>
        <v>65.0277797619048</v>
      </c>
      <c r="J25" s="47" t="n">
        <f aca="false">DEP_Total</f>
        <v>65.0277797619048</v>
      </c>
      <c r="K25" s="47" t="n">
        <f aca="false">DEP_Total</f>
        <v>65.0277797619048</v>
      </c>
      <c r="L25" s="47" t="n">
        <f aca="false">DEP_Total</f>
        <v>65.0277797619048</v>
      </c>
      <c r="M25" s="47" t="n">
        <f aca="false">DEP_Total</f>
        <v>65.0277797619048</v>
      </c>
      <c r="N25" s="47" t="n">
        <f aca="false">DEP_Total</f>
        <v>65.0277797619048</v>
      </c>
      <c r="O25" s="47" t="n">
        <f aca="false">DEP_Total</f>
        <v>65.0277797619048</v>
      </c>
      <c r="P25" s="47" t="n">
        <f aca="false">DEP_Total</f>
        <v>65.0277797619048</v>
      </c>
      <c r="Q25" s="47" t="n">
        <f aca="false">DEP_Total</f>
        <v>65.0277797619048</v>
      </c>
      <c r="R25" s="47" t="n">
        <f aca="false">DEP_Total</f>
        <v>65.0277797619048</v>
      </c>
      <c r="S25" s="47" t="n">
        <f aca="false">DEP_Total</f>
        <v>65.0277797619048</v>
      </c>
      <c r="T25" s="47" t="n">
        <f aca="false">DEP_Total</f>
        <v>65.0277797619048</v>
      </c>
      <c r="U25" s="47" t="n">
        <f aca="false">DEP_Total</f>
        <v>65.0277797619048</v>
      </c>
      <c r="V25" s="47" t="n">
        <f aca="false">DEP_Total</f>
        <v>50.7191130952381</v>
      </c>
      <c r="W25" s="47" t="n">
        <f aca="false">DEP_Total</f>
        <v>50.7191130952381</v>
      </c>
      <c r="X25" s="47" t="n">
        <f aca="false">DEP_Total</f>
        <v>50.7191130952381</v>
      </c>
      <c r="Y25" s="47" t="n">
        <f aca="false">DEP_Total</f>
        <v>50.7191130952381</v>
      </c>
      <c r="Z25" s="47" t="n">
        <f aca="false">DEP_Total</f>
        <v>50.7191130952381</v>
      </c>
      <c r="AA25" s="47" t="n">
        <f aca="false">DEP_Total</f>
        <v>34.6218630952381</v>
      </c>
    </row>
    <row r="26" customFormat="false" ht="15" hidden="false" customHeight="false" outlineLevel="0" collapsed="false">
      <c r="A26" s="5"/>
      <c r="B26" s="52" t="s">
        <v>274</v>
      </c>
      <c r="C26" s="53" t="n">
        <f aca="false">C22-C25</f>
        <v>0</v>
      </c>
      <c r="D26" s="53" t="n">
        <f aca="false">D22-D25</f>
        <v>0</v>
      </c>
      <c r="E26" s="53" t="n">
        <f aca="false">E22-E25</f>
        <v>0</v>
      </c>
      <c r="F26" s="53" t="n">
        <f aca="false">F22-F25</f>
        <v>0</v>
      </c>
      <c r="G26" s="53" t="n">
        <f aca="false">G22-G25</f>
        <v>242.349665890269</v>
      </c>
      <c r="H26" s="53" t="n">
        <f aca="false">H22-H25</f>
        <v>255.408048770704</v>
      </c>
      <c r="I26" s="53" t="n">
        <f aca="false">I22-I25</f>
        <v>268.917029269345</v>
      </c>
      <c r="J26" s="53" t="n">
        <f aca="false">J22-J25</f>
        <v>277.221406485126</v>
      </c>
      <c r="K26" s="53" t="n">
        <f aca="false">K22-K25</f>
        <v>241.579992646102</v>
      </c>
      <c r="L26" s="53" t="n">
        <f aca="false">L22-L25</f>
        <v>294.455485044323</v>
      </c>
      <c r="M26" s="53" t="n">
        <f aca="false">M22-M25</f>
        <v>303.395615628323</v>
      </c>
      <c r="N26" s="53" t="n">
        <f aca="false">N22-N25</f>
        <v>312.558310456199</v>
      </c>
      <c r="O26" s="53" t="n">
        <f aca="false">O22-O25</f>
        <v>321.949114853635</v>
      </c>
      <c r="P26" s="53" t="n">
        <f aca="false">P22-P25</f>
        <v>281.61919360594</v>
      </c>
      <c r="Q26" s="53" t="n">
        <f aca="false">Q22-Q25</f>
        <v>341.43792839651</v>
      </c>
      <c r="R26" s="53" t="n">
        <f aca="false">R22-R25</f>
        <v>351.54773336276</v>
      </c>
      <c r="S26" s="53" t="n">
        <f aca="false">S22-S25</f>
        <v>361.909246698412</v>
      </c>
      <c r="T26" s="53" t="n">
        <f aca="false">T22-T25</f>
        <v>372.528740377606</v>
      </c>
      <c r="U26" s="53" t="n">
        <f aca="false">U22-U25</f>
        <v>326.893689920183</v>
      </c>
      <c r="V26" s="53" t="n">
        <f aca="false">V22-V25</f>
        <v>408.876209154427</v>
      </c>
      <c r="W26" s="53" t="n">
        <f aca="false">W22-W25</f>
        <v>420.308859159581</v>
      </c>
      <c r="X26" s="53" t="n">
        <f aca="false">X22-X25</f>
        <v>432.026180753843</v>
      </c>
      <c r="Y26" s="53" t="n">
        <f aca="false">Y22-Y25</f>
        <v>444.035267833719</v>
      </c>
      <c r="Z26" s="53" t="n">
        <f aca="false">Z22-Z25</f>
        <v>392.397383759298</v>
      </c>
      <c r="AA26" s="53" t="n">
        <f aca="false">AA22-AA25</f>
        <v>485.055252897165</v>
      </c>
    </row>
    <row r="27" customFormat="false" ht="15" hidden="false" customHeight="false" outlineLevel="0" collapsed="false">
      <c r="A27" s="5"/>
      <c r="B27" s="5"/>
      <c r="C27" s="5"/>
      <c r="D27" s="5"/>
      <c r="E27" s="5"/>
      <c r="F27" s="5"/>
      <c r="G27" s="5"/>
      <c r="H27" s="5"/>
      <c r="I27" s="5"/>
      <c r="J27" s="5"/>
      <c r="K27" s="5"/>
      <c r="L27" s="5"/>
      <c r="M27" s="5"/>
      <c r="N27" s="5"/>
      <c r="O27" s="5"/>
      <c r="P27" s="5"/>
      <c r="Q27" s="5"/>
      <c r="R27" s="5"/>
      <c r="S27" s="5"/>
      <c r="T27" s="5"/>
      <c r="U27" s="5"/>
      <c r="V27" s="5"/>
      <c r="W27" s="5"/>
      <c r="X27" s="5"/>
      <c r="Y27" s="5"/>
      <c r="Z27" s="5"/>
      <c r="AA27" s="5"/>
    </row>
    <row r="28" customFormat="false" ht="15" hidden="false" customHeight="false" outlineLevel="0" collapsed="false">
      <c r="A28" s="5"/>
      <c r="B28" s="46" t="s">
        <v>275</v>
      </c>
      <c r="C28" s="47" t="n">
        <f aca="false">DS_Total_Int</f>
        <v>4.046</v>
      </c>
      <c r="D28" s="47" t="n">
        <f aca="false">DS_Total_Int</f>
        <v>2.618</v>
      </c>
      <c r="E28" s="47" t="n">
        <f aca="false">DS_Total_Int</f>
        <v>0.952</v>
      </c>
      <c r="F28" s="47" t="n">
        <f aca="false">DS_Total_Int</f>
        <v>0</v>
      </c>
      <c r="G28" s="47" t="n">
        <f aca="false">DS_Total_Int</f>
        <v>65.45</v>
      </c>
      <c r="H28" s="47" t="n">
        <f aca="false">DS_Total_Int</f>
        <v>65.45</v>
      </c>
      <c r="I28" s="47" t="n">
        <f aca="false">DS_Total_Int</f>
        <v>65.45</v>
      </c>
      <c r="J28" s="47" t="n">
        <f aca="false">DS_Total_Int</f>
        <v>62.7938728876476</v>
      </c>
      <c r="K28" s="47" t="n">
        <f aca="false">DS_Total_Int</f>
        <v>59.9916587841157</v>
      </c>
      <c r="L28" s="47" t="n">
        <f aca="false">DS_Total_Int</f>
        <v>57.0353229048897</v>
      </c>
      <c r="M28" s="47" t="n">
        <f aca="false">DS_Total_Int</f>
        <v>53.9163885523062</v>
      </c>
      <c r="N28" s="47" t="n">
        <f aca="false">DS_Total_Int</f>
        <v>50.6259128103306</v>
      </c>
      <c r="O28" s="47" t="n">
        <f aca="false">DS_Total_Int</f>
        <v>47.1544609025463</v>
      </c>
      <c r="P28" s="47" t="n">
        <f aca="false">DS_Total_Int</f>
        <v>43.4920791398339</v>
      </c>
      <c r="Q28" s="47" t="n">
        <f aca="false">DS_Total_Int</f>
        <v>39.6282663801723</v>
      </c>
      <c r="R28" s="47" t="n">
        <f aca="false">DS_Total_Int</f>
        <v>35.5519439187294</v>
      </c>
      <c r="S28" s="47" t="n">
        <f aca="false">DS_Total_Int</f>
        <v>31.251423721907</v>
      </c>
      <c r="T28" s="47" t="n">
        <f aca="false">DS_Total_Int</f>
        <v>26.7143749142595</v>
      </c>
      <c r="U28" s="47" t="n">
        <f aca="false">DS_Total_Int</f>
        <v>21.9277884221913</v>
      </c>
      <c r="V28" s="47" t="n">
        <f aca="false">DS_Total_Int</f>
        <v>16.8779396730594</v>
      </c>
      <c r="W28" s="47" t="n">
        <f aca="false">DS_Total_Int</f>
        <v>11.5503492427252</v>
      </c>
      <c r="X28" s="47" t="n">
        <f aca="false">DS_Total_Int</f>
        <v>5.92974133872269</v>
      </c>
      <c r="Y28" s="47" t="n">
        <f aca="false">DS_Total_Int</f>
        <v>0</v>
      </c>
      <c r="Z28" s="47" t="n">
        <f aca="false">DS_Total_Int</f>
        <v>0</v>
      </c>
      <c r="AA28" s="47" t="n">
        <f aca="false">DS_Total_Int</f>
        <v>0</v>
      </c>
    </row>
    <row r="29" customFormat="false" ht="15" hidden="false" customHeight="false" outlineLevel="0" collapsed="false">
      <c r="A29" s="5"/>
      <c r="B29" s="52" t="s">
        <v>276</v>
      </c>
      <c r="C29" s="53" t="n">
        <f aca="false">C26-C28</f>
        <v>-4.046</v>
      </c>
      <c r="D29" s="53" t="n">
        <f aca="false">D26-D28</f>
        <v>-2.618</v>
      </c>
      <c r="E29" s="53" t="n">
        <f aca="false">E26-E28</f>
        <v>-0.952</v>
      </c>
      <c r="F29" s="53" t="n">
        <f aca="false">F26-F28</f>
        <v>0</v>
      </c>
      <c r="G29" s="53" t="n">
        <f aca="false">G26-G28</f>
        <v>176.899665890269</v>
      </c>
      <c r="H29" s="53" t="n">
        <f aca="false">H26-H28</f>
        <v>189.958048770704</v>
      </c>
      <c r="I29" s="53" t="n">
        <f aca="false">I26-I28</f>
        <v>203.467029269345</v>
      </c>
      <c r="J29" s="53" t="n">
        <f aca="false">J26-J28</f>
        <v>214.427533597479</v>
      </c>
      <c r="K29" s="53" t="n">
        <f aca="false">K26-K28</f>
        <v>181.588333861986</v>
      </c>
      <c r="L29" s="53" t="n">
        <f aca="false">L26-L28</f>
        <v>237.420162139434</v>
      </c>
      <c r="M29" s="53" t="n">
        <f aca="false">M26-M28</f>
        <v>249.479227076017</v>
      </c>
      <c r="N29" s="53" t="n">
        <f aca="false">N26-N28</f>
        <v>261.932397645869</v>
      </c>
      <c r="O29" s="53" t="n">
        <f aca="false">O26-O28</f>
        <v>274.794653951089</v>
      </c>
      <c r="P29" s="53" t="n">
        <f aca="false">P26-P28</f>
        <v>238.127114466106</v>
      </c>
      <c r="Q29" s="53" t="n">
        <f aca="false">Q26-Q28</f>
        <v>301.809662016337</v>
      </c>
      <c r="R29" s="53" t="n">
        <f aca="false">R26-R28</f>
        <v>315.99578944403</v>
      </c>
      <c r="S29" s="53" t="n">
        <f aca="false">S26-S28</f>
        <v>330.657822976505</v>
      </c>
      <c r="T29" s="53" t="n">
        <f aca="false">T26-T28</f>
        <v>345.814365463346</v>
      </c>
      <c r="U29" s="53" t="n">
        <f aca="false">U26-U28</f>
        <v>304.965901497992</v>
      </c>
      <c r="V29" s="53" t="n">
        <f aca="false">V26-V28</f>
        <v>391.998269481367</v>
      </c>
      <c r="W29" s="53" t="n">
        <f aca="false">W26-W28</f>
        <v>408.758509916856</v>
      </c>
      <c r="X29" s="53" t="n">
        <f aca="false">X26-X28</f>
        <v>426.09643941512</v>
      </c>
      <c r="Y29" s="53" t="n">
        <f aca="false">Y26-Y28</f>
        <v>444.035267833719</v>
      </c>
      <c r="Z29" s="53" t="n">
        <f aca="false">Z26-Z28</f>
        <v>392.397383759298</v>
      </c>
      <c r="AA29" s="53" t="n">
        <f aca="false">AA26-AA28</f>
        <v>485.055252897165</v>
      </c>
    </row>
    <row r="30" customFormat="false" ht="15" hidden="false" customHeight="false" outlineLevel="0" collapsed="false">
      <c r="A30" s="5"/>
      <c r="B30" s="46" t="s">
        <v>277</v>
      </c>
      <c r="C30" s="47" t="n">
        <f aca="false">MAX(0,C29)*Tax_Rate</f>
        <v>0</v>
      </c>
      <c r="D30" s="47" t="n">
        <f aca="false">MAX(0,D29)*Tax_Rate</f>
        <v>0</v>
      </c>
      <c r="E30" s="47" t="n">
        <f aca="false">MAX(0,E29)*Tax_Rate</f>
        <v>0</v>
      </c>
      <c r="F30" s="47" t="n">
        <f aca="false">MAX(0,F29)*Tax_Rate</f>
        <v>0</v>
      </c>
      <c r="G30" s="47" t="n">
        <f aca="false">MAX(0,G29)*Tax_Rate</f>
        <v>44.2249164725673</v>
      </c>
      <c r="H30" s="47" t="n">
        <f aca="false">MAX(0,H29)*Tax_Rate</f>
        <v>47.489512192676</v>
      </c>
      <c r="I30" s="47" t="n">
        <f aca="false">MAX(0,I29)*Tax_Rate</f>
        <v>50.8667573173363</v>
      </c>
      <c r="J30" s="47" t="n">
        <f aca="false">MAX(0,J29)*Tax_Rate</f>
        <v>53.6068833993697</v>
      </c>
      <c r="K30" s="47" t="n">
        <f aca="false">MAX(0,K29)*Tax_Rate</f>
        <v>45.3970834654966</v>
      </c>
      <c r="L30" s="47" t="n">
        <f aca="false">MAX(0,L29)*Tax_Rate</f>
        <v>59.3550405348584</v>
      </c>
      <c r="M30" s="47" t="n">
        <f aca="false">MAX(0,M29)*Tax_Rate</f>
        <v>62.3698067690042</v>
      </c>
      <c r="N30" s="47" t="n">
        <f aca="false">MAX(0,N29)*Tax_Rate</f>
        <v>65.4830994114672</v>
      </c>
      <c r="O30" s="47" t="n">
        <f aca="false">MAX(0,O29)*Tax_Rate</f>
        <v>68.6986634877722</v>
      </c>
      <c r="P30" s="47" t="n">
        <f aca="false">MAX(0,P29)*Tax_Rate</f>
        <v>59.5317786165265</v>
      </c>
      <c r="Q30" s="47" t="n">
        <f aca="false">MAX(0,Q29)*Tax_Rate</f>
        <v>75.4524155040843</v>
      </c>
      <c r="R30" s="47" t="n">
        <f aca="false">MAX(0,R29)*Tax_Rate</f>
        <v>78.9989473610076</v>
      </c>
      <c r="S30" s="47" t="n">
        <f aca="false">MAX(0,S29)*Tax_Rate</f>
        <v>82.6644557441262</v>
      </c>
      <c r="T30" s="47" t="n">
        <f aca="false">MAX(0,T29)*Tax_Rate</f>
        <v>86.4535913658366</v>
      </c>
      <c r="U30" s="47" t="n">
        <f aca="false">MAX(0,U29)*Tax_Rate</f>
        <v>76.2414753744979</v>
      </c>
      <c r="V30" s="47" t="n">
        <f aca="false">MAX(0,V29)*Tax_Rate</f>
        <v>97.9995673703418</v>
      </c>
      <c r="W30" s="47" t="n">
        <f aca="false">MAX(0,W29)*Tax_Rate</f>
        <v>102.189627479214</v>
      </c>
      <c r="X30" s="47" t="n">
        <f aca="false">MAX(0,X29)*Tax_Rate</f>
        <v>106.52410985378</v>
      </c>
      <c r="Y30" s="47" t="n">
        <f aca="false">MAX(0,Y29)*Tax_Rate</f>
        <v>111.00881695843</v>
      </c>
      <c r="Z30" s="47" t="n">
        <f aca="false">MAX(0,Z29)*Tax_Rate</f>
        <v>98.0993459398244</v>
      </c>
      <c r="AA30" s="47" t="n">
        <f aca="false">MAX(0,AA29)*Tax_Rate</f>
        <v>121.263813224291</v>
      </c>
    </row>
    <row r="31" customFormat="false" ht="15" hidden="false" customHeight="false" outlineLevel="0" collapsed="false">
      <c r="A31" s="5"/>
      <c r="B31" s="37" t="s">
        <v>278</v>
      </c>
      <c r="C31" s="48" t="n">
        <f aca="false">C29-C30</f>
        <v>-4.046</v>
      </c>
      <c r="D31" s="48" t="n">
        <f aca="false">D29-D30</f>
        <v>-2.618</v>
      </c>
      <c r="E31" s="48" t="n">
        <f aca="false">E29-E30</f>
        <v>-0.952</v>
      </c>
      <c r="F31" s="48" t="n">
        <f aca="false">F29-F30</f>
        <v>0</v>
      </c>
      <c r="G31" s="48" t="n">
        <f aca="false">G29-G30</f>
        <v>132.674749417702</v>
      </c>
      <c r="H31" s="48" t="n">
        <f aca="false">H29-H30</f>
        <v>142.468536578028</v>
      </c>
      <c r="I31" s="48" t="n">
        <f aca="false">I29-I30</f>
        <v>152.600271952009</v>
      </c>
      <c r="J31" s="48" t="n">
        <f aca="false">J29-J30</f>
        <v>160.820650198109</v>
      </c>
      <c r="K31" s="48" t="n">
        <f aca="false">K29-K30</f>
        <v>136.19125039649</v>
      </c>
      <c r="L31" s="48" t="n">
        <f aca="false">L29-L30</f>
        <v>178.065121604575</v>
      </c>
      <c r="M31" s="48" t="n">
        <f aca="false">M29-M30</f>
        <v>187.109420307013</v>
      </c>
      <c r="N31" s="48" t="n">
        <f aca="false">N29-N30</f>
        <v>196.449298234402</v>
      </c>
      <c r="O31" s="48" t="n">
        <f aca="false">O29-O30</f>
        <v>206.095990463317</v>
      </c>
      <c r="P31" s="48" t="n">
        <f aca="false">P29-P30</f>
        <v>178.595335849579</v>
      </c>
      <c r="Q31" s="48" t="n">
        <f aca="false">Q29-Q30</f>
        <v>226.357246512253</v>
      </c>
      <c r="R31" s="48" t="n">
        <f aca="false">R29-R30</f>
        <v>236.996842083023</v>
      </c>
      <c r="S31" s="48" t="n">
        <f aca="false">S29-S30</f>
        <v>247.993367232379</v>
      </c>
      <c r="T31" s="48" t="n">
        <f aca="false">T29-T30</f>
        <v>259.36077409751</v>
      </c>
      <c r="U31" s="48" t="n">
        <f aca="false">U29-U30</f>
        <v>228.724426123494</v>
      </c>
      <c r="V31" s="48" t="n">
        <f aca="false">V29-V30</f>
        <v>293.998702111026</v>
      </c>
      <c r="W31" s="48" t="n">
        <f aca="false">W29-W30</f>
        <v>306.568882437642</v>
      </c>
      <c r="X31" s="48" t="n">
        <f aca="false">X29-X30</f>
        <v>319.57232956134</v>
      </c>
      <c r="Y31" s="48" t="n">
        <f aca="false">Y29-Y30</f>
        <v>333.026450875289</v>
      </c>
      <c r="Z31" s="48" t="n">
        <f aca="false">Z29-Z30</f>
        <v>294.298037819473</v>
      </c>
      <c r="AA31" s="48" t="n">
        <f aca="false">AA29-AA30</f>
        <v>363.791439672874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2026-05-15T18:53:27Z</dcterms:created>
  <dc:creator>openpyxl</dc:creator>
  <dc:description/>
  <dc:language>en-GB</dc:language>
  <cp:lastModifiedBy/>
  <dcterms:modified xsi:type="dcterms:W3CDTF">2026-05-15T18:53:28Z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