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ortfolio_Rollforward" sheetId="3" state="visible" r:id="rId5"/>
    <sheet name="Default_Recovery" sheetId="4" state="visible" r:id="rId6"/>
    <sheet name="Cash_Flow" sheetId="5" state="visible" r:id="rId7"/>
    <sheet name="Returns" sheetId="6" state="visible" r:id="rId8"/>
    <sheet name="Checks" sheetId="7" state="visible" r:id="rId9"/>
    <sheet name="Disclaimer" sheetId="8" state="visible" r:id="rId10"/>
  </sheets>
  <definedNames>
    <definedName function="false" hidden="false" name="Annual_Opex_Base" vbProcedure="false">Assumptions!$C$36</definedName>
    <definedName function="false" hidden="false" name="Annual_Originations" vbProcedure="false">Assumptions!$C$8</definedName>
    <definedName function="false" hidden="false" name="CDR_Y1" vbProcedure="false">Assumptions!$C$13</definedName>
    <definedName function="false" hidden="false" name="CDR_Y2" vbProcedure="false">Assumptions!$C$14</definedName>
    <definedName function="false" hidden="false" name="CDR_Y3" vbProcedure="false">Assumptions!$C$15</definedName>
    <definedName function="false" hidden="false" name="CDR_Y4" vbProcedure="false">Assumptions!$C$16</definedName>
    <definedName function="false" hidden="false" name="CDR_Y5" vbProcedure="false">Assumptions!$C$17</definedName>
    <definedName function="false" hidden="false" name="CDR_Y6plus" vbProcedure="false">Assumptions!$C$18</definedName>
    <definedName function="false" hidden="false" name="CF_Net_Portfolio_CF_Y1" vbProcedure="false">Cash_Flow!$C$16</definedName>
    <definedName function="false" hidden="false" name="CPR_Y1" vbProcedure="false">Assumptions!$C$21</definedName>
    <definedName function="false" hidden="false" name="CPR_Y2" vbProcedure="false">Assumptions!$C$22</definedName>
    <definedName function="false" hidden="false" name="CPR_Y3" vbProcedure="false">Assumptions!$C$23</definedName>
    <definedName function="false" hidden="false" name="CPR_Y4" vbProcedure="false">Assumptions!$C$24</definedName>
    <definedName function="false" hidden="false" name="CPR_Y5" vbProcedure="false">Assumptions!$C$25</definedName>
    <definedName function="false" hidden="false" name="CPR_Y6plus" vbProcedure="false">Assumptions!$C$26</definedName>
    <definedName function="false" hidden="false" name="Equity_Pct" vbProcedure="false">Assumptions!$C$33</definedName>
    <definedName function="false" hidden="false" name="Funding_Rate" vbProcedure="false">Assumptions!$C$32</definedName>
    <definedName function="false" hidden="false" name="Initial_Balance" vbProcedure="false">Assumptions!$C$7</definedName>
    <definedName function="false" hidden="false" name="Opex_Growth" vbProcedure="false">Assumptions!$C$37</definedName>
    <definedName function="false" hidden="false" name="Origination_Growth" vbProcedure="false">Assumptions!$C$9</definedName>
    <definedName function="false" hidden="false" name="PR_Opening_Y1" vbProcedure="false">Portfolio_Rollforward!$C$8</definedName>
    <definedName function="false" hidden="false" name="Recovery_Rate" vbProcedure="false">Assumptions!$C$29</definedName>
    <definedName function="false" hidden="false" name="Servicing_Rate" vbProcedure="false">Assumptions!$C$35</definedName>
    <definedName function="false" hidden="false" name="WAC" vbProcedure="false">Assumptions!$C$10</definedName>
    <definedName function="false" hidden="false" name="WAM" vbProcedure="false">Assumptions!$C$11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<sst xmlns="http://schemas.openxmlformats.org/spreadsheetml/2006/main" count="141" uniqueCount="130">
  <si>
    <t xml:space="preserve">Loan Portfolio CDR/CPR Runoff Model</t>
  </si>
  <si>
    <t xml:space="preserve">FINAMODEL.com</t>
  </si>
  <si>
    <t xml:space="preserve">10-Year Annual Runoff | Credit Investor Returns</t>
  </si>
  <si>
    <t xml:space="preserve">Investor:</t>
  </si>
  <si>
    <t xml:space="preserve">Date:</t>
  </si>
  <si>
    <t xml:space="preserve">Version:</t>
  </si>
  <si>
    <t xml:space="preserve">1.0</t>
  </si>
  <si>
    <t xml:space="preserve">About this model</t>
  </si>
  <si>
    <t xml:space="preserve">A Loan Portfolio CDR (Cumulative Default Rate) Model values a closed pool of loans acquired by a credit investor, projecting annual defaults, prepayments, principal collections, recoveries, and equity returns. The model applies vintage-based cumulative default rates (CDR curvesâlower in Year 1, peaking Year 3-4, then stabilizing), conditional prepayment rates (CPR), and loss recovery rates (typically 50-75% for senior secured, 10-25% for unsecured) to compute net loss rates and residual cash flow. A typical $100M portfolio at 80% leverage (20% equity) with 10% weighted-average coupon (WAC), 2.5% average CDR, and 65% recovery rate generates 12-16% levered equity IRR with 1.5-2.0x MOIC over the runoff.
The Portfolio_Rollforward sheet drives the core mechanics: Opening Balance (rolling forward via closure formula) + New Originations grown at a fixed rate â Gross Additions. CDR and CPR curves (year-dependent, via CHOOSE function) are applied to Gross Additions to compute annual Defaults and Prepayments. Scheduled Amortization (using simplified WAM formula: Avg_Balance / WAM years) completes the runoff. Defaults exit the performing pool; Interest Income and Principal Collections apply to remaining performing balance only, preventing double-counting. The Default_Recovery sheet applies Recovery_Lag (typically 1-2 years) and Recovery_Rate to compute cash recovery timing. The Cash_Flow sheet nets: Interest_Income + Principal_Collections + Recoveries â Cost_of_Funds â Servicing â Opex = Net Portfolio CF. Fresh equity top-ups (MAX(0, (New_Originations â Principal_Collections) Ã Equity_%)) are called only when growth outpaces recycled principal.
This model suits credit investors, distressed funds, loan acquirers, and BDCs. Key metrics include net portfolio yield (WAC minus funding cost minus loss rate), MOIC (cumulative cash returned / cumulative cash invested), IRR, and cumulative loss rate (as % of initial balance). Typical leverage for institutional investors is 75-85% LTV; covenant tests include minimum equity IRR (8-12%) and maximum cumulative loss rate (10-15% of portfolio).</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</si>
  <si>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</si>
  <si>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</si>
  <si>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</si>
  <si>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</si>
  <si>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</si>
  <si>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POOL SETUP</t>
  </si>
  <si>
    <t xml:space="preserve">Label</t>
  </si>
  <si>
    <t xml:space="preserve">Value</t>
  </si>
  <si>
    <t xml:space="preserve">Unit</t>
  </si>
  <si>
    <t xml:space="preserve">[Rows 5-6 reserved for scenario toggle]</t>
  </si>
  <si>
    <t xml:space="preserve">Initial Balance</t>
  </si>
  <si>
    <t xml:space="preserve">USD</t>
  </si>
  <si>
    <t xml:space="preserve">Annual Originations</t>
  </si>
  <si>
    <t xml:space="preserve">Origination Growth</t>
  </si>
  <si>
    <t xml:space="preserve">% p.a.</t>
  </si>
  <si>
    <t xml:space="preserve">WAC</t>
  </si>
  <si>
    <t xml:space="preserve">WAM</t>
  </si>
  <si>
    <t xml:space="preserve">Years</t>
  </si>
  <si>
    <t xml:space="preserve">CDR CURVE (ANNUAL)</t>
  </si>
  <si>
    <t xml:space="preserve">CDR Year 1</t>
  </si>
  <si>
    <t xml:space="preserve">CDR Year 2</t>
  </si>
  <si>
    <t xml:space="preserve">CDR Year 3</t>
  </si>
  <si>
    <t xml:space="preserve">CDR Year 4</t>
  </si>
  <si>
    <t xml:space="preserve">CDR Year 5</t>
  </si>
  <si>
    <t xml:space="preserve">CDR Year 6+</t>
  </si>
  <si>
    <t xml:space="preserve">CPR CURVE (ANNUAL)</t>
  </si>
  <si>
    <t xml:space="preserve">CPR Year 1</t>
  </si>
  <si>
    <t xml:space="preserve">CPR Year 2</t>
  </si>
  <si>
    <t xml:space="preserve">CPR Year 3</t>
  </si>
  <si>
    <t xml:space="preserve">CPR Year 4</t>
  </si>
  <si>
    <t xml:space="preserve">CPR Year 5</t>
  </si>
  <si>
    <t xml:space="preserve">CPR Year 6+</t>
  </si>
  <si>
    <t xml:space="preserve">RECOVERY</t>
  </si>
  <si>
    <t xml:space="preserve">Recovery Rate</t>
  </si>
  <si>
    <t xml:space="preserve">Recovery Lag</t>
  </si>
  <si>
    <t xml:space="preserve">FUNDING &amp; EQUITY</t>
  </si>
  <si>
    <t xml:space="preserve">Funding Rate</t>
  </si>
  <si>
    <t xml:space="preserve">Equity %</t>
  </si>
  <si>
    <t xml:space="preserve">COSTS</t>
  </si>
  <si>
    <t xml:space="preserve">Servicing Rate</t>
  </si>
  <si>
    <t xml:space="preserve">Annual Opex Base</t>
  </si>
  <si>
    <t xml:space="preserve">Opex Growth</t>
  </si>
  <si>
    <t xml:space="preserve">PORTFOLIO ROLLFORWARD</t>
  </si>
  <si>
    <t xml:space="preserve">CDR (This Year)</t>
  </si>
  <si>
    <t xml:space="preserve">CPR (This Year)</t>
  </si>
  <si>
    <t xml:space="preserve">Opening Balance</t>
  </si>
  <si>
    <t xml:space="preserve">New Originations</t>
  </si>
  <si>
    <t xml:space="preserve">Gross Additions</t>
  </si>
  <si>
    <t xml:space="preserve">Gross Defaults</t>
  </si>
  <si>
    <t xml:space="preserve">Prepayments</t>
  </si>
  <si>
    <t xml:space="preserve">Sched Amort</t>
  </si>
  <si>
    <t xml:space="preserve">Total Reductions</t>
  </si>
  <si>
    <t xml:space="preserve">Closing Balance</t>
  </si>
  <si>
    <t xml:space="preserve">Avg Balance</t>
  </si>
  <si>
    <t xml:space="preserve">Cumulative Defaults</t>
  </si>
  <si>
    <t xml:space="preserve">Cumulative Prepayments</t>
  </si>
  <si>
    <t xml:space="preserve">Cumul Sched Amort</t>
  </si>
  <si>
    <t xml:space="preserve">Cumul Gross Loss</t>
  </si>
  <si>
    <t xml:space="preserve">Cumul Loss Rate</t>
  </si>
  <si>
    <t xml:space="preserve">Period CDR Check</t>
  </si>
  <si>
    <t xml:space="preserve">DEFAULT &amp; RECOVERY</t>
  </si>
  <si>
    <t xml:space="preserve">Recovery Amount</t>
  </si>
  <si>
    <t xml:space="preserve">Recovery Received</t>
  </si>
  <si>
    <t xml:space="preserve">Net Loss</t>
  </si>
  <si>
    <t xml:space="preserve">Cumulative Net Loss</t>
  </si>
  <si>
    <t xml:space="preserve">Net Loss Rate (Annual)</t>
  </si>
  <si>
    <t xml:space="preserve">Cumulative Loss Rate</t>
  </si>
  <si>
    <t xml:space="preserve">CASH FLOW</t>
  </si>
  <si>
    <t xml:space="preserve">Interest Income</t>
  </si>
  <si>
    <t xml:space="preserve">Sched Amortisation</t>
  </si>
  <si>
    <t xml:space="preserve">Recoveries</t>
  </si>
  <si>
    <t xml:space="preserve">Total Collections</t>
  </si>
  <si>
    <t xml:space="preserve">Cost of Funds</t>
  </si>
  <si>
    <t xml:space="preserve">Servicing</t>
  </si>
  <si>
    <t xml:space="preserve">Opex</t>
  </si>
  <si>
    <t xml:space="preserve">Debt Principal Repayment</t>
  </si>
  <si>
    <t xml:space="preserve">Total Costs</t>
  </si>
  <si>
    <t xml:space="preserve">Net Portfolio CF</t>
  </si>
  <si>
    <t xml:space="preserve">Fresh Equity Topup</t>
  </si>
  <si>
    <t xml:space="preserve">Net Equity CF</t>
  </si>
  <si>
    <t xml:space="preserve">Cumulative CF</t>
  </si>
  <si>
    <t xml:space="preserve">RETURNS</t>
  </si>
  <si>
    <t xml:space="preserve">Year 0</t>
  </si>
  <si>
    <t xml:space="preserve">Equity IRR</t>
  </si>
  <si>
    <t xml:space="preserve">MOIC</t>
  </si>
  <si>
    <t xml:space="preserve">Portfolio Yield</t>
  </si>
  <si>
    <t xml:space="preserve">NIM</t>
  </si>
  <si>
    <t xml:space="preserve">Avg Net Loss Rate</t>
  </si>
  <si>
    <t xml:space="preserve">Gross IRR</t>
  </si>
  <si>
    <t xml:space="preserve">CHECKS</t>
  </si>
  <si>
    <t xml:space="preserve">Check</t>
  </si>
  <si>
    <t xml:space="preserve">Result</t>
  </si>
  <si>
    <t xml:space="preserve">Expected</t>
  </si>
  <si>
    <t xml:space="preserve">Status</t>
  </si>
  <si>
    <t xml:space="preserve">Rollforward identity</t>
  </si>
  <si>
    <t xml:space="preserve">CDR in range</t>
  </si>
  <si>
    <t xml:space="preserve">CPR in range</t>
  </si>
  <si>
    <t xml:space="preserve">Recovery &lt;= cum default x rate</t>
  </si>
  <si>
    <t xml:space="preserve">Yield sanity</t>
  </si>
  <si>
    <t xml:space="preserve">IRR sign change (equity CF)</t>
  </si>
  <si>
    <t xml:space="preserve">CF identity</t>
  </si>
  <si>
    <t xml:space="preserve">Net loss rate range</t>
  </si>
  <si>
    <t xml:space="preserve">Closing balance &gt;= 0</t>
  </si>
  <si>
    <t xml:space="preserve">Equity IRR plausible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</si>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</sst>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8">
    <numFmt numFmtId="164" formatCode="General"/>
    <numFmt numFmtId="165" formatCode="dd/mm/yyyy"/>
    <numFmt numFmtId="166" formatCode="#,##0.00"/>
    <numFmt numFmtId="167" formatCode="0.00%"/>
    <numFmt numFmtId="168" formatCode="0.000%"/>
    <numFmt numFmtId="169" formatCode="0.0"/>
    <numFmt numFmtId="170" formatCode="0"/>
    <numFmt numFmtId="171" formatCode="0.00\x"/>
  </numFmts>
  <fonts count="30">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sz val="10"/>
      <name val="Arial"/>
      <family val="0"/>
      <charset val="1"/>
    </font>
    <font>
      <sz val="10"/>
      <color theme="3"/>
      <name val="Arial"/>
      <family val="0"/>
      <charset val="1"/>
    </font>
    <font>
      <sz val="10"/>
      <color rgb="FF00000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theme="0"/>
      <name val="Arial"/>
      <family val="0"/>
      <charset val="1"/>
    </font>
    <font>
      <b val="true"/>
      <sz val="10"/>
      <name val="Arial"/>
      <family val="0"/>
      <charset val="1"/>
    </font>
    <font>
      <i val="true"/>
      <sz val="10"/>
      <color rgb="FF595959"/>
      <name val="Arial"/>
      <family val="0"/>
      <charset val="1"/>
    </font>
    <font>
      <b val="true"/>
      <sz val="10"/>
      <color theme="3"/>
      <name val="Arial"/>
      <family val="0"/>
      <charset val="1"/>
    </font>
    <font>
      <sz val="10"/>
      <color rgb="FFC00000"/>
      <name val="Arial"/>
      <family val="0"/>
      <charset val="1"/>
    </font>
    <font>
      <b val="true"/>
      <sz val="11"/>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1">
    <fill>
      <patternFill patternType="none"/>
    </fill>
    <fill>
      <patternFill patternType="gray125"/>
    </fill>
    <fill>
      <patternFill patternType="solid">
        <fgColor theme="3"/>
        <bgColor rgb="FF1F4E79"/>
      </patternFill>
    </fill>
    <fill>
      <patternFill patternType="solid">
        <fgColor rgb="FFFFF2CC"/>
        <bgColor rgb="FFFCE4D6"/>
      </patternFill>
    </fill>
    <fill>
      <patternFill patternType="solid">
        <fgColor rgb="FFD6E4F0"/>
        <bgColor rgb="FFD9E1F2"/>
      </patternFill>
    </fill>
    <fill>
      <patternFill patternType="solid">
        <fgColor rgb="FFFCE4D6"/>
        <bgColor rgb="FFFFF2CC"/>
      </patternFill>
    </fill>
    <fill>
      <patternFill patternType="solid">
        <fgColor theme="3" tint="0.8"/>
        <bgColor rgb="FFD9E1F2"/>
      </patternFill>
    </fill>
    <fill>
      <patternFill patternType="solid">
        <fgColor rgb="FFD9E1F2"/>
        <bgColor rgb="FFD6E4F0"/>
      </patternFill>
    </fill>
    <fill>
      <patternFill patternType="solid">
        <fgColor rgb="FFE2EFDA"/>
        <bgColor rgb="FFF2F2F2"/>
      </patternFill>
    </fill>
    <fill>
      <patternFill patternType="solid">
        <fgColor rgb="FF1F4E79"/>
        <bgColor rgb="FF1F497D"/>
      </patternFill>
    </fill>
    <fill>
      <patternFill patternType="solid">
        <fgColor rgb="FFF2F2F2"/>
        <bgColor rgb="FFE2EFDA"/>
      </patternFill>
    </fill>
  </fills>
  <borders count="3">
    <border diagonalUp="false" diagonalDown="false">
      <left/>
      <right/>
      <top/>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3" borderId="0" xfId="0" applyFont="true" applyBorder="false" applyAlignment="true" applyProtection="false">
      <alignment horizontal="left" vertical="center" textRotation="0" wrapText="false" indent="0" shrinkToFit="false"/>
      <protection locked="true" hidden="false"/>
    </xf>
    <xf numFmtId="165" fontId="12" fillId="0" borderId="0" xfId="0" applyFont="true" applyBorder="false" applyAlignment="true" applyProtection="false">
      <alignment horizontal="left" vertical="center" textRotation="0" wrapText="false" indent="0" shrinkToFit="false"/>
      <protection locked="true" hidden="false"/>
    </xf>
    <xf numFmtId="164" fontId="13" fillId="4" borderId="0" xfId="0" applyFont="true" applyBorder="false" applyAlignment="true" applyProtection="false">
      <alignment horizontal="left" vertical="center" textRotation="0" wrapText="false" indent="0" shrinkToFit="false"/>
      <protection locked="true" hidden="false"/>
    </xf>
    <xf numFmtId="164" fontId="14" fillId="4"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true" applyProtection="false">
      <alignment horizontal="left" vertical="center"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6" fontId="11" fillId="3" borderId="0" xfId="0" applyFont="true" applyBorder="false" applyAlignment="true" applyProtection="false">
      <alignment horizontal="right" vertical="center" textRotation="0" wrapText="false" indent="0" shrinkToFit="false"/>
      <protection locked="true" hidden="false"/>
    </xf>
    <xf numFmtId="167" fontId="11" fillId="3" borderId="0" xfId="0" applyFont="true" applyBorder="false" applyAlignment="true" applyProtection="false">
      <alignment horizontal="right" vertical="center" textRotation="0" wrapText="false" indent="0" shrinkToFit="false"/>
      <protection locked="true" hidden="false"/>
    </xf>
    <xf numFmtId="168" fontId="11" fillId="3" borderId="0" xfId="0" applyFont="true" applyBorder="false" applyAlignment="true" applyProtection="false">
      <alignment horizontal="right" vertical="center" textRotation="0" wrapText="false" indent="0" shrinkToFit="false"/>
      <protection locked="true" hidden="false"/>
    </xf>
    <xf numFmtId="169" fontId="11" fillId="3" borderId="0" xfId="0" applyFont="true" applyBorder="false" applyAlignment="true" applyProtection="false">
      <alignment horizontal="right" vertical="center" textRotation="0" wrapText="false" indent="0" shrinkToFit="false"/>
      <protection locked="true" hidden="false"/>
    </xf>
    <xf numFmtId="164" fontId="21" fillId="5" borderId="0" xfId="0" applyFont="true" applyBorder="false" applyAlignment="true" applyProtection="false">
      <alignment horizontal="left" vertical="center"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70" fontId="11" fillId="3" borderId="0" xfId="0" applyFont="true" applyBorder="false" applyAlignment="true" applyProtection="false">
      <alignment horizontal="right" vertical="center"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9" fillId="7" borderId="0" xfId="0" applyFont="true" applyBorder="false" applyAlignment="true" applyProtection="false">
      <alignment horizontal="center" vertical="center" textRotation="0" wrapText="false" indent="0" shrinkToFit="false"/>
      <protection locked="true" hidden="false"/>
    </xf>
    <xf numFmtId="168" fontId="12" fillId="0" borderId="0" xfId="0" applyFont="true" applyBorder="false" applyAlignment="true" applyProtection="false">
      <alignment horizontal="right" vertical="center" textRotation="0" wrapText="false" indent="0" shrinkToFit="false"/>
      <protection locked="true" hidden="false"/>
    </xf>
    <xf numFmtId="167" fontId="12" fillId="0" borderId="0" xfId="0" applyFont="true" applyBorder="false" applyAlignment="true" applyProtection="false">
      <alignment horizontal="right" vertical="center" textRotation="0" wrapText="false" indent="0" shrinkToFit="false"/>
      <protection locked="true" hidden="false"/>
    </xf>
    <xf numFmtId="166" fontId="12" fillId="0" borderId="0" xfId="0" applyFont="true" applyBorder="false" applyAlignment="true" applyProtection="false">
      <alignment horizontal="right"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false" indent="0" shrinkToFit="false"/>
      <protection locked="true" hidden="false"/>
    </xf>
    <xf numFmtId="166" fontId="19" fillId="0" borderId="1" xfId="0" applyFont="true" applyBorder="true" applyAlignment="true" applyProtection="false">
      <alignment horizontal="righ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6" fontId="19" fillId="0" borderId="0" xfId="0" applyFont="true" applyBorder="false" applyAlignment="true" applyProtection="false">
      <alignment horizontal="right" vertical="center" textRotation="0" wrapText="false" indent="0" shrinkToFit="false"/>
      <protection locked="true" hidden="false"/>
    </xf>
    <xf numFmtId="168" fontId="20" fillId="0" borderId="0" xfId="0" applyFont="true" applyBorder="false" applyAlignment="true" applyProtection="false">
      <alignment horizontal="right" vertical="center" textRotation="0" wrapText="fals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64" fontId="19" fillId="7" borderId="0" xfId="0" applyFont="true" applyBorder="fals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7" fontId="23" fillId="8" borderId="0" xfId="0" applyFont="true" applyBorder="false" applyAlignment="true" applyProtection="false">
      <alignment horizontal="right" vertical="center" textRotation="0" wrapText="false" indent="0" shrinkToFit="false"/>
      <protection locked="true" hidden="false"/>
    </xf>
    <xf numFmtId="171" fontId="12" fillId="0" borderId="0" xfId="0" applyFont="true" applyBorder="false" applyAlignment="true" applyProtection="false">
      <alignment horizontal="right" vertical="center" textRotation="0" wrapText="false" indent="0" shrinkToFit="false"/>
      <protection locked="true" hidden="false"/>
    </xf>
    <xf numFmtId="164" fontId="19" fillId="7"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14" fillId="0" borderId="2" xfId="0" applyFont="true" applyBorder="true" applyAlignment="false" applyProtection="false">
      <alignment horizontal="general" vertical="bottom" textRotation="0" wrapText="false" indent="0" shrinkToFit="false"/>
      <protection locked="true" hidden="false"/>
    </xf>
    <xf numFmtId="164" fontId="25" fillId="9" borderId="0" xfId="0" applyFont="true" applyBorder="false" applyAlignment="true" applyProtection="false">
      <alignment horizontal="left" vertical="center" textRotation="0" wrapText="false" indent="1" shrinkToFit="false"/>
      <protection locked="true" hidden="false"/>
    </xf>
    <xf numFmtId="164" fontId="26" fillId="0"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8" fillId="10" borderId="0" xfId="0" applyFont="true" applyBorder="false" applyAlignment="true" applyProtection="false">
      <alignment horizontal="left" vertical="top" textRotation="0" wrapText="true" indent="1" shrinkToFit="false"/>
      <protection locked="true" hidden="false"/>
    </xf>
    <xf numFmtId="164" fontId="29"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D9E1F2"/>
      <rgbColor rgb="FF808080"/>
      <rgbColor rgb="FF9999FF"/>
      <rgbColor rgb="FF7030A0"/>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CE4D6"/>
      <rgbColor rgb="FF4472C4"/>
      <rgbColor rgb="FF33CCCC"/>
      <rgbColor rgb="FF99CC00"/>
      <rgbColor rgb="FFFFCC00"/>
      <rgbColor rgb="FFFF9900"/>
      <rgbColor rgb="FFFF6600"/>
      <rgbColor rgb="FF595959"/>
      <rgbColor rgb="FF969696"/>
      <rgbColor rgb="FF1F4E79"/>
      <rgbColor rgb="FF339966"/>
      <rgbColor rgb="FF375623"/>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3" min="3" style="0" width="18"/>
    <col collapsed="false" customWidth="true" hidden="false" outlineLevel="0" max="4" min="4" style="0" width="28"/>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6"/>
      <c r="D5" s="8"/>
    </row>
    <row r="6" customFormat="false" ht="15" hidden="false" customHeight="false" outlineLevel="0" collapsed="false">
      <c r="A6" s="6"/>
      <c r="B6" s="7" t="s">
        <v>4</v>
      </c>
      <c r="C6" s="6"/>
      <c r="D6" s="9" t="n">
        <f aca="true">TODAY()</f>
        <v>46157</v>
      </c>
    </row>
    <row r="7" customFormat="false" ht="15" hidden="false" customHeight="false" outlineLevel="0" collapsed="false">
      <c r="A7" s="6"/>
      <c r="B7" s="7" t="s">
        <v>5</v>
      </c>
      <c r="C7" s="6"/>
      <c r="D7" s="7" t="s">
        <v>6</v>
      </c>
    </row>
    <row r="10" customFormat="false" ht="19.5" hidden="false" customHeight="true" outlineLevel="0" collapsed="false">
      <c r="B10" s="10" t="s">
        <v>7</v>
      </c>
      <c r="C10" s="11"/>
      <c r="D10" s="11"/>
      <c r="E10" s="11"/>
      <c r="F10" s="11"/>
      <c r="G10" s="11"/>
    </row>
    <row r="11" customFormat="false" ht="296.25" hidden="false" customHeight="true" outlineLevel="0" collapsed="false">
      <c r="B11" s="12" t="s">
        <v>8</v>
      </c>
      <c r="C11" s="12"/>
      <c r="D11" s="12"/>
      <c r="E11" s="12"/>
      <c r="F11" s="12"/>
      <c r="G11" s="12"/>
    </row>
    <row r="13" customFormat="false" ht="19.5" hidden="false" customHeight="true" outlineLevel="0" collapsed="false">
      <c r="B13" s="10" t="s">
        <v>9</v>
      </c>
      <c r="C13" s="11"/>
      <c r="D13" s="11"/>
      <c r="E13" s="11"/>
      <c r="F13" s="11"/>
      <c r="G13" s="11"/>
    </row>
    <row r="14" customFormat="false" ht="57" hidden="false" customHeight="true" outlineLevel="0" collapsed="false">
      <c r="B14" s="12" t="s">
        <v>10</v>
      </c>
      <c r="C14" s="12"/>
      <c r="D14" s="12"/>
      <c r="E14" s="12"/>
      <c r="F14" s="12"/>
      <c r="G14" s="12"/>
    </row>
    <row r="15" customFormat="false" ht="15" hidden="false" customHeight="false" outlineLevel="0" collapsed="false">
      <c r="B15" s="13" t="s">
        <v>11</v>
      </c>
      <c r="C15" s="13"/>
      <c r="D15" s="13"/>
      <c r="E15" s="13"/>
      <c r="F15" s="13"/>
      <c r="G15" s="13"/>
    </row>
    <row r="16" customFormat="false" ht="15" hidden="false" customHeight="false" outlineLevel="0" collapsed="false">
      <c r="B16" s="14" t="s">
        <v>12</v>
      </c>
    </row>
  </sheetData>
  <mergeCells count="3">
    <mergeCell ref="B11:G11"/>
    <mergeCell ref="B14:G14"/>
    <mergeCell ref="B15:G1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AD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4"/>
    <col collapsed="false" customWidth="true" hidden="false" outlineLevel="0" max="3" min="3" style="0" width="16"/>
    <col collapsed="false" customWidth="true" hidden="false" outlineLevel="0" max="4" min="4" style="0" width="14"/>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5" t="s">
        <v>13</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6" t="s">
        <v>14</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7" t="s">
        <v>15</v>
      </c>
      <c r="C4" s="17" t="s">
        <v>16</v>
      </c>
      <c r="D4" s="17" t="s">
        <v>17</v>
      </c>
    </row>
    <row r="5" customFormat="false" ht="15" hidden="false" customHeight="false" outlineLevel="0" collapsed="false">
      <c r="A5" s="6"/>
      <c r="B5" s="18" t="s">
        <v>18</v>
      </c>
      <c r="C5" s="6"/>
      <c r="D5" s="6"/>
    </row>
    <row r="6" customFormat="false" ht="15" hidden="false" customHeight="false" outlineLevel="0" collapsed="false">
      <c r="A6" s="6"/>
      <c r="B6" s="6"/>
      <c r="C6" s="6"/>
      <c r="D6" s="6"/>
    </row>
    <row r="7" customFormat="false" ht="15" hidden="false" customHeight="false" outlineLevel="0" collapsed="false">
      <c r="A7" s="6"/>
      <c r="B7" s="7" t="s">
        <v>19</v>
      </c>
      <c r="C7" s="19" t="n">
        <v>100000000</v>
      </c>
      <c r="D7" s="7" t="s">
        <v>20</v>
      </c>
    </row>
    <row r="8" customFormat="false" ht="15" hidden="false" customHeight="false" outlineLevel="0" collapsed="false">
      <c r="A8" s="6"/>
      <c r="B8" s="7" t="s">
        <v>21</v>
      </c>
      <c r="C8" s="19" t="n">
        <v>10000000</v>
      </c>
      <c r="D8" s="7" t="s">
        <v>20</v>
      </c>
    </row>
    <row r="9" customFormat="false" ht="15" hidden="false" customHeight="false" outlineLevel="0" collapsed="false">
      <c r="A9" s="6"/>
      <c r="B9" s="7" t="s">
        <v>22</v>
      </c>
      <c r="C9" s="20" t="n">
        <v>0.05</v>
      </c>
      <c r="D9" s="7" t="s">
        <v>23</v>
      </c>
    </row>
    <row r="10" customFormat="false" ht="15" hidden="false" customHeight="false" outlineLevel="0" collapsed="false">
      <c r="A10" s="6"/>
      <c r="B10" s="7" t="s">
        <v>24</v>
      </c>
      <c r="C10" s="21" t="n">
        <v>0.1</v>
      </c>
      <c r="D10" s="7" t="s">
        <v>23</v>
      </c>
    </row>
    <row r="11" customFormat="false" ht="15" hidden="false" customHeight="false" outlineLevel="0" collapsed="false">
      <c r="A11" s="6"/>
      <c r="B11" s="7" t="s">
        <v>25</v>
      </c>
      <c r="C11" s="22" t="n">
        <v>5</v>
      </c>
      <c r="D11" s="7" t="s">
        <v>26</v>
      </c>
    </row>
    <row r="12" customFormat="false" ht="15" hidden="false" customHeight="false" outlineLevel="0" collapsed="false">
      <c r="A12" s="6"/>
      <c r="B12" s="23" t="s">
        <v>27</v>
      </c>
      <c r="C12" s="24"/>
      <c r="D12" s="24"/>
    </row>
    <row r="13" customFormat="false" ht="15" hidden="false" customHeight="false" outlineLevel="0" collapsed="false">
      <c r="A13" s="6"/>
      <c r="B13" s="7" t="s">
        <v>28</v>
      </c>
      <c r="C13" s="21" t="n">
        <v>0.01</v>
      </c>
      <c r="D13" s="7"/>
    </row>
    <row r="14" customFormat="false" ht="15" hidden="false" customHeight="false" outlineLevel="0" collapsed="false">
      <c r="A14" s="6"/>
      <c r="B14" s="7" t="s">
        <v>29</v>
      </c>
      <c r="C14" s="21" t="n">
        <v>0.02</v>
      </c>
      <c r="D14" s="7"/>
    </row>
    <row r="15" customFormat="false" ht="15" hidden="false" customHeight="false" outlineLevel="0" collapsed="false">
      <c r="A15" s="6"/>
      <c r="B15" s="7" t="s">
        <v>30</v>
      </c>
      <c r="C15" s="21" t="n">
        <v>0.03</v>
      </c>
      <c r="D15" s="7"/>
    </row>
    <row r="16" customFormat="false" ht="15" hidden="false" customHeight="false" outlineLevel="0" collapsed="false">
      <c r="A16" s="6"/>
      <c r="B16" s="7" t="s">
        <v>31</v>
      </c>
      <c r="C16" s="21" t="n">
        <v>0.025</v>
      </c>
      <c r="D16" s="7"/>
    </row>
    <row r="17" customFormat="false" ht="15" hidden="false" customHeight="false" outlineLevel="0" collapsed="false">
      <c r="A17" s="6"/>
      <c r="B17" s="7" t="s">
        <v>32</v>
      </c>
      <c r="C17" s="21" t="n">
        <v>0.02</v>
      </c>
      <c r="D17" s="7"/>
    </row>
    <row r="18" customFormat="false" ht="15" hidden="false" customHeight="false" outlineLevel="0" collapsed="false">
      <c r="A18" s="6"/>
      <c r="B18" s="7" t="s">
        <v>33</v>
      </c>
      <c r="C18" s="21" t="n">
        <v>0.015</v>
      </c>
      <c r="D18" s="7"/>
    </row>
    <row r="19" customFormat="false" ht="15" hidden="false" customHeight="false" outlineLevel="0" collapsed="false">
      <c r="A19" s="6"/>
      <c r="B19" s="6"/>
      <c r="C19" s="6"/>
      <c r="D19" s="6"/>
    </row>
    <row r="20" customFormat="false" ht="15" hidden="false" customHeight="false" outlineLevel="0" collapsed="false">
      <c r="A20" s="6"/>
      <c r="B20" s="23" t="s">
        <v>34</v>
      </c>
      <c r="C20" s="24"/>
      <c r="D20" s="24"/>
    </row>
    <row r="21" customFormat="false" ht="15" hidden="false" customHeight="false" outlineLevel="0" collapsed="false">
      <c r="A21" s="6"/>
      <c r="B21" s="7" t="s">
        <v>35</v>
      </c>
      <c r="C21" s="20" t="n">
        <v>0.05</v>
      </c>
      <c r="D21" s="7"/>
    </row>
    <row r="22" customFormat="false" ht="15" hidden="false" customHeight="false" outlineLevel="0" collapsed="false">
      <c r="A22" s="6"/>
      <c r="B22" s="7" t="s">
        <v>36</v>
      </c>
      <c r="C22" s="20" t="n">
        <v>0.08</v>
      </c>
      <c r="D22" s="7"/>
    </row>
    <row r="23" customFormat="false" ht="15" hidden="false" customHeight="false" outlineLevel="0" collapsed="false">
      <c r="A23" s="6"/>
      <c r="B23" s="7" t="s">
        <v>37</v>
      </c>
      <c r="C23" s="20" t="n">
        <v>0.1</v>
      </c>
      <c r="D23" s="7"/>
    </row>
    <row r="24" customFormat="false" ht="15" hidden="false" customHeight="false" outlineLevel="0" collapsed="false">
      <c r="A24" s="6"/>
      <c r="B24" s="7" t="s">
        <v>38</v>
      </c>
      <c r="C24" s="20" t="n">
        <v>0.12</v>
      </c>
      <c r="D24" s="7"/>
    </row>
    <row r="25" customFormat="false" ht="15" hidden="false" customHeight="false" outlineLevel="0" collapsed="false">
      <c r="A25" s="6"/>
      <c r="B25" s="7" t="s">
        <v>39</v>
      </c>
      <c r="C25" s="20" t="n">
        <v>0.12</v>
      </c>
      <c r="D25" s="7"/>
    </row>
    <row r="26" customFormat="false" ht="15" hidden="false" customHeight="false" outlineLevel="0" collapsed="false">
      <c r="A26" s="6"/>
      <c r="B26" s="7" t="s">
        <v>40</v>
      </c>
      <c r="C26" s="20" t="n">
        <v>0.1</v>
      </c>
      <c r="D26" s="7"/>
    </row>
    <row r="27" customFormat="false" ht="15" hidden="false" customHeight="false" outlineLevel="0" collapsed="false">
      <c r="A27" s="6"/>
      <c r="B27" s="6"/>
      <c r="C27" s="6"/>
      <c r="D27" s="6"/>
    </row>
    <row r="28" customFormat="false" ht="15" hidden="false" customHeight="false" outlineLevel="0" collapsed="false">
      <c r="A28" s="6"/>
      <c r="B28" s="23" t="s">
        <v>41</v>
      </c>
      <c r="C28" s="24"/>
      <c r="D28" s="24"/>
    </row>
    <row r="29" customFormat="false" ht="15" hidden="false" customHeight="false" outlineLevel="0" collapsed="false">
      <c r="A29" s="6"/>
      <c r="B29" s="7" t="s">
        <v>42</v>
      </c>
      <c r="C29" s="20" t="n">
        <v>0.65</v>
      </c>
      <c r="D29" s="7"/>
    </row>
    <row r="30" customFormat="false" ht="15" hidden="false" customHeight="false" outlineLevel="0" collapsed="false">
      <c r="A30" s="6"/>
      <c r="B30" s="7" t="s">
        <v>43</v>
      </c>
      <c r="C30" s="25" t="n">
        <v>2</v>
      </c>
      <c r="D30" s="7" t="s">
        <v>26</v>
      </c>
    </row>
    <row r="31" customFormat="false" ht="15" hidden="false" customHeight="false" outlineLevel="0" collapsed="false">
      <c r="A31" s="6"/>
      <c r="B31" s="26" t="s">
        <v>44</v>
      </c>
      <c r="C31" s="27"/>
      <c r="D31" s="27"/>
    </row>
    <row r="32" customFormat="false" ht="15" hidden="false" customHeight="false" outlineLevel="0" collapsed="false">
      <c r="A32" s="6"/>
      <c r="B32" s="7" t="s">
        <v>45</v>
      </c>
      <c r="C32" s="21" t="n">
        <v>0.065</v>
      </c>
      <c r="D32" s="7" t="s">
        <v>23</v>
      </c>
    </row>
    <row r="33" customFormat="false" ht="15" hidden="false" customHeight="false" outlineLevel="0" collapsed="false">
      <c r="A33" s="6"/>
      <c r="B33" s="7" t="s">
        <v>46</v>
      </c>
      <c r="C33" s="20" t="n">
        <v>0.2</v>
      </c>
      <c r="D33" s="7"/>
    </row>
    <row r="34" customFormat="false" ht="15" hidden="false" customHeight="false" outlineLevel="0" collapsed="false">
      <c r="A34" s="6"/>
      <c r="B34" s="26" t="s">
        <v>47</v>
      </c>
      <c r="C34" s="27"/>
      <c r="D34" s="27"/>
    </row>
    <row r="35" customFormat="false" ht="15" hidden="false" customHeight="false" outlineLevel="0" collapsed="false">
      <c r="A35" s="6"/>
      <c r="B35" s="7" t="s">
        <v>48</v>
      </c>
      <c r="C35" s="21" t="n">
        <v>0.0075</v>
      </c>
      <c r="D35" s="7" t="s">
        <v>23</v>
      </c>
    </row>
    <row r="36" customFormat="false" ht="15" hidden="false" customHeight="false" outlineLevel="0" collapsed="false">
      <c r="A36" s="6"/>
      <c r="B36" s="7" t="s">
        <v>49</v>
      </c>
      <c r="C36" s="19" t="n">
        <v>500000</v>
      </c>
      <c r="D36" s="7" t="s">
        <v>20</v>
      </c>
    </row>
    <row r="37" customFormat="false" ht="15" hidden="false" customHeight="false" outlineLevel="0" collapsed="false">
      <c r="A37" s="6"/>
      <c r="B37" s="7" t="s">
        <v>50</v>
      </c>
      <c r="C37" s="20" t="n">
        <v>0.03</v>
      </c>
      <c r="D37" s="7" t="s">
        <v>23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4"/>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28" t="s">
        <v>51</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6"/>
      <c r="C5" s="29" t="n">
        <v>1</v>
      </c>
      <c r="D5" s="29" t="n">
        <v>2</v>
      </c>
      <c r="E5" s="29" t="n">
        <v>3</v>
      </c>
      <c r="F5" s="29" t="n">
        <v>4</v>
      </c>
      <c r="G5" s="29" t="n">
        <v>5</v>
      </c>
      <c r="H5" s="29" t="n">
        <v>6</v>
      </c>
      <c r="I5" s="29" t="n">
        <v>7</v>
      </c>
      <c r="J5" s="29" t="n">
        <v>8</v>
      </c>
      <c r="K5" s="29" t="n">
        <v>9</v>
      </c>
      <c r="L5" s="29" t="n">
        <v>10</v>
      </c>
    </row>
    <row r="6" customFormat="false" ht="15" hidden="false" customHeight="false" outlineLevel="0" collapsed="false">
      <c r="A6" s="6"/>
      <c r="B6" s="7" t="s">
        <v>52</v>
      </c>
      <c r="C6" s="30" t="n">
        <f aca="false">CHOOSE(MIN(C5,6),CDR_Y1,CDR_Y2,CDR_Y3,CDR_Y4,CDR_Y5,CDR_Y6plus)</f>
        <v>0.01</v>
      </c>
      <c r="D6" s="30" t="n">
        <f aca="false">CHOOSE(MIN(D5,6),CDR_Y1,CDR_Y2,CDR_Y3,CDR_Y4,CDR_Y5,CDR_Y6plus)</f>
        <v>0.02</v>
      </c>
      <c r="E6" s="30" t="n">
        <f aca="false">CHOOSE(MIN(E5,6),CDR_Y1,CDR_Y2,CDR_Y3,CDR_Y4,CDR_Y5,CDR_Y6plus)</f>
        <v>0.03</v>
      </c>
      <c r="F6" s="30" t="n">
        <f aca="false">CHOOSE(MIN(F5,6),CDR_Y1,CDR_Y2,CDR_Y3,CDR_Y4,CDR_Y5,CDR_Y6plus)</f>
        <v>0.025</v>
      </c>
      <c r="G6" s="30" t="n">
        <f aca="false">CHOOSE(MIN(G5,6),CDR_Y1,CDR_Y2,CDR_Y3,CDR_Y4,CDR_Y5,CDR_Y6plus)</f>
        <v>0.02</v>
      </c>
      <c r="H6" s="30" t="n">
        <f aca="false">CHOOSE(MIN(H5,6),CDR_Y1,CDR_Y2,CDR_Y3,CDR_Y4,CDR_Y5,CDR_Y6plus)</f>
        <v>0.015</v>
      </c>
      <c r="I6" s="30" t="n">
        <f aca="false">CHOOSE(MIN(I5,6),CDR_Y1,CDR_Y2,CDR_Y3,CDR_Y4,CDR_Y5,CDR_Y6plus)</f>
        <v>0.015</v>
      </c>
      <c r="J6" s="30" t="n">
        <f aca="false">CHOOSE(MIN(J5,6),CDR_Y1,CDR_Y2,CDR_Y3,CDR_Y4,CDR_Y5,CDR_Y6plus)</f>
        <v>0.015</v>
      </c>
      <c r="K6" s="30" t="n">
        <f aca="false">CHOOSE(MIN(K5,6),CDR_Y1,CDR_Y2,CDR_Y3,CDR_Y4,CDR_Y5,CDR_Y6plus)</f>
        <v>0.015</v>
      </c>
      <c r="L6" s="30" t="n">
        <f aca="false">CHOOSE(MIN(L5,6),CDR_Y1,CDR_Y2,CDR_Y3,CDR_Y4,CDR_Y5,CDR_Y6plus)</f>
        <v>0.015</v>
      </c>
    </row>
    <row r="7" customFormat="false" ht="15" hidden="false" customHeight="false" outlineLevel="0" collapsed="false">
      <c r="A7" s="6"/>
      <c r="B7" s="7" t="s">
        <v>53</v>
      </c>
      <c r="C7" s="31" t="n">
        <f aca="false">CHOOSE(MIN(C5,6),CPR_Y1,CPR_Y2,CPR_Y3,CPR_Y4,CPR_Y5,CPR_Y6plus)</f>
        <v>0.05</v>
      </c>
      <c r="D7" s="31" t="n">
        <f aca="false">CHOOSE(MIN(D5,6),CPR_Y1,CPR_Y2,CPR_Y3,CPR_Y4,CPR_Y5,CPR_Y6plus)</f>
        <v>0.08</v>
      </c>
      <c r="E7" s="31" t="n">
        <f aca="false">CHOOSE(MIN(E5,6),CPR_Y1,CPR_Y2,CPR_Y3,CPR_Y4,CPR_Y5,CPR_Y6plus)</f>
        <v>0.1</v>
      </c>
      <c r="F7" s="31" t="n">
        <f aca="false">CHOOSE(MIN(F5,6),CPR_Y1,CPR_Y2,CPR_Y3,CPR_Y4,CPR_Y5,CPR_Y6plus)</f>
        <v>0.12</v>
      </c>
      <c r="G7" s="31" t="n">
        <f aca="false">CHOOSE(MIN(G5,6),CPR_Y1,CPR_Y2,CPR_Y3,CPR_Y4,CPR_Y5,CPR_Y6plus)</f>
        <v>0.12</v>
      </c>
      <c r="H7" s="31" t="n">
        <f aca="false">CHOOSE(MIN(H5,6),CPR_Y1,CPR_Y2,CPR_Y3,CPR_Y4,CPR_Y5,CPR_Y6plus)</f>
        <v>0.1</v>
      </c>
      <c r="I7" s="31" t="n">
        <f aca="false">CHOOSE(MIN(I5,6),CPR_Y1,CPR_Y2,CPR_Y3,CPR_Y4,CPR_Y5,CPR_Y6plus)</f>
        <v>0.1</v>
      </c>
      <c r="J7" s="31" t="n">
        <f aca="false">CHOOSE(MIN(J5,6),CPR_Y1,CPR_Y2,CPR_Y3,CPR_Y4,CPR_Y5,CPR_Y6plus)</f>
        <v>0.1</v>
      </c>
      <c r="K7" s="31" t="n">
        <f aca="false">CHOOSE(MIN(K5,6),CPR_Y1,CPR_Y2,CPR_Y3,CPR_Y4,CPR_Y5,CPR_Y6plus)</f>
        <v>0.1</v>
      </c>
      <c r="L7" s="31" t="n">
        <f aca="false">CHOOSE(MIN(L5,6),CPR_Y1,CPR_Y2,CPR_Y3,CPR_Y4,CPR_Y5,CPR_Y6plus)</f>
        <v>0.1</v>
      </c>
    </row>
    <row r="8" customFormat="false" ht="15" hidden="false" customHeight="false" outlineLevel="0" collapsed="false">
      <c r="A8" s="6"/>
      <c r="B8" s="7" t="s">
        <v>54</v>
      </c>
      <c r="C8" s="32" t="n">
        <f aca="false">Initial_Balance</f>
        <v>100000000</v>
      </c>
      <c r="D8" s="32" t="n">
        <f aca="false">C15</f>
        <v>82400000</v>
      </c>
      <c r="E8" s="32" t="n">
        <f aca="false">D15</f>
        <v>66080000</v>
      </c>
      <c r="F8" s="32" t="n">
        <f aca="false">E15</f>
        <v>52762850</v>
      </c>
      <c r="G8" s="32" t="n">
        <f aca="false">F15</f>
        <v>43299735.5</v>
      </c>
      <c r="H8" s="32" t="n">
        <f aca="false">G15</f>
        <v>37815672.93</v>
      </c>
      <c r="I8" s="32" t="n">
        <f aca="false">H15</f>
        <v>35922546.222675</v>
      </c>
      <c r="J8" s="32" t="n">
        <f aca="false">I15</f>
        <v>35126694.9414386</v>
      </c>
      <c r="K8" s="32" t="n">
        <f aca="false">J15</f>
        <v>35107524.352737</v>
      </c>
      <c r="L8" s="32" t="n">
        <f aca="false">K15</f>
        <v>35646679.415369</v>
      </c>
    </row>
    <row r="9" customFormat="false" ht="15" hidden="false" customHeight="false" outlineLevel="0" collapsed="false">
      <c r="A9" s="6"/>
      <c r="B9" s="7" t="s">
        <v>55</v>
      </c>
      <c r="C9" s="32" t="n">
        <f aca="false">Annual_Originations</f>
        <v>10000000</v>
      </c>
      <c r="D9" s="32" t="n">
        <f aca="false">C9*(1+Origination_Growth)</f>
        <v>10500000</v>
      </c>
      <c r="E9" s="32" t="n">
        <f aca="false">D9*(1+Origination_Growth)</f>
        <v>11025000</v>
      </c>
      <c r="F9" s="32" t="n">
        <f aca="false">E9*(1+Origination_Growth)</f>
        <v>11576250</v>
      </c>
      <c r="G9" s="32" t="n">
        <f aca="false">F9*(1+Origination_Growth)</f>
        <v>12155062.5</v>
      </c>
      <c r="H9" s="32" t="n">
        <f aca="false">G9*(1+Origination_Growth)</f>
        <v>12762815.625</v>
      </c>
      <c r="I9" s="32" t="n">
        <f aca="false">H9*(1+Origination_Growth)</f>
        <v>13400956.40625</v>
      </c>
      <c r="J9" s="32" t="n">
        <f aca="false">I9*(1+Origination_Growth)</f>
        <v>14071004.2265625</v>
      </c>
      <c r="K9" s="32" t="n">
        <f aca="false">J9*(1+Origination_Growth)</f>
        <v>14774554.4378906</v>
      </c>
      <c r="L9" s="32" t="n">
        <f aca="false">K9*(1+Origination_Growth)</f>
        <v>15513282.1597852</v>
      </c>
    </row>
    <row r="10" customFormat="false" ht="15" hidden="false" customHeight="false" outlineLevel="0" collapsed="false">
      <c r="A10" s="6"/>
      <c r="B10" s="7" t="s">
        <v>56</v>
      </c>
      <c r="C10" s="32" t="n">
        <f aca="false">C8+C9</f>
        <v>110000000</v>
      </c>
      <c r="D10" s="32" t="n">
        <f aca="false">D8+D9</f>
        <v>92900000</v>
      </c>
      <c r="E10" s="32" t="n">
        <f aca="false">E8+E9</f>
        <v>77105000</v>
      </c>
      <c r="F10" s="32" t="n">
        <f aca="false">F8+F9</f>
        <v>64339100</v>
      </c>
      <c r="G10" s="32" t="n">
        <f aca="false">G8+G9</f>
        <v>55454798</v>
      </c>
      <c r="H10" s="32" t="n">
        <f aca="false">H8+H9</f>
        <v>50578488.555</v>
      </c>
      <c r="I10" s="32" t="n">
        <f aca="false">I8+I9</f>
        <v>49323502.628925</v>
      </c>
      <c r="J10" s="32" t="n">
        <f aca="false">J8+J9</f>
        <v>49197699.1680011</v>
      </c>
      <c r="K10" s="32" t="n">
        <f aca="false">K8+K9</f>
        <v>49882078.7906277</v>
      </c>
      <c r="L10" s="32" t="n">
        <f aca="false">L8+L9</f>
        <v>51159961.5751542</v>
      </c>
    </row>
    <row r="11" customFormat="false" ht="15" hidden="false" customHeight="false" outlineLevel="0" collapsed="false">
      <c r="A11" s="6"/>
      <c r="B11" s="7" t="s">
        <v>57</v>
      </c>
      <c r="C11" s="32" t="n">
        <f aca="false">C10*C6</f>
        <v>1100000</v>
      </c>
      <c r="D11" s="32" t="n">
        <f aca="false">D10*D6</f>
        <v>1858000</v>
      </c>
      <c r="E11" s="32" t="n">
        <f aca="false">E10*E6</f>
        <v>2313150</v>
      </c>
      <c r="F11" s="32" t="n">
        <f aca="false">F10*F6</f>
        <v>1608477.5</v>
      </c>
      <c r="G11" s="32" t="n">
        <f aca="false">G10*G6</f>
        <v>1109095.96</v>
      </c>
      <c r="H11" s="32" t="n">
        <f aca="false">H10*H6</f>
        <v>758677.328325</v>
      </c>
      <c r="I11" s="32" t="n">
        <f aca="false">I10*I6</f>
        <v>739852.539433875</v>
      </c>
      <c r="J11" s="32" t="n">
        <f aca="false">J10*J6</f>
        <v>737965.487520017</v>
      </c>
      <c r="K11" s="32" t="n">
        <f aca="false">K10*K6</f>
        <v>748231.181859415</v>
      </c>
      <c r="L11" s="32" t="n">
        <f aca="false">L10*L6</f>
        <v>767399.423627312</v>
      </c>
    </row>
    <row r="12" customFormat="false" ht="15" hidden="false" customHeight="false" outlineLevel="0" collapsed="false">
      <c r="A12" s="6"/>
      <c r="B12" s="7" t="s">
        <v>58</v>
      </c>
      <c r="C12" s="32" t="n">
        <f aca="false">C10*C7</f>
        <v>5500000</v>
      </c>
      <c r="D12" s="32" t="n">
        <f aca="false">D10*D7</f>
        <v>7432000</v>
      </c>
      <c r="E12" s="32" t="n">
        <f aca="false">E10*E7</f>
        <v>7710500</v>
      </c>
      <c r="F12" s="32" t="n">
        <f aca="false">F10*F7</f>
        <v>7720692</v>
      </c>
      <c r="G12" s="32" t="n">
        <f aca="false">G10*G7</f>
        <v>6654575.76</v>
      </c>
      <c r="H12" s="32" t="n">
        <f aca="false">H10*H7</f>
        <v>5057848.8555</v>
      </c>
      <c r="I12" s="32" t="n">
        <f aca="false">I10*I7</f>
        <v>4932350.2628925</v>
      </c>
      <c r="J12" s="32" t="n">
        <f aca="false">J10*J7</f>
        <v>4919769.91680011</v>
      </c>
      <c r="K12" s="32" t="n">
        <f aca="false">K10*K7</f>
        <v>4988207.87906277</v>
      </c>
      <c r="L12" s="32" t="n">
        <f aca="false">L10*L7</f>
        <v>5115996.15751542</v>
      </c>
    </row>
    <row r="13" customFormat="false" ht="15" hidden="false" customHeight="false" outlineLevel="0" collapsed="false">
      <c r="A13" s="6"/>
      <c r="B13" s="7" t="s">
        <v>59</v>
      </c>
      <c r="C13" s="32" t="n">
        <f aca="false">(C8+C10)/2/WAM</f>
        <v>21000000</v>
      </c>
      <c r="D13" s="32" t="n">
        <f aca="false">(D8+D10)/2/WAM</f>
        <v>17530000</v>
      </c>
      <c r="E13" s="32" t="n">
        <f aca="false">(E8+E10)/2/WAM</f>
        <v>14318500</v>
      </c>
      <c r="F13" s="32" t="n">
        <f aca="false">(F8+F10)/2/WAM</f>
        <v>11710195</v>
      </c>
      <c r="G13" s="32" t="n">
        <f aca="false">(G8+G10)/2/WAM</f>
        <v>9875453.35</v>
      </c>
      <c r="H13" s="32" t="n">
        <f aca="false">(H8+H10)/2/WAM</f>
        <v>8839416.1485</v>
      </c>
      <c r="I13" s="32" t="n">
        <f aca="false">(I8+I10)/2/WAM</f>
        <v>8524604.88516</v>
      </c>
      <c r="J13" s="32" t="n">
        <f aca="false">(J8+J10)/2/WAM</f>
        <v>8432439.41094397</v>
      </c>
      <c r="K13" s="32" t="n">
        <f aca="false">(K8+K10)/2/WAM</f>
        <v>8498960.31433647</v>
      </c>
      <c r="L13" s="32" t="n">
        <f aca="false">(L8+L10)/2/WAM</f>
        <v>8680664.09905232</v>
      </c>
    </row>
    <row r="14" customFormat="false" ht="15" hidden="false" customHeight="false" outlineLevel="0" collapsed="false">
      <c r="A14" s="6"/>
      <c r="B14" s="33" t="s">
        <v>60</v>
      </c>
      <c r="C14" s="34" t="n">
        <f aca="false">C11+C12+C13</f>
        <v>27600000</v>
      </c>
      <c r="D14" s="34" t="n">
        <f aca="false">D11+D12+D13</f>
        <v>26820000</v>
      </c>
      <c r="E14" s="34" t="n">
        <f aca="false">E11+E12+E13</f>
        <v>24342150</v>
      </c>
      <c r="F14" s="34" t="n">
        <f aca="false">F11+F12+F13</f>
        <v>21039364.5</v>
      </c>
      <c r="G14" s="34" t="n">
        <f aca="false">G11+G12+G13</f>
        <v>17639125.07</v>
      </c>
      <c r="H14" s="34" t="n">
        <f aca="false">H11+H12+H13</f>
        <v>14655942.332325</v>
      </c>
      <c r="I14" s="34" t="n">
        <f aca="false">I11+I12+I13</f>
        <v>14196807.6874864</v>
      </c>
      <c r="J14" s="34" t="n">
        <f aca="false">J11+J12+J13</f>
        <v>14090174.8152641</v>
      </c>
      <c r="K14" s="34" t="n">
        <f aca="false">K11+K12+K13</f>
        <v>14235399.3752586</v>
      </c>
      <c r="L14" s="34" t="n">
        <f aca="false">L11+L12+L13</f>
        <v>14564059.680195</v>
      </c>
    </row>
    <row r="15" customFormat="false" ht="15" hidden="false" customHeight="false" outlineLevel="0" collapsed="false">
      <c r="A15" s="6"/>
      <c r="B15" s="35" t="s">
        <v>61</v>
      </c>
      <c r="C15" s="36" t="n">
        <f aca="false">MAX(0,C10-C14)</f>
        <v>82400000</v>
      </c>
      <c r="D15" s="36" t="n">
        <f aca="false">MAX(0,D10-D14)</f>
        <v>66080000</v>
      </c>
      <c r="E15" s="36" t="n">
        <f aca="false">MAX(0,E10-E14)</f>
        <v>52762850</v>
      </c>
      <c r="F15" s="36" t="n">
        <f aca="false">MAX(0,F10-F14)</f>
        <v>43299735.5</v>
      </c>
      <c r="G15" s="36" t="n">
        <f aca="false">MAX(0,G10-G14)</f>
        <v>37815672.93</v>
      </c>
      <c r="H15" s="36" t="n">
        <f aca="false">MAX(0,H10-H14)</f>
        <v>35922546.222675</v>
      </c>
      <c r="I15" s="36" t="n">
        <f aca="false">MAX(0,I10-I14)</f>
        <v>35126694.9414386</v>
      </c>
      <c r="J15" s="36" t="n">
        <f aca="false">MAX(0,J10-J14)</f>
        <v>35107524.352737</v>
      </c>
      <c r="K15" s="36" t="n">
        <f aca="false">MAX(0,K10-K14)</f>
        <v>35646679.415369</v>
      </c>
      <c r="L15" s="36" t="n">
        <f aca="false">MAX(0,L10-L14)</f>
        <v>36595901.8949591</v>
      </c>
    </row>
    <row r="16" customFormat="false" ht="15" hidden="false" customHeight="false" outlineLevel="0" collapsed="false">
      <c r="A16" s="6"/>
      <c r="B16" s="7" t="s">
        <v>62</v>
      </c>
      <c r="C16" s="32" t="n">
        <f aca="false">(C8+C15)/2</f>
        <v>91200000</v>
      </c>
      <c r="D16" s="32" t="n">
        <f aca="false">(D8+D15)/2</f>
        <v>74240000</v>
      </c>
      <c r="E16" s="32" t="n">
        <f aca="false">(E8+E15)/2</f>
        <v>59421425</v>
      </c>
      <c r="F16" s="32" t="n">
        <f aca="false">(F8+F15)/2</f>
        <v>48031292.75</v>
      </c>
      <c r="G16" s="32" t="n">
        <f aca="false">(G8+G15)/2</f>
        <v>40557704.215</v>
      </c>
      <c r="H16" s="32" t="n">
        <f aca="false">(H8+H15)/2</f>
        <v>36869109.5763375</v>
      </c>
      <c r="I16" s="32" t="n">
        <f aca="false">(I8+I15)/2</f>
        <v>35524620.5820568</v>
      </c>
      <c r="J16" s="32" t="n">
        <f aca="false">(J8+J15)/2</f>
        <v>35117109.6470878</v>
      </c>
      <c r="K16" s="32" t="n">
        <f aca="false">(K8+K15)/2</f>
        <v>35377101.884053</v>
      </c>
      <c r="L16" s="32" t="n">
        <f aca="false">(L8+L15)/2</f>
        <v>36121290.6551641</v>
      </c>
    </row>
    <row r="17" customFormat="false" ht="15" hidden="false" customHeight="false" outlineLevel="0" collapsed="false">
      <c r="A17" s="6"/>
      <c r="B17" s="7" t="s">
        <v>63</v>
      </c>
      <c r="C17" s="32" t="n">
        <f aca="false">C11</f>
        <v>1100000</v>
      </c>
      <c r="D17" s="32" t="n">
        <f aca="false">C17+D11</f>
        <v>2958000</v>
      </c>
      <c r="E17" s="32" t="n">
        <f aca="false">D17+E11</f>
        <v>5271150</v>
      </c>
      <c r="F17" s="32" t="n">
        <f aca="false">E17+F11</f>
        <v>6879627.5</v>
      </c>
      <c r="G17" s="32" t="n">
        <f aca="false">F17+G11</f>
        <v>7988723.46</v>
      </c>
      <c r="H17" s="32" t="n">
        <f aca="false">G17+H11</f>
        <v>8747400.788325</v>
      </c>
      <c r="I17" s="32" t="n">
        <f aca="false">H17+I11</f>
        <v>9487253.32775888</v>
      </c>
      <c r="J17" s="32" t="n">
        <f aca="false">I17+J11</f>
        <v>10225218.8152789</v>
      </c>
      <c r="K17" s="32" t="n">
        <f aca="false">J17+K11</f>
        <v>10973449.9971383</v>
      </c>
      <c r="L17" s="32" t="n">
        <f aca="false">K17+L11</f>
        <v>11740849.4207656</v>
      </c>
    </row>
    <row r="18" customFormat="false" ht="15" hidden="false" customHeight="false" outlineLevel="0" collapsed="false">
      <c r="A18" s="6"/>
      <c r="B18" s="7" t="s">
        <v>64</v>
      </c>
      <c r="C18" s="32" t="n">
        <f aca="false">C12</f>
        <v>5500000</v>
      </c>
      <c r="D18" s="32" t="n">
        <f aca="false">C18+D12</f>
        <v>12932000</v>
      </c>
      <c r="E18" s="32" t="n">
        <f aca="false">D18+E12</f>
        <v>20642500</v>
      </c>
      <c r="F18" s="32" t="n">
        <f aca="false">E18+F12</f>
        <v>28363192</v>
      </c>
      <c r="G18" s="32" t="n">
        <f aca="false">F18+G12</f>
        <v>35017767.76</v>
      </c>
      <c r="H18" s="32" t="n">
        <f aca="false">G18+H12</f>
        <v>40075616.6155</v>
      </c>
      <c r="I18" s="32" t="n">
        <f aca="false">H18+I12</f>
        <v>45007966.8783925</v>
      </c>
      <c r="J18" s="32" t="n">
        <f aca="false">I18+J12</f>
        <v>49927736.7951926</v>
      </c>
      <c r="K18" s="32" t="n">
        <f aca="false">J18+K12</f>
        <v>54915944.6742554</v>
      </c>
      <c r="L18" s="32" t="n">
        <f aca="false">K18+L12</f>
        <v>60031940.8317708</v>
      </c>
    </row>
    <row r="19" customFormat="false" ht="15" hidden="false" customHeight="false" outlineLevel="0" collapsed="false">
      <c r="A19" s="6"/>
      <c r="B19" s="7" t="s">
        <v>65</v>
      </c>
      <c r="C19" s="32" t="n">
        <f aca="false">C13</f>
        <v>21000000</v>
      </c>
      <c r="D19" s="32" t="n">
        <f aca="false">C19+D13</f>
        <v>38530000</v>
      </c>
      <c r="E19" s="32" t="n">
        <f aca="false">D19+E13</f>
        <v>52848500</v>
      </c>
      <c r="F19" s="32" t="n">
        <f aca="false">E19+F13</f>
        <v>64558695</v>
      </c>
      <c r="G19" s="32" t="n">
        <f aca="false">F19+G13</f>
        <v>74434148.35</v>
      </c>
      <c r="H19" s="32" t="n">
        <f aca="false">G19+H13</f>
        <v>83273564.4985</v>
      </c>
      <c r="I19" s="32" t="n">
        <f aca="false">H19+I13</f>
        <v>91798169.38366</v>
      </c>
      <c r="J19" s="32" t="n">
        <f aca="false">I19+J13</f>
        <v>100230608.794604</v>
      </c>
      <c r="K19" s="32" t="n">
        <f aca="false">J19+K13</f>
        <v>108729569.10894</v>
      </c>
      <c r="L19" s="32" t="n">
        <f aca="false">K19+L13</f>
        <v>117410233.207993</v>
      </c>
    </row>
    <row r="20" customFormat="false" ht="15" hidden="false" customHeight="false" outlineLevel="0" collapsed="false">
      <c r="A20" s="6"/>
      <c r="B20" s="7" t="s">
        <v>66</v>
      </c>
      <c r="C20" s="32" t="n">
        <f aca="false">C17</f>
        <v>1100000</v>
      </c>
      <c r="D20" s="32" t="n">
        <f aca="false">D17</f>
        <v>2958000</v>
      </c>
      <c r="E20" s="32" t="n">
        <f aca="false">E17</f>
        <v>5271150</v>
      </c>
      <c r="F20" s="32" t="n">
        <f aca="false">F17</f>
        <v>6879627.5</v>
      </c>
      <c r="G20" s="32" t="n">
        <f aca="false">G17</f>
        <v>7988723.46</v>
      </c>
      <c r="H20" s="32" t="n">
        <f aca="false">H17</f>
        <v>8747400.788325</v>
      </c>
      <c r="I20" s="32" t="n">
        <f aca="false">I17</f>
        <v>9487253.32775888</v>
      </c>
      <c r="J20" s="32" t="n">
        <f aca="false">J17</f>
        <v>10225218.8152789</v>
      </c>
      <c r="K20" s="32" t="n">
        <f aca="false">K17</f>
        <v>10973449.9971383</v>
      </c>
      <c r="L20" s="32" t="n">
        <f aca="false">L17</f>
        <v>11740849.4207656</v>
      </c>
    </row>
    <row r="21" customFormat="false" ht="15" hidden="false" customHeight="false" outlineLevel="0" collapsed="false">
      <c r="A21" s="6"/>
      <c r="B21" s="7" t="s">
        <v>67</v>
      </c>
      <c r="C21" s="31" t="n">
        <f aca="false">C17/Initial_Balance</f>
        <v>0.011</v>
      </c>
      <c r="D21" s="31" t="n">
        <f aca="false">D17/Initial_Balance</f>
        <v>0.02958</v>
      </c>
      <c r="E21" s="31" t="n">
        <f aca="false">E17/Initial_Balance</f>
        <v>0.0527115</v>
      </c>
      <c r="F21" s="31" t="n">
        <f aca="false">F17/Initial_Balance</f>
        <v>0.068796275</v>
      </c>
      <c r="G21" s="31" t="n">
        <f aca="false">G17/Initial_Balance</f>
        <v>0.0798872346</v>
      </c>
      <c r="H21" s="31" t="n">
        <f aca="false">H17/Initial_Balance</f>
        <v>0.08747400788325</v>
      </c>
      <c r="I21" s="31" t="n">
        <f aca="false">I17/Initial_Balance</f>
        <v>0.0948725332775888</v>
      </c>
      <c r="J21" s="31" t="n">
        <f aca="false">J17/Initial_Balance</f>
        <v>0.102252188152789</v>
      </c>
      <c r="K21" s="31" t="n">
        <f aca="false">K17/Initial_Balance</f>
        <v>0.109734499971383</v>
      </c>
      <c r="L21" s="31" t="n">
        <f aca="false">L17/Initial_Balance</f>
        <v>0.117408494207656</v>
      </c>
    </row>
    <row r="22" customFormat="false" ht="15" hidden="false" customHeight="false" outlineLevel="0" collapsed="false">
      <c r="A22" s="6"/>
      <c r="B22" s="7" t="s">
        <v>68</v>
      </c>
      <c r="C22" s="37" t="n">
        <f aca="false">IF(C10=0,0,C11/C10)</f>
        <v>0.01</v>
      </c>
      <c r="D22" s="37" t="n">
        <f aca="false">IF(D10=0,0,D11/D10)</f>
        <v>0.02</v>
      </c>
      <c r="E22" s="37" t="n">
        <f aca="false">IF(E10=0,0,E11/E10)</f>
        <v>0.03</v>
      </c>
      <c r="F22" s="37" t="n">
        <f aca="false">IF(F10=0,0,F11/F10)</f>
        <v>0.025</v>
      </c>
      <c r="G22" s="37" t="n">
        <f aca="false">IF(G10=0,0,G11/G10)</f>
        <v>0.02</v>
      </c>
      <c r="H22" s="37" t="n">
        <f aca="false">IF(H10=0,0,H11/H10)</f>
        <v>0.015</v>
      </c>
      <c r="I22" s="37" t="n">
        <f aca="false">IF(I10=0,0,I11/I10)</f>
        <v>0.015</v>
      </c>
      <c r="J22" s="37" t="n">
        <f aca="false">IF(J10=0,0,J11/J10)</f>
        <v>0.015</v>
      </c>
      <c r="K22" s="37" t="n">
        <f aca="false">IF(K10=0,0,K11/K10)</f>
        <v>0.015</v>
      </c>
      <c r="L22" s="37" t="n">
        <f aca="false">IF(L10=0,0,L11/L10)</f>
        <v>0.015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4"/>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28" t="s">
        <v>69</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6"/>
      <c r="C5" s="29" t="n">
        <v>1</v>
      </c>
      <c r="D5" s="29" t="n">
        <v>2</v>
      </c>
      <c r="E5" s="29" t="n">
        <v>3</v>
      </c>
      <c r="F5" s="29" t="n">
        <v>4</v>
      </c>
      <c r="G5" s="29" t="n">
        <v>5</v>
      </c>
      <c r="H5" s="29" t="n">
        <v>6</v>
      </c>
      <c r="I5" s="29" t="n">
        <v>7</v>
      </c>
      <c r="J5" s="29" t="n">
        <v>8</v>
      </c>
      <c r="K5" s="29" t="n">
        <v>9</v>
      </c>
      <c r="L5" s="29" t="n">
        <v>10</v>
      </c>
    </row>
    <row r="6" customFormat="false" ht="15" hidden="false" customHeight="false" outlineLevel="0" collapsed="false">
      <c r="A6" s="6"/>
      <c r="B6" s="7" t="s">
        <v>57</v>
      </c>
      <c r="C6" s="32" t="n">
        <f aca="false">Portfolio_Rollforward!C11</f>
        <v>1100000</v>
      </c>
      <c r="D6" s="32" t="n">
        <f aca="false">Portfolio_Rollforward!D11</f>
        <v>1858000</v>
      </c>
      <c r="E6" s="32" t="n">
        <f aca="false">Portfolio_Rollforward!E11</f>
        <v>2313150</v>
      </c>
      <c r="F6" s="32" t="n">
        <f aca="false">Portfolio_Rollforward!F11</f>
        <v>1608477.5</v>
      </c>
      <c r="G6" s="32" t="n">
        <f aca="false">Portfolio_Rollforward!G11</f>
        <v>1109095.96</v>
      </c>
      <c r="H6" s="32" t="n">
        <f aca="false">Portfolio_Rollforward!H11</f>
        <v>758677.328325</v>
      </c>
      <c r="I6" s="32" t="n">
        <f aca="false">Portfolio_Rollforward!I11</f>
        <v>739852.539433875</v>
      </c>
      <c r="J6" s="32" t="n">
        <f aca="false">Portfolio_Rollforward!J11</f>
        <v>737965.487520017</v>
      </c>
      <c r="K6" s="32" t="n">
        <f aca="false">Portfolio_Rollforward!K11</f>
        <v>748231.181859415</v>
      </c>
      <c r="L6" s="32" t="n">
        <f aca="false">Portfolio_Rollforward!L11</f>
        <v>767399.423627312</v>
      </c>
    </row>
    <row r="7" customFormat="false" ht="15" hidden="false" customHeight="false" outlineLevel="0" collapsed="false">
      <c r="A7" s="6"/>
      <c r="B7" s="7" t="s">
        <v>70</v>
      </c>
      <c r="C7" s="32" t="n">
        <f aca="false">C6*Recovery_Rate</f>
        <v>715000</v>
      </c>
      <c r="D7" s="32" t="n">
        <f aca="false">D6*Recovery_Rate</f>
        <v>1207700</v>
      </c>
      <c r="E7" s="32" t="n">
        <f aca="false">E6*Recovery_Rate</f>
        <v>1503547.5</v>
      </c>
      <c r="F7" s="32" t="n">
        <f aca="false">F6*Recovery_Rate</f>
        <v>1045510.375</v>
      </c>
      <c r="G7" s="32" t="n">
        <f aca="false">G6*Recovery_Rate</f>
        <v>720912.374</v>
      </c>
      <c r="H7" s="32" t="n">
        <f aca="false">H6*Recovery_Rate</f>
        <v>493140.26341125</v>
      </c>
      <c r="I7" s="32" t="n">
        <f aca="false">I6*Recovery_Rate</f>
        <v>480904.150632019</v>
      </c>
      <c r="J7" s="32" t="n">
        <f aca="false">J6*Recovery_Rate</f>
        <v>479677.566888011</v>
      </c>
      <c r="K7" s="32" t="n">
        <f aca="false">K6*Recovery_Rate</f>
        <v>486350.26820862</v>
      </c>
      <c r="L7" s="32" t="n">
        <f aca="false">L6*Recovery_Rate</f>
        <v>498809.625357753</v>
      </c>
    </row>
    <row r="8" customFormat="false" ht="15" hidden="false" customHeight="false" outlineLevel="0" collapsed="false">
      <c r="A8" s="6"/>
      <c r="B8" s="7" t="s">
        <v>71</v>
      </c>
      <c r="C8" s="32" t="n">
        <v>0</v>
      </c>
      <c r="D8" s="32" t="n">
        <v>0</v>
      </c>
      <c r="E8" s="32" t="n">
        <f aca="false">C7</f>
        <v>715000</v>
      </c>
      <c r="F8" s="32" t="n">
        <f aca="false">D7</f>
        <v>1207700</v>
      </c>
      <c r="G8" s="32" t="n">
        <f aca="false">E7</f>
        <v>1503547.5</v>
      </c>
      <c r="H8" s="32" t="n">
        <f aca="false">F7</f>
        <v>1045510.375</v>
      </c>
      <c r="I8" s="32" t="n">
        <f aca="false">G7</f>
        <v>720912.374</v>
      </c>
      <c r="J8" s="32" t="n">
        <f aca="false">H7</f>
        <v>493140.26341125</v>
      </c>
      <c r="K8" s="32" t="n">
        <f aca="false">I7</f>
        <v>480904.150632019</v>
      </c>
      <c r="L8" s="32" t="n">
        <f aca="false">J7</f>
        <v>479677.566888011</v>
      </c>
    </row>
    <row r="9" customFormat="false" ht="15" hidden="false" customHeight="false" outlineLevel="0" collapsed="false">
      <c r="A9" s="6"/>
      <c r="B9" s="7" t="s">
        <v>72</v>
      </c>
      <c r="C9" s="32" t="n">
        <f aca="false">C6*(1-Recovery_Rate)</f>
        <v>385000</v>
      </c>
      <c r="D9" s="32" t="n">
        <f aca="false">D6*(1-Recovery_Rate)</f>
        <v>650300</v>
      </c>
      <c r="E9" s="32" t="n">
        <f aca="false">E6*(1-Recovery_Rate)</f>
        <v>809602.5</v>
      </c>
      <c r="F9" s="32" t="n">
        <f aca="false">F6*(1-Recovery_Rate)</f>
        <v>562967.125</v>
      </c>
      <c r="G9" s="32" t="n">
        <f aca="false">G6*(1-Recovery_Rate)</f>
        <v>388183.586</v>
      </c>
      <c r="H9" s="32" t="n">
        <f aca="false">H6*(1-Recovery_Rate)</f>
        <v>265537.06491375</v>
      </c>
      <c r="I9" s="32" t="n">
        <f aca="false">I6*(1-Recovery_Rate)</f>
        <v>258948.388801856</v>
      </c>
      <c r="J9" s="32" t="n">
        <f aca="false">J6*(1-Recovery_Rate)</f>
        <v>258287.920632006</v>
      </c>
      <c r="K9" s="32" t="n">
        <f aca="false">K6*(1-Recovery_Rate)</f>
        <v>261880.913650795</v>
      </c>
      <c r="L9" s="32" t="n">
        <f aca="false">L6*(1-Recovery_Rate)</f>
        <v>268589.798269559</v>
      </c>
    </row>
    <row r="10" customFormat="false" ht="15" hidden="false" customHeight="false" outlineLevel="0" collapsed="false">
      <c r="A10" s="6"/>
      <c r="B10" s="7" t="s">
        <v>73</v>
      </c>
      <c r="C10" s="32" t="n">
        <f aca="false">C9</f>
        <v>385000</v>
      </c>
      <c r="D10" s="32" t="n">
        <f aca="false">C10+D9</f>
        <v>1035300</v>
      </c>
      <c r="E10" s="32" t="n">
        <f aca="false">D10+E9</f>
        <v>1844902.5</v>
      </c>
      <c r="F10" s="32" t="n">
        <f aca="false">E10+F9</f>
        <v>2407869.625</v>
      </c>
      <c r="G10" s="32" t="n">
        <f aca="false">F10+G9</f>
        <v>2796053.211</v>
      </c>
      <c r="H10" s="32" t="n">
        <f aca="false">G10+H9</f>
        <v>3061590.27591375</v>
      </c>
      <c r="I10" s="32" t="n">
        <f aca="false">H10+I9</f>
        <v>3320538.66471561</v>
      </c>
      <c r="J10" s="32" t="n">
        <f aca="false">I10+J9</f>
        <v>3578826.58534761</v>
      </c>
      <c r="K10" s="32" t="n">
        <f aca="false">J10+K9</f>
        <v>3840707.49899841</v>
      </c>
      <c r="L10" s="32" t="n">
        <f aca="false">K10+L9</f>
        <v>4109297.29726797</v>
      </c>
    </row>
    <row r="11" customFormat="false" ht="15" hidden="false" customHeight="false" outlineLevel="0" collapsed="false">
      <c r="A11" s="6"/>
      <c r="B11" s="7" t="s">
        <v>74</v>
      </c>
      <c r="C11" s="31" t="n">
        <f aca="false">IF(Portfolio_Rollforward!C8=0,0,C9/Portfolio_Rollforward!C8)</f>
        <v>0.00385</v>
      </c>
      <c r="D11" s="31" t="n">
        <f aca="false">IF(Portfolio_Rollforward!D8=0,0,D9/Portfolio_Rollforward!D8)</f>
        <v>0.00789199029126214</v>
      </c>
      <c r="E11" s="31" t="n">
        <f aca="false">IF(Portfolio_Rollforward!E8=0,0,E9/Portfolio_Rollforward!E8)</f>
        <v>0.0122518538135593</v>
      </c>
      <c r="F11" s="31" t="n">
        <f aca="false">IF(Portfolio_Rollforward!F8=0,0,F9/Portfolio_Rollforward!F8)</f>
        <v>0.0106697633846542</v>
      </c>
      <c r="G11" s="31" t="n">
        <f aca="false">IF(Portfolio_Rollforward!G8=0,0,G9/Portfolio_Rollforward!G8)</f>
        <v>0.00896503365476678</v>
      </c>
      <c r="H11" s="31" t="n">
        <f aca="false">IF(Portfolio_Rollforward!H8=0,0,H9/Portfolio_Rollforward!H8)</f>
        <v>0.00702187861115896</v>
      </c>
      <c r="I11" s="31" t="n">
        <f aca="false">IF(Portfolio_Rollforward!I8=0,0,I9/Portfolio_Rollforward!I8)</f>
        <v>0.00720851988599859</v>
      </c>
      <c r="J11" s="31" t="n">
        <f aca="false">IF(Portfolio_Rollforward!J8=0,0,J9/Portfolio_Rollforward!J8)</f>
        <v>0.00735303794059219</v>
      </c>
      <c r="K11" s="31" t="n">
        <f aca="false">IF(Portfolio_Rollforward!K8=0,0,K9/Portfolio_Rollforward!K8)</f>
        <v>0.00745939562754668</v>
      </c>
      <c r="L11" s="31" t="n">
        <f aca="false">IF(Portfolio_Rollforward!L8=0,0,L9/Portfolio_Rollforward!L8)</f>
        <v>0.00753477750731972</v>
      </c>
    </row>
    <row r="12" customFormat="false" ht="15" hidden="false" customHeight="false" outlineLevel="0" collapsed="false">
      <c r="A12" s="6"/>
      <c r="B12" s="7" t="s">
        <v>75</v>
      </c>
      <c r="C12" s="31" t="n">
        <f aca="false">C10/Initial_Balance</f>
        <v>0.00385</v>
      </c>
      <c r="D12" s="31" t="n">
        <f aca="false">D10/Initial_Balance</f>
        <v>0.010353</v>
      </c>
      <c r="E12" s="31" t="n">
        <f aca="false">E10/Initial_Balance</f>
        <v>0.018449025</v>
      </c>
      <c r="F12" s="31" t="n">
        <f aca="false">F10/Initial_Balance</f>
        <v>0.02407869625</v>
      </c>
      <c r="G12" s="31" t="n">
        <f aca="false">G10/Initial_Balance</f>
        <v>0.02796053211</v>
      </c>
      <c r="H12" s="31" t="n">
        <f aca="false">H10/Initial_Balance</f>
        <v>0.0306159027591375</v>
      </c>
      <c r="I12" s="31" t="n">
        <f aca="false">I10/Initial_Balance</f>
        <v>0.0332053866471561</v>
      </c>
      <c r="J12" s="31" t="n">
        <f aca="false">J10/Initial_Balance</f>
        <v>0.0357882658534761</v>
      </c>
      <c r="K12" s="31" t="n">
        <f aca="false">K10/Initial_Balance</f>
        <v>0.0384070749899841</v>
      </c>
      <c r="L12" s="31" t="n">
        <f aca="false">L10/Initial_Balance</f>
        <v>0.0410929729726797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4"/>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28" t="s">
        <v>76</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6"/>
      <c r="C5" s="29" t="n">
        <v>1</v>
      </c>
      <c r="D5" s="29" t="n">
        <v>2</v>
      </c>
      <c r="E5" s="29" t="n">
        <v>3</v>
      </c>
      <c r="F5" s="29" t="n">
        <v>4</v>
      </c>
      <c r="G5" s="29" t="n">
        <v>5</v>
      </c>
      <c r="H5" s="29" t="n">
        <v>6</v>
      </c>
      <c r="I5" s="29" t="n">
        <v>7</v>
      </c>
      <c r="J5" s="29" t="n">
        <v>8</v>
      </c>
      <c r="K5" s="29" t="n">
        <v>9</v>
      </c>
      <c r="L5" s="29" t="n">
        <v>10</v>
      </c>
    </row>
    <row r="6" customFormat="false" ht="15" hidden="false" customHeight="false" outlineLevel="0" collapsed="false">
      <c r="A6" s="6"/>
      <c r="B6" s="7" t="s">
        <v>77</v>
      </c>
      <c r="C6" s="32" t="n">
        <f aca="false">Portfolio_Rollforward!C16*WAC</f>
        <v>9120000</v>
      </c>
      <c r="D6" s="32" t="n">
        <f aca="false">Portfolio_Rollforward!D16*WAC</f>
        <v>7424000</v>
      </c>
      <c r="E6" s="32" t="n">
        <f aca="false">Portfolio_Rollforward!E16*WAC</f>
        <v>5942142.5</v>
      </c>
      <c r="F6" s="32" t="n">
        <f aca="false">Portfolio_Rollforward!F16*WAC</f>
        <v>4803129.275</v>
      </c>
      <c r="G6" s="32" t="n">
        <f aca="false">Portfolio_Rollforward!G16*WAC</f>
        <v>4055770.4215</v>
      </c>
      <c r="H6" s="32" t="n">
        <f aca="false">Portfolio_Rollforward!H16*WAC</f>
        <v>3686910.95763375</v>
      </c>
      <c r="I6" s="32" t="n">
        <f aca="false">Portfolio_Rollforward!I16*WAC</f>
        <v>3552462.05820568</v>
      </c>
      <c r="J6" s="32" t="n">
        <f aca="false">Portfolio_Rollforward!J16*WAC</f>
        <v>3511710.96470878</v>
      </c>
      <c r="K6" s="32" t="n">
        <f aca="false">Portfolio_Rollforward!K16*WAC</f>
        <v>3537710.1884053</v>
      </c>
      <c r="L6" s="32" t="n">
        <f aca="false">Portfolio_Rollforward!L16*WAC</f>
        <v>3612129.06551641</v>
      </c>
    </row>
    <row r="7" customFormat="false" ht="15" hidden="false" customHeight="false" outlineLevel="0" collapsed="false">
      <c r="A7" s="6"/>
      <c r="B7" s="7" t="s">
        <v>78</v>
      </c>
      <c r="C7" s="32" t="n">
        <f aca="false">Portfolio_Rollforward!C13</f>
        <v>21000000</v>
      </c>
      <c r="D7" s="32" t="n">
        <f aca="false">Portfolio_Rollforward!D13</f>
        <v>17530000</v>
      </c>
      <c r="E7" s="32" t="n">
        <f aca="false">Portfolio_Rollforward!E13</f>
        <v>14318500</v>
      </c>
      <c r="F7" s="32" t="n">
        <f aca="false">Portfolio_Rollforward!F13</f>
        <v>11710195</v>
      </c>
      <c r="G7" s="32" t="n">
        <f aca="false">Portfolio_Rollforward!G13</f>
        <v>9875453.35</v>
      </c>
      <c r="H7" s="32" t="n">
        <f aca="false">Portfolio_Rollforward!H13</f>
        <v>8839416.1485</v>
      </c>
      <c r="I7" s="32" t="n">
        <f aca="false">Portfolio_Rollforward!I13</f>
        <v>8524604.88516</v>
      </c>
      <c r="J7" s="32" t="n">
        <f aca="false">Portfolio_Rollforward!J13</f>
        <v>8432439.41094397</v>
      </c>
      <c r="K7" s="32" t="n">
        <f aca="false">Portfolio_Rollforward!K13</f>
        <v>8498960.31433647</v>
      </c>
      <c r="L7" s="32" t="n">
        <f aca="false">Portfolio_Rollforward!L13</f>
        <v>8680664.09905232</v>
      </c>
    </row>
    <row r="8" customFormat="false" ht="15" hidden="false" customHeight="false" outlineLevel="0" collapsed="false">
      <c r="A8" s="6"/>
      <c r="B8" s="7" t="s">
        <v>58</v>
      </c>
      <c r="C8" s="32" t="n">
        <f aca="false">Portfolio_Rollforward!C12</f>
        <v>5500000</v>
      </c>
      <c r="D8" s="32" t="n">
        <f aca="false">Portfolio_Rollforward!D12</f>
        <v>7432000</v>
      </c>
      <c r="E8" s="32" t="n">
        <f aca="false">Portfolio_Rollforward!E12</f>
        <v>7710500</v>
      </c>
      <c r="F8" s="32" t="n">
        <f aca="false">Portfolio_Rollforward!F12</f>
        <v>7720692</v>
      </c>
      <c r="G8" s="32" t="n">
        <f aca="false">Portfolio_Rollforward!G12</f>
        <v>6654575.76</v>
      </c>
      <c r="H8" s="32" t="n">
        <f aca="false">Portfolio_Rollforward!H12</f>
        <v>5057848.8555</v>
      </c>
      <c r="I8" s="32" t="n">
        <f aca="false">Portfolio_Rollforward!I12</f>
        <v>4932350.2628925</v>
      </c>
      <c r="J8" s="32" t="n">
        <f aca="false">Portfolio_Rollforward!J12</f>
        <v>4919769.91680011</v>
      </c>
      <c r="K8" s="32" t="n">
        <f aca="false">Portfolio_Rollforward!K12</f>
        <v>4988207.87906277</v>
      </c>
      <c r="L8" s="32" t="n">
        <f aca="false">Portfolio_Rollforward!L12</f>
        <v>5115996.15751542</v>
      </c>
    </row>
    <row r="9" customFormat="false" ht="15" hidden="false" customHeight="false" outlineLevel="0" collapsed="false">
      <c r="A9" s="6"/>
      <c r="B9" s="7" t="s">
        <v>79</v>
      </c>
      <c r="C9" s="32" t="n">
        <f aca="false">Default_Recovery!C8</f>
        <v>0</v>
      </c>
      <c r="D9" s="32" t="n">
        <f aca="false">Default_Recovery!D8</f>
        <v>0</v>
      </c>
      <c r="E9" s="32" t="n">
        <f aca="false">Default_Recovery!E8</f>
        <v>715000</v>
      </c>
      <c r="F9" s="32" t="n">
        <f aca="false">Default_Recovery!F8</f>
        <v>1207700</v>
      </c>
      <c r="G9" s="32" t="n">
        <f aca="false">Default_Recovery!G8</f>
        <v>1503547.5</v>
      </c>
      <c r="H9" s="32" t="n">
        <f aca="false">Default_Recovery!H8</f>
        <v>1045510.375</v>
      </c>
      <c r="I9" s="32" t="n">
        <f aca="false">Default_Recovery!I8</f>
        <v>720912.374</v>
      </c>
      <c r="J9" s="32" t="n">
        <f aca="false">Default_Recovery!J8</f>
        <v>493140.26341125</v>
      </c>
      <c r="K9" s="32" t="n">
        <f aca="false">Default_Recovery!K8</f>
        <v>480904.150632019</v>
      </c>
      <c r="L9" s="32" t="n">
        <f aca="false">Default_Recovery!L8</f>
        <v>479677.566888011</v>
      </c>
    </row>
    <row r="10" customFormat="false" ht="15" hidden="false" customHeight="false" outlineLevel="0" collapsed="false">
      <c r="A10" s="6"/>
      <c r="B10" s="33" t="s">
        <v>80</v>
      </c>
      <c r="C10" s="34" t="n">
        <f aca="false">C6+C7+C8+C9</f>
        <v>35620000</v>
      </c>
      <c r="D10" s="34" t="n">
        <f aca="false">D6+D7+D8+D9</f>
        <v>32386000</v>
      </c>
      <c r="E10" s="34" t="n">
        <f aca="false">E6+E7+E8+E9</f>
        <v>28686142.5</v>
      </c>
      <c r="F10" s="34" t="n">
        <f aca="false">F6+F7+F8+F9</f>
        <v>25441716.275</v>
      </c>
      <c r="G10" s="34" t="n">
        <f aca="false">G6+G7+G8+G9</f>
        <v>22089347.0315</v>
      </c>
      <c r="H10" s="34" t="n">
        <f aca="false">H6+H7+H8+H9</f>
        <v>18629686.3366338</v>
      </c>
      <c r="I10" s="34" t="n">
        <f aca="false">I6+I7+I8+I9</f>
        <v>17730329.5802582</v>
      </c>
      <c r="J10" s="34" t="n">
        <f aca="false">J6+J7+J8+J9</f>
        <v>17357060.5558641</v>
      </c>
      <c r="K10" s="34" t="n">
        <f aca="false">K6+K7+K8+K9</f>
        <v>17505782.5324366</v>
      </c>
      <c r="L10" s="34" t="n">
        <f aca="false">L6+L7+L8+L9</f>
        <v>17888466.8889722</v>
      </c>
    </row>
    <row r="11" customFormat="false" ht="15" hidden="false" customHeight="false" outlineLevel="0" collapsed="false">
      <c r="A11" s="6"/>
      <c r="B11" s="7" t="s">
        <v>81</v>
      </c>
      <c r="C11" s="38" t="n">
        <f aca="false">-(Portfolio_Rollforward!C16*(1-Equity_Pct))*Funding_Rate</f>
        <v>-4742400</v>
      </c>
      <c r="D11" s="38" t="n">
        <f aca="false">-(Portfolio_Rollforward!D16*(1-Equity_Pct))*Funding_Rate</f>
        <v>-3860480</v>
      </c>
      <c r="E11" s="38" t="n">
        <f aca="false">-(Portfolio_Rollforward!E16*(1-Equity_Pct))*Funding_Rate</f>
        <v>-3089914.1</v>
      </c>
      <c r="F11" s="38" t="n">
        <f aca="false">-(Portfolio_Rollforward!F16*(1-Equity_Pct))*Funding_Rate</f>
        <v>-2497627.223</v>
      </c>
      <c r="G11" s="38" t="n">
        <f aca="false">-(Portfolio_Rollforward!G16*(1-Equity_Pct))*Funding_Rate</f>
        <v>-2109000.61918</v>
      </c>
      <c r="H11" s="38" t="n">
        <f aca="false">-(Portfolio_Rollforward!H16*(1-Equity_Pct))*Funding_Rate</f>
        <v>-1917193.69796955</v>
      </c>
      <c r="I11" s="38" t="n">
        <f aca="false">-(Portfolio_Rollforward!I16*(1-Equity_Pct))*Funding_Rate</f>
        <v>-1847280.27026695</v>
      </c>
      <c r="J11" s="38" t="n">
        <f aca="false">-(Portfolio_Rollforward!J16*(1-Equity_Pct))*Funding_Rate</f>
        <v>-1826089.70164857</v>
      </c>
      <c r="K11" s="38" t="n">
        <f aca="false">-(Portfolio_Rollforward!K16*(1-Equity_Pct))*Funding_Rate</f>
        <v>-1839609.29797076</v>
      </c>
      <c r="L11" s="38" t="n">
        <f aca="false">-(Portfolio_Rollforward!L16*(1-Equity_Pct))*Funding_Rate</f>
        <v>-1878307.11406853</v>
      </c>
    </row>
    <row r="12" customFormat="false" ht="15" hidden="false" customHeight="false" outlineLevel="0" collapsed="false">
      <c r="A12" s="6"/>
      <c r="B12" s="7" t="s">
        <v>82</v>
      </c>
      <c r="C12" s="38" t="n">
        <f aca="false">-Portfolio_Rollforward!C16*Servicing_Rate</f>
        <v>-684000</v>
      </c>
      <c r="D12" s="38" t="n">
        <f aca="false">-Portfolio_Rollforward!D16*Servicing_Rate</f>
        <v>-556800</v>
      </c>
      <c r="E12" s="38" t="n">
        <f aca="false">-Portfolio_Rollforward!E16*Servicing_Rate</f>
        <v>-445660.6875</v>
      </c>
      <c r="F12" s="38" t="n">
        <f aca="false">-Portfolio_Rollforward!F16*Servicing_Rate</f>
        <v>-360234.695625</v>
      </c>
      <c r="G12" s="38" t="n">
        <f aca="false">-Portfolio_Rollforward!G16*Servicing_Rate</f>
        <v>-304182.7816125</v>
      </c>
      <c r="H12" s="38" t="n">
        <f aca="false">-Portfolio_Rollforward!H16*Servicing_Rate</f>
        <v>-276518.321822531</v>
      </c>
      <c r="I12" s="38" t="n">
        <f aca="false">-Portfolio_Rollforward!I16*Servicing_Rate</f>
        <v>-266434.654365426</v>
      </c>
      <c r="J12" s="38" t="n">
        <f aca="false">-Portfolio_Rollforward!J16*Servicing_Rate</f>
        <v>-263378.322353159</v>
      </c>
      <c r="K12" s="38" t="n">
        <f aca="false">-Portfolio_Rollforward!K16*Servicing_Rate</f>
        <v>-265328.264130398</v>
      </c>
      <c r="L12" s="38" t="n">
        <f aca="false">-Portfolio_Rollforward!L16*Servicing_Rate</f>
        <v>-270909.679913731</v>
      </c>
    </row>
    <row r="13" customFormat="false" ht="15" hidden="false" customHeight="false" outlineLevel="0" collapsed="false">
      <c r="A13" s="6"/>
      <c r="B13" s="7" t="s">
        <v>83</v>
      </c>
      <c r="C13" s="38" t="n">
        <f aca="false">-Annual_Opex_Base*(1+Opex_Growth)^(C5-1)</f>
        <v>-500000</v>
      </c>
      <c r="D13" s="38" t="n">
        <f aca="false">-Annual_Opex_Base*(1+Opex_Growth)^(D5-1)</f>
        <v>-515000</v>
      </c>
      <c r="E13" s="38" t="n">
        <f aca="false">-Annual_Opex_Base*(1+Opex_Growth)^(E5-1)</f>
        <v>-530450</v>
      </c>
      <c r="F13" s="38" t="n">
        <f aca="false">-Annual_Opex_Base*(1+Opex_Growth)^(F5-1)</f>
        <v>-546363.5</v>
      </c>
      <c r="G13" s="38" t="n">
        <f aca="false">-Annual_Opex_Base*(1+Opex_Growth)^(G5-1)</f>
        <v>-562754.405</v>
      </c>
      <c r="H13" s="38" t="n">
        <f aca="false">-Annual_Opex_Base*(1+Opex_Growth)^(H5-1)</f>
        <v>-579637.03715</v>
      </c>
      <c r="I13" s="38" t="n">
        <f aca="false">-Annual_Opex_Base*(1+Opex_Growth)^(I5-1)</f>
        <v>-597026.1482645</v>
      </c>
      <c r="J13" s="38" t="n">
        <f aca="false">-Annual_Opex_Base*(1+Opex_Growth)^(J5-1)</f>
        <v>-614936.932712435</v>
      </c>
      <c r="K13" s="38" t="n">
        <f aca="false">-Annual_Opex_Base*(1+Opex_Growth)^(K5-1)</f>
        <v>-633385.040693808</v>
      </c>
      <c r="L13" s="38" t="n">
        <f aca="false">-Annual_Opex_Base*(1+Opex_Growth)^(L5-1)</f>
        <v>-652386.591914623</v>
      </c>
    </row>
    <row r="14" customFormat="false" ht="15" hidden="false" customHeight="false" outlineLevel="0" collapsed="false">
      <c r="A14" s="6"/>
      <c r="B14" s="7" t="s">
        <v>84</v>
      </c>
      <c r="C14" s="38" t="n">
        <f aca="false">-(C7+C8+C9)*(1-Equity_Pct)</f>
        <v>-21200000</v>
      </c>
      <c r="D14" s="38" t="n">
        <f aca="false">-(D7+D8+D9)*(1-Equity_Pct)</f>
        <v>-19969600</v>
      </c>
      <c r="E14" s="38" t="n">
        <f aca="false">-(E7+E8+E9)*(1-Equity_Pct)</f>
        <v>-18195200</v>
      </c>
      <c r="F14" s="38" t="n">
        <f aca="false">-(F7+F8+F9)*(1-Equity_Pct)</f>
        <v>-16510869.6</v>
      </c>
      <c r="G14" s="38" t="n">
        <f aca="false">-(G7+G8+G9)*(1-Equity_Pct)</f>
        <v>-14426861.288</v>
      </c>
      <c r="H14" s="38" t="n">
        <f aca="false">-(H7+H8+H9)*(1-Equity_Pct)</f>
        <v>-11954220.3032</v>
      </c>
      <c r="I14" s="38" t="n">
        <f aca="false">-(I7+I8+I9)*(1-Equity_Pct)</f>
        <v>-11342294.017642</v>
      </c>
      <c r="J14" s="38" t="n">
        <f aca="false">-(J7+J8+J9)*(1-Equity_Pct)</f>
        <v>-11076279.6729243</v>
      </c>
      <c r="K14" s="38" t="n">
        <f aca="false">-(K7+K8+K9)*(1-Equity_Pct)</f>
        <v>-11174457.875225</v>
      </c>
      <c r="L14" s="38" t="n">
        <f aca="false">-(L7+L8+L9)*(1-Equity_Pct)</f>
        <v>-11421070.2587646</v>
      </c>
    </row>
    <row r="15" customFormat="false" ht="15" hidden="false" customHeight="false" outlineLevel="0" collapsed="false">
      <c r="A15" s="6"/>
      <c r="B15" s="33" t="s">
        <v>85</v>
      </c>
      <c r="C15" s="34" t="n">
        <f aca="false">C11+C12+C13+C14</f>
        <v>-27126400</v>
      </c>
      <c r="D15" s="34" t="n">
        <f aca="false">D11+D12+D13+D14</f>
        <v>-24901880</v>
      </c>
      <c r="E15" s="34" t="n">
        <f aca="false">E11+E12+E13+E14</f>
        <v>-22261224.7875</v>
      </c>
      <c r="F15" s="34" t="n">
        <f aca="false">F11+F12+F13+F14</f>
        <v>-19915095.018625</v>
      </c>
      <c r="G15" s="34" t="n">
        <f aca="false">G11+G12+G13+G14</f>
        <v>-17402799.0937925</v>
      </c>
      <c r="H15" s="34" t="n">
        <f aca="false">H11+H12+H13+H14</f>
        <v>-14727569.3601421</v>
      </c>
      <c r="I15" s="34" t="n">
        <f aca="false">I11+I12+I13+I14</f>
        <v>-14053035.0905389</v>
      </c>
      <c r="J15" s="34" t="n">
        <f aca="false">J11+J12+J13+J14</f>
        <v>-13780684.6296384</v>
      </c>
      <c r="K15" s="34" t="n">
        <f aca="false">K11+K12+K13+K14</f>
        <v>-13912780.47802</v>
      </c>
      <c r="L15" s="34" t="n">
        <f aca="false">L11+L12+L13+L14</f>
        <v>-14222673.6446615</v>
      </c>
    </row>
    <row r="16" customFormat="false" ht="15" hidden="false" customHeight="false" outlineLevel="0" collapsed="false">
      <c r="A16" s="6"/>
      <c r="B16" s="33" t="s">
        <v>86</v>
      </c>
      <c r="C16" s="34" t="n">
        <f aca="false">C10+C15</f>
        <v>8493600</v>
      </c>
      <c r="D16" s="34" t="n">
        <f aca="false">D10+D15</f>
        <v>7484120</v>
      </c>
      <c r="E16" s="34" t="n">
        <f aca="false">E10+E15</f>
        <v>6424917.7125</v>
      </c>
      <c r="F16" s="34" t="n">
        <f aca="false">F10+F15</f>
        <v>5526621.256375</v>
      </c>
      <c r="G16" s="34" t="n">
        <f aca="false">G10+G15</f>
        <v>4686547.9377075</v>
      </c>
      <c r="H16" s="34" t="n">
        <f aca="false">H10+H15</f>
        <v>3902116.97649167</v>
      </c>
      <c r="I16" s="34" t="n">
        <f aca="false">I10+I15</f>
        <v>3677294.4897193</v>
      </c>
      <c r="J16" s="34" t="n">
        <f aca="false">J10+J15</f>
        <v>3576375.92622569</v>
      </c>
      <c r="K16" s="34" t="n">
        <f aca="false">K10+K15</f>
        <v>3593002.05441659</v>
      </c>
      <c r="L16" s="34" t="n">
        <f aca="false">L10+L15</f>
        <v>3665793.24431067</v>
      </c>
    </row>
    <row r="17" customFormat="false" ht="15" hidden="false" customHeight="false" outlineLevel="0" collapsed="false">
      <c r="A17" s="6"/>
      <c r="B17" s="7" t="s">
        <v>87</v>
      </c>
      <c r="C17" s="38" t="n">
        <f aca="false">-MAX(0,(Portfolio_Rollforward!C9-(C7+C8))*Equity_Pct)</f>
        <v>-0</v>
      </c>
      <c r="D17" s="38" t="n">
        <f aca="false">-MAX(0,(Portfolio_Rollforward!D9-(D7+D8))*Equity_Pct)</f>
        <v>-0</v>
      </c>
      <c r="E17" s="38" t="n">
        <f aca="false">-MAX(0,(Portfolio_Rollforward!E9-(E7+E8))*Equity_Pct)</f>
        <v>-0</v>
      </c>
      <c r="F17" s="38" t="n">
        <f aca="false">-MAX(0,(Portfolio_Rollforward!F9-(F7+F8))*Equity_Pct)</f>
        <v>-0</v>
      </c>
      <c r="G17" s="38" t="n">
        <f aca="false">-MAX(0,(Portfolio_Rollforward!G9-(G7+G8))*Equity_Pct)</f>
        <v>-0</v>
      </c>
      <c r="H17" s="38" t="n">
        <f aca="false">-MAX(0,(Portfolio_Rollforward!H9-(H7+H8))*Equity_Pct)</f>
        <v>-0</v>
      </c>
      <c r="I17" s="38" t="n">
        <f aca="false">-MAX(0,(Portfolio_Rollforward!I9-(I7+I8))*Equity_Pct)</f>
        <v>-0</v>
      </c>
      <c r="J17" s="38" t="n">
        <f aca="false">-MAX(0,(Portfolio_Rollforward!J9-(J7+J8))*Equity_Pct)</f>
        <v>-143758.979763683</v>
      </c>
      <c r="K17" s="38" t="n">
        <f aca="false">-MAX(0,(Portfolio_Rollforward!K9-(K7+K8))*Equity_Pct)</f>
        <v>-257477.248898279</v>
      </c>
      <c r="L17" s="38" t="n">
        <f aca="false">-MAX(0,(Portfolio_Rollforward!L9-(L7+L8))*Equity_Pct)</f>
        <v>-343324.380643486</v>
      </c>
    </row>
    <row r="18" customFormat="false" ht="15" hidden="false" customHeight="false" outlineLevel="0" collapsed="false">
      <c r="A18" s="6"/>
      <c r="B18" s="33" t="s">
        <v>88</v>
      </c>
      <c r="C18" s="34" t="n">
        <f aca="false">C16+C17</f>
        <v>8493600</v>
      </c>
      <c r="D18" s="34" t="n">
        <f aca="false">D16+D17</f>
        <v>7484120</v>
      </c>
      <c r="E18" s="34" t="n">
        <f aca="false">E16+E17</f>
        <v>6424917.7125</v>
      </c>
      <c r="F18" s="34" t="n">
        <f aca="false">F16+F17</f>
        <v>5526621.256375</v>
      </c>
      <c r="G18" s="34" t="n">
        <f aca="false">G16+G17</f>
        <v>4686547.9377075</v>
      </c>
      <c r="H18" s="34" t="n">
        <f aca="false">H16+H17</f>
        <v>3902116.97649167</v>
      </c>
      <c r="I18" s="34" t="n">
        <f aca="false">I16+I17</f>
        <v>3677294.4897193</v>
      </c>
      <c r="J18" s="34" t="n">
        <f aca="false">J16+J17</f>
        <v>3432616.94646201</v>
      </c>
      <c r="K18" s="34" t="n">
        <f aca="false">K16+K17</f>
        <v>3335524.80551831</v>
      </c>
      <c r="L18" s="34" t="n">
        <f aca="false">L16+L17</f>
        <v>3322468.86366719</v>
      </c>
    </row>
    <row r="19" customFormat="false" ht="15" hidden="false" customHeight="false" outlineLevel="0" collapsed="false">
      <c r="A19" s="6"/>
      <c r="B19" s="7" t="s">
        <v>89</v>
      </c>
      <c r="C19" s="32" t="n">
        <f aca="false">C18</f>
        <v>8493600</v>
      </c>
      <c r="D19" s="32" t="n">
        <f aca="false">C19+D18</f>
        <v>15977720</v>
      </c>
      <c r="E19" s="32" t="n">
        <f aca="false">D19+E18</f>
        <v>22402637.7125</v>
      </c>
      <c r="F19" s="32" t="n">
        <f aca="false">E19+F18</f>
        <v>27929258.968875</v>
      </c>
      <c r="G19" s="32" t="n">
        <f aca="false">F19+G18</f>
        <v>32615806.9065825</v>
      </c>
      <c r="H19" s="32" t="n">
        <f aca="false">G19+H18</f>
        <v>36517923.8830742</v>
      </c>
      <c r="I19" s="32" t="n">
        <f aca="false">H19+I18</f>
        <v>40195218.3727935</v>
      </c>
      <c r="J19" s="32" t="n">
        <f aca="false">I19+J18</f>
        <v>43627835.3192555</v>
      </c>
      <c r="K19" s="32" t="n">
        <f aca="false">J19+K18</f>
        <v>46963360.1247738</v>
      </c>
      <c r="L19" s="32" t="n">
        <f aca="false">K19+L18</f>
        <v>50285828.988441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0"/>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28" t="s">
        <v>90</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c r="K4" s="6"/>
      <c r="L4" s="6"/>
    </row>
    <row r="5" customFormat="false" ht="15" hidden="false" customHeight="false" outlineLevel="0" collapsed="false">
      <c r="A5" s="6"/>
      <c r="B5" s="39" t="s">
        <v>91</v>
      </c>
      <c r="C5" s="29" t="n">
        <v>1</v>
      </c>
      <c r="D5" s="29" t="n">
        <v>2</v>
      </c>
      <c r="E5" s="29" t="n">
        <v>3</v>
      </c>
      <c r="F5" s="29" t="n">
        <v>4</v>
      </c>
      <c r="G5" s="29" t="n">
        <v>5</v>
      </c>
      <c r="H5" s="29" t="n">
        <v>6</v>
      </c>
      <c r="I5" s="29" t="n">
        <v>7</v>
      </c>
      <c r="J5" s="29" t="n">
        <v>8</v>
      </c>
      <c r="K5" s="29" t="n">
        <v>9</v>
      </c>
      <c r="L5" s="29" t="n">
        <v>10</v>
      </c>
    </row>
    <row r="6" customFormat="false" ht="15" hidden="false" customHeight="false" outlineLevel="0" collapsed="false">
      <c r="A6" s="6"/>
      <c r="B6" s="38" t="n">
        <f aca="false">-Initial_Balance*Equity_Pct</f>
        <v>-20000000</v>
      </c>
      <c r="C6" s="6"/>
      <c r="D6" s="6"/>
      <c r="E6" s="6"/>
      <c r="F6" s="6"/>
      <c r="G6" s="6"/>
      <c r="H6" s="6"/>
      <c r="I6" s="6"/>
      <c r="J6" s="6"/>
      <c r="K6" s="6"/>
      <c r="L6" s="6"/>
    </row>
    <row r="7" customFormat="false" ht="15" hidden="false" customHeight="false" outlineLevel="0" collapsed="false">
      <c r="A7" s="6"/>
      <c r="B7" s="7" t="s">
        <v>88</v>
      </c>
      <c r="C7" s="32" t="n">
        <f aca="false">Cash_Flow!C18</f>
        <v>8493600</v>
      </c>
      <c r="D7" s="32" t="n">
        <f aca="false">Cash_Flow!D18</f>
        <v>7484120</v>
      </c>
      <c r="E7" s="32" t="n">
        <f aca="false">Cash_Flow!E18</f>
        <v>6424917.7125</v>
      </c>
      <c r="F7" s="32" t="n">
        <f aca="false">Cash_Flow!F18</f>
        <v>5526621.256375</v>
      </c>
      <c r="G7" s="32" t="n">
        <f aca="false">Cash_Flow!G18</f>
        <v>4686547.9377075</v>
      </c>
      <c r="H7" s="32" t="n">
        <f aca="false">Cash_Flow!H18</f>
        <v>3902116.97649167</v>
      </c>
      <c r="I7" s="32" t="n">
        <f aca="false">Cash_Flow!I18</f>
        <v>3677294.4897193</v>
      </c>
      <c r="J7" s="32" t="n">
        <f aca="false">Cash_Flow!J18</f>
        <v>3432616.94646201</v>
      </c>
      <c r="K7" s="32" t="n">
        <f aca="false">Cash_Flow!K18</f>
        <v>3335524.80551831</v>
      </c>
      <c r="L7" s="32" t="n">
        <f aca="false">Cash_Flow!L18</f>
        <v>3322468.86366719</v>
      </c>
    </row>
    <row r="8" customFormat="false" ht="15" hidden="false" customHeight="false" outlineLevel="0" collapsed="false">
      <c r="A8" s="6"/>
      <c r="B8" s="38" t="n">
        <f aca="false">B6</f>
        <v>-20000000</v>
      </c>
      <c r="C8" s="32" t="n">
        <f aca="false">C7</f>
        <v>8493600</v>
      </c>
      <c r="D8" s="32" t="n">
        <f aca="false">D7</f>
        <v>7484120</v>
      </c>
      <c r="E8" s="32" t="n">
        <f aca="false">E7</f>
        <v>6424917.7125</v>
      </c>
      <c r="F8" s="32" t="n">
        <f aca="false">F7</f>
        <v>5526621.256375</v>
      </c>
      <c r="G8" s="32" t="n">
        <f aca="false">G7</f>
        <v>4686547.9377075</v>
      </c>
      <c r="H8" s="32" t="n">
        <f aca="false">H7</f>
        <v>3902116.97649167</v>
      </c>
      <c r="I8" s="32" t="n">
        <f aca="false">I7</f>
        <v>3677294.4897193</v>
      </c>
      <c r="J8" s="32" t="n">
        <f aca="false">J7</f>
        <v>3432616.94646201</v>
      </c>
      <c r="K8" s="32" t="n">
        <f aca="false">K7</f>
        <v>3335524.80551831</v>
      </c>
      <c r="L8" s="32" t="n">
        <f aca="false">L7</f>
        <v>3322468.86366719</v>
      </c>
    </row>
    <row r="9" customFormat="false" ht="15" hidden="false" customHeight="false" outlineLevel="0" collapsed="false">
      <c r="A9" s="6"/>
      <c r="B9" s="6"/>
      <c r="C9" s="6"/>
      <c r="D9" s="6"/>
      <c r="E9" s="6"/>
      <c r="F9" s="6"/>
      <c r="G9" s="6"/>
      <c r="H9" s="6"/>
      <c r="I9" s="6"/>
      <c r="J9" s="6"/>
      <c r="K9" s="6"/>
      <c r="L9" s="6"/>
    </row>
    <row r="10" customFormat="false" ht="15" hidden="false" customHeight="false" outlineLevel="0" collapsed="false">
      <c r="A10" s="6"/>
      <c r="B10" s="40" t="s">
        <v>92</v>
      </c>
      <c r="C10" s="41" t="n">
        <f aca="false">IRR(B8:L8)</f>
        <v>0.287613656961269</v>
      </c>
      <c r="D10" s="6"/>
      <c r="E10" s="6"/>
      <c r="F10" s="6"/>
      <c r="G10" s="6"/>
      <c r="H10" s="6"/>
      <c r="I10" s="6"/>
      <c r="J10" s="6"/>
      <c r="K10" s="6"/>
      <c r="L10" s="6"/>
    </row>
    <row r="11" customFormat="false" ht="15" hidden="false" customHeight="false" outlineLevel="0" collapsed="false">
      <c r="A11" s="6"/>
      <c r="B11" s="7" t="s">
        <v>93</v>
      </c>
      <c r="C11" s="42" t="n">
        <f aca="false">SUM(C7:L7)/ABS(B6)</f>
        <v>2.51429144942205</v>
      </c>
      <c r="D11" s="6"/>
      <c r="E11" s="6"/>
      <c r="F11" s="6"/>
      <c r="G11" s="6"/>
      <c r="H11" s="6"/>
      <c r="I11" s="6"/>
      <c r="J11" s="6"/>
      <c r="K11" s="6"/>
      <c r="L11" s="6"/>
    </row>
    <row r="12" customFormat="false" ht="15" hidden="false" customHeight="false" outlineLevel="0" collapsed="false">
      <c r="A12" s="6"/>
      <c r="B12" s="6"/>
      <c r="C12" s="6"/>
      <c r="D12" s="6"/>
      <c r="E12" s="6"/>
      <c r="F12" s="6"/>
      <c r="G12" s="6"/>
      <c r="H12" s="6"/>
      <c r="I12" s="6"/>
      <c r="J12" s="6"/>
      <c r="K12" s="6"/>
      <c r="L12" s="6"/>
    </row>
    <row r="13" customFormat="false" ht="15" hidden="false" customHeight="false" outlineLevel="0" collapsed="false">
      <c r="A13" s="6"/>
      <c r="B13" s="7" t="s">
        <v>94</v>
      </c>
      <c r="C13" s="31" t="n">
        <f aca="false">WAC</f>
        <v>0.1</v>
      </c>
      <c r="D13" s="6"/>
      <c r="E13" s="6"/>
      <c r="F13" s="6"/>
      <c r="G13" s="6"/>
      <c r="H13" s="6"/>
      <c r="I13" s="6"/>
      <c r="J13" s="6"/>
      <c r="K13" s="6"/>
      <c r="L13" s="6"/>
    </row>
    <row r="14" customFormat="false" ht="15" hidden="false" customHeight="false" outlineLevel="0" collapsed="false">
      <c r="A14" s="6"/>
      <c r="B14" s="7" t="s">
        <v>95</v>
      </c>
      <c r="C14" s="31" t="n">
        <f aca="false">WAC-Funding_Rate</f>
        <v>0.035</v>
      </c>
      <c r="D14" s="6"/>
      <c r="E14" s="6"/>
      <c r="F14" s="6"/>
      <c r="G14" s="6"/>
      <c r="H14" s="6"/>
      <c r="I14" s="6"/>
      <c r="J14" s="6"/>
      <c r="K14" s="6"/>
      <c r="L14" s="6"/>
    </row>
    <row r="15" customFormat="false" ht="15" hidden="false" customHeight="false" outlineLevel="0" collapsed="false">
      <c r="A15" s="6"/>
      <c r="B15" s="7" t="s">
        <v>96</v>
      </c>
      <c r="C15" s="31" t="n">
        <f aca="false">AVERAGE(Default_Recovery!C11:L11)</f>
        <v>0.00802062507168586</v>
      </c>
      <c r="D15" s="6"/>
      <c r="E15" s="6"/>
      <c r="F15" s="6"/>
      <c r="G15" s="6"/>
      <c r="H15" s="6"/>
      <c r="I15" s="6"/>
      <c r="J15" s="6"/>
      <c r="K15" s="6"/>
      <c r="L15" s="6"/>
    </row>
    <row r="16" customFormat="false" ht="15" hidden="false" customHeight="false" outlineLevel="0" collapsed="false">
      <c r="A16" s="6"/>
      <c r="B16" s="7" t="s">
        <v>67</v>
      </c>
      <c r="C16" s="31" t="n">
        <f aca="false">Default_Recovery!L12</f>
        <v>0.0410929729726797</v>
      </c>
      <c r="D16" s="6"/>
      <c r="E16" s="6"/>
      <c r="F16" s="6"/>
      <c r="G16" s="6"/>
      <c r="H16" s="6"/>
      <c r="I16" s="6"/>
      <c r="J16" s="6"/>
      <c r="K16" s="6"/>
      <c r="L16" s="6"/>
    </row>
    <row r="17" customFormat="false" ht="15" hidden="false" customHeight="false" outlineLevel="0" collapsed="false">
      <c r="A17" s="6"/>
      <c r="B17" s="7" t="s">
        <v>97</v>
      </c>
      <c r="C17" s="31" t="n">
        <f aca="false">IRR(B18:L18)</f>
        <v>0.180951892238609</v>
      </c>
      <c r="D17" s="6"/>
      <c r="E17" s="6"/>
      <c r="F17" s="6"/>
      <c r="G17" s="6"/>
      <c r="H17" s="6"/>
      <c r="I17" s="6"/>
      <c r="J17" s="6"/>
      <c r="K17" s="6"/>
      <c r="L17" s="6"/>
    </row>
    <row r="18" customFormat="false" ht="15" hidden="false" customHeight="false" outlineLevel="0" collapsed="false">
      <c r="A18" s="6"/>
      <c r="B18" s="38" t="n">
        <f aca="false">-Initial_Balance</f>
        <v>-100000000</v>
      </c>
      <c r="C18" s="32" t="n">
        <f aca="false">Cash_Flow!C10+Cash_Flow!C11+Cash_Flow!C12+Cash_Flow!C13</f>
        <v>29693600</v>
      </c>
      <c r="D18" s="32" t="n">
        <f aca="false">Cash_Flow!D10+Cash_Flow!D11+Cash_Flow!D12+Cash_Flow!D13</f>
        <v>27453720</v>
      </c>
      <c r="E18" s="32" t="n">
        <f aca="false">Cash_Flow!E10+Cash_Flow!E11+Cash_Flow!E12+Cash_Flow!E13</f>
        <v>24620117.7125</v>
      </c>
      <c r="F18" s="32" t="n">
        <f aca="false">Cash_Flow!F10+Cash_Flow!F11+Cash_Flow!F12+Cash_Flow!F13</f>
        <v>22037490.856375</v>
      </c>
      <c r="G18" s="32" t="n">
        <f aca="false">Cash_Flow!G10+Cash_Flow!G11+Cash_Flow!G12+Cash_Flow!G13</f>
        <v>19113409.2257075</v>
      </c>
      <c r="H18" s="32" t="n">
        <f aca="false">Cash_Flow!H10+Cash_Flow!H11+Cash_Flow!H12+Cash_Flow!H13</f>
        <v>15856337.2796917</v>
      </c>
      <c r="I18" s="32" t="n">
        <f aca="false">Cash_Flow!I10+Cash_Flow!I11+Cash_Flow!I12+Cash_Flow!I13</f>
        <v>15019588.5073613</v>
      </c>
      <c r="J18" s="32" t="n">
        <f aca="false">Cash_Flow!J10+Cash_Flow!J11+Cash_Flow!J12+Cash_Flow!J13</f>
        <v>14652655.59915</v>
      </c>
      <c r="K18" s="32" t="n">
        <f aca="false">Cash_Flow!K10+Cash_Flow!K11+Cash_Flow!K12+Cash_Flow!K13</f>
        <v>14767459.9296416</v>
      </c>
      <c r="L18" s="32" t="n">
        <f aca="false">Cash_Flow!L10+Cash_Flow!L11+Cash_Flow!L12+Cash_Flow!L13</f>
        <v>15086863.5030753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3" min="3" style="0" width="16"/>
    <col collapsed="false" customWidth="true" hidden="false" outlineLevel="0" max="4" min="4" style="0" width="12"/>
    <col collapsed="false" customWidth="true" hidden="false" outlineLevel="0" max="5" min="5" style="0" width="10"/>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8" t="s">
        <v>98</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43" t="s">
        <v>99</v>
      </c>
      <c r="C4" s="39" t="s">
        <v>100</v>
      </c>
      <c r="D4" s="39" t="s">
        <v>101</v>
      </c>
      <c r="E4" s="39" t="s">
        <v>102</v>
      </c>
    </row>
    <row r="5" customFormat="false" ht="15" hidden="false" customHeight="false" outlineLevel="0" collapsed="false">
      <c r="A5" s="6"/>
      <c r="B5" s="7" t="s">
        <v>103</v>
      </c>
      <c r="C5" s="44" t="b">
        <f aca="false">MAX(ABS(Portfolio_Rollforward!C10-Portfolio_Rollforward!C14-Portfolio_Rollforward!C15),ABS(Portfolio_Rollforward!D10-Portfolio_Rollforward!D14-Portfolio_Rollforward!D15),ABS(Portfolio_Rollforward!E10-Portfolio_Rollforward!E14-Portfolio_Rollforward!E15),ABS(Portfolio_Rollforward!F10-Portfolio_Rollforward!F14-Portfolio_Rollforward!F15),ABS(Portfolio_Rollforward!G10-Portfolio_Rollforward!G14-Portfolio_Rollforward!G15),ABS(Portfolio_Rollforward!H10-Portfolio_Rollforward!H14-Portfolio_Rollforward!H15),ABS(Portfolio_Rollforward!I10-Portfolio_Rollforward!I14-Portfolio_Rollforward!I15),ABS(Portfolio_Rollforward!J10-Portfolio_Rollforward!J14-Portfolio_Rollforward!J15),ABS(Portfolio_Rollforward!K10-Portfolio_Rollforward!K14-Portfolio_Rollforward!K15),ABS(Portfolio_Rollforward!L10-Portfolio_Rollforward!L14-Portfolio_Rollforward!L15))&lt;1</f>
        <v>1</v>
      </c>
      <c r="D5" s="45" t="b">
        <f aca="false">TRUE()</f>
        <v>1</v>
      </c>
      <c r="E5" s="46" t="str">
        <f aca="false">IF(C5=D5,"PASS","FAIL")</f>
        <v>PASS</v>
      </c>
    </row>
    <row r="6" customFormat="false" ht="15" hidden="false" customHeight="false" outlineLevel="0" collapsed="false">
      <c r="A6" s="6"/>
      <c r="B6" s="7" t="s">
        <v>104</v>
      </c>
      <c r="C6" s="44" t="b">
        <f aca="false">AND(MIN(Portfolio_Rollforward!C6:L6)&gt;=0,MAX(Portfolio_Rollforward!C6:L6)&lt;=0.5)</f>
        <v>1</v>
      </c>
      <c r="D6" s="45" t="b">
        <f aca="false">TRUE()</f>
        <v>1</v>
      </c>
      <c r="E6" s="46" t="str">
        <f aca="false">IF(C6=D6,"PASS","FAIL")</f>
        <v>PASS</v>
      </c>
    </row>
    <row r="7" customFormat="false" ht="15" hidden="false" customHeight="false" outlineLevel="0" collapsed="false">
      <c r="A7" s="6"/>
      <c r="B7" s="7" t="s">
        <v>105</v>
      </c>
      <c r="C7" s="44" t="b">
        <f aca="false">AND(MIN(Portfolio_Rollforward!C7:L7)&gt;=0,MAX(Portfolio_Rollforward!C7:L7)&lt;=0.8)</f>
        <v>1</v>
      </c>
      <c r="D7" s="45" t="b">
        <f aca="false">TRUE()</f>
        <v>1</v>
      </c>
      <c r="E7" s="46" t="str">
        <f aca="false">IF(C7=D7,"PASS","FAIL")</f>
        <v>PASS</v>
      </c>
    </row>
    <row r="8" customFormat="false" ht="15" hidden="false" customHeight="false" outlineLevel="0" collapsed="false">
      <c r="A8" s="6"/>
      <c r="B8" s="7" t="s">
        <v>106</v>
      </c>
      <c r="C8" s="44" t="b">
        <f aca="false">SUM(Default_Recovery!C8:L8)&lt;=SUM(Default_Recovery!C6:L6)*Recovery_Rate+1</f>
        <v>1</v>
      </c>
      <c r="D8" s="45" t="b">
        <f aca="false">TRUE()</f>
        <v>1</v>
      </c>
      <c r="E8" s="46" t="str">
        <f aca="false">IF(C8=D8,"PASS","FAIL")</f>
        <v>PASS</v>
      </c>
    </row>
    <row r="9" customFormat="false" ht="15" hidden="false" customHeight="false" outlineLevel="0" collapsed="false">
      <c r="A9" s="6"/>
      <c r="B9" s="7" t="s">
        <v>107</v>
      </c>
      <c r="C9" s="44" t="b">
        <f aca="false">AND(WAC&gt;=0.03,WAC&lt;=0.25)</f>
        <v>1</v>
      </c>
      <c r="D9" s="45" t="b">
        <f aca="false">TRUE()</f>
        <v>1</v>
      </c>
      <c r="E9" s="46" t="str">
        <f aca="false">IF(C9=D9,"PASS","FAIL")</f>
        <v>PASS</v>
      </c>
    </row>
    <row r="10" customFormat="false" ht="15" hidden="false" customHeight="false" outlineLevel="0" collapsed="false">
      <c r="A10" s="6"/>
      <c r="B10" s="7" t="s">
        <v>108</v>
      </c>
      <c r="C10" s="44" t="b">
        <f aca="false">MAX(Cash_Flow!C18:L18)&gt;0</f>
        <v>1</v>
      </c>
      <c r="D10" s="45" t="b">
        <f aca="false">TRUE()</f>
        <v>1</v>
      </c>
      <c r="E10" s="46" t="str">
        <f aca="false">IF(C10=D10,"PASS","FAIL")</f>
        <v>PASS</v>
      </c>
    </row>
    <row r="11" customFormat="false" ht="15" hidden="false" customHeight="false" outlineLevel="0" collapsed="false">
      <c r="A11" s="6"/>
      <c r="B11" s="7" t="s">
        <v>109</v>
      </c>
      <c r="C11" s="44" t="b">
        <f aca="false">MAX(ABS(Cash_Flow!C10+Cash_Flow!C15-Cash_Flow!C16),ABS(Cash_Flow!D10+Cash_Flow!D15-Cash_Flow!D16),ABS(Cash_Flow!E10+Cash_Flow!E15-Cash_Flow!E16),ABS(Cash_Flow!F10+Cash_Flow!F15-Cash_Flow!F16),ABS(Cash_Flow!G10+Cash_Flow!G15-Cash_Flow!G16),ABS(Cash_Flow!H10+Cash_Flow!H15-Cash_Flow!H16),ABS(Cash_Flow!I10+Cash_Flow!I15-Cash_Flow!I16),ABS(Cash_Flow!J10+Cash_Flow!J15-Cash_Flow!J16),ABS(Cash_Flow!K10+Cash_Flow!K15-Cash_Flow!K16),ABS(Cash_Flow!L10+Cash_Flow!L15-Cash_Flow!L16))&lt;1</f>
        <v>1</v>
      </c>
      <c r="D11" s="45" t="b">
        <f aca="false">TRUE()</f>
        <v>1</v>
      </c>
      <c r="E11" s="46" t="str">
        <f aca="false">IF(C11=D11,"PASS","FAIL")</f>
        <v>PASS</v>
      </c>
    </row>
    <row r="12" customFormat="false" ht="15" hidden="false" customHeight="false" outlineLevel="0" collapsed="false">
      <c r="A12" s="6"/>
      <c r="B12" s="7" t="s">
        <v>110</v>
      </c>
      <c r="C12" s="44" t="b">
        <f aca="false">MAX(Default_Recovery!C11:L11)&lt;=0.4</f>
        <v>1</v>
      </c>
      <c r="D12" s="45" t="b">
        <f aca="false">TRUE()</f>
        <v>1</v>
      </c>
      <c r="E12" s="46" t="str">
        <f aca="false">IF(C12=D12,"PASS","FAIL")</f>
        <v>PASS</v>
      </c>
    </row>
    <row r="13" customFormat="false" ht="15" hidden="false" customHeight="false" outlineLevel="0" collapsed="false">
      <c r="A13" s="6"/>
      <c r="B13" s="7" t="s">
        <v>111</v>
      </c>
      <c r="C13" s="44" t="b">
        <f aca="false">MIN(Portfolio_Rollforward!C15:L15)&gt;=0</f>
        <v>1</v>
      </c>
      <c r="D13" s="45" t="b">
        <f aca="false">TRUE()</f>
        <v>1</v>
      </c>
      <c r="E13" s="46" t="str">
        <f aca="false">IF(C13=D13,"PASS","FAIL")</f>
        <v>PASS</v>
      </c>
    </row>
    <row r="14" customFormat="false" ht="15" hidden="false" customHeight="false" outlineLevel="0" collapsed="false">
      <c r="A14" s="6"/>
      <c r="B14" s="7" t="s">
        <v>112</v>
      </c>
      <c r="C14" s="44" t="b">
        <f aca="false">AND(Returns!C10&gt;-0.5,Returns!C10&lt;1)</f>
        <v>1</v>
      </c>
      <c r="D14" s="45" t="b">
        <f aca="false">TRUE()</f>
        <v>1</v>
      </c>
      <c r="E14" s="46" t="str">
        <f aca="false">IF(C14=D14,"PASS","FAIL")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7" t="s">
        <v>113</v>
      </c>
    </row>
    <row r="3" customFormat="false" ht="3.75" hidden="false" customHeight="true" outlineLevel="0" collapsed="false">
      <c r="B3" s="48"/>
    </row>
    <row r="5" customFormat="false" ht="19.5" hidden="false" customHeight="true" outlineLevel="0" collapsed="false">
      <c r="B5" s="49" t="s">
        <v>114</v>
      </c>
    </row>
    <row r="6" customFormat="false" ht="48" hidden="false" customHeight="true" outlineLevel="0" collapsed="false">
      <c r="B6" s="50" t="s">
        <v>115</v>
      </c>
    </row>
    <row r="8" customFormat="false" ht="19.5" hidden="false" customHeight="true" outlineLevel="0" collapsed="false">
      <c r="B8" s="49" t="s">
        <v>116</v>
      </c>
    </row>
    <row r="9" customFormat="false" ht="61.5" hidden="false" customHeight="true" outlineLevel="0" collapsed="false">
      <c r="B9" s="50" t="s">
        <v>117</v>
      </c>
    </row>
    <row r="11" customFormat="false" ht="19.5" hidden="false" customHeight="true" outlineLevel="0" collapsed="false">
      <c r="B11" s="49" t="s">
        <v>118</v>
      </c>
    </row>
    <row r="12" customFormat="false" ht="75.75" hidden="false" customHeight="true" outlineLevel="0" collapsed="false">
      <c r="B12" s="50" t="s">
        <v>119</v>
      </c>
    </row>
    <row r="14" customFormat="false" ht="19.5" hidden="false" customHeight="true" outlineLevel="0" collapsed="false">
      <c r="B14" s="49" t="s">
        <v>120</v>
      </c>
    </row>
    <row r="15" customFormat="false" ht="61.5" hidden="false" customHeight="true" outlineLevel="0" collapsed="false">
      <c r="B15" s="50" t="s">
        <v>121</v>
      </c>
    </row>
    <row r="17" customFormat="false" ht="19.5" hidden="false" customHeight="true" outlineLevel="0" collapsed="false">
      <c r="B17" s="49" t="s">
        <v>122</v>
      </c>
    </row>
    <row r="18" customFormat="false" ht="33.75" hidden="false" customHeight="true" outlineLevel="0" collapsed="false">
      <c r="B18" s="50" t="s">
        <v>123</v>
      </c>
    </row>
    <row r="20" customFormat="false" ht="19.5" hidden="false" customHeight="true" outlineLevel="0" collapsed="false">
      <c r="B20" s="49" t="s">
        <v>124</v>
      </c>
    </row>
    <row r="21" customFormat="false" ht="33.75" hidden="false" customHeight="true" outlineLevel="0" collapsed="false">
      <c r="B21" s="50" t="s">
        <v>125</v>
      </c>
    </row>
    <row r="23" customFormat="false" ht="21.75" hidden="false" customHeight="true" outlineLevel="0" collapsed="false">
      <c r="B23" s="51" t="s">
        <v>126</v>
      </c>
    </row>
    <row r="25" customFormat="false" ht="18" hidden="false" customHeight="true" outlineLevel="0" collapsed="false">
      <c r="B25" s="52" t="s">
        <v>127</v>
      </c>
    </row>
    <row r="26" customFormat="false" ht="201.75" hidden="false" customHeight="true" outlineLevel="0" collapsed="false">
      <c r="B26" s="53" t="s">
        <v>128</v>
      </c>
    </row>
    <row r="28" customFormat="false" ht="18" hidden="false" customHeight="true" outlineLevel="0" collapsed="false">
      <c r="B28" s="54" t="s">
        <v>129</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2026-05-15T18:53:28Z</dcterms:created>
  <dc:creator>openpyxl</dc:creator>
  <dc:description/>
  <dc:language>en-GB</dc:language>
  <cp:lastModifiedBy/>
  <dcterms:modified xsi:type="dcterms:W3CDTF">2026-05-15T18:53:28Z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