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Macro_Dashboard" sheetId="3" state="visible" r:id="rId5"/>
    <sheet name="Income_Statement" sheetId="4" state="visible" r:id="rId6"/>
    <sheet name="Balance_Sheet" sheetId="5" state="visible" r:id="rId7"/>
    <sheet name="Cash_Flow" sheetId="6" state="visible" r:id="rId8"/>
    <sheet name="Checks" sheetId="7" state="visible" r:id="rId9"/>
    <sheet name="Disclaimer" sheetId="8" state="visible" r:id="rId10"/>
  </sheets>
  <definedNames>
    <definedName function="false" hidden="false" name="Accum_Depr_Open" vbProcedure="false">Assumptions!$C$29</definedName>
    <definedName function="false" hidden="false" name="Annual_Repay" vbProcedure="false">Assumptions!$C$32</definedName>
    <definedName function="false" hidden="false" name="Capex_Annual" vbProcedure="false">Assumptions!$C$41</definedName>
    <definedName function="false" hidden="false" name="Commodity_Inflation" vbProcedure="false">Assumptions!$G$14</definedName>
    <definedName function="false" hidden="false" name="CPI_Inflation" vbProcedure="false">Assumptions!$G$9</definedName>
    <definedName function="false" hidden="false" name="Credit_Spread" vbProcedure="false">Assumptions!$G$15</definedName>
    <definedName function="false" hidden="false" name="Day0_AP" vbProcedure="false">Assumptions!$C$56</definedName>
    <definedName function="false" hidden="false" name="Day0_AR" vbProcedure="false">Assumptions!$C$54</definedName>
    <definedName function="false" hidden="false" name="Day0_Assets" vbProcedure="false">Assumptions!$C$57</definedName>
    <definedName function="false" hidden="false" name="Day0_COGS_Rate" vbProcedure="false">Assumptions!$C$53</definedName>
    <definedName function="false" hidden="false" name="Day0_Inv" vbProcedure="false">Assumptions!$C$55</definedName>
    <definedName function="false" hidden="false" name="Day0_Liab" vbProcedure="false">Assumptions!$C$58</definedName>
    <definedName function="false" hidden="false" name="DIO" vbProcedure="false">Assumptions!$G$19</definedName>
    <definedName function="false" hidden="false" name="Dom_Alpha" vbProcedure="false">Assumptions!$G$16</definedName>
    <definedName function="false" hidden="false" name="Dom_Rev_Base" vbProcedure="false">Assumptions!$C$25</definedName>
    <definedName function="false" hidden="false" name="DPO" vbProcedure="false">Assumptions!$G$20</definedName>
    <definedName function="false" hidden="false" name="DSO" vbProcedure="false">Assumptions!$G$18</definedName>
    <definedName function="false" hidden="false" name="Export_Alpha" vbProcedure="false">Assumptions!$G$17</definedName>
    <definedName function="false" hidden="false" name="Export_Rev_Base" vbProcedure="false">Assumptions!$C$26</definedName>
    <definedName function="false" hidden="false" name="ForeignGDP_Growth" vbProcedure="false">Assumptions!$G$10</definedName>
    <definedName function="false" hidden="false" name="FX_Change" vbProcedure="false">Assumptions!$G$11</definedName>
    <definedName function="false" hidden="false" name="GDP_Growth" vbProcedure="false">Assumptions!$G$8</definedName>
    <definedName function="false" hidden="false" name="Labour_Pct" vbProcedure="false">Assumptions!$G$22</definedName>
    <definedName function="false" hidden="false" name="Materials_Pct" vbProcedure="false">Assumptions!$G$21</definedName>
    <definedName function="false" hidden="false" name="Model_Start_Year" vbProcedure="false">Assumptions!$C$45</definedName>
    <definedName function="false" hidden="false" name="Net_PPE_Open" vbProcedure="false">Assumptions!$C$30</definedName>
    <definedName function="false" hidden="false" name="NOL_Opening" vbProcedure="false">Assumptions!$C$34</definedName>
    <definedName function="false" hidden="false" name="Open_Cash" vbProcedure="false">Assumptions!$C$27</definedName>
    <definedName function="false" hidden="false" name="Open_Debt" vbProcedure="false">Assumptions!$C$31</definedName>
    <definedName function="false" hidden="false" name="Open_PPE_Gross" vbProcedure="false">Assumptions!$C$28</definedName>
    <definedName function="false" hidden="false" name="Open_RE" vbProcedure="false">Assumptions!$C$59</definedName>
    <definedName function="false" hidden="false" name="Other_Opex_Base" vbProcedure="false">Assumptions!$C$40</definedName>
    <definedName function="false" hidden="false" name="Policy_Rate" vbProcedure="false">Assumptions!$G$12</definedName>
    <definedName function="false" hidden="false" name="RD_Base" vbProcedure="false">Assumptions!$C$39</definedName>
    <definedName function="false" hidden="false" name="Scenario_Toggle" vbProcedure="false">Assumptions!$C$5</definedName>
    <definedName function="false" hidden="false" name="SGA_Base" vbProcedure="false">Assumptions!$C$38</definedName>
    <definedName function="false" hidden="false" name="Share_Capital" vbProcedure="false">Assumptions!$C$33</definedName>
    <definedName function="false" hidden="false" name="Tax_Rate" vbProcedure="false">Assumptions!$C$44</definedName>
    <definedName function="false" hidden="false" name="UL_Exist" vbProcedure="false">Assumptions!$C$42</definedName>
    <definedName function="false" hidden="false" name="UL_New" vbProcedure="false">Assumptions!$C$43</definedName>
    <definedName function="false" hidden="false" name="Wage_Inflation" vbProcedure="false">Assumptions!$G$13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<sst xmlns="http://schemas.openxmlformats.org/spreadsheetml/2006/main" count="267" uniqueCount="244">
  <si>
    <t xml:space="preserve">Macro-Economic Scenario Financial Model</t>
  </si>
  <si>
    <t xml:space="preserve">FINAMODEL.com</t>
  </si>
  <si>
    <t xml:space="preserve">Mid-Market Manufacturing Company | 5-Year Projection | USD</t>
  </si>
  <si>
    <t xml:space="preserve">Scenarios: Recession | Base Case | Boom | Stagflation</t>
  </si>
  <si>
    <t xml:space="preserve">Toggle active scenario on the Assumptions sheet (cell C5). Enter 1=Recession, 2=Base, 3=Boom, 4=Stagflation.</t>
  </si>
  <si>
    <t xml:space="preserve">Model Date:</t>
  </si>
  <si>
    <t xml:space="preserve">2026</t>
  </si>
  <si>
    <t xml:space="preserve">Currency:</t>
  </si>
  <si>
    <t xml:space="preserve">USD ($)</t>
  </si>
  <si>
    <t xml:space="preserve">Sheet Index</t>
  </si>
  <si>
    <t xml:space="preserve">Assumptions</t>
  </si>
  <si>
    <t xml:space="preserve">All inputs — macro, operating, balance sheet</t>
  </si>
  <si>
    <t xml:space="preserve">Macro_Dashboard</t>
  </si>
  <si>
    <t xml:space="preserve">4-scenario comparison (algebraic, no toggle dependency)</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</si>
  <si>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</si>
  <si>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</si>
  <si>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</si>
  <si>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</si>
  <si>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</si>
  <si>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</si>
  <si>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Checks</t>
  </si>
  <si>
    <t xml:space="preserve">Model integrity validation</t>
  </si>
  <si>
    <t xml:space="preserve">About this model</t>
  </si>
  <si>
    <t xml:space="preserve">A Macroeconomic Scenario Model stress-tests a mid-market manufacturer across four economic environmentsâRecession, Base, Boom, and Stagflationâeach with distinct GDP, inflation, FX, and wage impacts. The model captures how domestic revenue (GDP-driven) and export revenue (foreign GDP and FX-driven) diverge from COGS escalation, creating margin compression or expansion. In Recession, domestic revenue declines 2.5% while materials cost escalates only 1.0% inflationâseemingly favorable, but weak volumes dominate. In Stagflation, nominal revenue grows 6.5% but material costs inflate 7.0% and interest expense soars to 11.5%, compressing net margins by 400+ bps relative to Base.
The Assumptions sheet houses a scenario toggle (user selects 1=Recession, 2=Base, 3=Boom, or 4=Stagflation in cell C5); CHOOSE formulas in column G pull the active scenario's assumption values. Revenue projections compound from prior year at scenario-specific rates (GDP + CPI + company alpha). COGS applies dual escalation: materials per unit escalates at Commodity_Inflation (independent of selling price inflation), and labor per unit at Wage_Inflationâthis divergence is the core macro sensitivity. Fixed OpEx (SG&amp;A, R&amp;D) escalates at CPI. Working capital days vary by scenarioâDSO extends in Recession (customers pay slower), compresses in Boom. The Macro_Dashboard sheet displays all four scenario KPIs side-by-side (Year 5 revenues, EBITDA, cash, debt levels) without requiring the user to toggle, enabling visual comparison.
This model suits corporate CFOs, board risk committees, lenders, and investors modeling downside resilience or upside optionality. Key metrics include revenue CAGR, EBITDA margin (range 12-22% depending on scenario), net margin (5-12%), interest coverage (1.5-3.5Ã), and cash position. A typical mid-cap manufacturer's Stagflation case reveals whether current debt levels are sustainable if rates spike and input costs soarâcritical for investment-grade rating maintenance.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</si>
  <si>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</si>
  <si>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</si>
  <si>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</si>
  <si>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</si>
  <si>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 &amp; Inputs</t>
  </si>
  <si>
    <t xml:space="preserve">Macro-Economic Scenario Model</t>
  </si>
  <si>
    <t xml:space="preserve">Recession</t>
  </si>
  <si>
    <t xml:space="preserve">Base Case</t>
  </si>
  <si>
    <t xml:space="preserve">Boom</t>
  </si>
  <si>
    <t xml:space="preserve">Stagflation</t>
  </si>
  <si>
    <t xml:space="preserve">Active</t>
  </si>
  <si>
    <t xml:space="preserve">Scenario</t>
  </si>
  <si>
    <t xml:space="preserve">1=Recession  2=Base Case  3=Boom  4=Stagflation</t>
  </si>
  <si>
    <t xml:space="preserve">Macro Variables</t>
  </si>
  <si>
    <t xml:space="preserve">Real GDP Growth</t>
  </si>
  <si>
    <t xml:space="preserve">CPI Inflation</t>
  </si>
  <si>
    <t xml:space="preserve">Foreign GDP Growth</t>
  </si>
  <si>
    <t xml:space="preserve">FX Change (Home Appr)</t>
  </si>
  <si>
    <t xml:space="preserve">Policy Rate</t>
  </si>
  <si>
    <t xml:space="preserve">Wage Inflation</t>
  </si>
  <si>
    <t xml:space="preserve">Commodity Inflation</t>
  </si>
  <si>
    <t xml:space="preserve">Credit Spread</t>
  </si>
  <si>
    <t xml:space="preserve">Dom Revenue Alpha</t>
  </si>
  <si>
    <t xml:space="preserve">Export Revenue Alpha</t>
  </si>
  <si>
    <t xml:space="preserve">Days Sales Outstanding</t>
  </si>
  <si>
    <t xml:space="preserve">Days Inventory Outstand.</t>
  </si>
  <si>
    <t xml:space="preserve">Days Payable Outstand.</t>
  </si>
  <si>
    <t xml:space="preserve">Materials % Revenue</t>
  </si>
  <si>
    <t xml:space="preserve">Labour % Revenue</t>
  </si>
  <si>
    <t xml:space="preserve">Opening Balance Sheet &amp; Fixed Assumptions</t>
  </si>
  <si>
    <t xml:space="preserve">Domestic Revenue Y0</t>
  </si>
  <si>
    <t xml:space="preserve">Export Revenue Y0</t>
  </si>
  <si>
    <t xml:space="preserve">Opening Cash</t>
  </si>
  <si>
    <t xml:space="preserve">Opening Gross PP&amp;E</t>
  </si>
  <si>
    <t xml:space="preserve">Opening Accum Depr</t>
  </si>
  <si>
    <t xml:space="preserve">Opening Net PP&amp;E</t>
  </si>
  <si>
    <t xml:space="preserve">Opening Debt</t>
  </si>
  <si>
    <t xml:space="preserve">Annual Repayment</t>
  </si>
  <si>
    <t xml:space="preserve">Share Capital</t>
  </si>
  <si>
    <t xml:space="preserve">Opening NOL</t>
  </si>
  <si>
    <t xml:space="preserve">Operating Assumptions</t>
  </si>
  <si>
    <t xml:space="preserve">SG&amp;A Base Year 0</t>
  </si>
  <si>
    <t xml:space="preserve">R&amp;D Base Year 0</t>
  </si>
  <si>
    <t xml:space="preserve">Other OpEx Base Y0</t>
  </si>
  <si>
    <t xml:space="preserve">Annual Maint Capex</t>
  </si>
  <si>
    <t xml:space="preserve">Useful Life (Existing)</t>
  </si>
  <si>
    <t xml:space="preserve">Useful Life (New)</t>
  </si>
  <si>
    <t xml:space="preserve">Corporate Tax Rate</t>
  </si>
  <si>
    <t xml:space="preserve">Model Start Year</t>
  </si>
  <si>
    <t xml:space="preserve">Day 0 Balance Sheet Reconstruction (Fixed)</t>
  </si>
  <si>
    <t xml:space="preserve">Day 0 COGS Rate</t>
  </si>
  <si>
    <t xml:space="preserve">Day 0 AR</t>
  </si>
  <si>
    <t xml:space="preserve">Day 0 Inventory</t>
  </si>
  <si>
    <t xml:space="preserve">Day 0 AP</t>
  </si>
  <si>
    <t xml:space="preserve">Day 0 Total Assets</t>
  </si>
  <si>
    <t xml:space="preserve">Day 0 Total Liabilities</t>
  </si>
  <si>
    <t xml:space="preserve">Opening Retained Earnings</t>
  </si>
  <si>
    <t xml:space="preserve">Macro Dashboard</t>
  </si>
  <si>
    <t xml:space="preserve">Macro-Economic Scenario Comparison</t>
  </si>
  <si>
    <t xml:space="preserve">Active Scenario</t>
  </si>
  <si>
    <t xml:space="preserve">Macro Assumptions</t>
  </si>
  <si>
    <t xml:space="preserve">FX Change (Home)</t>
  </si>
  <si>
    <t xml:space="preserve">Effective Rate</t>
  </si>
  <si>
    <t xml:space="preserve">Year 5 Projected Outputs</t>
  </si>
  <si>
    <t xml:space="preserve">Metric</t>
  </si>
  <si>
    <t xml:space="preserve">Year 5 Outputs by Scenario</t>
  </si>
  <si>
    <t xml:space="preserve">Y5 Total Revenue</t>
  </si>
  <si>
    <t xml:space="preserve">Y5 Gross Profit</t>
  </si>
  <si>
    <t xml:space="preserve">Y5 Gross Margin %</t>
  </si>
  <si>
    <t xml:space="preserve">Y5 EBITDA</t>
  </si>
  <si>
    <t xml:space="preserve">Y5 EBITDA Margin %</t>
  </si>
  <si>
    <t xml:space="preserve">Y5 EBIT (approx)</t>
  </si>
  <si>
    <t xml:space="preserve">Y5 Interest Expense</t>
  </si>
  <si>
    <t xml:space="preserve">Ending Debt (Y5)</t>
  </si>
  <si>
    <t xml:space="preserve">Revenue CAGR (5yr)</t>
  </si>
  <si>
    <t xml:space="preserve">Y5 Materials %</t>
  </si>
  <si>
    <t xml:space="preserve">Y5 Labour %</t>
  </si>
  <si>
    <t xml:space="preserve">Helper: Dom Rev Growth Rate</t>
  </si>
  <si>
    <t xml:space="preserve">Helper: Export Rev Growth Rate</t>
  </si>
  <si>
    <t xml:space="preserve">Helper: Y5 Domestic Revenue</t>
  </si>
  <si>
    <t xml:space="preserve">Helper: Y5 Export Revenue</t>
  </si>
  <si>
    <t xml:space="preserve">Helper: Y5 Total Revenue</t>
  </si>
  <si>
    <t xml:space="preserve">Helper: Y5 Materials Cost</t>
  </si>
  <si>
    <t xml:space="preserve">Helper: Y5 Labour Cost</t>
  </si>
  <si>
    <t xml:space="preserve">Helper: Y5 Total COGS</t>
  </si>
  <si>
    <t xml:space="preserve">Helper: Y5 Gross Profit</t>
  </si>
  <si>
    <t xml:space="preserve">Helper: Y5 SG&amp;A</t>
  </si>
  <si>
    <t xml:space="preserve">Helper: Y5 R&amp;D</t>
  </si>
  <si>
    <t xml:space="preserve">Helper: Y5 Other OpEx</t>
  </si>
  <si>
    <t xml:space="preserve">Helper: Y5 Total Fixed OpEx</t>
  </si>
  <si>
    <t xml:space="preserve">Helper: Y5 EBITDA</t>
  </si>
  <si>
    <t xml:space="preserve">Helper: Ending Debt Y5</t>
  </si>
  <si>
    <t xml:space="preserve">Helper: Effective Rate</t>
  </si>
  <si>
    <t xml:space="preserve">Helper: Y5 Interest Expense</t>
  </si>
  <si>
    <t xml:space="preserve">Helper: Y5 D&amp;A</t>
  </si>
  <si>
    <t xml:space="preserve">Helper: Y5 EBIT</t>
  </si>
  <si>
    <t xml:space="preserve">Income Statement</t>
  </si>
  <si>
    <t xml:space="preserve">5-Year Annual Projections | USD</t>
  </si>
  <si>
    <t xml:space="preserve">Year #</t>
  </si>
  <si>
    <t xml:space="preserve">Revenue</t>
  </si>
  <si>
    <t xml:space="preserve">Domestic Revenue</t>
  </si>
  <si>
    <t xml:space="preserve">Export Revenue</t>
  </si>
  <si>
    <t xml:space="preserve">TOTAL REVENUE</t>
  </si>
  <si>
    <t xml:space="preserve">Cost of Goods Sold</t>
  </si>
  <si>
    <t xml:space="preserve">Materials</t>
  </si>
  <si>
    <t xml:space="preserve">Labour</t>
  </si>
  <si>
    <t xml:space="preserve">TOTAL COGS</t>
  </si>
  <si>
    <t xml:space="preserve">GROSS PROFIT</t>
  </si>
  <si>
    <t xml:space="preserve">Gross Margin %</t>
  </si>
  <si>
    <t xml:space="preserve">Fixed Operating Expenses</t>
  </si>
  <si>
    <t xml:space="preserve">SG&amp;A</t>
  </si>
  <si>
    <t xml:space="preserve">R&amp;D</t>
  </si>
  <si>
    <t xml:space="preserve">Other OpEx</t>
  </si>
  <si>
    <t xml:space="preserve">TOTAL OPEX</t>
  </si>
  <si>
    <t xml:space="preserve">EBITDA</t>
  </si>
  <si>
    <t xml:space="preserve">EBITDA Margin %</t>
  </si>
  <si>
    <t xml:space="preserve">Depreciation &amp; Amortisation</t>
  </si>
  <si>
    <t xml:space="preserve">Depr (Existing Assets)</t>
  </si>
  <si>
    <t xml:space="preserve">Depr (New Assets)</t>
  </si>
  <si>
    <t xml:space="preserve">TOTAL D&amp;A</t>
  </si>
  <si>
    <t xml:space="preserve">EBIT</t>
  </si>
  <si>
    <t xml:space="preserve">Capital Expenditure &amp; Debt</t>
  </si>
  <si>
    <t xml:space="preserve">Maintenance Capex</t>
  </si>
  <si>
    <t xml:space="preserve">Interest Expense</t>
  </si>
  <si>
    <t xml:space="preserve">Debt Repayment</t>
  </si>
  <si>
    <t xml:space="preserve">EBT</t>
  </si>
  <si>
    <t xml:space="preserve">Tax &amp; NOL Schedule</t>
  </si>
  <si>
    <t xml:space="preserve">NOL Opening</t>
  </si>
  <si>
    <t xml:space="preserve">Taxable Income (Pre-NOL)</t>
  </si>
  <si>
    <t xml:space="preserve">NOL Utilised</t>
  </si>
  <si>
    <t xml:space="preserve">Taxable Income (Post-NOL)</t>
  </si>
  <si>
    <t xml:space="preserve">Tax Expense</t>
  </si>
  <si>
    <t xml:space="preserve">NOL Addition</t>
  </si>
  <si>
    <t xml:space="preserve">NOL Closing</t>
  </si>
  <si>
    <t xml:space="preserve">NET INCOME</t>
  </si>
  <si>
    <t xml:space="preserve">Balance Sheet</t>
  </si>
  <si>
    <t xml:space="preserve">ASSETS</t>
  </si>
  <si>
    <t xml:space="preserve">Current Assets</t>
  </si>
  <si>
    <t xml:space="preserve">Cash</t>
  </si>
  <si>
    <t xml:space="preserve">Accounts Receivable</t>
  </si>
  <si>
    <t xml:space="preserve">Inventory</t>
  </si>
  <si>
    <t xml:space="preserve">TOTAL CURRENT ASSETS</t>
  </si>
  <si>
    <t xml:space="preserve">Non-Current Assets</t>
  </si>
  <si>
    <t xml:space="preserve">Gross PP&amp;E</t>
  </si>
  <si>
    <t xml:space="preserve">Accumulated Depreciation</t>
  </si>
  <si>
    <t xml:space="preserve">Net PP&amp;E</t>
  </si>
  <si>
    <t xml:space="preserve">TOTAL ASSETS</t>
  </si>
  <si>
    <t xml:space="preserve">LIABILITIES</t>
  </si>
  <si>
    <t xml:space="preserve">Current Liabilities</t>
  </si>
  <si>
    <t xml:space="preserve">Accounts Payable</t>
  </si>
  <si>
    <t xml:space="preserve">TOTAL CURRENT LIABILITIES</t>
  </si>
  <si>
    <t xml:space="preserve">Non-Current Liabilities</t>
  </si>
  <si>
    <t xml:space="preserve">Long-Term Debt</t>
  </si>
  <si>
    <t xml:space="preserve">TOTAL NON-CURRENT LIAB.</t>
  </si>
  <si>
    <t xml:space="preserve">TOTAL LIABILITIES</t>
  </si>
  <si>
    <t xml:space="preserve">EQUITY</t>
  </si>
  <si>
    <t xml:space="preserve">Retained Earnings</t>
  </si>
  <si>
    <t xml:space="preserve">TOTAL EQUITY</t>
  </si>
  <si>
    <t xml:space="preserve">TOTAL LIABILITIES &amp; EQUITY</t>
  </si>
  <si>
    <t xml:space="preserve">Balance Check (must = 0)</t>
  </si>
  <si>
    <t xml:space="preserve">Cash Flow Statement</t>
  </si>
  <si>
    <t xml:space="preserve">Indirect Method | 5-Year Annual | USD</t>
  </si>
  <si>
    <t xml:space="preserve">Operating Activities</t>
  </si>
  <si>
    <t xml:space="preserve">Net Income</t>
  </si>
  <si>
    <t xml:space="preserve">Add: D&amp;A</t>
  </si>
  <si>
    <t xml:space="preserve">Working Capital Changes</t>
  </si>
  <si>
    <t xml:space="preserve">Change in AR</t>
  </si>
  <si>
    <t xml:space="preserve">Change in Inventory</t>
  </si>
  <si>
    <t xml:space="preserve">Change in AP</t>
  </si>
  <si>
    <t xml:space="preserve">CASH FROM OPERATIONS</t>
  </si>
  <si>
    <t xml:space="preserve">Investing Activities</t>
  </si>
  <si>
    <t xml:space="preserve">Capital Expenditure</t>
  </si>
  <si>
    <t xml:space="preserve">CASH FROM INVESTING</t>
  </si>
  <si>
    <t xml:space="preserve">Financing Activities</t>
  </si>
  <si>
    <t xml:space="preserve">CASH FROM FINANCING</t>
  </si>
  <si>
    <t xml:space="preserve">Net Change in Cash</t>
  </si>
  <si>
    <t xml:space="preserve">CLOSING CASH</t>
  </si>
  <si>
    <t xml:space="preserve">Model Integrity Checks</t>
  </si>
  <si>
    <t xml:space="preserve">All checks must show TRUE. FALSE cells indicate model errors.</t>
  </si>
  <si>
    <t xml:space="preserve">Check</t>
  </si>
  <si>
    <t xml:space="preserve">Y1</t>
  </si>
  <si>
    <t xml:space="preserve">Y2</t>
  </si>
  <si>
    <t xml:space="preserve">Y3</t>
  </si>
  <si>
    <t xml:space="preserve">Y4</t>
  </si>
  <si>
    <t xml:space="preserve">Y5</t>
  </si>
  <si>
    <t xml:space="preserve">All Years</t>
  </si>
  <si>
    <t xml:space="preserve">BS Balance (Total Assets = L+E)</t>
  </si>
  <si>
    <t xml:space="preserve">Must equal TRUE in all years</t>
  </si>
  <si>
    <t xml:space="preserve">Cash = CFS Closing</t>
  </si>
  <si>
    <t xml:space="preserve">BS Cash matches CFS closing</t>
  </si>
  <si>
    <t xml:space="preserve">Debt Declines Each Year</t>
  </si>
  <si>
    <t xml:space="preserve">Closing &lt; Opening each period</t>
  </si>
  <si>
    <t xml:space="preserve">Depr ≤ Opening NBV</t>
  </si>
  <si>
    <t xml:space="preserve">Annual existing-asset depr ≤ opening net PP&amp;E</t>
  </si>
  <si>
    <t xml:space="preserve">Scenario Toggle Valid (1-4)</t>
  </si>
  <si>
    <t xml:space="preserve">Day 0 BS Reconstruction Balances</t>
  </si>
  <si>
    <t xml:space="preserve">Day 0 BS: Assets = Liab + Equity</t>
  </si>
  <si>
    <t xml:space="preserve">Revenue &gt; 0 (advisory)</t>
  </si>
  <si>
    <t xml:space="preserve">Revenue should be positive in all years</t>
  </si>
  <si>
    <t xml:space="preserve">Materials + Labour &lt; 100%</t>
  </si>
  <si>
    <t xml:space="preserve">Opening Cash ≥ 0</t>
  </si>
  <si>
    <t xml:space="preserve">Net PP&amp;E ≥ 0</t>
  </si>
  <si>
    <t xml:space="preserve">Net PP&amp;E should not go negative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</si>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</sst>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4">
    <numFmt numFmtId="164" formatCode="General"/>
    <numFmt numFmtId="165" formatCode="0"/>
    <numFmt numFmtId="166" formatCode="0.00%"/>
    <numFmt numFmtId="167" formatCode="#,##0.00"/>
  </numFmts>
  <fonts count="31">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sz val="10"/>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b val="true"/>
      <sz val="11"/>
      <color rgb="FF0070C0"/>
      <name val="Arial"/>
      <family val="0"/>
      <charset val="1"/>
    </font>
    <font>
      <sz val="10"/>
      <color rgb="FF000000"/>
      <name val="Arial"/>
      <family val="0"/>
      <charset val="1"/>
    </font>
    <font>
      <i val="true"/>
      <sz val="10"/>
      <color rgb="FF808080"/>
      <name val="Arial"/>
      <family val="0"/>
      <charset val="1"/>
    </font>
    <font>
      <sz val="10"/>
      <color rgb="FF0070C0"/>
      <name val="Arial"/>
      <family val="0"/>
      <charset val="1"/>
    </font>
    <font>
      <b val="true"/>
      <i val="true"/>
      <sz val="11"/>
      <name val="Arial"/>
      <family val="0"/>
      <charset val="1"/>
    </font>
    <font>
      <i val="true"/>
      <sz val="10"/>
      <name val="Arial"/>
      <family val="0"/>
      <charset val="1"/>
    </font>
    <font>
      <b val="true"/>
      <sz val="10"/>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9">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D6E4F0"/>
        <bgColor rgb="FFC6D9F1"/>
      </patternFill>
    </fill>
    <fill>
      <patternFill patternType="solid">
        <fgColor rgb="FFFFF2CC"/>
        <bgColor rgb="FFFFFACD"/>
      </patternFill>
    </fill>
    <fill>
      <patternFill patternType="solid">
        <fgColor rgb="FFFFFACD"/>
        <bgColor rgb="FFFFF2CC"/>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3" fillId="4"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5" fontId="19" fillId="5" borderId="0" xfId="0" applyFont="true" applyBorder="false" applyAlignment="true" applyProtection="false">
      <alignment horizontal="center" vertical="center" textRotation="0" wrapText="false" indent="0" shrinkToFit="false"/>
      <protection locked="true" hidden="false"/>
    </xf>
    <xf numFmtId="165" fontId="20"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6" fontId="22" fillId="6" borderId="0" xfId="0" applyFont="true" applyBorder="false" applyAlignment="true" applyProtection="false">
      <alignment horizontal="right" vertical="center" textRotation="0" wrapText="false" indent="0" shrinkToFit="false"/>
      <protection locked="true" hidden="false"/>
    </xf>
    <xf numFmtId="166" fontId="20" fillId="0" borderId="0" xfId="0" applyFont="true" applyBorder="false" applyAlignment="true" applyProtection="false">
      <alignment horizontal="right" vertical="center" textRotation="0" wrapText="false" indent="0" shrinkToFit="false"/>
      <protection locked="true" hidden="false"/>
    </xf>
    <xf numFmtId="165" fontId="22" fillId="6" borderId="0" xfId="0" applyFont="true" applyBorder="false" applyAlignment="true" applyProtection="false">
      <alignment horizontal="right" vertical="center" textRotation="0" wrapText="false" indent="0" shrinkToFit="false"/>
      <protection locked="true" hidden="false"/>
    </xf>
    <xf numFmtId="165" fontId="20" fillId="0" borderId="0" xfId="0" applyFont="true" applyBorder="false" applyAlignment="true" applyProtection="false">
      <alignment horizontal="right" vertical="center" textRotation="0" wrapText="false" indent="0" shrinkToFit="false"/>
      <protection locked="true" hidden="false"/>
    </xf>
    <xf numFmtId="167" fontId="22" fillId="5" borderId="0" xfId="0" applyFont="true" applyBorder="false" applyAlignment="true" applyProtection="false">
      <alignment horizontal="right" vertical="center" textRotation="0" wrapText="false" indent="0" shrinkToFit="false"/>
      <protection locked="true" hidden="false"/>
    </xf>
    <xf numFmtId="165" fontId="22" fillId="5" borderId="0" xfId="0" applyFont="true" applyBorder="false" applyAlignment="true" applyProtection="false">
      <alignment horizontal="right" vertical="center" textRotation="0" wrapText="false" indent="0" shrinkToFit="false"/>
      <protection locked="true" hidden="false"/>
    </xf>
    <xf numFmtId="166" fontId="22" fillId="5" borderId="0" xfId="0" applyFont="true" applyBorder="false" applyAlignment="true" applyProtection="false">
      <alignment horizontal="right" vertical="center" textRotation="0" wrapText="false" indent="0" shrinkToFit="false"/>
      <protection locked="true" hidden="false"/>
    </xf>
    <xf numFmtId="167" fontId="20"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5" fontId="18" fillId="2" borderId="0" xfId="0" applyFont="true" applyBorder="false" applyAlignment="true" applyProtection="false">
      <alignment horizontal="center" vertical="center" textRotation="0" wrapText="false" indent="0" shrinkToFit="false"/>
      <protection locked="true" hidden="false"/>
    </xf>
    <xf numFmtId="165" fontId="21"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1"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67" fontId="10" fillId="0" borderId="2" xfId="0" applyFont="true" applyBorder="true" applyAlignment="true" applyProtection="false">
      <alignment horizontal="right" vertical="center" textRotation="0" wrapText="false" indent="0" shrinkToFit="false"/>
      <protection locked="true" hidden="false"/>
    </xf>
    <xf numFmtId="167" fontId="25"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2"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7" fillId="7" borderId="0" xfId="0" applyFont="true" applyBorder="false" applyAlignment="true" applyProtection="false">
      <alignment horizontal="left" vertical="center" textRotation="0" wrapText="false" indent="1" shrinkToFit="false"/>
      <protection locked="true" hidden="false"/>
    </xf>
    <xf numFmtId="164" fontId="28" fillId="0" borderId="0" xfId="0" applyFont="true" applyBorder="false" applyAlignment="true" applyProtection="false">
      <alignment horizontal="left" vertical="top" textRotation="0" wrapText="true" indent="1" shrinkToFit="false"/>
      <protection locked="true" hidden="false"/>
    </xf>
    <xf numFmtId="164" fontId="29"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30" fillId="8"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ACD"/>
      <rgbColor rgb="FFD6E4F0"/>
      <rgbColor rgb="FF660066"/>
      <rgbColor rgb="FFFF8080"/>
      <rgbColor rgb="FF0070C0"/>
      <rgbColor rgb="FFC6D9F1"/>
      <rgbColor rgb="FF000080"/>
      <rgbColor rgb="FFFF00FF"/>
      <rgbColor rgb="FFFFFF00"/>
      <rgbColor rgb="FF00FFFF"/>
      <rgbColor rgb="FF800080"/>
      <rgbColor rgb="FF800000"/>
      <rgbColor rgb="FF008080"/>
      <rgbColor rgb="FF0000FF"/>
      <rgbColor rgb="FF00CCFF"/>
      <rgbColor rgb="FFF2F2F2"/>
      <rgbColor rgb="FFCCFFCC"/>
      <rgbColor rgb="FFFFF2CC"/>
      <rgbColor rgb="FF99CCFF"/>
      <rgbColor rgb="FFFF99CC"/>
      <rgbColor rgb="FFCC99FF"/>
      <rgbColor rgb="FFFFCC99"/>
      <rgbColor rgb="FF4472C4"/>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5"/>
    <col collapsed="false" customWidth="true" hidden="false" outlineLevel="0" max="3" min="3" style="0" width="35"/>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6"/>
      <c r="D5" s="6"/>
    </row>
    <row r="6" customFormat="false" ht="15" hidden="false" customHeight="false" outlineLevel="0" collapsed="false">
      <c r="A6" s="6"/>
      <c r="B6" s="6"/>
      <c r="C6" s="6"/>
      <c r="D6" s="6"/>
    </row>
    <row r="7" customFormat="false" ht="15" hidden="false" customHeight="false" outlineLevel="0" collapsed="false">
      <c r="A7" s="6"/>
      <c r="B7" s="8" t="s">
        <v>4</v>
      </c>
      <c r="C7" s="6"/>
      <c r="D7" s="6"/>
    </row>
    <row r="8" customFormat="false" ht="15" hidden="false" customHeight="false" outlineLevel="0" collapsed="false">
      <c r="A8" s="6"/>
      <c r="B8" s="6"/>
      <c r="C8" s="6"/>
      <c r="D8" s="6"/>
    </row>
    <row r="9" customFormat="false" ht="15" hidden="false" customHeight="false" outlineLevel="0" collapsed="false">
      <c r="A9" s="6"/>
      <c r="B9" s="9" t="s">
        <v>5</v>
      </c>
      <c r="C9" s="10" t="s">
        <v>6</v>
      </c>
      <c r="D9" s="6"/>
    </row>
    <row r="10" customFormat="false" ht="15" hidden="false" customHeight="false" outlineLevel="0" collapsed="false">
      <c r="A10" s="6"/>
      <c r="B10" s="9" t="s">
        <v>7</v>
      </c>
      <c r="C10" s="10" t="s">
        <v>8</v>
      </c>
      <c r="D10" s="6"/>
    </row>
    <row r="11" customFormat="false" ht="15" hidden="false" customHeight="false" outlineLevel="0" collapsed="false">
      <c r="A11" s="6"/>
      <c r="B11" s="6"/>
      <c r="C11" s="6"/>
      <c r="D11" s="6"/>
    </row>
    <row r="12" customFormat="false" ht="15" hidden="false" customHeight="false" outlineLevel="0" collapsed="false">
      <c r="A12" s="6"/>
      <c r="B12" s="11" t="s">
        <v>9</v>
      </c>
      <c r="C12" s="12"/>
      <c r="D12" s="12"/>
    </row>
    <row r="13" customFormat="false" ht="15" hidden="false" customHeight="false" outlineLevel="0" collapsed="false">
      <c r="A13" s="6"/>
      <c r="B13" s="9" t="s">
        <v>10</v>
      </c>
      <c r="C13" s="10" t="s">
        <v>11</v>
      </c>
      <c r="D13" s="6"/>
    </row>
    <row r="14" customFormat="false" ht="15" hidden="false" customHeight="false" outlineLevel="0" collapsed="false">
      <c r="A14" s="6"/>
      <c r="B14" s="9" t="s">
        <v>12</v>
      </c>
      <c r="C14" s="10" t="s">
        <v>13</v>
      </c>
      <c r="D14" s="6"/>
    </row>
    <row r="15" customFormat="false" ht="15" hidden="false" customHeight="false" outlineLevel="0" collapsed="false">
      <c r="A15" s="6"/>
      <c r="B15" s="9" t="s">
        <v>14</v>
      </c>
      <c r="C15" s="10" t="s">
        <v>15</v>
      </c>
      <c r="D15" s="6"/>
    </row>
    <row r="16" customFormat="false" ht="15" hidden="false" customHeight="false" outlineLevel="0" collapsed="false">
      <c r="A16" s="6"/>
      <c r="B16" s="9" t="s">
        <v>16</v>
      </c>
      <c r="C16" s="10" t="s">
        <v>17</v>
      </c>
      <c r="D16" s="6"/>
    </row>
    <row r="17" customFormat="false" ht="15" hidden="false" customHeight="false" outlineLevel="0" collapsed="false">
      <c r="A17" s="6"/>
      <c r="B17" s="9" t="s">
        <v>18</v>
      </c>
      <c r="C17" s="10" t="s">
        <v>19</v>
      </c>
      <c r="D17" s="6"/>
    </row>
    <row r="18" customFormat="false" ht="15" hidden="false" customHeight="false" outlineLevel="0" collapsed="false">
      <c r="A18" s="6"/>
      <c r="B18" s="9" t="s">
        <v>20</v>
      </c>
      <c r="C18" s="10" t="s">
        <v>21</v>
      </c>
      <c r="D18" s="6"/>
    </row>
    <row r="21" customFormat="false" ht="19.5" hidden="false" customHeight="true" outlineLevel="0" collapsed="false">
      <c r="B21" s="13" t="s">
        <v>22</v>
      </c>
      <c r="C21" s="14"/>
      <c r="D21" s="14"/>
      <c r="E21" s="14"/>
      <c r="F21" s="14"/>
      <c r="G21" s="14"/>
    </row>
    <row r="22" customFormat="false" ht="283.5" hidden="false" customHeight="true" outlineLevel="0" collapsed="false">
      <c r="B22" s="15" t="s">
        <v>23</v>
      </c>
      <c r="C22" s="15"/>
      <c r="D22" s="15"/>
      <c r="E22" s="15"/>
      <c r="F22" s="15"/>
      <c r="G22" s="15"/>
    </row>
    <row r="24" customFormat="false" ht="19.5" hidden="false" customHeight="true" outlineLevel="0" collapsed="false">
      <c r="B24" s="13" t="s">
        <v>24</v>
      </c>
      <c r="C24" s="14"/>
      <c r="D24" s="14"/>
      <c r="E24" s="14"/>
      <c r="F24" s="14"/>
      <c r="G24" s="14"/>
    </row>
    <row r="25" customFormat="false" ht="57" hidden="false" customHeight="true" outlineLevel="0" collapsed="false">
      <c r="B25" s="15" t="s">
        <v>25</v>
      </c>
      <c r="C25" s="15"/>
      <c r="D25" s="15"/>
      <c r="E25" s="15"/>
      <c r="F25" s="15"/>
      <c r="G25" s="15"/>
    </row>
    <row r="26" customFormat="false" ht="15" hidden="false" customHeight="false" outlineLevel="0" collapsed="false">
      <c r="B26" s="16" t="s">
        <v>26</v>
      </c>
      <c r="C26" s="16"/>
      <c r="D26" s="16"/>
      <c r="E26" s="16"/>
      <c r="F26" s="16"/>
      <c r="G26" s="16"/>
    </row>
    <row r="27" customFormat="false" ht="15" hidden="false" customHeight="false" outlineLevel="0" collapsed="false">
      <c r="B27" s="17" t="s">
        <v>27</v>
      </c>
    </row>
  </sheetData>
  <mergeCells count="3">
    <mergeCell ref="B22:G22"/>
    <mergeCell ref="B25:G25"/>
    <mergeCell ref="B26:G2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8" t="s">
        <v>28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9" t="s">
        <v>29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0" t="s">
        <v>30</v>
      </c>
      <c r="D4" s="20" t="s">
        <v>31</v>
      </c>
      <c r="E4" s="20" t="s">
        <v>32</v>
      </c>
      <c r="F4" s="20" t="s">
        <v>33</v>
      </c>
      <c r="G4" s="20" t="s">
        <v>34</v>
      </c>
    </row>
    <row r="5" customFormat="false" ht="15" hidden="false" customHeight="false" outlineLevel="0" collapsed="false">
      <c r="A5" s="6"/>
      <c r="B5" s="7" t="s">
        <v>35</v>
      </c>
      <c r="C5" s="21" t="n">
        <v>2</v>
      </c>
      <c r="D5" s="6"/>
      <c r="E5" s="6"/>
      <c r="F5" s="6"/>
      <c r="G5" s="22" t="n">
        <f aca="false">C5</f>
        <v>2</v>
      </c>
    </row>
    <row r="6" customFormat="false" ht="15" hidden="false" customHeight="false" outlineLevel="0" collapsed="false">
      <c r="A6" s="6"/>
      <c r="B6" s="23" t="s">
        <v>36</v>
      </c>
      <c r="C6" s="6"/>
      <c r="D6" s="6"/>
      <c r="E6" s="6"/>
      <c r="F6" s="6"/>
      <c r="G6" s="6"/>
    </row>
    <row r="7" customFormat="false" ht="15" hidden="false" customHeight="false" outlineLevel="0" collapsed="false">
      <c r="A7" s="6"/>
      <c r="B7" s="24" t="s">
        <v>37</v>
      </c>
      <c r="C7" s="25"/>
      <c r="D7" s="25"/>
      <c r="E7" s="25"/>
      <c r="F7" s="25"/>
      <c r="G7" s="25"/>
    </row>
    <row r="8" customFormat="false" ht="15" hidden="false" customHeight="false" outlineLevel="0" collapsed="false">
      <c r="A8" s="6"/>
      <c r="B8" s="26" t="s">
        <v>38</v>
      </c>
      <c r="C8" s="27" t="n">
        <v>-0.015</v>
      </c>
      <c r="D8" s="27" t="n">
        <v>0.025</v>
      </c>
      <c r="E8" s="27" t="n">
        <v>0.04</v>
      </c>
      <c r="F8" s="27" t="n">
        <v>0.005</v>
      </c>
      <c r="G8" s="28" t="n">
        <f aca="false">CHOOSE(C5,$C$8,$D$8,$E$8,$F$8)</f>
        <v>0.025</v>
      </c>
    </row>
    <row r="9" customFormat="false" ht="15" hidden="false" customHeight="false" outlineLevel="0" collapsed="false">
      <c r="A9" s="6"/>
      <c r="B9" s="26" t="s">
        <v>39</v>
      </c>
      <c r="C9" s="27" t="n">
        <v>0.01</v>
      </c>
      <c r="D9" s="27" t="n">
        <v>0.025</v>
      </c>
      <c r="E9" s="27" t="n">
        <v>0.03</v>
      </c>
      <c r="F9" s="27" t="n">
        <v>0.07</v>
      </c>
      <c r="G9" s="28" t="n">
        <f aca="false">CHOOSE(C5,$C$9,$D$9,$E$9,$F$9)</f>
        <v>0.025</v>
      </c>
    </row>
    <row r="10" customFormat="false" ht="15" hidden="false" customHeight="false" outlineLevel="0" collapsed="false">
      <c r="A10" s="6"/>
      <c r="B10" s="26" t="s">
        <v>40</v>
      </c>
      <c r="C10" s="27" t="n">
        <v>-0.01</v>
      </c>
      <c r="D10" s="27" t="n">
        <v>0.02</v>
      </c>
      <c r="E10" s="27" t="n">
        <v>0.035</v>
      </c>
      <c r="F10" s="27" t="n">
        <v>0.01</v>
      </c>
      <c r="G10" s="28" t="n">
        <f aca="false">CHOOSE(C5,$C$10,$D$10,$E$10,$F$10)</f>
        <v>0.02</v>
      </c>
    </row>
    <row r="11" customFormat="false" ht="15" hidden="false" customHeight="false" outlineLevel="0" collapsed="false">
      <c r="A11" s="6"/>
      <c r="B11" s="26" t="s">
        <v>41</v>
      </c>
      <c r="C11" s="27" t="n">
        <v>0.05</v>
      </c>
      <c r="D11" s="27" t="n">
        <v>0</v>
      </c>
      <c r="E11" s="27" t="n">
        <v>-0.03</v>
      </c>
      <c r="F11" s="27" t="n">
        <v>0.02</v>
      </c>
      <c r="G11" s="28" t="n">
        <f aca="false">CHOOSE(C5,$C$11,$D$11,$E$11,$F$11)</f>
        <v>0</v>
      </c>
    </row>
    <row r="12" customFormat="false" ht="15" hidden="false" customHeight="false" outlineLevel="0" collapsed="false">
      <c r="A12" s="6"/>
      <c r="B12" s="26" t="s">
        <v>42</v>
      </c>
      <c r="C12" s="27" t="n">
        <v>0.015</v>
      </c>
      <c r="D12" s="27" t="n">
        <v>0.045</v>
      </c>
      <c r="E12" s="27" t="n">
        <v>0.055</v>
      </c>
      <c r="F12" s="27" t="n">
        <v>0.075</v>
      </c>
      <c r="G12" s="28" t="n">
        <f aca="false">CHOOSE(C5,$C$12,$D$12,$E$12,$F$12)</f>
        <v>0.045</v>
      </c>
    </row>
    <row r="13" customFormat="false" ht="15" hidden="false" customHeight="false" outlineLevel="0" collapsed="false">
      <c r="A13" s="6"/>
      <c r="B13" s="26" t="s">
        <v>43</v>
      </c>
      <c r="C13" s="27" t="n">
        <v>0.005</v>
      </c>
      <c r="D13" s="27" t="n">
        <v>0.03</v>
      </c>
      <c r="E13" s="27" t="n">
        <v>0.04</v>
      </c>
      <c r="F13" s="27" t="n">
        <v>0.05</v>
      </c>
      <c r="G13" s="28" t="n">
        <f aca="false">CHOOSE(C5,$C$13,$D$13,$E$13,$F$13)</f>
        <v>0.03</v>
      </c>
    </row>
    <row r="14" customFormat="false" ht="15" hidden="false" customHeight="false" outlineLevel="0" collapsed="false">
      <c r="A14" s="6"/>
      <c r="B14" s="26" t="s">
        <v>44</v>
      </c>
      <c r="C14" s="27" t="n">
        <v>-0.02</v>
      </c>
      <c r="D14" s="27" t="n">
        <v>0.02</v>
      </c>
      <c r="E14" s="27" t="n">
        <v>0.04</v>
      </c>
      <c r="F14" s="27" t="n">
        <v>0.08</v>
      </c>
      <c r="G14" s="28" t="n">
        <f aca="false">CHOOSE(C5,$C$14,$D$14,$E$14,$F$14)</f>
        <v>0.02</v>
      </c>
    </row>
    <row r="15" customFormat="false" ht="15" hidden="false" customHeight="false" outlineLevel="0" collapsed="false">
      <c r="A15" s="6"/>
      <c r="B15" s="26" t="s">
        <v>45</v>
      </c>
      <c r="C15" s="27" t="n">
        <v>0.05</v>
      </c>
      <c r="D15" s="27" t="n">
        <v>0.025</v>
      </c>
      <c r="E15" s="27" t="n">
        <v>0.015</v>
      </c>
      <c r="F15" s="27" t="n">
        <v>0.04</v>
      </c>
      <c r="G15" s="28" t="n">
        <f aca="false">CHOOSE(C5,$C$15,$D$15,$E$15,$F$15)</f>
        <v>0.025</v>
      </c>
    </row>
    <row r="16" customFormat="false" ht="15" hidden="false" customHeight="false" outlineLevel="0" collapsed="false">
      <c r="A16" s="6"/>
      <c r="B16" s="26" t="s">
        <v>46</v>
      </c>
      <c r="C16" s="27" t="n">
        <v>-0.02</v>
      </c>
      <c r="D16" s="27" t="n">
        <v>0.01</v>
      </c>
      <c r="E16" s="27" t="n">
        <v>0.025</v>
      </c>
      <c r="F16" s="27" t="n">
        <v>-0.01</v>
      </c>
      <c r="G16" s="28" t="n">
        <f aca="false">CHOOSE(C5,$C$16,$D$16,$E$16,$F$16)</f>
        <v>0.01</v>
      </c>
    </row>
    <row r="17" customFormat="false" ht="15" hidden="false" customHeight="false" outlineLevel="0" collapsed="false">
      <c r="A17" s="6"/>
      <c r="B17" s="26" t="s">
        <v>47</v>
      </c>
      <c r="C17" s="27" t="n">
        <v>-0.01</v>
      </c>
      <c r="D17" s="27" t="n">
        <v>0.005</v>
      </c>
      <c r="E17" s="27" t="n">
        <v>0.02</v>
      </c>
      <c r="F17" s="27" t="n">
        <v>-0.005</v>
      </c>
      <c r="G17" s="28" t="n">
        <f aca="false">CHOOSE(C5,$C$17,$D$17,$E$17,$F$17)</f>
        <v>0.005</v>
      </c>
    </row>
    <row r="18" customFormat="false" ht="15" hidden="false" customHeight="false" outlineLevel="0" collapsed="false">
      <c r="A18" s="6"/>
      <c r="B18" s="26" t="s">
        <v>48</v>
      </c>
      <c r="C18" s="29" t="n">
        <v>55</v>
      </c>
      <c r="D18" s="29" t="n">
        <v>45</v>
      </c>
      <c r="E18" s="29" t="n">
        <v>40</v>
      </c>
      <c r="F18" s="29" t="n">
        <v>50</v>
      </c>
      <c r="G18" s="30" t="n">
        <f aca="false">CHOOSE(C5,$C$18,$D$18,$E$18,$F$18)</f>
        <v>45</v>
      </c>
    </row>
    <row r="19" customFormat="false" ht="15" hidden="false" customHeight="false" outlineLevel="0" collapsed="false">
      <c r="A19" s="6"/>
      <c r="B19" s="26" t="s">
        <v>49</v>
      </c>
      <c r="C19" s="29" t="n">
        <v>35</v>
      </c>
      <c r="D19" s="29" t="n">
        <v>30</v>
      </c>
      <c r="E19" s="29" t="n">
        <v>25</v>
      </c>
      <c r="F19" s="29" t="n">
        <v>35</v>
      </c>
      <c r="G19" s="30" t="n">
        <f aca="false">CHOOSE(C5,$C$19,$D$19,$E$19,$F$19)</f>
        <v>30</v>
      </c>
    </row>
    <row r="20" customFormat="false" ht="15" hidden="false" customHeight="false" outlineLevel="0" collapsed="false">
      <c r="A20" s="6"/>
      <c r="B20" s="26" t="s">
        <v>50</v>
      </c>
      <c r="C20" s="29" t="n">
        <v>35</v>
      </c>
      <c r="D20" s="29" t="n">
        <v>40</v>
      </c>
      <c r="E20" s="29" t="n">
        <v>45</v>
      </c>
      <c r="F20" s="29" t="n">
        <v>35</v>
      </c>
      <c r="G20" s="30" t="n">
        <f aca="false">CHOOSE(C5,$C$20,$D$20,$E$20,$F$20)</f>
        <v>40</v>
      </c>
    </row>
    <row r="21" customFormat="false" ht="15" hidden="false" customHeight="false" outlineLevel="0" collapsed="false">
      <c r="A21" s="6"/>
      <c r="B21" s="26" t="s">
        <v>51</v>
      </c>
      <c r="C21" s="27" t="n">
        <v>0.3</v>
      </c>
      <c r="D21" s="27" t="n">
        <v>0.25</v>
      </c>
      <c r="E21" s="27" t="n">
        <v>0.22</v>
      </c>
      <c r="F21" s="27" t="n">
        <v>0.32</v>
      </c>
      <c r="G21" s="28" t="n">
        <f aca="false">CHOOSE(C5,$C$21,$D$21,$E$21,$F$21)</f>
        <v>0.25</v>
      </c>
    </row>
    <row r="22" customFormat="false" ht="15" hidden="false" customHeight="false" outlineLevel="0" collapsed="false">
      <c r="A22" s="6"/>
      <c r="B22" s="26" t="s">
        <v>52</v>
      </c>
      <c r="C22" s="27" t="n">
        <v>0.18</v>
      </c>
      <c r="D22" s="27" t="n">
        <v>0.15</v>
      </c>
      <c r="E22" s="27" t="n">
        <v>0.13</v>
      </c>
      <c r="F22" s="27" t="n">
        <v>0.17</v>
      </c>
      <c r="G22" s="28" t="n">
        <f aca="false">CHOOSE(C5,$C$22,$D$22,$E$22,$F$22)</f>
        <v>0.15</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24" t="s">
        <v>53</v>
      </c>
      <c r="C24" s="25"/>
      <c r="D24" s="25"/>
      <c r="E24" s="25"/>
      <c r="F24" s="25"/>
      <c r="G24" s="25"/>
    </row>
    <row r="25" customFormat="false" ht="15" hidden="false" customHeight="false" outlineLevel="0" collapsed="false">
      <c r="A25" s="6"/>
      <c r="B25" s="26" t="s">
        <v>54</v>
      </c>
      <c r="C25" s="31" t="n">
        <v>150000000</v>
      </c>
      <c r="D25" s="6"/>
      <c r="E25" s="6"/>
      <c r="F25" s="6"/>
      <c r="G25" s="6"/>
    </row>
    <row r="26" customFormat="false" ht="15" hidden="false" customHeight="false" outlineLevel="0" collapsed="false">
      <c r="A26" s="6"/>
      <c r="B26" s="26" t="s">
        <v>55</v>
      </c>
      <c r="C26" s="31" t="n">
        <v>50000000</v>
      </c>
      <c r="D26" s="6"/>
      <c r="E26" s="6"/>
      <c r="F26" s="6"/>
      <c r="G26" s="6"/>
    </row>
    <row r="27" customFormat="false" ht="15" hidden="false" customHeight="false" outlineLevel="0" collapsed="false">
      <c r="A27" s="6"/>
      <c r="B27" s="26" t="s">
        <v>56</v>
      </c>
      <c r="C27" s="31" t="n">
        <v>25000000</v>
      </c>
      <c r="D27" s="6"/>
      <c r="E27" s="6"/>
      <c r="F27" s="6"/>
      <c r="G27" s="6"/>
    </row>
    <row r="28" customFormat="false" ht="15" hidden="false" customHeight="false" outlineLevel="0" collapsed="false">
      <c r="A28" s="6"/>
      <c r="B28" s="26" t="s">
        <v>57</v>
      </c>
      <c r="C28" s="31" t="n">
        <v>80000000</v>
      </c>
      <c r="D28" s="6"/>
      <c r="E28" s="6"/>
      <c r="F28" s="6"/>
      <c r="G28" s="6"/>
    </row>
    <row r="29" customFormat="false" ht="15" hidden="false" customHeight="false" outlineLevel="0" collapsed="false">
      <c r="A29" s="6"/>
      <c r="B29" s="26" t="s">
        <v>58</v>
      </c>
      <c r="C29" s="31" t="n">
        <v>30000000</v>
      </c>
      <c r="D29" s="6"/>
      <c r="E29" s="6"/>
      <c r="F29" s="6"/>
      <c r="G29" s="6"/>
    </row>
    <row r="30" customFormat="false" ht="15" hidden="false" customHeight="false" outlineLevel="0" collapsed="false">
      <c r="A30" s="6"/>
      <c r="B30" s="26" t="s">
        <v>59</v>
      </c>
      <c r="C30" s="31" t="n">
        <v>50000000</v>
      </c>
      <c r="D30" s="6"/>
      <c r="E30" s="6"/>
      <c r="F30" s="6"/>
      <c r="G30" s="6"/>
    </row>
    <row r="31" customFormat="false" ht="15" hidden="false" customHeight="false" outlineLevel="0" collapsed="false">
      <c r="A31" s="6"/>
      <c r="B31" s="26" t="s">
        <v>60</v>
      </c>
      <c r="C31" s="31" t="n">
        <v>60000000</v>
      </c>
      <c r="D31" s="6"/>
      <c r="E31" s="6"/>
      <c r="F31" s="6"/>
      <c r="G31" s="6"/>
    </row>
    <row r="32" customFormat="false" ht="15" hidden="false" customHeight="false" outlineLevel="0" collapsed="false">
      <c r="A32" s="6"/>
      <c r="B32" s="26" t="s">
        <v>61</v>
      </c>
      <c r="C32" s="31" t="n">
        <v>10000000</v>
      </c>
      <c r="D32" s="6"/>
      <c r="E32" s="6"/>
      <c r="F32" s="6"/>
      <c r="G32" s="6"/>
    </row>
    <row r="33" customFormat="false" ht="15" hidden="false" customHeight="false" outlineLevel="0" collapsed="false">
      <c r="A33" s="6"/>
      <c r="B33" s="26" t="s">
        <v>62</v>
      </c>
      <c r="C33" s="31" t="n">
        <v>50000000</v>
      </c>
      <c r="D33" s="6"/>
      <c r="E33" s="6"/>
      <c r="F33" s="6"/>
      <c r="G33" s="6"/>
    </row>
    <row r="34" customFormat="false" ht="15" hidden="false" customHeight="false" outlineLevel="0" collapsed="false">
      <c r="A34" s="6"/>
      <c r="B34" s="26" t="s">
        <v>63</v>
      </c>
      <c r="C34" s="31" t="n">
        <v>0</v>
      </c>
      <c r="D34" s="6"/>
      <c r="E34" s="6"/>
      <c r="F34" s="6"/>
      <c r="G34" s="6"/>
    </row>
    <row r="35" customFormat="false" ht="15" hidden="false" customHeight="false" outlineLevel="0" collapsed="false">
      <c r="A35" s="6"/>
      <c r="B35" s="6"/>
      <c r="C35" s="6"/>
      <c r="D35" s="6"/>
      <c r="E35" s="6"/>
      <c r="F35" s="6"/>
      <c r="G35" s="6"/>
    </row>
    <row r="36" customFormat="false" ht="15" hidden="false" customHeight="false" outlineLevel="0" collapsed="false">
      <c r="A36" s="6"/>
      <c r="B36" s="6"/>
      <c r="C36" s="6"/>
      <c r="D36" s="6"/>
      <c r="E36" s="6"/>
      <c r="F36" s="6"/>
      <c r="G36" s="6"/>
    </row>
    <row r="37" customFormat="false" ht="15" hidden="false" customHeight="false" outlineLevel="0" collapsed="false">
      <c r="A37" s="6"/>
      <c r="B37" s="24" t="s">
        <v>64</v>
      </c>
      <c r="C37" s="25"/>
      <c r="D37" s="25"/>
      <c r="E37" s="25"/>
      <c r="F37" s="25"/>
      <c r="G37" s="25"/>
    </row>
    <row r="38" customFormat="false" ht="15" hidden="false" customHeight="false" outlineLevel="0" collapsed="false">
      <c r="A38" s="6"/>
      <c r="B38" s="26" t="s">
        <v>65</v>
      </c>
      <c r="C38" s="31" t="n">
        <v>18000000</v>
      </c>
      <c r="D38" s="6"/>
      <c r="E38" s="6"/>
      <c r="F38" s="6"/>
      <c r="G38" s="6"/>
    </row>
    <row r="39" customFormat="false" ht="15" hidden="false" customHeight="false" outlineLevel="0" collapsed="false">
      <c r="A39" s="6"/>
      <c r="B39" s="26" t="s">
        <v>66</v>
      </c>
      <c r="C39" s="31" t="n">
        <v>5000000</v>
      </c>
      <c r="D39" s="6"/>
      <c r="E39" s="6"/>
      <c r="F39" s="6"/>
      <c r="G39" s="6"/>
    </row>
    <row r="40" customFormat="false" ht="15" hidden="false" customHeight="false" outlineLevel="0" collapsed="false">
      <c r="A40" s="6"/>
      <c r="B40" s="26" t="s">
        <v>67</v>
      </c>
      <c r="C40" s="31" t="n">
        <v>4000000</v>
      </c>
      <c r="D40" s="6"/>
      <c r="E40" s="6"/>
      <c r="F40" s="6"/>
      <c r="G40" s="6"/>
    </row>
    <row r="41" customFormat="false" ht="15" hidden="false" customHeight="false" outlineLevel="0" collapsed="false">
      <c r="A41" s="6"/>
      <c r="B41" s="26" t="s">
        <v>68</v>
      </c>
      <c r="C41" s="31" t="n">
        <v>2000000</v>
      </c>
      <c r="D41" s="6"/>
      <c r="E41" s="6"/>
      <c r="F41" s="6"/>
      <c r="G41" s="6"/>
    </row>
    <row r="42" customFormat="false" ht="15" hidden="false" customHeight="false" outlineLevel="0" collapsed="false">
      <c r="A42" s="6"/>
      <c r="B42" s="26" t="s">
        <v>69</v>
      </c>
      <c r="C42" s="32" t="n">
        <v>15</v>
      </c>
      <c r="D42" s="6"/>
      <c r="E42" s="6"/>
      <c r="F42" s="6"/>
      <c r="G42" s="6"/>
    </row>
    <row r="43" customFormat="false" ht="15" hidden="false" customHeight="false" outlineLevel="0" collapsed="false">
      <c r="A43" s="6"/>
      <c r="B43" s="26" t="s">
        <v>70</v>
      </c>
      <c r="C43" s="32" t="n">
        <v>10</v>
      </c>
      <c r="D43" s="6"/>
      <c r="E43" s="6"/>
      <c r="F43" s="6"/>
      <c r="G43" s="6"/>
    </row>
    <row r="44" customFormat="false" ht="15" hidden="false" customHeight="false" outlineLevel="0" collapsed="false">
      <c r="A44" s="6"/>
      <c r="B44" s="26" t="s">
        <v>71</v>
      </c>
      <c r="C44" s="33" t="n">
        <v>0.25</v>
      </c>
      <c r="D44" s="6"/>
      <c r="E44" s="6"/>
      <c r="F44" s="6"/>
      <c r="G44" s="6"/>
    </row>
    <row r="45" customFormat="false" ht="15" hidden="false" customHeight="false" outlineLevel="0" collapsed="false">
      <c r="A45" s="6"/>
      <c r="B45" s="26" t="s">
        <v>72</v>
      </c>
      <c r="C45" s="32" t="n">
        <v>2025</v>
      </c>
      <c r="D45" s="6"/>
      <c r="E45" s="6"/>
      <c r="F45" s="6"/>
      <c r="G45" s="6"/>
    </row>
    <row r="46" customFormat="false" ht="15" hidden="false" customHeight="false" outlineLevel="0" collapsed="false">
      <c r="A46" s="6"/>
      <c r="B46" s="6"/>
      <c r="C46" s="6"/>
      <c r="D46" s="6"/>
      <c r="E46" s="6"/>
      <c r="F46" s="6"/>
      <c r="G46" s="6"/>
    </row>
    <row r="47" customFormat="false" ht="15" hidden="false" customHeight="false" outlineLevel="0" collapsed="false">
      <c r="A47" s="6"/>
      <c r="B47" s="6"/>
      <c r="C47" s="6"/>
      <c r="D47" s="6"/>
      <c r="E47" s="6"/>
      <c r="F47" s="6"/>
      <c r="G47" s="6"/>
    </row>
    <row r="48" customFormat="false" ht="15" hidden="false" customHeight="false" outlineLevel="0" collapsed="false">
      <c r="A48" s="6"/>
      <c r="B48" s="6"/>
      <c r="C48" s="6"/>
      <c r="D48" s="6"/>
      <c r="E48" s="6"/>
      <c r="F48" s="6"/>
      <c r="G48" s="6"/>
    </row>
    <row r="49" customFormat="false" ht="15" hidden="false" customHeight="false" outlineLevel="0" collapsed="false">
      <c r="A49" s="6"/>
      <c r="B49" s="6"/>
      <c r="C49" s="6"/>
      <c r="D49" s="6"/>
      <c r="E49" s="6"/>
      <c r="F49" s="6"/>
      <c r="G49" s="6"/>
    </row>
    <row r="50" customFormat="false" ht="15" hidden="false" customHeight="false" outlineLevel="0" collapsed="false">
      <c r="A50" s="6"/>
      <c r="B50" s="6"/>
      <c r="C50" s="6"/>
      <c r="D50" s="6"/>
      <c r="E50" s="6"/>
      <c r="F50" s="6"/>
      <c r="G50" s="6"/>
    </row>
    <row r="51" customFormat="false" ht="15" hidden="false" customHeight="false" outlineLevel="0" collapsed="false">
      <c r="A51" s="6"/>
      <c r="B51" s="6"/>
      <c r="C51" s="6"/>
      <c r="D51" s="6"/>
      <c r="E51" s="6"/>
      <c r="F51" s="6"/>
      <c r="G51" s="6"/>
    </row>
    <row r="52" customFormat="false" ht="15" hidden="false" customHeight="false" outlineLevel="0" collapsed="false">
      <c r="A52" s="6"/>
      <c r="B52" s="24" t="s">
        <v>73</v>
      </c>
      <c r="C52" s="25"/>
      <c r="D52" s="25"/>
      <c r="E52" s="25"/>
      <c r="F52" s="25"/>
      <c r="G52" s="25"/>
    </row>
    <row r="53" customFormat="false" ht="15" hidden="false" customHeight="false" outlineLevel="0" collapsed="false">
      <c r="A53" s="6"/>
      <c r="B53" s="26" t="s">
        <v>74</v>
      </c>
      <c r="C53" s="34" t="n">
        <f aca="false">D21+D22</f>
        <v>0.4</v>
      </c>
      <c r="D53" s="6"/>
      <c r="E53" s="6"/>
      <c r="F53" s="6"/>
      <c r="G53" s="6"/>
    </row>
    <row r="54" customFormat="false" ht="15" hidden="false" customHeight="false" outlineLevel="0" collapsed="false">
      <c r="A54" s="6"/>
      <c r="B54" s="26" t="s">
        <v>75</v>
      </c>
      <c r="C54" s="34" t="n">
        <f aca="false">(C25+C26)*D18/365</f>
        <v>24657534.2465753</v>
      </c>
      <c r="D54" s="6"/>
      <c r="E54" s="6"/>
      <c r="F54" s="6"/>
      <c r="G54" s="6"/>
    </row>
    <row r="55" customFormat="false" ht="15" hidden="false" customHeight="false" outlineLevel="0" collapsed="false">
      <c r="A55" s="6"/>
      <c r="B55" s="26" t="s">
        <v>76</v>
      </c>
      <c r="C55" s="34" t="n">
        <f aca="false">(C25+C26)*C53*D19/365</f>
        <v>6575342.46575343</v>
      </c>
      <c r="D55" s="6"/>
      <c r="E55" s="6"/>
      <c r="F55" s="6"/>
      <c r="G55" s="6"/>
    </row>
    <row r="56" customFormat="false" ht="15" hidden="false" customHeight="false" outlineLevel="0" collapsed="false">
      <c r="A56" s="6"/>
      <c r="B56" s="26" t="s">
        <v>77</v>
      </c>
      <c r="C56" s="34" t="n">
        <f aca="false">(C25+C26)*C53*D20/365</f>
        <v>8767123.28767123</v>
      </c>
      <c r="D56" s="6"/>
      <c r="E56" s="6"/>
      <c r="F56" s="6"/>
      <c r="G56" s="6"/>
    </row>
    <row r="57" customFormat="false" ht="15" hidden="false" customHeight="false" outlineLevel="0" collapsed="false">
      <c r="A57" s="6"/>
      <c r="B57" s="26" t="s">
        <v>78</v>
      </c>
      <c r="C57" s="34" t="n">
        <f aca="false">C27+C54+C55+C30</f>
        <v>106232876.712329</v>
      </c>
      <c r="D57" s="6"/>
      <c r="E57" s="6"/>
      <c r="F57" s="6"/>
      <c r="G57" s="6"/>
    </row>
    <row r="58" customFormat="false" ht="15" hidden="false" customHeight="false" outlineLevel="0" collapsed="false">
      <c r="A58" s="6"/>
      <c r="B58" s="26" t="s">
        <v>79</v>
      </c>
      <c r="C58" s="34" t="n">
        <f aca="false">C56+C31</f>
        <v>68767123.2876712</v>
      </c>
      <c r="D58" s="6"/>
      <c r="E58" s="6"/>
      <c r="F58" s="6"/>
      <c r="G58" s="6"/>
    </row>
    <row r="59" customFormat="false" ht="15" hidden="false" customHeight="false" outlineLevel="0" collapsed="false">
      <c r="A59" s="6"/>
      <c r="B59" s="7" t="s">
        <v>80</v>
      </c>
      <c r="C59" s="34" t="n">
        <f aca="false">C57-C58-C33</f>
        <v>-12534246.5753425</v>
      </c>
      <c r="D59" s="6"/>
      <c r="E59" s="6"/>
      <c r="F59" s="6"/>
      <c r="G59"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20"/>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8" t="s">
        <v>81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9" t="s">
        <v>82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4"/>
      <c r="C5" s="20" t="s">
        <v>30</v>
      </c>
      <c r="D5" s="20" t="s">
        <v>31</v>
      </c>
      <c r="E5" s="20" t="s">
        <v>32</v>
      </c>
      <c r="F5" s="20" t="s">
        <v>33</v>
      </c>
      <c r="G5" s="20" t="s">
        <v>83</v>
      </c>
    </row>
    <row r="6" customFormat="false" ht="15" hidden="false" customHeight="false" outlineLevel="0" collapsed="false">
      <c r="A6" s="6"/>
      <c r="B6" s="6"/>
      <c r="C6" s="6"/>
      <c r="D6" s="6"/>
      <c r="E6" s="6"/>
      <c r="F6" s="6"/>
      <c r="G6" s="6"/>
    </row>
    <row r="7" customFormat="false" ht="15" hidden="false" customHeight="false" outlineLevel="0" collapsed="false">
      <c r="A7" s="6"/>
      <c r="B7" s="35" t="s">
        <v>84</v>
      </c>
      <c r="C7" s="6"/>
      <c r="D7" s="6"/>
      <c r="E7" s="6"/>
      <c r="F7" s="6"/>
      <c r="G7" s="6"/>
    </row>
    <row r="8" customFormat="false" ht="15" hidden="false" customHeight="false" outlineLevel="0" collapsed="false">
      <c r="A8" s="6"/>
      <c r="B8" s="26" t="s">
        <v>38</v>
      </c>
      <c r="C8" s="28" t="n">
        <f aca="false">Assumptions!$C$8</f>
        <v>-0.015</v>
      </c>
      <c r="D8" s="28" t="n">
        <f aca="false">Assumptions!$D$8</f>
        <v>0.025</v>
      </c>
      <c r="E8" s="28" t="n">
        <f aca="false">Assumptions!$E$8</f>
        <v>0.04</v>
      </c>
      <c r="F8" s="28" t="n">
        <f aca="false">Assumptions!$F$8</f>
        <v>0.005</v>
      </c>
      <c r="G8" s="28" t="n">
        <f aca="false">Assumptions!$G$8</f>
        <v>0.025</v>
      </c>
    </row>
    <row r="9" customFormat="false" ht="15" hidden="false" customHeight="false" outlineLevel="0" collapsed="false">
      <c r="A9" s="6"/>
      <c r="B9" s="26" t="s">
        <v>39</v>
      </c>
      <c r="C9" s="28" t="n">
        <f aca="false">Assumptions!$C$9</f>
        <v>0.01</v>
      </c>
      <c r="D9" s="28" t="n">
        <f aca="false">Assumptions!$D$9</f>
        <v>0.025</v>
      </c>
      <c r="E9" s="28" t="n">
        <f aca="false">Assumptions!$E$9</f>
        <v>0.03</v>
      </c>
      <c r="F9" s="28" t="n">
        <f aca="false">Assumptions!$F$9</f>
        <v>0.07</v>
      </c>
      <c r="G9" s="28" t="n">
        <f aca="false">Assumptions!$G$9</f>
        <v>0.025</v>
      </c>
    </row>
    <row r="10" customFormat="false" ht="15" hidden="false" customHeight="false" outlineLevel="0" collapsed="false">
      <c r="A10" s="6"/>
      <c r="B10" s="26" t="s">
        <v>40</v>
      </c>
      <c r="C10" s="28" t="n">
        <f aca="false">Assumptions!$C$10</f>
        <v>-0.01</v>
      </c>
      <c r="D10" s="28" t="n">
        <f aca="false">Assumptions!$D$10</f>
        <v>0.02</v>
      </c>
      <c r="E10" s="28" t="n">
        <f aca="false">Assumptions!$E$10</f>
        <v>0.035</v>
      </c>
      <c r="F10" s="28" t="n">
        <f aca="false">Assumptions!$F$10</f>
        <v>0.01</v>
      </c>
      <c r="G10" s="28" t="n">
        <f aca="false">Assumptions!$G$10</f>
        <v>0.02</v>
      </c>
    </row>
    <row r="11" customFormat="false" ht="15" hidden="false" customHeight="false" outlineLevel="0" collapsed="false">
      <c r="A11" s="6"/>
      <c r="B11" s="26" t="s">
        <v>85</v>
      </c>
      <c r="C11" s="28" t="n">
        <f aca="false">Assumptions!$C$11</f>
        <v>0.05</v>
      </c>
      <c r="D11" s="28" t="n">
        <f aca="false">Assumptions!$D$11</f>
        <v>0</v>
      </c>
      <c r="E11" s="28" t="n">
        <f aca="false">Assumptions!$E$11</f>
        <v>-0.03</v>
      </c>
      <c r="F11" s="28" t="n">
        <f aca="false">Assumptions!$F$11</f>
        <v>0.02</v>
      </c>
      <c r="G11" s="28" t="n">
        <f aca="false">Assumptions!$G$11</f>
        <v>0</v>
      </c>
    </row>
    <row r="12" customFormat="false" ht="15" hidden="false" customHeight="false" outlineLevel="0" collapsed="false">
      <c r="A12" s="6"/>
      <c r="B12" s="26" t="s">
        <v>42</v>
      </c>
      <c r="C12" s="28" t="n">
        <f aca="false">Assumptions!$C$12</f>
        <v>0.015</v>
      </c>
      <c r="D12" s="28" t="n">
        <f aca="false">Assumptions!$D$12</f>
        <v>0.045</v>
      </c>
      <c r="E12" s="28" t="n">
        <f aca="false">Assumptions!$E$12</f>
        <v>0.055</v>
      </c>
      <c r="F12" s="28" t="n">
        <f aca="false">Assumptions!$F$12</f>
        <v>0.075</v>
      </c>
      <c r="G12" s="28" t="n">
        <f aca="false">Assumptions!$G$12</f>
        <v>0.045</v>
      </c>
    </row>
    <row r="13" customFormat="false" ht="15" hidden="false" customHeight="false" outlineLevel="0" collapsed="false">
      <c r="A13" s="6"/>
      <c r="B13" s="26" t="s">
        <v>43</v>
      </c>
      <c r="C13" s="28" t="n">
        <f aca="false">Assumptions!$C$13</f>
        <v>0.005</v>
      </c>
      <c r="D13" s="28" t="n">
        <f aca="false">Assumptions!$D$13</f>
        <v>0.03</v>
      </c>
      <c r="E13" s="28" t="n">
        <f aca="false">Assumptions!$E$13</f>
        <v>0.04</v>
      </c>
      <c r="F13" s="28" t="n">
        <f aca="false">Assumptions!$F$13</f>
        <v>0.05</v>
      </c>
      <c r="G13" s="28" t="n">
        <f aca="false">Assumptions!$G$13</f>
        <v>0.03</v>
      </c>
    </row>
    <row r="14" customFormat="false" ht="15" hidden="false" customHeight="false" outlineLevel="0" collapsed="false">
      <c r="A14" s="6"/>
      <c r="B14" s="26" t="s">
        <v>44</v>
      </c>
      <c r="C14" s="28" t="n">
        <f aca="false">Assumptions!$C$14</f>
        <v>-0.02</v>
      </c>
      <c r="D14" s="28" t="n">
        <f aca="false">Assumptions!$D$14</f>
        <v>0.02</v>
      </c>
      <c r="E14" s="28" t="n">
        <f aca="false">Assumptions!$E$14</f>
        <v>0.04</v>
      </c>
      <c r="F14" s="28" t="n">
        <f aca="false">Assumptions!$F$14</f>
        <v>0.08</v>
      </c>
      <c r="G14" s="28" t="n">
        <f aca="false">Assumptions!$G$14</f>
        <v>0.02</v>
      </c>
    </row>
    <row r="15" customFormat="false" ht="15" hidden="false" customHeight="false" outlineLevel="0" collapsed="false">
      <c r="A15" s="6"/>
      <c r="B15" s="26" t="s">
        <v>45</v>
      </c>
      <c r="C15" s="28" t="n">
        <f aca="false">Assumptions!$C$15</f>
        <v>0.05</v>
      </c>
      <c r="D15" s="28" t="n">
        <f aca="false">Assumptions!$D$15</f>
        <v>0.025</v>
      </c>
      <c r="E15" s="28" t="n">
        <f aca="false">Assumptions!$E$15</f>
        <v>0.015</v>
      </c>
      <c r="F15" s="28" t="n">
        <f aca="false">Assumptions!$F$15</f>
        <v>0.04</v>
      </c>
      <c r="G15" s="28" t="n">
        <f aca="false">Assumptions!$G$15</f>
        <v>0.025</v>
      </c>
    </row>
    <row r="16" customFormat="false" ht="15" hidden="false" customHeight="false" outlineLevel="0" collapsed="false">
      <c r="A16" s="6"/>
      <c r="B16" s="26" t="s">
        <v>86</v>
      </c>
      <c r="C16" s="28" t="n">
        <f aca="false">Assumptions!$C$12+Assumptions!$C$15</f>
        <v>0.065</v>
      </c>
      <c r="D16" s="28" t="n">
        <f aca="false">Assumptions!$D$12+Assumptions!$D$15</f>
        <v>0.07</v>
      </c>
      <c r="E16" s="28" t="n">
        <f aca="false">Assumptions!$E$12+Assumptions!$E$15</f>
        <v>0.07</v>
      </c>
      <c r="F16" s="28" t="n">
        <f aca="false">Assumptions!$F$12+Assumptions!$F$15</f>
        <v>0.115</v>
      </c>
      <c r="G16" s="28" t="n">
        <f aca="false">Assumptions!$G$12+Assumptions!$G$15</f>
        <v>0.07</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6"/>
      <c r="C18" s="6"/>
      <c r="D18" s="6"/>
      <c r="E18" s="6"/>
      <c r="F18" s="6"/>
      <c r="G18" s="6"/>
    </row>
    <row r="19" customFormat="false" ht="15" hidden="false" customHeight="false" outlineLevel="0" collapsed="false">
      <c r="A19" s="6"/>
      <c r="B19" s="35" t="s">
        <v>87</v>
      </c>
      <c r="C19" s="6"/>
      <c r="D19" s="6"/>
      <c r="E19" s="6"/>
      <c r="F19" s="6"/>
      <c r="G19" s="6"/>
    </row>
    <row r="20" customFormat="false" ht="15" hidden="false" customHeight="false" outlineLevel="0" collapsed="false">
      <c r="A20" s="6"/>
      <c r="B20" s="36" t="s">
        <v>88</v>
      </c>
      <c r="C20" s="37" t="s">
        <v>30</v>
      </c>
      <c r="D20" s="37" t="s">
        <v>31</v>
      </c>
      <c r="E20" s="37" t="s">
        <v>32</v>
      </c>
      <c r="F20" s="37" t="s">
        <v>33</v>
      </c>
      <c r="G20" s="37" t="s">
        <v>34</v>
      </c>
    </row>
    <row r="21" customFormat="false" ht="15" hidden="false" customHeight="false" outlineLevel="0" collapsed="false">
      <c r="A21" s="6"/>
      <c r="B21" s="11" t="s">
        <v>89</v>
      </c>
      <c r="C21" s="12"/>
      <c r="D21" s="12"/>
      <c r="E21" s="12"/>
      <c r="F21" s="12"/>
      <c r="G21" s="12"/>
    </row>
    <row r="22" customFormat="false" ht="15" hidden="false" customHeight="false" outlineLevel="0" collapsed="false">
      <c r="A22" s="6"/>
      <c r="B22" s="26" t="s">
        <v>90</v>
      </c>
      <c r="C22" s="34" t="n">
        <f aca="false">C55</f>
        <v>168859555.123906</v>
      </c>
      <c r="D22" s="34" t="n">
        <f aca="false">D55</f>
        <v>264547914.765</v>
      </c>
      <c r="E22" s="34" t="n">
        <f aca="false">E55</f>
        <v>322303479.475</v>
      </c>
      <c r="F22" s="34" t="n">
        <f aca="false">F55</f>
        <v>270860999.832812</v>
      </c>
      <c r="G22" s="34" t="n">
        <f aca="false">CHOOSE(Scenario_Toggle,C22,D22,E22,F22)</f>
        <v>264547914.765</v>
      </c>
    </row>
    <row r="23" customFormat="false" ht="15" hidden="false" customHeight="false" outlineLevel="0" collapsed="false">
      <c r="A23" s="6"/>
      <c r="B23" s="26" t="s">
        <v>91</v>
      </c>
      <c r="C23" s="34" t="n">
        <f aca="false">C60</f>
        <v>91127163.2313953</v>
      </c>
      <c r="D23" s="34" t="n">
        <f aca="false">D60</f>
        <v>148296470.754086</v>
      </c>
      <c r="E23" s="34" t="n">
        <f aca="false">E60</f>
        <v>190336159.941435</v>
      </c>
      <c r="F23" s="34" t="n">
        <f aca="false">F60</f>
        <v>96970261.3530739</v>
      </c>
      <c r="G23" s="34" t="n">
        <f aca="false">CHOOSE(Scenario_Toggle,C23,D23,E23,F23)</f>
        <v>148296470.754086</v>
      </c>
    </row>
    <row r="24" customFormat="false" ht="15" hidden="false" customHeight="false" outlineLevel="0" collapsed="false">
      <c r="A24" s="6"/>
      <c r="B24" s="26" t="s">
        <v>92</v>
      </c>
      <c r="C24" s="28" t="n">
        <f aca="false">C60/C55</f>
        <v>0.5396624618875</v>
      </c>
      <c r="D24" s="28" t="n">
        <f aca="false">D60/D55</f>
        <v>0.5605656385</v>
      </c>
      <c r="E24" s="28" t="n">
        <f aca="false">E60/E55</f>
        <v>0.590549504</v>
      </c>
      <c r="F24" s="28" t="n">
        <f aca="false">F60/F55</f>
        <v>0.3580074703</v>
      </c>
      <c r="G24" s="28" t="n">
        <f aca="false">CHOOSE(Scenario_Toggle,C24,D24,E24,F24)</f>
        <v>0.5605656385</v>
      </c>
    </row>
    <row r="25" customFormat="false" ht="15" hidden="false" customHeight="false" outlineLevel="0" collapsed="false">
      <c r="A25" s="6"/>
      <c r="B25" s="26" t="s">
        <v>93</v>
      </c>
      <c r="C25" s="34" t="n">
        <f aca="false">C65</f>
        <v>63030854.9613953</v>
      </c>
      <c r="D25" s="34" t="n">
        <f aca="false">D65</f>
        <v>118493522.707211</v>
      </c>
      <c r="E25" s="34" t="n">
        <f aca="false">E65</f>
        <v>159947422.071435</v>
      </c>
      <c r="F25" s="34" t="n">
        <f aca="false">F65</f>
        <v>61578769.0830739</v>
      </c>
      <c r="G25" s="34" t="n">
        <f aca="false">CHOOSE(Scenario_Toggle,C25,D25,E25,F25)</f>
        <v>118493522.707211</v>
      </c>
    </row>
    <row r="26" customFormat="false" ht="15" hidden="false" customHeight="false" outlineLevel="0" collapsed="false">
      <c r="A26" s="6"/>
      <c r="B26" s="26" t="s">
        <v>94</v>
      </c>
      <c r="C26" s="28" t="n">
        <f aca="false">C65/C55</f>
        <v>0.373273842366482</v>
      </c>
      <c r="D26" s="28" t="n">
        <f aca="false">D65/D55</f>
        <v>0.447909494249726</v>
      </c>
      <c r="E26" s="28" t="n">
        <f aca="false">E65/E55</f>
        <v>0.496263404701599</v>
      </c>
      <c r="F26" s="28" t="n">
        <f aca="false">F65/F55</f>
        <v>0.227344538789575</v>
      </c>
      <c r="G26" s="28" t="n">
        <f aca="false">CHOOSE(Scenario_Toggle,C26,D26,E26,F26)</f>
        <v>0.447909494249726</v>
      </c>
    </row>
    <row r="27" customFormat="false" ht="15" hidden="false" customHeight="false" outlineLevel="0" collapsed="false">
      <c r="A27" s="6"/>
      <c r="B27" s="26" t="s">
        <v>95</v>
      </c>
      <c r="C27" s="34" t="n">
        <f aca="false">C70</f>
        <v>56697521.6280619</v>
      </c>
      <c r="D27" s="34" t="n">
        <f aca="false">D70</f>
        <v>112160189.373878</v>
      </c>
      <c r="E27" s="34" t="n">
        <f aca="false">E70</f>
        <v>153614088.738102</v>
      </c>
      <c r="F27" s="34" t="n">
        <f aca="false">F70</f>
        <v>55245435.7497405</v>
      </c>
      <c r="G27" s="34" t="n">
        <f aca="false">CHOOSE(Scenario_Toggle,C27,D27,E27,F27)</f>
        <v>112160189.373878</v>
      </c>
    </row>
    <row r="28" customFormat="false" ht="15" hidden="false" customHeight="false" outlineLevel="0" collapsed="false">
      <c r="A28" s="6"/>
      <c r="B28" s="26" t="s">
        <v>86</v>
      </c>
      <c r="C28" s="28" t="n">
        <f aca="false">C67</f>
        <v>0.065</v>
      </c>
      <c r="D28" s="28" t="n">
        <f aca="false">D67</f>
        <v>0.07</v>
      </c>
      <c r="E28" s="28" t="n">
        <f aca="false">E67</f>
        <v>0.07</v>
      </c>
      <c r="F28" s="28" t="n">
        <f aca="false">F67</f>
        <v>0.115</v>
      </c>
      <c r="G28" s="28" t="n">
        <f aca="false">CHOOSE(Scenario_Toggle,C28,D28,E28,F28)</f>
        <v>0.07</v>
      </c>
    </row>
    <row r="29" customFormat="false" ht="15" hidden="false" customHeight="false" outlineLevel="0" collapsed="false">
      <c r="A29" s="6"/>
      <c r="B29" s="26" t="s">
        <v>96</v>
      </c>
      <c r="C29" s="34" t="n">
        <f aca="false">C68</f>
        <v>1300000</v>
      </c>
      <c r="D29" s="34" t="n">
        <f aca="false">D68</f>
        <v>1400000</v>
      </c>
      <c r="E29" s="34" t="n">
        <f aca="false">E68</f>
        <v>1400000</v>
      </c>
      <c r="F29" s="34" t="n">
        <f aca="false">F68</f>
        <v>2300000</v>
      </c>
      <c r="G29" s="34" t="n">
        <f aca="false">CHOOSE(Scenario_Toggle,C29,D29,E29,F29)</f>
        <v>1400000</v>
      </c>
    </row>
    <row r="30" customFormat="false" ht="15" hidden="false" customHeight="false" outlineLevel="0" collapsed="false">
      <c r="A30" s="6"/>
      <c r="B30" s="26" t="s">
        <v>97</v>
      </c>
      <c r="C30" s="34" t="n">
        <f aca="false">C66</f>
        <v>10000000</v>
      </c>
      <c r="D30" s="34" t="n">
        <f aca="false">D66</f>
        <v>10000000</v>
      </c>
      <c r="E30" s="34" t="n">
        <f aca="false">E66</f>
        <v>10000000</v>
      </c>
      <c r="F30" s="34" t="n">
        <f aca="false">F66</f>
        <v>10000000</v>
      </c>
      <c r="G30" s="34" t="n">
        <f aca="false">CHOOSE(Scenario_Toggle,C30,D30,E30,F30)</f>
        <v>10000000</v>
      </c>
    </row>
    <row r="31" customFormat="false" ht="15" hidden="false" customHeight="false" outlineLevel="0" collapsed="false">
      <c r="A31" s="6"/>
      <c r="B31" s="26" t="s">
        <v>98</v>
      </c>
      <c r="C31" s="28" t="n">
        <f aca="false">(C55/(Assumptions!$C$25+Assumptions!$C$26))^(1/5)-1</f>
        <v>-0.0332835049291197</v>
      </c>
      <c r="D31" s="28" t="n">
        <f aca="false">(D55/(Assumptions!$C$25+Assumptions!$C$26))^(1/5)-1</f>
        <v>0.0575352916657108</v>
      </c>
      <c r="E31" s="28" t="n">
        <f aca="false">(E55/(Assumptions!$C$25+Assumptions!$C$26))^(1/5)-1</f>
        <v>0.100137578773702</v>
      </c>
      <c r="F31" s="28" t="n">
        <f aca="false">(F55/(Assumptions!$C$25+Assumptions!$C$26))^(1/5)-1</f>
        <v>0.0625351263880192</v>
      </c>
      <c r="G31" s="28" t="n">
        <f aca="false">CHOOSE(Scenario_Toggle,C31,D31,E31,F31)</f>
        <v>0.0575352916657108</v>
      </c>
    </row>
    <row r="32" customFormat="false" ht="15" hidden="false" customHeight="false" outlineLevel="0" collapsed="false">
      <c r="A32" s="6"/>
      <c r="B32" s="26" t="s">
        <v>99</v>
      </c>
      <c r="C32" s="28" t="n">
        <f aca="false">C57/C55</f>
        <v>0.276710448</v>
      </c>
      <c r="D32" s="28" t="n">
        <f aca="false">D57/D55</f>
        <v>0.27060804</v>
      </c>
      <c r="E32" s="28" t="n">
        <f aca="false">E57/E55</f>
        <v>0.2573688832</v>
      </c>
      <c r="F32" s="28" t="n">
        <f aca="false">F57/F55</f>
        <v>0.4353564672</v>
      </c>
      <c r="G32" s="28" t="n">
        <f aca="false">CHOOSE(Scenario_Toggle,C32,D32,E32,F32)</f>
        <v>0.27060804</v>
      </c>
    </row>
    <row r="33" customFormat="false" ht="15" hidden="false" customHeight="false" outlineLevel="0" collapsed="false">
      <c r="A33" s="6"/>
      <c r="B33" s="26" t="s">
        <v>100</v>
      </c>
      <c r="C33" s="28" t="n">
        <f aca="false">C58/C55</f>
        <v>0.1836270901125</v>
      </c>
      <c r="D33" s="28" t="n">
        <f aca="false">D58/D55</f>
        <v>0.1688263215</v>
      </c>
      <c r="E33" s="28" t="n">
        <f aca="false">E58/E55</f>
        <v>0.1520816128</v>
      </c>
      <c r="F33" s="28" t="n">
        <f aca="false">F58/F55</f>
        <v>0.2066360625</v>
      </c>
      <c r="G33" s="28" t="n">
        <f aca="false">CHOOSE(Scenario_Toggle,C33,D33,E33,F33)</f>
        <v>0.1688263215</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6"/>
      <c r="C35" s="6"/>
      <c r="D35" s="6"/>
      <c r="E35" s="6"/>
      <c r="F35" s="6"/>
      <c r="G35" s="6"/>
    </row>
    <row r="36" customFormat="false" ht="15" hidden="false" customHeight="false" outlineLevel="0" collapsed="false">
      <c r="A36" s="6"/>
      <c r="B36" s="6"/>
      <c r="C36" s="6"/>
      <c r="D36" s="6"/>
      <c r="E36" s="6"/>
      <c r="F36" s="6"/>
      <c r="G36" s="6"/>
    </row>
    <row r="37" customFormat="false" ht="15" hidden="false" customHeight="false" outlineLevel="0" collapsed="false">
      <c r="A37" s="6"/>
      <c r="B37" s="6"/>
      <c r="C37" s="6"/>
      <c r="D37" s="6"/>
      <c r="E37" s="6"/>
      <c r="F37" s="6"/>
      <c r="G37" s="6"/>
    </row>
    <row r="38" customFormat="false" ht="15" hidden="false" customHeight="false" outlineLevel="0" collapsed="false">
      <c r="A38" s="6"/>
      <c r="B38" s="6"/>
      <c r="C38" s="6"/>
      <c r="D38" s="6"/>
      <c r="E38" s="6"/>
      <c r="F38" s="6"/>
      <c r="G38" s="6"/>
    </row>
    <row r="39" customFormat="false" ht="15" hidden="false" customHeight="false" outlineLevel="0" collapsed="false">
      <c r="A39" s="6"/>
      <c r="B39" s="6"/>
      <c r="C39" s="6"/>
      <c r="D39" s="6"/>
      <c r="E39" s="6"/>
      <c r="F39" s="6"/>
      <c r="G39" s="6"/>
    </row>
    <row r="40" customFormat="false" ht="15" hidden="false" customHeight="false" outlineLevel="0" collapsed="false">
      <c r="A40" s="6"/>
      <c r="B40" s="6"/>
      <c r="C40" s="6"/>
      <c r="D40" s="6"/>
      <c r="E40" s="6"/>
      <c r="F40" s="6"/>
      <c r="G40" s="6"/>
    </row>
    <row r="41" customFormat="false" ht="15" hidden="false" customHeight="false" outlineLevel="0" collapsed="false">
      <c r="A41" s="6"/>
      <c r="B41" s="6"/>
      <c r="C41" s="6"/>
      <c r="D41" s="6"/>
      <c r="E41" s="6"/>
      <c r="F41" s="6"/>
      <c r="G41" s="6"/>
    </row>
    <row r="42" customFormat="false" ht="15" hidden="false" customHeight="false" outlineLevel="0" collapsed="false">
      <c r="A42" s="6"/>
      <c r="B42" s="6"/>
      <c r="C42" s="6"/>
      <c r="D42" s="6"/>
      <c r="E42" s="6"/>
      <c r="F42" s="6"/>
      <c r="G42" s="6"/>
    </row>
    <row r="43" customFormat="false" ht="15" hidden="false" customHeight="false" outlineLevel="0" collapsed="false">
      <c r="A43" s="6"/>
      <c r="B43" s="6"/>
      <c r="C43" s="6"/>
      <c r="D43" s="6"/>
      <c r="E43" s="6"/>
      <c r="F43" s="6"/>
      <c r="G43" s="6"/>
    </row>
    <row r="44" customFormat="false" ht="15" hidden="false" customHeight="false" outlineLevel="0" collapsed="false">
      <c r="A44" s="6"/>
      <c r="B44" s="6"/>
      <c r="C44" s="6"/>
      <c r="D44" s="6"/>
      <c r="E44" s="6"/>
      <c r="F44" s="6"/>
      <c r="G44" s="6"/>
    </row>
    <row r="45" customFormat="false" ht="15" hidden="false" customHeight="false" outlineLevel="0" collapsed="false">
      <c r="A45" s="6"/>
      <c r="B45" s="6"/>
      <c r="C45" s="6"/>
      <c r="D45" s="6"/>
      <c r="E45" s="6"/>
      <c r="F45" s="6"/>
      <c r="G45" s="6"/>
    </row>
    <row r="46" customFormat="false" ht="15" hidden="false" customHeight="false" outlineLevel="0" collapsed="false">
      <c r="A46" s="6"/>
      <c r="B46" s="6"/>
      <c r="C46" s="6"/>
      <c r="D46" s="6"/>
      <c r="E46" s="6"/>
      <c r="F46" s="6"/>
      <c r="G46" s="6"/>
    </row>
    <row r="47" customFormat="false" ht="15" hidden="false" customHeight="false" outlineLevel="0" collapsed="false">
      <c r="A47" s="6"/>
      <c r="B47" s="6"/>
      <c r="C47" s="6"/>
      <c r="D47" s="6"/>
      <c r="E47" s="6"/>
      <c r="F47" s="6"/>
      <c r="G47" s="6"/>
    </row>
    <row r="48" customFormat="false" ht="15" hidden="false" customHeight="false" outlineLevel="0" collapsed="false">
      <c r="A48" s="6"/>
      <c r="B48" s="6"/>
      <c r="C48" s="6"/>
      <c r="D48" s="6"/>
      <c r="E48" s="6"/>
      <c r="F48" s="6"/>
      <c r="G48" s="6"/>
    </row>
    <row r="49" customFormat="false" ht="15" hidden="false" customHeight="false" outlineLevel="0" collapsed="false">
      <c r="A49" s="6"/>
      <c r="B49" s="6"/>
      <c r="C49" s="6"/>
      <c r="D49" s="6"/>
      <c r="E49" s="6"/>
      <c r="F49" s="6"/>
      <c r="G49" s="6"/>
    </row>
    <row r="50" customFormat="false" ht="15" hidden="false" customHeight="false" outlineLevel="0" collapsed="false">
      <c r="A50" s="6"/>
      <c r="B50" s="6"/>
      <c r="C50" s="6"/>
      <c r="D50" s="6"/>
      <c r="E50" s="6"/>
      <c r="F50" s="6"/>
      <c r="G50" s="6"/>
    </row>
    <row r="51" customFormat="false" ht="15" hidden="false" customHeight="false" outlineLevel="0" collapsed="false">
      <c r="A51" s="6"/>
      <c r="B51" s="38" t="s">
        <v>101</v>
      </c>
      <c r="C51" s="28" t="n">
        <f aca="false">Assumptions!$C$8+Assumptions!$C$9+Assumptions!$C$16</f>
        <v>-0.025</v>
      </c>
      <c r="D51" s="28" t="n">
        <f aca="false">Assumptions!$D$8+Assumptions!$D$9+Assumptions!$D$16</f>
        <v>0.06</v>
      </c>
      <c r="E51" s="28" t="n">
        <f aca="false">Assumptions!$E$8+Assumptions!$E$9+Assumptions!$E$16</f>
        <v>0.095</v>
      </c>
      <c r="F51" s="28" t="n">
        <f aca="false">Assumptions!$F$8+Assumptions!$F$9+Assumptions!$F$16</f>
        <v>0.065</v>
      </c>
      <c r="G51" s="28" t="n">
        <f aca="false">Assumptions!$G$8+Assumptions!$G$9+Assumptions!$G$16</f>
        <v>0.06</v>
      </c>
    </row>
    <row r="52" customFormat="false" ht="15" hidden="false" customHeight="false" outlineLevel="0" collapsed="false">
      <c r="A52" s="6"/>
      <c r="B52" s="38" t="s">
        <v>102</v>
      </c>
      <c r="C52" s="28" t="n">
        <f aca="false">Assumptions!$C$10+Assumptions!$C$9-Assumptions!$C$11+Assumptions!$C$17</f>
        <v>-0.06</v>
      </c>
      <c r="D52" s="28" t="n">
        <f aca="false">Assumptions!$D$10+Assumptions!$D$9-Assumptions!$D$11+Assumptions!$D$17</f>
        <v>0.05</v>
      </c>
      <c r="E52" s="28" t="n">
        <f aca="false">Assumptions!$E$10+Assumptions!$E$9-Assumptions!$E$11+Assumptions!$E$17</f>
        <v>0.115</v>
      </c>
      <c r="F52" s="28" t="n">
        <f aca="false">Assumptions!$F$10+Assumptions!$F$9-Assumptions!$F$11+Assumptions!$F$17</f>
        <v>0.055</v>
      </c>
      <c r="G52" s="28" t="n">
        <f aca="false">Assumptions!$G$10+Assumptions!$G$9-Assumptions!$G$11+Assumptions!$G$17</f>
        <v>0.05</v>
      </c>
    </row>
    <row r="53" customFormat="false" ht="15" hidden="false" customHeight="false" outlineLevel="0" collapsed="false">
      <c r="A53" s="6"/>
      <c r="B53" s="38" t="s">
        <v>103</v>
      </c>
      <c r="C53" s="34" t="n">
        <f aca="false">Assumptions!$C$25*(1+C51)^5</f>
        <v>132164354.003906</v>
      </c>
      <c r="D53" s="34" t="n">
        <f aca="false">Assumptions!$C$25*(1+D51)^5</f>
        <v>200733836.64</v>
      </c>
      <c r="E53" s="34" t="n">
        <f aca="false">Assumptions!$C$25*(1+E51)^5</f>
        <v>236135811.140156</v>
      </c>
      <c r="F53" s="34" t="n">
        <f aca="false">Assumptions!$C$25*(1+F51)^5</f>
        <v>205512999.512344</v>
      </c>
      <c r="G53" s="34" t="n">
        <f aca="false">Assumptions!$C$25*(1+G51)^5</f>
        <v>200733836.64</v>
      </c>
    </row>
    <row r="54" customFormat="false" ht="15" hidden="false" customHeight="false" outlineLevel="0" collapsed="false">
      <c r="A54" s="6"/>
      <c r="B54" s="38" t="s">
        <v>104</v>
      </c>
      <c r="C54" s="34" t="n">
        <f aca="false">Assumptions!$C$26*(1+C52)^5</f>
        <v>36695201.12</v>
      </c>
      <c r="D54" s="34" t="n">
        <f aca="false">Assumptions!$C$26*(1+D52)^5</f>
        <v>63814078.125</v>
      </c>
      <c r="E54" s="34" t="n">
        <f aca="false">Assumptions!$C$26*(1+E52)^5</f>
        <v>86167668.3348438</v>
      </c>
      <c r="F54" s="34" t="n">
        <f aca="false">Assumptions!$C$26*(1+F52)^5</f>
        <v>65348000.3204687</v>
      </c>
      <c r="G54" s="34" t="n">
        <f aca="false">Assumptions!$C$26*(1+G52)^5</f>
        <v>63814078.125</v>
      </c>
    </row>
    <row r="55" customFormat="false" ht="15" hidden="false" customHeight="false" outlineLevel="0" collapsed="false">
      <c r="A55" s="6"/>
      <c r="B55" s="38" t="s">
        <v>105</v>
      </c>
      <c r="C55" s="34" t="n">
        <f aca="false">C53+C54</f>
        <v>168859555.123906</v>
      </c>
      <c r="D55" s="34" t="n">
        <f aca="false">D53+D54</f>
        <v>264547914.765</v>
      </c>
      <c r="E55" s="34" t="n">
        <f aca="false">E53+E54</f>
        <v>322303479.475</v>
      </c>
      <c r="F55" s="34" t="n">
        <f aca="false">F53+F54</f>
        <v>270860999.832812</v>
      </c>
      <c r="G55" s="34" t="n">
        <f aca="false">G53+G54</f>
        <v>264547914.765</v>
      </c>
    </row>
    <row r="56" customFormat="false" ht="15" hidden="false" customHeight="false" outlineLevel="0" collapsed="false">
      <c r="A56" s="6"/>
      <c r="B56" s="6"/>
      <c r="C56" s="6"/>
      <c r="D56" s="6"/>
      <c r="E56" s="6"/>
      <c r="F56" s="6"/>
      <c r="G56" s="6"/>
    </row>
    <row r="57" customFormat="false" ht="15" hidden="false" customHeight="false" outlineLevel="0" collapsed="false">
      <c r="A57" s="6"/>
      <c r="B57" s="38" t="s">
        <v>106</v>
      </c>
      <c r="C57" s="34" t="n">
        <f aca="false">C55*Assumptions!$C$21*(1+Assumptions!$C$14)^4</f>
        <v>46725203.1474168</v>
      </c>
      <c r="D57" s="34" t="n">
        <f aca="false">D55*Assumptions!$D$21*(1+Assumptions!$D$14)^4</f>
        <v>71588792.7006437</v>
      </c>
      <c r="E57" s="34" t="n">
        <f aca="false">E55*Assumptions!$E$21*(1+Assumptions!$E$14)^4</f>
        <v>82950886.5639549</v>
      </c>
      <c r="F57" s="34" t="n">
        <f aca="false">F55*Assumptions!$F$21*(1+Assumptions!$F$14)^4</f>
        <v>117921087.989473</v>
      </c>
      <c r="G57" s="34" t="n">
        <f aca="false">G55*Assumptions!$G$21*(1+Assumptions!$G$14)^4</f>
        <v>71588792.7006437</v>
      </c>
    </row>
    <row r="58" customFormat="false" ht="15" hidden="false" customHeight="false" outlineLevel="0" collapsed="false">
      <c r="A58" s="6"/>
      <c r="B58" s="38" t="s">
        <v>107</v>
      </c>
      <c r="C58" s="34" t="n">
        <f aca="false">C55*Assumptions!$C$22*(1+Assumptions!$C$13)^4</f>
        <v>31007188.7450942</v>
      </c>
      <c r="D58" s="34" t="n">
        <f aca="false">D55*Assumptions!$D$22*(1+Assumptions!$D$13)^4</f>
        <v>44662651.3102705</v>
      </c>
      <c r="E58" s="34" t="n">
        <f aca="false">E55*Assumptions!$E$22*(1+Assumptions!$E$13)^4</f>
        <v>49016432.9696097</v>
      </c>
      <c r="F58" s="34" t="n">
        <f aca="false">F55*Assumptions!$F$22*(1+Assumptions!$F$13)^4</f>
        <v>55969650.4902655</v>
      </c>
      <c r="G58" s="34" t="n">
        <f aca="false">G55*Assumptions!$G$22*(1+Assumptions!$G$13)^4</f>
        <v>44662651.3102705</v>
      </c>
    </row>
    <row r="59" customFormat="false" ht="15" hidden="false" customHeight="false" outlineLevel="0" collapsed="false">
      <c r="A59" s="6"/>
      <c r="B59" s="38" t="s">
        <v>108</v>
      </c>
      <c r="C59" s="34" t="n">
        <f aca="false">C57+C58</f>
        <v>77732391.892511</v>
      </c>
      <c r="D59" s="34" t="n">
        <f aca="false">D57+D58</f>
        <v>116251444.010914</v>
      </c>
      <c r="E59" s="34" t="n">
        <f aca="false">E57+E58</f>
        <v>131967319.533565</v>
      </c>
      <c r="F59" s="34" t="n">
        <f aca="false">F57+F58</f>
        <v>173890738.479739</v>
      </c>
      <c r="G59" s="34" t="n">
        <f aca="false">G57+G58</f>
        <v>116251444.010914</v>
      </c>
    </row>
    <row r="60" customFormat="false" ht="15" hidden="false" customHeight="false" outlineLevel="0" collapsed="false">
      <c r="A60" s="6"/>
      <c r="B60" s="38" t="s">
        <v>109</v>
      </c>
      <c r="C60" s="34" t="n">
        <f aca="false">C55-C59</f>
        <v>91127163.2313953</v>
      </c>
      <c r="D60" s="34" t="n">
        <f aca="false">D55-D59</f>
        <v>148296470.754086</v>
      </c>
      <c r="E60" s="34" t="n">
        <f aca="false">E55-E59</f>
        <v>190336159.941435</v>
      </c>
      <c r="F60" s="34" t="n">
        <f aca="false">F55-F59</f>
        <v>96970261.3530739</v>
      </c>
      <c r="G60" s="34" t="n">
        <f aca="false">G55-G59</f>
        <v>148296470.754086</v>
      </c>
    </row>
    <row r="61" customFormat="false" ht="15" hidden="false" customHeight="false" outlineLevel="0" collapsed="false">
      <c r="A61" s="6"/>
      <c r="B61" s="38" t="s">
        <v>110</v>
      </c>
      <c r="C61" s="34" t="n">
        <f aca="false">Assumptions!$C$38*(1+Assumptions!$C$9)^4</f>
        <v>18730872.18</v>
      </c>
      <c r="D61" s="34" t="n">
        <f aca="false">Assumptions!$C$38*(1+Assumptions!$D$9)^4</f>
        <v>19868632.03125</v>
      </c>
      <c r="E61" s="34" t="n">
        <f aca="false">Assumptions!$C$38*(1+Assumptions!$E$9)^4</f>
        <v>20259158.58</v>
      </c>
      <c r="F61" s="34" t="n">
        <f aca="false">Assumptions!$C$38*(1+Assumptions!$F$9)^4</f>
        <v>23594328.18</v>
      </c>
      <c r="G61" s="34" t="n">
        <f aca="false">Assumptions!$C$38*(1+Assumptions!$G$9)^4</f>
        <v>19868632.03125</v>
      </c>
    </row>
    <row r="62" customFormat="false" ht="15" hidden="false" customHeight="false" outlineLevel="0" collapsed="false">
      <c r="A62" s="6"/>
      <c r="B62" s="38" t="s">
        <v>111</v>
      </c>
      <c r="C62" s="34" t="n">
        <f aca="false">Assumptions!$C$39*(1+Assumptions!$C$9)^4</f>
        <v>5203020.05</v>
      </c>
      <c r="D62" s="34" t="n">
        <f aca="false">Assumptions!$C$39*(1+Assumptions!$D$9)^4</f>
        <v>5519064.453125</v>
      </c>
      <c r="E62" s="34" t="n">
        <f aca="false">Assumptions!$C$39*(1+Assumptions!$E$9)^4</f>
        <v>5627544.05</v>
      </c>
      <c r="F62" s="34" t="n">
        <f aca="false">Assumptions!$C$39*(1+Assumptions!$F$9)^4</f>
        <v>6553980.05</v>
      </c>
      <c r="G62" s="34" t="n">
        <f aca="false">Assumptions!$C$39*(1+Assumptions!$G$9)^4</f>
        <v>5519064.453125</v>
      </c>
    </row>
    <row r="63" customFormat="false" ht="15" hidden="false" customHeight="false" outlineLevel="0" collapsed="false">
      <c r="A63" s="6"/>
      <c r="B63" s="38" t="s">
        <v>112</v>
      </c>
      <c r="C63" s="34" t="n">
        <f aca="false">Assumptions!$C$40*(1+Assumptions!$C$9)^4</f>
        <v>4162416.04</v>
      </c>
      <c r="D63" s="34" t="n">
        <f aca="false">Assumptions!$C$40*(1+Assumptions!$D$9)^4</f>
        <v>4415251.5625</v>
      </c>
      <c r="E63" s="34" t="n">
        <f aca="false">Assumptions!$C$40*(1+Assumptions!$E$9)^4</f>
        <v>4502035.24</v>
      </c>
      <c r="F63" s="34" t="n">
        <f aca="false">Assumptions!$C$40*(1+Assumptions!$F$9)^4</f>
        <v>5243184.04</v>
      </c>
      <c r="G63" s="34" t="n">
        <f aca="false">Assumptions!$C$40*(1+Assumptions!$G$9)^4</f>
        <v>4415251.5625</v>
      </c>
    </row>
    <row r="64" customFormat="false" ht="15" hidden="false" customHeight="false" outlineLevel="0" collapsed="false">
      <c r="A64" s="6"/>
      <c r="B64" s="38" t="s">
        <v>113</v>
      </c>
      <c r="C64" s="34" t="n">
        <f aca="false">C61+C62+C63</f>
        <v>28096308.27</v>
      </c>
      <c r="D64" s="34" t="n">
        <f aca="false">D61+D62+D63</f>
        <v>29802948.046875</v>
      </c>
      <c r="E64" s="34" t="n">
        <f aca="false">E61+E62+E63</f>
        <v>30388737.87</v>
      </c>
      <c r="F64" s="34" t="n">
        <f aca="false">F61+F62+F63</f>
        <v>35391492.27</v>
      </c>
      <c r="G64" s="34" t="n">
        <f aca="false">G61+G62+G63</f>
        <v>29802948.046875</v>
      </c>
    </row>
    <row r="65" customFormat="false" ht="15" hidden="false" customHeight="false" outlineLevel="0" collapsed="false">
      <c r="A65" s="6"/>
      <c r="B65" s="38" t="s">
        <v>114</v>
      </c>
      <c r="C65" s="34" t="n">
        <f aca="false">C60-C64</f>
        <v>63030854.9613953</v>
      </c>
      <c r="D65" s="34" t="n">
        <f aca="false">D60-D64</f>
        <v>118493522.707211</v>
      </c>
      <c r="E65" s="34" t="n">
        <f aca="false">E60-E64</f>
        <v>159947422.071435</v>
      </c>
      <c r="F65" s="34" t="n">
        <f aca="false">F60-F64</f>
        <v>61578769.0830739</v>
      </c>
      <c r="G65" s="34" t="n">
        <f aca="false">G60-G64</f>
        <v>118493522.707211</v>
      </c>
    </row>
    <row r="66" customFormat="false" ht="15" hidden="false" customHeight="false" outlineLevel="0" collapsed="false">
      <c r="A66" s="6"/>
      <c r="B66" s="38" t="s">
        <v>115</v>
      </c>
      <c r="C66" s="34" t="n">
        <f aca="false">MAX(0,Assumptions!$C$31-5*Assumptions!$C$32)</f>
        <v>10000000</v>
      </c>
      <c r="D66" s="34" t="n">
        <f aca="false">MAX(0,Assumptions!$C$31-5*Assumptions!$C$32)</f>
        <v>10000000</v>
      </c>
      <c r="E66" s="34" t="n">
        <f aca="false">MAX(0,Assumptions!$C$31-5*Assumptions!$C$32)</f>
        <v>10000000</v>
      </c>
      <c r="F66" s="34" t="n">
        <f aca="false">MAX(0,Assumptions!$C$31-5*Assumptions!$C$32)</f>
        <v>10000000</v>
      </c>
      <c r="G66" s="34" t="n">
        <f aca="false">MAX(0,Assumptions!$C$31-5*Assumptions!$C$32)</f>
        <v>10000000</v>
      </c>
    </row>
    <row r="67" customFormat="false" ht="15" hidden="false" customHeight="false" outlineLevel="0" collapsed="false">
      <c r="A67" s="6"/>
      <c r="B67" s="38" t="s">
        <v>116</v>
      </c>
      <c r="C67" s="28" t="n">
        <f aca="false">Assumptions!$C$12+Assumptions!$C$15</f>
        <v>0.065</v>
      </c>
      <c r="D67" s="28" t="n">
        <f aca="false">Assumptions!$D$12+Assumptions!$D$15</f>
        <v>0.07</v>
      </c>
      <c r="E67" s="28" t="n">
        <f aca="false">Assumptions!$E$12+Assumptions!$E$15</f>
        <v>0.07</v>
      </c>
      <c r="F67" s="28" t="n">
        <f aca="false">Assumptions!$F$12+Assumptions!$F$15</f>
        <v>0.115</v>
      </c>
      <c r="G67" s="28" t="n">
        <f aca="false">Assumptions!$G$12+Assumptions!$G$15</f>
        <v>0.07</v>
      </c>
    </row>
    <row r="68" customFormat="false" ht="15" hidden="false" customHeight="false" outlineLevel="0" collapsed="false">
      <c r="A68" s="6"/>
      <c r="B68" s="38" t="s">
        <v>117</v>
      </c>
      <c r="C68" s="34" t="n">
        <f aca="false">(Assumptions!$C$31-4*Assumptions!$C$32)*C67</f>
        <v>1300000</v>
      </c>
      <c r="D68" s="34" t="n">
        <f aca="false">(Assumptions!$C$31-4*Assumptions!$C$32)*D67</f>
        <v>1400000</v>
      </c>
      <c r="E68" s="34" t="n">
        <f aca="false">(Assumptions!$C$31-4*Assumptions!$C$32)*E67</f>
        <v>1400000</v>
      </c>
      <c r="F68" s="34" t="n">
        <f aca="false">(Assumptions!$C$31-4*Assumptions!$C$32)*F67</f>
        <v>2300000</v>
      </c>
      <c r="G68" s="34" t="n">
        <f aca="false">(Assumptions!$C$31-4*Assumptions!$C$32)*G67</f>
        <v>1400000</v>
      </c>
    </row>
    <row r="69" customFormat="false" ht="15" hidden="false" customHeight="false" outlineLevel="0" collapsed="false">
      <c r="A69" s="6"/>
      <c r="B69" s="38" t="s">
        <v>118</v>
      </c>
      <c r="C69" s="34" t="n">
        <f aca="false">Assumptions!$C$28/Assumptions!$C$42+5*Assumptions!$C$41/Assumptions!$C$43</f>
        <v>6333333.33333333</v>
      </c>
      <c r="D69" s="34" t="n">
        <f aca="false">Assumptions!$C$28/Assumptions!$C$42+5*Assumptions!$C$41/Assumptions!$C$43</f>
        <v>6333333.33333333</v>
      </c>
      <c r="E69" s="34" t="n">
        <f aca="false">Assumptions!$C$28/Assumptions!$C$42+5*Assumptions!$C$41/Assumptions!$C$43</f>
        <v>6333333.33333333</v>
      </c>
      <c r="F69" s="34" t="n">
        <f aca="false">Assumptions!$C$28/Assumptions!$C$42+5*Assumptions!$C$41/Assumptions!$C$43</f>
        <v>6333333.33333333</v>
      </c>
      <c r="G69" s="34" t="n">
        <f aca="false">Assumptions!$C$28/Assumptions!$C$42+5*Assumptions!$C$41/Assumptions!$C$43</f>
        <v>6333333.33333333</v>
      </c>
    </row>
    <row r="70" customFormat="false" ht="15" hidden="false" customHeight="false" outlineLevel="0" collapsed="false">
      <c r="A70" s="6"/>
      <c r="B70" s="38" t="s">
        <v>119</v>
      </c>
      <c r="C70" s="34" t="n">
        <f aca="false">C65-C69</f>
        <v>56697521.6280619</v>
      </c>
      <c r="D70" s="34" t="n">
        <f aca="false">D65-D69</f>
        <v>112160189.373878</v>
      </c>
      <c r="E70" s="34" t="n">
        <f aca="false">E65-E69</f>
        <v>153614088.738102</v>
      </c>
      <c r="F70" s="34" t="n">
        <f aca="false">F65-F69</f>
        <v>55245435.7497405</v>
      </c>
      <c r="G70" s="34" t="n">
        <f aca="false">G65-G69</f>
        <v>112160189.373878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8" t="s">
        <v>120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9" t="s">
        <v>121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0"/>
      <c r="C5" s="39" t="n">
        <f aca="false">Model_Start_Year+0</f>
        <v>2025</v>
      </c>
      <c r="D5" s="39" t="n">
        <f aca="false">Model_Start_Year+1</f>
        <v>2026</v>
      </c>
      <c r="E5" s="39" t="n">
        <f aca="false">Model_Start_Year+2</f>
        <v>2027</v>
      </c>
      <c r="F5" s="39" t="n">
        <f aca="false">Model_Start_Year+3</f>
        <v>2028</v>
      </c>
      <c r="G5" s="39" t="n">
        <f aca="false">Model_Start_Year+4</f>
        <v>2029</v>
      </c>
    </row>
    <row r="6" customFormat="false" ht="15" hidden="false" customHeight="false" outlineLevel="0" collapsed="false">
      <c r="A6" s="6"/>
      <c r="B6" s="38" t="s">
        <v>122</v>
      </c>
      <c r="C6" s="40" t="n">
        <v>1</v>
      </c>
      <c r="D6" s="40" t="n">
        <v>2</v>
      </c>
      <c r="E6" s="40" t="n">
        <v>3</v>
      </c>
      <c r="F6" s="40" t="n">
        <v>4</v>
      </c>
      <c r="G6" s="40" t="n">
        <v>5</v>
      </c>
    </row>
    <row r="7" customFormat="false" ht="15" hidden="false" customHeight="false" outlineLevel="0" collapsed="false">
      <c r="A7" s="6"/>
      <c r="B7" s="6"/>
      <c r="C7" s="6"/>
      <c r="D7" s="6"/>
      <c r="E7" s="6"/>
      <c r="F7" s="6"/>
      <c r="G7" s="6"/>
    </row>
    <row r="8" customFormat="false" ht="15" hidden="false" customHeight="false" outlineLevel="0" collapsed="false">
      <c r="A8" s="6"/>
      <c r="B8" s="24" t="s">
        <v>123</v>
      </c>
      <c r="C8" s="25"/>
      <c r="D8" s="25"/>
      <c r="E8" s="25"/>
      <c r="F8" s="25"/>
      <c r="G8" s="25"/>
    </row>
    <row r="9" customFormat="false" ht="15" hidden="false" customHeight="false" outlineLevel="0" collapsed="false">
      <c r="A9" s="6"/>
      <c r="B9" s="6"/>
      <c r="C9" s="6"/>
      <c r="D9" s="6"/>
      <c r="E9" s="6"/>
      <c r="F9" s="6"/>
      <c r="G9" s="6"/>
    </row>
    <row r="10" customFormat="false" ht="15" hidden="false" customHeight="false" outlineLevel="0" collapsed="false">
      <c r="A10" s="6"/>
      <c r="B10" s="41" t="s">
        <v>124</v>
      </c>
      <c r="C10" s="34" t="n">
        <f aca="false">Dom_Rev_Base*(1+GDP_Growth+CPI_Inflation+Dom_Alpha)</f>
        <v>159000000</v>
      </c>
      <c r="D10" s="34" t="n">
        <f aca="false">C10*(1+GDP_Growth+CPI_Inflation+Dom_Alpha)</f>
        <v>168540000</v>
      </c>
      <c r="E10" s="34" t="n">
        <f aca="false">D10*(1+GDP_Growth+CPI_Inflation+Dom_Alpha)</f>
        <v>178652400</v>
      </c>
      <c r="F10" s="34" t="n">
        <f aca="false">E10*(1+GDP_Growth+CPI_Inflation+Dom_Alpha)</f>
        <v>189371544</v>
      </c>
      <c r="G10" s="34" t="n">
        <f aca="false">F10*(1+GDP_Growth+CPI_Inflation+Dom_Alpha)</f>
        <v>200733836.64</v>
      </c>
    </row>
    <row r="11" customFormat="false" ht="15" hidden="false" customHeight="false" outlineLevel="0" collapsed="false">
      <c r="A11" s="6"/>
      <c r="B11" s="41" t="s">
        <v>125</v>
      </c>
      <c r="C11" s="34" t="n">
        <f aca="false">Export_Rev_Base*(1+ForeignGDP_Growth+CPI_Inflation-FX_Change+Export_Alpha)</f>
        <v>52500000</v>
      </c>
      <c r="D11" s="34" t="n">
        <f aca="false">C11*(1+ForeignGDP_Growth+CPI_Inflation-FX_Change+Export_Alpha)</f>
        <v>55125000</v>
      </c>
      <c r="E11" s="34" t="n">
        <f aca="false">D11*(1+ForeignGDP_Growth+CPI_Inflation-FX_Change+Export_Alpha)</f>
        <v>57881250</v>
      </c>
      <c r="F11" s="34" t="n">
        <f aca="false">E11*(1+ForeignGDP_Growth+CPI_Inflation-FX_Change+Export_Alpha)</f>
        <v>60775312.5</v>
      </c>
      <c r="G11" s="34" t="n">
        <f aca="false">F11*(1+ForeignGDP_Growth+CPI_Inflation-FX_Change+Export_Alpha)</f>
        <v>63814078.125</v>
      </c>
    </row>
    <row r="12" customFormat="false" ht="15" hidden="false" customHeight="false" outlineLevel="0" collapsed="false">
      <c r="A12" s="6"/>
      <c r="B12" s="7" t="s">
        <v>126</v>
      </c>
      <c r="C12" s="42" t="n">
        <f aca="false">C10+C11</f>
        <v>211500000</v>
      </c>
      <c r="D12" s="42" t="n">
        <f aca="false">D10+D11</f>
        <v>223665000</v>
      </c>
      <c r="E12" s="42" t="n">
        <f aca="false">E10+E11</f>
        <v>236533650</v>
      </c>
      <c r="F12" s="42" t="n">
        <f aca="false">F10+F11</f>
        <v>250146856.5</v>
      </c>
      <c r="G12" s="42" t="n">
        <f aca="false">G10+G11</f>
        <v>264547914.765</v>
      </c>
    </row>
    <row r="13" customFormat="false" ht="15" hidden="false" customHeight="false" outlineLevel="0" collapsed="false">
      <c r="A13" s="6"/>
      <c r="B13" s="24" t="s">
        <v>127</v>
      </c>
      <c r="C13" s="25"/>
      <c r="D13" s="25"/>
      <c r="E13" s="25"/>
      <c r="F13" s="25"/>
      <c r="G13" s="25"/>
    </row>
    <row r="14" customFormat="false" ht="15" hidden="false" customHeight="false" outlineLevel="0" collapsed="false">
      <c r="A14" s="6"/>
      <c r="B14" s="6"/>
      <c r="C14" s="6"/>
      <c r="D14" s="6"/>
      <c r="E14" s="6"/>
      <c r="F14" s="6"/>
      <c r="G14" s="6"/>
    </row>
    <row r="15" customFormat="false" ht="15" hidden="false" customHeight="false" outlineLevel="0" collapsed="false">
      <c r="A15" s="6"/>
      <c r="B15" s="41" t="s">
        <v>128</v>
      </c>
      <c r="C15" s="34" t="n">
        <f aca="false">-C12*Materials_Pct*(1+Commodity_Inflation)^(C6-1)</f>
        <v>-52875000</v>
      </c>
      <c r="D15" s="34" t="n">
        <f aca="false">-D12*Materials_Pct*(1+Commodity_Inflation)^(D6-1)</f>
        <v>-57034575</v>
      </c>
      <c r="E15" s="34" t="n">
        <f aca="false">-E12*Materials_Pct*(1+Commodity_Inflation)^(E6-1)</f>
        <v>-61522402.365</v>
      </c>
      <c r="F15" s="34" t="n">
        <f aca="false">-F12*Materials_Pct*(1+Commodity_Inflation)^(F6-1)</f>
        <v>-66364461.323163</v>
      </c>
      <c r="G15" s="34" t="n">
        <f aca="false">-G12*Materials_Pct*(1+Commodity_Inflation)^(G6-1)</f>
        <v>-71588792.7006436</v>
      </c>
    </row>
    <row r="16" customFormat="false" ht="15" hidden="false" customHeight="false" outlineLevel="0" collapsed="false">
      <c r="A16" s="6"/>
      <c r="B16" s="41" t="s">
        <v>129</v>
      </c>
      <c r="C16" s="34" t="n">
        <f aca="false">-C12*Labour_Pct*(1+Wage_Inflation)^(C6-1)</f>
        <v>-31725000</v>
      </c>
      <c r="D16" s="34" t="n">
        <f aca="false">-D12*Labour_Pct*(1+Wage_Inflation)^(D6-1)</f>
        <v>-34556242.5</v>
      </c>
      <c r="E16" s="34" t="n">
        <f aca="false">-E12*Labour_Pct*(1+Wage_Inflation)^(E6-1)</f>
        <v>-37640782.39275</v>
      </c>
      <c r="F16" s="34" t="n">
        <f aca="false">-F12*Labour_Pct*(1+Wage_Inflation)^(F6-1)</f>
        <v>-41001333.6094013</v>
      </c>
      <c r="G16" s="34" t="n">
        <f aca="false">-G12*Labour_Pct*(1+Wage_Inflation)^(G6-1)</f>
        <v>-44662651.3102705</v>
      </c>
    </row>
    <row r="17" customFormat="false" ht="15" hidden="false" customHeight="false" outlineLevel="0" collapsed="false">
      <c r="A17" s="6"/>
      <c r="B17" s="7" t="s">
        <v>130</v>
      </c>
      <c r="C17" s="43" t="n">
        <f aca="false">C15+C16</f>
        <v>-84600000</v>
      </c>
      <c r="D17" s="43" t="n">
        <f aca="false">D15+D16</f>
        <v>-91590817.5</v>
      </c>
      <c r="E17" s="43" t="n">
        <f aca="false">E15+E16</f>
        <v>-99163184.7577499</v>
      </c>
      <c r="F17" s="43" t="n">
        <f aca="false">F15+F16</f>
        <v>-107365794.932564</v>
      </c>
      <c r="G17" s="43" t="n">
        <f aca="false">G15+G16</f>
        <v>-116251444.010914</v>
      </c>
    </row>
    <row r="18" customFormat="false" ht="15" hidden="false" customHeight="false" outlineLevel="0" collapsed="false">
      <c r="A18" s="6"/>
      <c r="B18" s="7" t="s">
        <v>131</v>
      </c>
      <c r="C18" s="42" t="n">
        <f aca="false">C12+C17</f>
        <v>126900000</v>
      </c>
      <c r="D18" s="42" t="n">
        <f aca="false">D12+D17</f>
        <v>132074182.5</v>
      </c>
      <c r="E18" s="42" t="n">
        <f aca="false">E12+E17</f>
        <v>137370465.24225</v>
      </c>
      <c r="F18" s="42" t="n">
        <f aca="false">F12+F17</f>
        <v>142781061.567436</v>
      </c>
      <c r="G18" s="42" t="n">
        <f aca="false">G12+G17</f>
        <v>148296470.754086</v>
      </c>
    </row>
    <row r="19" customFormat="false" ht="15" hidden="false" customHeight="false" outlineLevel="0" collapsed="false">
      <c r="A19" s="6"/>
      <c r="B19" s="26" t="s">
        <v>132</v>
      </c>
      <c r="C19" s="28" t="n">
        <f aca="false">C18/C12</f>
        <v>0.6</v>
      </c>
      <c r="D19" s="28" t="n">
        <f aca="false">D18/D12</f>
        <v>0.5905</v>
      </c>
      <c r="E19" s="28" t="n">
        <f aca="false">E18/E12</f>
        <v>0.580765</v>
      </c>
      <c r="F19" s="28" t="n">
        <f aca="false">F18/F12</f>
        <v>0.57078895</v>
      </c>
      <c r="G19" s="28" t="n">
        <f aca="false">G18/G12</f>
        <v>0.5605656385</v>
      </c>
    </row>
    <row r="20" customFormat="false" ht="15" hidden="false" customHeight="false" outlineLevel="0" collapsed="false">
      <c r="A20" s="6"/>
      <c r="B20" s="24" t="s">
        <v>133</v>
      </c>
      <c r="C20" s="25"/>
      <c r="D20" s="25"/>
      <c r="E20" s="25"/>
      <c r="F20" s="25"/>
      <c r="G20" s="25"/>
    </row>
    <row r="21" customFormat="false" ht="15" hidden="false" customHeight="false" outlineLevel="0" collapsed="false">
      <c r="A21" s="6"/>
      <c r="B21" s="6"/>
      <c r="C21" s="6"/>
      <c r="D21" s="6"/>
      <c r="E21" s="6"/>
      <c r="F21" s="6"/>
      <c r="G21" s="6"/>
    </row>
    <row r="22" customFormat="false" ht="15" hidden="false" customHeight="false" outlineLevel="0" collapsed="false">
      <c r="A22" s="6"/>
      <c r="B22" s="41" t="s">
        <v>134</v>
      </c>
      <c r="C22" s="34" t="n">
        <f aca="false">-SGA_Base*(1+CPI_Inflation)^(C6-1)</f>
        <v>-18000000</v>
      </c>
      <c r="D22" s="34" t="n">
        <f aca="false">-SGA_Base*(1+CPI_Inflation)^(D6-1)</f>
        <v>-18450000</v>
      </c>
      <c r="E22" s="34" t="n">
        <f aca="false">-SGA_Base*(1+CPI_Inflation)^(E6-1)</f>
        <v>-18911250</v>
      </c>
      <c r="F22" s="34" t="n">
        <f aca="false">-SGA_Base*(1+CPI_Inflation)^(F6-1)</f>
        <v>-19384031.25</v>
      </c>
      <c r="G22" s="34" t="n">
        <f aca="false">-SGA_Base*(1+CPI_Inflation)^(G6-1)</f>
        <v>-19868632.03125</v>
      </c>
    </row>
    <row r="23" customFormat="false" ht="15" hidden="false" customHeight="false" outlineLevel="0" collapsed="false">
      <c r="A23" s="6"/>
      <c r="B23" s="41" t="s">
        <v>135</v>
      </c>
      <c r="C23" s="34" t="n">
        <f aca="false">-RD_Base*(1+CPI_Inflation)^(C6-1)</f>
        <v>-5000000</v>
      </c>
      <c r="D23" s="34" t="n">
        <f aca="false">-RD_Base*(1+CPI_Inflation)^(D6-1)</f>
        <v>-5125000</v>
      </c>
      <c r="E23" s="34" t="n">
        <f aca="false">-RD_Base*(1+CPI_Inflation)^(E6-1)</f>
        <v>-5253125</v>
      </c>
      <c r="F23" s="34" t="n">
        <f aca="false">-RD_Base*(1+CPI_Inflation)^(F6-1)</f>
        <v>-5384453.125</v>
      </c>
      <c r="G23" s="34" t="n">
        <f aca="false">-RD_Base*(1+CPI_Inflation)^(G6-1)</f>
        <v>-5519064.453125</v>
      </c>
    </row>
    <row r="24" customFormat="false" ht="15" hidden="false" customHeight="false" outlineLevel="0" collapsed="false">
      <c r="A24" s="6"/>
      <c r="B24" s="41" t="s">
        <v>136</v>
      </c>
      <c r="C24" s="34" t="n">
        <f aca="false">-Other_Opex_Base*(1+CPI_Inflation)^(C6-1)</f>
        <v>-4000000</v>
      </c>
      <c r="D24" s="34" t="n">
        <f aca="false">-Other_Opex_Base*(1+CPI_Inflation)^(D6-1)</f>
        <v>-4100000</v>
      </c>
      <c r="E24" s="34" t="n">
        <f aca="false">-Other_Opex_Base*(1+CPI_Inflation)^(E6-1)</f>
        <v>-4202500</v>
      </c>
      <c r="F24" s="34" t="n">
        <f aca="false">-Other_Opex_Base*(1+CPI_Inflation)^(F6-1)</f>
        <v>-4307562.5</v>
      </c>
      <c r="G24" s="34" t="n">
        <f aca="false">-Other_Opex_Base*(1+CPI_Inflation)^(G6-1)</f>
        <v>-4415251.5625</v>
      </c>
    </row>
    <row r="25" customFormat="false" ht="15" hidden="false" customHeight="false" outlineLevel="0" collapsed="false">
      <c r="A25" s="6"/>
      <c r="B25" s="7" t="s">
        <v>137</v>
      </c>
      <c r="C25" s="43" t="n">
        <f aca="false">C22+C23+C24</f>
        <v>-27000000</v>
      </c>
      <c r="D25" s="43" t="n">
        <f aca="false">D22+D23+D24</f>
        <v>-27675000</v>
      </c>
      <c r="E25" s="43" t="n">
        <f aca="false">E22+E23+E24</f>
        <v>-28366875</v>
      </c>
      <c r="F25" s="43" t="n">
        <f aca="false">F22+F23+F24</f>
        <v>-29076046.875</v>
      </c>
      <c r="G25" s="43" t="n">
        <f aca="false">G22+G23+G24</f>
        <v>-29802948.046875</v>
      </c>
    </row>
    <row r="26" customFormat="false" ht="15" hidden="false" customHeight="false" outlineLevel="0" collapsed="false">
      <c r="A26" s="6"/>
      <c r="B26" s="7" t="s">
        <v>138</v>
      </c>
      <c r="C26" s="42" t="n">
        <f aca="false">C18+C25</f>
        <v>99900000</v>
      </c>
      <c r="D26" s="42" t="n">
        <f aca="false">D18+D25</f>
        <v>104399182.5</v>
      </c>
      <c r="E26" s="42" t="n">
        <f aca="false">E18+E25</f>
        <v>109003590.24225</v>
      </c>
      <c r="F26" s="42" t="n">
        <f aca="false">F18+F25</f>
        <v>113705014.692436</v>
      </c>
      <c r="G26" s="42" t="n">
        <f aca="false">G18+G25</f>
        <v>118493522.707211</v>
      </c>
    </row>
    <row r="27" customFormat="false" ht="15" hidden="false" customHeight="false" outlineLevel="0" collapsed="false">
      <c r="A27" s="6"/>
      <c r="B27" s="26" t="s">
        <v>139</v>
      </c>
      <c r="C27" s="28" t="n">
        <f aca="false">C26/C12</f>
        <v>0.472340425531915</v>
      </c>
      <c r="D27" s="28" t="n">
        <f aca="false">D26/D12</f>
        <v>0.46676584400778</v>
      </c>
      <c r="E27" s="28" t="n">
        <f aca="false">E26/E12</f>
        <v>0.460837560500377</v>
      </c>
      <c r="F27" s="28" t="n">
        <f aca="false">F26/F12</f>
        <v>0.454553042494202</v>
      </c>
      <c r="G27" s="28" t="n">
        <f aca="false">G26/G12</f>
        <v>0.447909494249726</v>
      </c>
    </row>
    <row r="28" customFormat="false" ht="15" hidden="false" customHeight="false" outlineLevel="0" collapsed="false">
      <c r="A28" s="6"/>
      <c r="B28" s="24" t="s">
        <v>140</v>
      </c>
      <c r="C28" s="25"/>
      <c r="D28" s="25"/>
      <c r="E28" s="25"/>
      <c r="F28" s="25"/>
      <c r="G28" s="25"/>
    </row>
    <row r="29" customFormat="false" ht="15" hidden="false" customHeight="false" outlineLevel="0" collapsed="false">
      <c r="A29" s="6"/>
      <c r="B29" s="6"/>
      <c r="C29" s="6"/>
      <c r="D29" s="6"/>
      <c r="E29" s="6"/>
      <c r="F29" s="6"/>
      <c r="G29" s="6"/>
    </row>
    <row r="30" customFormat="false" ht="15" hidden="false" customHeight="false" outlineLevel="0" collapsed="false">
      <c r="A30" s="6"/>
      <c r="B30" s="41" t="s">
        <v>141</v>
      </c>
      <c r="C30" s="34" t="n">
        <f aca="false">-MIN(Open_PPE_Gross/UL_Exist,MAX(0,Net_PPE_Open-(Open_PPE_Gross/UL_Exist)*(C6-1)))</f>
        <v>-5333333.33333333</v>
      </c>
      <c r="D30" s="34" t="n">
        <f aca="false">-MIN(Open_PPE_Gross/UL_Exist,MAX(0,Net_PPE_Open-(Open_PPE_Gross/UL_Exist)*(D6-1)))</f>
        <v>-5333333.33333333</v>
      </c>
      <c r="E30" s="34" t="n">
        <f aca="false">-MIN(Open_PPE_Gross/UL_Exist,MAX(0,Net_PPE_Open-(Open_PPE_Gross/UL_Exist)*(E6-1)))</f>
        <v>-5333333.33333333</v>
      </c>
      <c r="F30" s="34" t="n">
        <f aca="false">-MIN(Open_PPE_Gross/UL_Exist,MAX(0,Net_PPE_Open-(Open_PPE_Gross/UL_Exist)*(F6-1)))</f>
        <v>-5333333.33333333</v>
      </c>
      <c r="G30" s="34" t="n">
        <f aca="false">-MIN(Open_PPE_Gross/UL_Exist,MAX(0,Net_PPE_Open-(Open_PPE_Gross/UL_Exist)*(G6-1)))</f>
        <v>-5333333.33333333</v>
      </c>
    </row>
    <row r="31" customFormat="false" ht="15" hidden="false" customHeight="false" outlineLevel="0" collapsed="false">
      <c r="A31" s="6"/>
      <c r="B31" s="41" t="s">
        <v>142</v>
      </c>
      <c r="C31" s="34" t="n">
        <f aca="false">-SUM(Income_Statement!$C$35:C35)/UL_New</f>
        <v>-200000</v>
      </c>
      <c r="D31" s="34" t="n">
        <f aca="false">-SUM(Income_Statement!$C$35:D35)/UL_New</f>
        <v>-400000</v>
      </c>
      <c r="E31" s="34" t="n">
        <f aca="false">-SUM(Income_Statement!$C$35:E35)/UL_New</f>
        <v>-600000</v>
      </c>
      <c r="F31" s="34" t="n">
        <f aca="false">-SUM(Income_Statement!$C$35:F35)/UL_New</f>
        <v>-800000</v>
      </c>
      <c r="G31" s="34" t="n">
        <f aca="false">-SUM(Income_Statement!$C$35:G35)/UL_New</f>
        <v>-1000000</v>
      </c>
    </row>
    <row r="32" customFormat="false" ht="15" hidden="false" customHeight="false" outlineLevel="0" collapsed="false">
      <c r="A32" s="6"/>
      <c r="B32" s="7" t="s">
        <v>143</v>
      </c>
      <c r="C32" s="43" t="n">
        <f aca="false">C30+C31</f>
        <v>-5533333.33333333</v>
      </c>
      <c r="D32" s="43" t="n">
        <f aca="false">D30+D31</f>
        <v>-5733333.33333333</v>
      </c>
      <c r="E32" s="43" t="n">
        <f aca="false">E30+E31</f>
        <v>-5933333.33333333</v>
      </c>
      <c r="F32" s="43" t="n">
        <f aca="false">F30+F31</f>
        <v>-6133333.33333333</v>
      </c>
      <c r="G32" s="43" t="n">
        <f aca="false">G30+G31</f>
        <v>-6333333.33333333</v>
      </c>
    </row>
    <row r="33" customFormat="false" ht="15" hidden="false" customHeight="false" outlineLevel="0" collapsed="false">
      <c r="A33" s="6"/>
      <c r="B33" s="7" t="s">
        <v>144</v>
      </c>
      <c r="C33" s="42" t="n">
        <f aca="false">C26+C32</f>
        <v>94366666.6666667</v>
      </c>
      <c r="D33" s="42" t="n">
        <f aca="false">D26+D32</f>
        <v>98665849.1666666</v>
      </c>
      <c r="E33" s="42" t="n">
        <f aca="false">E26+E32</f>
        <v>103070256.908917</v>
      </c>
      <c r="F33" s="42" t="n">
        <f aca="false">F26+F32</f>
        <v>107571681.359102</v>
      </c>
      <c r="G33" s="42" t="n">
        <f aca="false">G26+G32</f>
        <v>112160189.373877</v>
      </c>
    </row>
    <row r="34" customFormat="false" ht="15" hidden="false" customHeight="false" outlineLevel="0" collapsed="false">
      <c r="A34" s="6"/>
      <c r="B34" s="24" t="s">
        <v>145</v>
      </c>
      <c r="C34" s="25"/>
      <c r="D34" s="25"/>
      <c r="E34" s="25"/>
      <c r="F34" s="25"/>
      <c r="G34" s="25"/>
    </row>
    <row r="35" customFormat="false" ht="15" hidden="false" customHeight="false" outlineLevel="0" collapsed="false">
      <c r="A35" s="6"/>
      <c r="B35" s="41" t="s">
        <v>146</v>
      </c>
      <c r="C35" s="34" t="n">
        <f aca="false">Capex_Annual</f>
        <v>2000000</v>
      </c>
      <c r="D35" s="34" t="n">
        <f aca="false">Capex_Annual</f>
        <v>2000000</v>
      </c>
      <c r="E35" s="34" t="n">
        <f aca="false">Capex_Annual</f>
        <v>2000000</v>
      </c>
      <c r="F35" s="34" t="n">
        <f aca="false">Capex_Annual</f>
        <v>2000000</v>
      </c>
      <c r="G35" s="34" t="n">
        <f aca="false">Capex_Annual</f>
        <v>2000000</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41" t="s">
        <v>147</v>
      </c>
      <c r="C37" s="34" t="n">
        <f aca="false">-(Open_Debt-Annual_Repay*(C6-1))*(Policy_Rate+Credit_Spread)</f>
        <v>-4200000</v>
      </c>
      <c r="D37" s="34" t="n">
        <f aca="false">-(Open_Debt-Annual_Repay*(D6-1))*(Policy_Rate+Credit_Spread)</f>
        <v>-3500000</v>
      </c>
      <c r="E37" s="34" t="n">
        <f aca="false">-(Open_Debt-Annual_Repay*(E6-1))*(Policy_Rate+Credit_Spread)</f>
        <v>-2800000</v>
      </c>
      <c r="F37" s="34" t="n">
        <f aca="false">-(Open_Debt-Annual_Repay*(F6-1))*(Policy_Rate+Credit_Spread)</f>
        <v>-2100000</v>
      </c>
      <c r="G37" s="34" t="n">
        <f aca="false">-(Open_Debt-Annual_Repay*(G6-1))*(Policy_Rate+Credit_Spread)</f>
        <v>-1400000</v>
      </c>
    </row>
    <row r="38" customFormat="false" ht="15" hidden="false" customHeight="false" outlineLevel="0" collapsed="false">
      <c r="A38" s="6"/>
      <c r="B38" s="41" t="s">
        <v>148</v>
      </c>
      <c r="C38" s="34" t="n">
        <f aca="false">Annual_Repay</f>
        <v>10000000</v>
      </c>
      <c r="D38" s="34" t="n">
        <f aca="false">Annual_Repay</f>
        <v>10000000</v>
      </c>
      <c r="E38" s="34" t="n">
        <f aca="false">Annual_Repay</f>
        <v>10000000</v>
      </c>
      <c r="F38" s="34" t="n">
        <f aca="false">Annual_Repay</f>
        <v>10000000</v>
      </c>
      <c r="G38" s="34" t="n">
        <f aca="false">Annual_Repay</f>
        <v>10000000</v>
      </c>
    </row>
    <row r="39" customFormat="false" ht="15" hidden="false" customHeight="false" outlineLevel="0" collapsed="false">
      <c r="A39" s="6"/>
      <c r="B39" s="7" t="s">
        <v>149</v>
      </c>
      <c r="C39" s="42" t="n">
        <f aca="false">C33+C37</f>
        <v>90166666.6666667</v>
      </c>
      <c r="D39" s="42" t="n">
        <f aca="false">D33+D37</f>
        <v>95165849.1666666</v>
      </c>
      <c r="E39" s="42" t="n">
        <f aca="false">E33+E37</f>
        <v>100270256.908917</v>
      </c>
      <c r="F39" s="42" t="n">
        <f aca="false">F33+F37</f>
        <v>105471681.359102</v>
      </c>
      <c r="G39" s="42" t="n">
        <f aca="false">G33+G37</f>
        <v>110760189.373877</v>
      </c>
    </row>
    <row r="40" customFormat="false" ht="15" hidden="false" customHeight="false" outlineLevel="0" collapsed="false">
      <c r="A40" s="6"/>
      <c r="B40" s="24" t="s">
        <v>150</v>
      </c>
      <c r="C40" s="25"/>
      <c r="D40" s="25"/>
      <c r="E40" s="25"/>
      <c r="F40" s="25"/>
      <c r="G40" s="25"/>
    </row>
    <row r="41" customFormat="false" ht="15" hidden="false" customHeight="false" outlineLevel="0" collapsed="false">
      <c r="A41" s="6"/>
      <c r="B41" s="6"/>
      <c r="C41" s="6"/>
      <c r="D41" s="6"/>
      <c r="E41" s="6"/>
      <c r="F41" s="6"/>
      <c r="G41" s="6"/>
    </row>
    <row r="42" customFormat="false" ht="15" hidden="false" customHeight="false" outlineLevel="0" collapsed="false">
      <c r="A42" s="6"/>
      <c r="B42" s="41" t="s">
        <v>151</v>
      </c>
      <c r="C42" s="34" t="n">
        <f aca="false">NOL_Opening</f>
        <v>0</v>
      </c>
      <c r="D42" s="34" t="n">
        <f aca="false">C48</f>
        <v>0</v>
      </c>
      <c r="E42" s="34" t="n">
        <f aca="false">D48</f>
        <v>0</v>
      </c>
      <c r="F42" s="34" t="n">
        <f aca="false">E48</f>
        <v>0</v>
      </c>
      <c r="G42" s="34" t="n">
        <f aca="false">F48</f>
        <v>0</v>
      </c>
    </row>
    <row r="43" customFormat="false" ht="15" hidden="false" customHeight="false" outlineLevel="0" collapsed="false">
      <c r="A43" s="6"/>
      <c r="B43" s="41" t="s">
        <v>152</v>
      </c>
      <c r="C43" s="34" t="n">
        <f aca="false">C39</f>
        <v>90166666.6666667</v>
      </c>
      <c r="D43" s="34" t="n">
        <f aca="false">D39</f>
        <v>95165849.1666666</v>
      </c>
      <c r="E43" s="34" t="n">
        <f aca="false">E39</f>
        <v>100270256.908917</v>
      </c>
      <c r="F43" s="34" t="n">
        <f aca="false">F39</f>
        <v>105471681.359102</v>
      </c>
      <c r="G43" s="34" t="n">
        <f aca="false">G39</f>
        <v>110760189.373877</v>
      </c>
    </row>
    <row r="44" customFormat="false" ht="15" hidden="false" customHeight="false" outlineLevel="0" collapsed="false">
      <c r="A44" s="6"/>
      <c r="B44" s="41" t="s">
        <v>153</v>
      </c>
      <c r="C44" s="34" t="n">
        <f aca="false">IF(C43&gt;0,MIN(C42,C43),0)</f>
        <v>0</v>
      </c>
      <c r="D44" s="34" t="n">
        <f aca="false">IF(D43&gt;0,MIN(D42,D43),0)</f>
        <v>0</v>
      </c>
      <c r="E44" s="34" t="n">
        <f aca="false">IF(E43&gt;0,MIN(E42,E43),0)</f>
        <v>0</v>
      </c>
      <c r="F44" s="34" t="n">
        <f aca="false">IF(F43&gt;0,MIN(F42,F43),0)</f>
        <v>0</v>
      </c>
      <c r="G44" s="34" t="n">
        <f aca="false">IF(G43&gt;0,MIN(G42,G43),0)</f>
        <v>0</v>
      </c>
    </row>
    <row r="45" customFormat="false" ht="15" hidden="false" customHeight="false" outlineLevel="0" collapsed="false">
      <c r="A45" s="6"/>
      <c r="B45" s="41" t="s">
        <v>154</v>
      </c>
      <c r="C45" s="34" t="n">
        <f aca="false">MAX(0,C43-C44)</f>
        <v>90166666.6666667</v>
      </c>
      <c r="D45" s="34" t="n">
        <f aca="false">MAX(0,D43-D44)</f>
        <v>95165849.1666666</v>
      </c>
      <c r="E45" s="34" t="n">
        <f aca="false">MAX(0,E43-E44)</f>
        <v>100270256.908917</v>
      </c>
      <c r="F45" s="34" t="n">
        <f aca="false">MAX(0,F43-F44)</f>
        <v>105471681.359102</v>
      </c>
      <c r="G45" s="34" t="n">
        <f aca="false">MAX(0,G43-G44)</f>
        <v>110760189.373877</v>
      </c>
    </row>
    <row r="46" customFormat="false" ht="15" hidden="false" customHeight="false" outlineLevel="0" collapsed="false">
      <c r="A46" s="6"/>
      <c r="B46" s="41" t="s">
        <v>155</v>
      </c>
      <c r="C46" s="34" t="n">
        <f aca="false">-C45*Tax_Rate</f>
        <v>-22541666.6666667</v>
      </c>
      <c r="D46" s="34" t="n">
        <f aca="false">-D45*Tax_Rate</f>
        <v>-23791462.2916667</v>
      </c>
      <c r="E46" s="34" t="n">
        <f aca="false">-E45*Tax_Rate</f>
        <v>-25067564.2272292</v>
      </c>
      <c r="F46" s="34" t="n">
        <f aca="false">-F45*Tax_Rate</f>
        <v>-26367920.3397756</v>
      </c>
      <c r="G46" s="34" t="n">
        <f aca="false">-G45*Tax_Rate</f>
        <v>-27690047.3434693</v>
      </c>
    </row>
    <row r="47" customFormat="false" ht="15" hidden="false" customHeight="false" outlineLevel="0" collapsed="false">
      <c r="A47" s="6"/>
      <c r="B47" s="41" t="s">
        <v>156</v>
      </c>
      <c r="C47" s="34" t="n">
        <f aca="false">IF(C39&lt;0,-C39,0)</f>
        <v>0</v>
      </c>
      <c r="D47" s="34" t="n">
        <f aca="false">IF(D39&lt;0,-D39,0)</f>
        <v>0</v>
      </c>
      <c r="E47" s="34" t="n">
        <f aca="false">IF(E39&lt;0,-E39,0)</f>
        <v>0</v>
      </c>
      <c r="F47" s="34" t="n">
        <f aca="false">IF(F39&lt;0,-F39,0)</f>
        <v>0</v>
      </c>
      <c r="G47" s="34" t="n">
        <f aca="false">IF(G39&lt;0,-G39,0)</f>
        <v>0</v>
      </c>
    </row>
    <row r="48" customFormat="false" ht="15" hidden="false" customHeight="false" outlineLevel="0" collapsed="false">
      <c r="A48" s="6"/>
      <c r="B48" s="41" t="s">
        <v>157</v>
      </c>
      <c r="C48" s="34" t="n">
        <f aca="false">C42+C47-C44</f>
        <v>0</v>
      </c>
      <c r="D48" s="34" t="n">
        <f aca="false">D42+D47-D44</f>
        <v>0</v>
      </c>
      <c r="E48" s="34" t="n">
        <f aca="false">E42+E47-E44</f>
        <v>0</v>
      </c>
      <c r="F48" s="34" t="n">
        <f aca="false">F42+F47-F44</f>
        <v>0</v>
      </c>
      <c r="G48" s="34" t="n">
        <f aca="false">G42+G47-G44</f>
        <v>0</v>
      </c>
    </row>
    <row r="49" customFormat="false" ht="15" hidden="false" customHeight="false" outlineLevel="0" collapsed="false">
      <c r="A49" s="6"/>
      <c r="B49" s="7" t="s">
        <v>158</v>
      </c>
      <c r="C49" s="42" t="n">
        <f aca="false">C39+C46</f>
        <v>67625000</v>
      </c>
      <c r="D49" s="42" t="n">
        <f aca="false">D39+D46</f>
        <v>71374386.875</v>
      </c>
      <c r="E49" s="42" t="n">
        <f aca="false">E39+E46</f>
        <v>75202692.6816875</v>
      </c>
      <c r="F49" s="42" t="n">
        <f aca="false">F39+F46</f>
        <v>79103761.0193267</v>
      </c>
      <c r="G49" s="42" t="n">
        <f aca="false">G39+G46</f>
        <v>83070142.030408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8" t="s">
        <v>159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9" t="s">
        <v>121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0"/>
      <c r="C5" s="39" t="n">
        <f aca="false">Model_Start_Year+0</f>
        <v>2025</v>
      </c>
      <c r="D5" s="39" t="n">
        <f aca="false">Model_Start_Year+1</f>
        <v>2026</v>
      </c>
      <c r="E5" s="39" t="n">
        <f aca="false">Model_Start_Year+2</f>
        <v>2027</v>
      </c>
      <c r="F5" s="39" t="n">
        <f aca="false">Model_Start_Year+3</f>
        <v>2028</v>
      </c>
      <c r="G5" s="39" t="n">
        <f aca="false">Model_Start_Year+4</f>
        <v>2029</v>
      </c>
    </row>
    <row r="6" customFormat="false" ht="15" hidden="false" customHeight="false" outlineLevel="0" collapsed="false">
      <c r="A6" s="6"/>
      <c r="B6" s="38" t="s">
        <v>122</v>
      </c>
      <c r="C6" s="40" t="n">
        <v>1</v>
      </c>
      <c r="D6" s="40" t="n">
        <v>2</v>
      </c>
      <c r="E6" s="40" t="n">
        <v>3</v>
      </c>
      <c r="F6" s="40" t="n">
        <v>4</v>
      </c>
      <c r="G6" s="40" t="n">
        <v>5</v>
      </c>
    </row>
    <row r="7" customFormat="false" ht="15" hidden="false" customHeight="false" outlineLevel="0" collapsed="false">
      <c r="A7" s="6"/>
      <c r="B7" s="24" t="s">
        <v>160</v>
      </c>
      <c r="C7" s="25"/>
      <c r="D7" s="25"/>
      <c r="E7" s="25"/>
      <c r="F7" s="25"/>
      <c r="G7" s="25"/>
    </row>
    <row r="8" customFormat="false" ht="15" hidden="false" customHeight="false" outlineLevel="0" collapsed="false">
      <c r="A8" s="6"/>
      <c r="B8" s="11" t="s">
        <v>161</v>
      </c>
      <c r="C8" s="12"/>
      <c r="D8" s="12"/>
      <c r="E8" s="12"/>
      <c r="F8" s="12"/>
      <c r="G8" s="12"/>
    </row>
    <row r="9" customFormat="false" ht="15" hidden="false" customHeight="false" outlineLevel="0" collapsed="false">
      <c r="A9" s="6"/>
      <c r="B9" s="41" t="s">
        <v>162</v>
      </c>
      <c r="C9" s="34" t="n">
        <f aca="false">Cash_Flow!C28</f>
        <v>84866552.5114155</v>
      </c>
      <c r="D9" s="34" t="n">
        <f aca="false">Cash_Flow!D28</f>
        <v>148666007.445776</v>
      </c>
      <c r="E9" s="34" t="n">
        <f aca="false">Cash_Flow!E28</f>
        <v>216422949.687037</v>
      </c>
      <c r="F9" s="34" t="n">
        <f aca="false">Cash_Flow!F28</f>
        <v>288206432.558185</v>
      </c>
      <c r="G9" s="34" t="n">
        <f aca="false">Cash_Flow!G28</f>
        <v>364077877.425648</v>
      </c>
    </row>
    <row r="10" customFormat="false" ht="15" hidden="false" customHeight="false" outlineLevel="0" collapsed="false">
      <c r="A10" s="6"/>
      <c r="B10" s="6"/>
      <c r="C10" s="6"/>
      <c r="D10" s="6"/>
      <c r="E10" s="6"/>
      <c r="F10" s="6"/>
      <c r="G10" s="6"/>
    </row>
    <row r="11" customFormat="false" ht="15" hidden="false" customHeight="false" outlineLevel="0" collapsed="false">
      <c r="A11" s="6"/>
      <c r="B11" s="6"/>
      <c r="C11" s="6"/>
      <c r="D11" s="6"/>
      <c r="E11" s="6"/>
      <c r="F11" s="6"/>
      <c r="G11" s="6"/>
    </row>
    <row r="12" customFormat="false" ht="15" hidden="false" customHeight="false" outlineLevel="0" collapsed="false">
      <c r="A12" s="6"/>
      <c r="B12" s="41" t="s">
        <v>163</v>
      </c>
      <c r="C12" s="34" t="n">
        <f aca="false">Income_Statement!C12*DSO/365</f>
        <v>26075342.4657534</v>
      </c>
      <c r="D12" s="34" t="n">
        <f aca="false">Income_Statement!D12*DSO/365</f>
        <v>27575136.9863014</v>
      </c>
      <c r="E12" s="34" t="n">
        <f aca="false">Income_Statement!E12*DSO/365</f>
        <v>29161682.8767123</v>
      </c>
      <c r="F12" s="34" t="n">
        <f aca="false">Income_Statement!F12*DSO/365</f>
        <v>30840023.4041096</v>
      </c>
      <c r="G12" s="34" t="n">
        <f aca="false">Income_Statement!G12*DSO/365</f>
        <v>32615496.3408904</v>
      </c>
    </row>
    <row r="13" customFormat="false" ht="15" hidden="false" customHeight="false" outlineLevel="0" collapsed="false">
      <c r="A13" s="6"/>
      <c r="B13" s="41" t="s">
        <v>164</v>
      </c>
      <c r="C13" s="34" t="n">
        <f aca="false">-Income_Statement!C17*DIO/365</f>
        <v>6953424.65753425</v>
      </c>
      <c r="D13" s="34" t="n">
        <f aca="false">-Income_Statement!D17*DIO/365</f>
        <v>7528012.39726027</v>
      </c>
      <c r="E13" s="34" t="n">
        <f aca="false">-Income_Statement!E17*DIO/365</f>
        <v>8150398.74721232</v>
      </c>
      <c r="F13" s="34" t="n">
        <f aca="false">-Income_Statement!F17*DIO/365</f>
        <v>8824585.8848683</v>
      </c>
      <c r="G13" s="34" t="n">
        <f aca="false">-Income_Statement!G17*DIO/365</f>
        <v>9554913.2063765</v>
      </c>
    </row>
    <row r="14" customFormat="false" ht="15" hidden="false" customHeight="false" outlineLevel="0" collapsed="false">
      <c r="A14" s="6"/>
      <c r="B14" s="7" t="s">
        <v>165</v>
      </c>
      <c r="C14" s="43" t="n">
        <f aca="false">C9+C12+C13</f>
        <v>117895319.634703</v>
      </c>
      <c r="D14" s="43" t="n">
        <f aca="false">D9+D12+D13</f>
        <v>183769156.829338</v>
      </c>
      <c r="E14" s="43" t="n">
        <f aca="false">E9+E12+E13</f>
        <v>253735031.310961</v>
      </c>
      <c r="F14" s="43" t="n">
        <f aca="false">F9+F12+F13</f>
        <v>327871041.847163</v>
      </c>
      <c r="G14" s="43" t="n">
        <f aca="false">G9+G12+G13</f>
        <v>406248286.972915</v>
      </c>
    </row>
    <row r="15" customFormat="false" ht="15" hidden="false" customHeight="false" outlineLevel="0" collapsed="false">
      <c r="A15" s="6"/>
      <c r="B15" s="11" t="s">
        <v>166</v>
      </c>
      <c r="C15" s="12"/>
      <c r="D15" s="12"/>
      <c r="E15" s="12"/>
      <c r="F15" s="12"/>
      <c r="G15" s="12"/>
    </row>
    <row r="16" customFormat="false" ht="15" hidden="false" customHeight="false" outlineLevel="0" collapsed="false">
      <c r="A16" s="6"/>
      <c r="B16" s="6"/>
      <c r="C16" s="6"/>
      <c r="D16" s="6"/>
      <c r="E16" s="6"/>
      <c r="F16" s="6"/>
      <c r="G16" s="6"/>
    </row>
    <row r="17" customFormat="false" ht="15" hidden="false" customHeight="false" outlineLevel="0" collapsed="false">
      <c r="A17" s="6"/>
      <c r="B17" s="41" t="s">
        <v>167</v>
      </c>
      <c r="C17" s="34" t="n">
        <f aca="false">Open_PPE_Gross+SUM(Income_Statement!$C$35:C35)</f>
        <v>82000000</v>
      </c>
      <c r="D17" s="34" t="n">
        <f aca="false">Open_PPE_Gross+SUM(Income_Statement!$C$35:D35)</f>
        <v>84000000</v>
      </c>
      <c r="E17" s="34" t="n">
        <f aca="false">Open_PPE_Gross+SUM(Income_Statement!$C$35:E35)</f>
        <v>86000000</v>
      </c>
      <c r="F17" s="34" t="n">
        <f aca="false">Open_PPE_Gross+SUM(Income_Statement!$C$35:F35)</f>
        <v>88000000</v>
      </c>
      <c r="G17" s="34" t="n">
        <f aca="false">Open_PPE_Gross+SUM(Income_Statement!$C$35:G35)</f>
        <v>90000000</v>
      </c>
    </row>
    <row r="18" customFormat="false" ht="15" hidden="false" customHeight="false" outlineLevel="0" collapsed="false">
      <c r="A18" s="6"/>
      <c r="B18" s="41" t="s">
        <v>168</v>
      </c>
      <c r="C18" s="34" t="n">
        <f aca="false">Accum_Depr_Open-SUM(Income_Statement!$C$32:C32)</f>
        <v>35533333.3333333</v>
      </c>
      <c r="D18" s="34" t="n">
        <f aca="false">Accum_Depr_Open-SUM(Income_Statement!$C$32:D32)</f>
        <v>41266666.6666667</v>
      </c>
      <c r="E18" s="34" t="n">
        <f aca="false">Accum_Depr_Open-SUM(Income_Statement!$C$32:E32)</f>
        <v>47200000</v>
      </c>
      <c r="F18" s="34" t="n">
        <f aca="false">Accum_Depr_Open-SUM(Income_Statement!$C$32:F32)</f>
        <v>53333333.3333333</v>
      </c>
      <c r="G18" s="34" t="n">
        <f aca="false">Accum_Depr_Open-SUM(Income_Statement!$C$32:G32)</f>
        <v>59666666.6666667</v>
      </c>
    </row>
    <row r="19" customFormat="false" ht="15" hidden="false" customHeight="false" outlineLevel="0" collapsed="false">
      <c r="A19" s="6"/>
      <c r="B19" s="41" t="s">
        <v>169</v>
      </c>
      <c r="C19" s="34" t="n">
        <f aca="false">C17-C18</f>
        <v>46466666.6666667</v>
      </c>
      <c r="D19" s="34" t="n">
        <f aca="false">D17-D18</f>
        <v>42733333.3333333</v>
      </c>
      <c r="E19" s="34" t="n">
        <f aca="false">E17-E18</f>
        <v>38800000</v>
      </c>
      <c r="F19" s="34" t="n">
        <f aca="false">F17-F18</f>
        <v>34666666.6666667</v>
      </c>
      <c r="G19" s="34" t="n">
        <f aca="false">G17-G18</f>
        <v>30333333.3333333</v>
      </c>
    </row>
    <row r="20" customFormat="false" ht="15" hidden="false" customHeight="false" outlineLevel="0" collapsed="false">
      <c r="A20" s="6"/>
      <c r="B20" s="7" t="s">
        <v>170</v>
      </c>
      <c r="C20" s="42" t="n">
        <f aca="false">C14+C19</f>
        <v>164361986.30137</v>
      </c>
      <c r="D20" s="42" t="n">
        <f aca="false">D14+D19</f>
        <v>226502490.162671</v>
      </c>
      <c r="E20" s="42" t="n">
        <f aca="false">E14+E19</f>
        <v>292535031.310961</v>
      </c>
      <c r="F20" s="42" t="n">
        <f aca="false">F14+F19</f>
        <v>362537708.513829</v>
      </c>
      <c r="G20" s="42" t="n">
        <f aca="false">G14+G19</f>
        <v>436581620.306248</v>
      </c>
    </row>
    <row r="21" customFormat="false" ht="15" hidden="false" customHeight="false" outlineLevel="0" collapsed="false">
      <c r="A21" s="6"/>
      <c r="B21" s="24" t="s">
        <v>171</v>
      </c>
      <c r="C21" s="25"/>
      <c r="D21" s="25"/>
      <c r="E21" s="25"/>
      <c r="F21" s="25"/>
      <c r="G21" s="25"/>
    </row>
    <row r="22" customFormat="false" ht="15" hidden="false" customHeight="false" outlineLevel="0" collapsed="false">
      <c r="A22" s="6"/>
      <c r="B22" s="11" t="s">
        <v>172</v>
      </c>
      <c r="C22" s="12"/>
      <c r="D22" s="12"/>
      <c r="E22" s="12"/>
      <c r="F22" s="12"/>
      <c r="G22" s="12"/>
    </row>
    <row r="23" customFormat="false" ht="15" hidden="false" customHeight="false" outlineLevel="0" collapsed="false">
      <c r="A23" s="6"/>
      <c r="B23" s="41" t="s">
        <v>173</v>
      </c>
      <c r="C23" s="34" t="n">
        <f aca="false">-Income_Statement!C17*DPO/365</f>
        <v>9271232.87671233</v>
      </c>
      <c r="D23" s="34" t="n">
        <f aca="false">-Income_Statement!D17*DPO/365</f>
        <v>10037349.8630137</v>
      </c>
      <c r="E23" s="34" t="n">
        <f aca="false">-Income_Statement!E17*DPO/365</f>
        <v>10867198.3296164</v>
      </c>
      <c r="F23" s="34" t="n">
        <f aca="false">-Income_Statement!F17*DPO/365</f>
        <v>11766114.5131577</v>
      </c>
      <c r="G23" s="34" t="n">
        <f aca="false">-Income_Statement!G17*DPO/365</f>
        <v>12739884.2751687</v>
      </c>
    </row>
    <row r="24" customFormat="false" ht="15" hidden="false" customHeight="false" outlineLevel="0" collapsed="false">
      <c r="A24" s="6"/>
      <c r="B24" s="7" t="s">
        <v>174</v>
      </c>
      <c r="C24" s="43" t="n">
        <f aca="false">C23</f>
        <v>9271232.87671233</v>
      </c>
      <c r="D24" s="43" t="n">
        <f aca="false">D23</f>
        <v>10037349.8630137</v>
      </c>
      <c r="E24" s="43" t="n">
        <f aca="false">E23</f>
        <v>10867198.3296164</v>
      </c>
      <c r="F24" s="43" t="n">
        <f aca="false">F23</f>
        <v>11766114.5131577</v>
      </c>
      <c r="G24" s="43" t="n">
        <f aca="false">G23</f>
        <v>12739884.2751687</v>
      </c>
    </row>
    <row r="25" customFormat="false" ht="15" hidden="false" customHeight="false" outlineLevel="0" collapsed="false">
      <c r="A25" s="6"/>
      <c r="B25" s="11" t="s">
        <v>175</v>
      </c>
      <c r="C25" s="12"/>
      <c r="D25" s="12"/>
      <c r="E25" s="12"/>
      <c r="F25" s="12"/>
      <c r="G25" s="12"/>
    </row>
    <row r="26" customFormat="false" ht="15" hidden="false" customHeight="false" outlineLevel="0" collapsed="false">
      <c r="A26" s="6"/>
      <c r="B26" s="6"/>
      <c r="C26" s="6"/>
      <c r="D26" s="6"/>
      <c r="E26" s="6"/>
      <c r="F26" s="6"/>
      <c r="G26" s="6"/>
    </row>
    <row r="27" customFormat="false" ht="15" hidden="false" customHeight="false" outlineLevel="0" collapsed="false">
      <c r="A27" s="6"/>
      <c r="B27" s="41" t="s">
        <v>176</v>
      </c>
      <c r="C27" s="34" t="n">
        <f aca="false">MAX(0,Open_Debt-Annual_Repay*C6)</f>
        <v>50000000</v>
      </c>
      <c r="D27" s="34" t="n">
        <f aca="false">MAX(0,Open_Debt-Annual_Repay*D6)</f>
        <v>40000000</v>
      </c>
      <c r="E27" s="34" t="n">
        <f aca="false">MAX(0,Open_Debt-Annual_Repay*E6)</f>
        <v>30000000</v>
      </c>
      <c r="F27" s="34" t="n">
        <f aca="false">MAX(0,Open_Debt-Annual_Repay*F6)</f>
        <v>20000000</v>
      </c>
      <c r="G27" s="34" t="n">
        <f aca="false">MAX(0,Open_Debt-Annual_Repay*G6)</f>
        <v>10000000</v>
      </c>
    </row>
    <row r="28" customFormat="false" ht="15" hidden="false" customHeight="false" outlineLevel="0" collapsed="false">
      <c r="A28" s="6"/>
      <c r="B28" s="7" t="s">
        <v>177</v>
      </c>
      <c r="C28" s="43" t="n">
        <f aca="false">C27</f>
        <v>50000000</v>
      </c>
      <c r="D28" s="43" t="n">
        <f aca="false">D27</f>
        <v>40000000</v>
      </c>
      <c r="E28" s="43" t="n">
        <f aca="false">E27</f>
        <v>30000000</v>
      </c>
      <c r="F28" s="43" t="n">
        <f aca="false">F27</f>
        <v>20000000</v>
      </c>
      <c r="G28" s="43" t="n">
        <f aca="false">G27</f>
        <v>10000000</v>
      </c>
    </row>
    <row r="29" customFormat="false" ht="15" hidden="false" customHeight="false" outlineLevel="0" collapsed="false">
      <c r="A29" s="6"/>
      <c r="B29" s="7" t="s">
        <v>178</v>
      </c>
      <c r="C29" s="42" t="n">
        <f aca="false">C24+C28</f>
        <v>59271232.8767123</v>
      </c>
      <c r="D29" s="42" t="n">
        <f aca="false">D24+D28</f>
        <v>50037349.8630137</v>
      </c>
      <c r="E29" s="42" t="n">
        <f aca="false">E24+E28</f>
        <v>40867198.3296164</v>
      </c>
      <c r="F29" s="42" t="n">
        <f aca="false">F24+F28</f>
        <v>31766114.5131577</v>
      </c>
      <c r="G29" s="42" t="n">
        <f aca="false">G24+G28</f>
        <v>22739884.2751687</v>
      </c>
    </row>
    <row r="30" customFormat="false" ht="15" hidden="false" customHeight="false" outlineLevel="0" collapsed="false">
      <c r="A30" s="6"/>
      <c r="B30" s="24" t="s">
        <v>179</v>
      </c>
      <c r="C30" s="25"/>
      <c r="D30" s="25"/>
      <c r="E30" s="25"/>
      <c r="F30" s="25"/>
      <c r="G30" s="25"/>
    </row>
    <row r="31" customFormat="false" ht="15" hidden="false" customHeight="false" outlineLevel="0" collapsed="false">
      <c r="A31" s="6"/>
      <c r="B31" s="6"/>
      <c r="C31" s="6"/>
      <c r="D31" s="6"/>
      <c r="E31" s="6"/>
      <c r="F31" s="6"/>
      <c r="G31" s="6"/>
    </row>
    <row r="32" customFormat="false" ht="15" hidden="false" customHeight="false" outlineLevel="0" collapsed="false">
      <c r="A32" s="6"/>
      <c r="B32" s="41" t="s">
        <v>62</v>
      </c>
      <c r="C32" s="34" t="n">
        <f aca="false">Share_Capital</f>
        <v>50000000</v>
      </c>
      <c r="D32" s="34" t="n">
        <f aca="false">Share_Capital</f>
        <v>50000000</v>
      </c>
      <c r="E32" s="34" t="n">
        <f aca="false">Share_Capital</f>
        <v>50000000</v>
      </c>
      <c r="F32" s="34" t="n">
        <f aca="false">Share_Capital</f>
        <v>50000000</v>
      </c>
      <c r="G32" s="34" t="n">
        <f aca="false">Share_Capital</f>
        <v>50000000</v>
      </c>
    </row>
    <row r="33" customFormat="false" ht="15" hidden="false" customHeight="false" outlineLevel="0" collapsed="false">
      <c r="A33" s="6"/>
      <c r="B33" s="41" t="s">
        <v>180</v>
      </c>
      <c r="C33" s="34" t="n">
        <f aca="false">Open_RE+Income_Statement!C49</f>
        <v>55090753.4246575</v>
      </c>
      <c r="D33" s="34" t="n">
        <f aca="false">C33+Income_Statement!D49</f>
        <v>126465140.299658</v>
      </c>
      <c r="E33" s="34" t="n">
        <f aca="false">D33+Income_Statement!E49</f>
        <v>201667832.981345</v>
      </c>
      <c r="F33" s="34" t="n">
        <f aca="false">E33+Income_Statement!F49</f>
        <v>280771594.000672</v>
      </c>
      <c r="G33" s="34" t="n">
        <f aca="false">F33+Income_Statement!G49</f>
        <v>363841736.03108</v>
      </c>
    </row>
    <row r="34" customFormat="false" ht="15" hidden="false" customHeight="false" outlineLevel="0" collapsed="false">
      <c r="A34" s="6"/>
      <c r="B34" s="7" t="s">
        <v>181</v>
      </c>
      <c r="C34" s="43" t="n">
        <f aca="false">C32+C33</f>
        <v>105090753.424658</v>
      </c>
      <c r="D34" s="43" t="n">
        <f aca="false">D32+D33</f>
        <v>176465140.299658</v>
      </c>
      <c r="E34" s="43" t="n">
        <f aca="false">E32+E33</f>
        <v>251667832.981345</v>
      </c>
      <c r="F34" s="43" t="n">
        <f aca="false">F32+F33</f>
        <v>330771594.000672</v>
      </c>
      <c r="G34" s="43" t="n">
        <f aca="false">G32+G33</f>
        <v>413841736.03108</v>
      </c>
    </row>
    <row r="35" customFormat="false" ht="15" hidden="false" customHeight="false" outlineLevel="0" collapsed="false">
      <c r="A35" s="6"/>
      <c r="B35" s="7" t="s">
        <v>182</v>
      </c>
      <c r="C35" s="42" t="n">
        <f aca="false">C29+C34</f>
        <v>164361986.30137</v>
      </c>
      <c r="D35" s="42" t="n">
        <f aca="false">D29+D34</f>
        <v>226502490.162671</v>
      </c>
      <c r="E35" s="42" t="n">
        <f aca="false">E29+E34</f>
        <v>292535031.310961</v>
      </c>
      <c r="F35" s="42" t="n">
        <f aca="false">F29+F34</f>
        <v>362537708.513829</v>
      </c>
      <c r="G35" s="42" t="n">
        <f aca="false">G29+G34</f>
        <v>436581620.306248</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26" t="s">
        <v>183</v>
      </c>
      <c r="C37" s="44" t="n">
        <f aca="false">C20-C35</f>
        <v>0</v>
      </c>
      <c r="D37" s="44" t="n">
        <f aca="false">D20-D35</f>
        <v>0</v>
      </c>
      <c r="E37" s="44" t="n">
        <f aca="false">E20-E35</f>
        <v>0</v>
      </c>
      <c r="F37" s="44" t="n">
        <f aca="false">F20-F35</f>
        <v>0</v>
      </c>
      <c r="G37" s="44" t="n">
        <f aca="false">G20-G35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8" t="s">
        <v>184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9" t="s">
        <v>185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0"/>
      <c r="C5" s="39" t="n">
        <f aca="false">Model_Start_Year+0</f>
        <v>2025</v>
      </c>
      <c r="D5" s="39" t="n">
        <f aca="false">Model_Start_Year+1</f>
        <v>2026</v>
      </c>
      <c r="E5" s="39" t="n">
        <f aca="false">Model_Start_Year+2</f>
        <v>2027</v>
      </c>
      <c r="F5" s="39" t="n">
        <f aca="false">Model_Start_Year+3</f>
        <v>2028</v>
      </c>
      <c r="G5" s="39" t="n">
        <f aca="false">Model_Start_Year+4</f>
        <v>2029</v>
      </c>
    </row>
    <row r="6" customFormat="false" ht="15" hidden="false" customHeight="false" outlineLevel="0" collapsed="false">
      <c r="A6" s="6"/>
      <c r="B6" s="38" t="s">
        <v>122</v>
      </c>
      <c r="C6" s="40" t="n">
        <v>1</v>
      </c>
      <c r="D6" s="40" t="n">
        <v>2</v>
      </c>
      <c r="E6" s="40" t="n">
        <v>3</v>
      </c>
      <c r="F6" s="40" t="n">
        <v>4</v>
      </c>
      <c r="G6" s="40" t="n">
        <v>5</v>
      </c>
    </row>
    <row r="7" customFormat="false" ht="15" hidden="false" customHeight="false" outlineLevel="0" collapsed="false">
      <c r="A7" s="6"/>
      <c r="B7" s="24" t="s">
        <v>186</v>
      </c>
      <c r="C7" s="25"/>
      <c r="D7" s="25"/>
      <c r="E7" s="25"/>
      <c r="F7" s="25"/>
      <c r="G7" s="25"/>
    </row>
    <row r="8" customFormat="false" ht="15" hidden="false" customHeight="false" outlineLevel="0" collapsed="false">
      <c r="A8" s="6"/>
      <c r="B8" s="6"/>
      <c r="C8" s="6"/>
      <c r="D8" s="6"/>
      <c r="E8" s="6"/>
      <c r="F8" s="6"/>
      <c r="G8" s="6"/>
    </row>
    <row r="9" customFormat="false" ht="15" hidden="false" customHeight="false" outlineLevel="0" collapsed="false">
      <c r="A9" s="6"/>
      <c r="B9" s="41" t="s">
        <v>187</v>
      </c>
      <c r="C9" s="34" t="n">
        <f aca="false">Income_Statement!C49</f>
        <v>67625000</v>
      </c>
      <c r="D9" s="34" t="n">
        <f aca="false">Income_Statement!D49</f>
        <v>71374386.875</v>
      </c>
      <c r="E9" s="34" t="n">
        <f aca="false">Income_Statement!E49</f>
        <v>75202692.6816875</v>
      </c>
      <c r="F9" s="34" t="n">
        <f aca="false">Income_Statement!F49</f>
        <v>79103761.0193267</v>
      </c>
      <c r="G9" s="34" t="n">
        <f aca="false">Income_Statement!G49</f>
        <v>83070142.030408</v>
      </c>
    </row>
    <row r="10" customFormat="false" ht="15" hidden="false" customHeight="false" outlineLevel="0" collapsed="false">
      <c r="A10" s="6"/>
      <c r="B10" s="41" t="s">
        <v>188</v>
      </c>
      <c r="C10" s="34" t="n">
        <f aca="false">-Income_Statement!C32</f>
        <v>5533333.33333333</v>
      </c>
      <c r="D10" s="34" t="n">
        <f aca="false">-Income_Statement!D32</f>
        <v>5733333.33333333</v>
      </c>
      <c r="E10" s="34" t="n">
        <f aca="false">-Income_Statement!E32</f>
        <v>5933333.33333333</v>
      </c>
      <c r="F10" s="34" t="n">
        <f aca="false">-Income_Statement!F32</f>
        <v>6133333.33333333</v>
      </c>
      <c r="G10" s="34" t="n">
        <f aca="false">-Income_Statement!G32</f>
        <v>6333333.33333333</v>
      </c>
    </row>
    <row r="11" customFormat="false" ht="15" hidden="false" customHeight="false" outlineLevel="0" collapsed="false">
      <c r="A11" s="6"/>
      <c r="B11" s="11" t="s">
        <v>189</v>
      </c>
      <c r="C11" s="12"/>
      <c r="D11" s="12"/>
      <c r="E11" s="12"/>
      <c r="F11" s="12"/>
      <c r="G11" s="12"/>
    </row>
    <row r="12" customFormat="false" ht="15" hidden="false" customHeight="false" outlineLevel="0" collapsed="false">
      <c r="A12" s="6"/>
      <c r="B12" s="6"/>
      <c r="C12" s="6"/>
      <c r="D12" s="6"/>
      <c r="E12" s="6"/>
      <c r="F12" s="6"/>
      <c r="G12" s="6"/>
    </row>
    <row r="13" customFormat="false" ht="15" hidden="false" customHeight="false" outlineLevel="0" collapsed="false">
      <c r="A13" s="6"/>
      <c r="B13" s="45" t="s">
        <v>190</v>
      </c>
      <c r="C13" s="34" t="n">
        <f aca="false">Day0_AR-Balance_Sheet!C12</f>
        <v>-1417808.21917808</v>
      </c>
      <c r="D13" s="34" t="n">
        <f aca="false">Balance_Sheet!C12-Balance_Sheet!D12</f>
        <v>-1499794.52054795</v>
      </c>
      <c r="E13" s="34" t="n">
        <f aca="false">Balance_Sheet!D12-Balance_Sheet!E12</f>
        <v>-1586545.89041095</v>
      </c>
      <c r="F13" s="34" t="n">
        <f aca="false">Balance_Sheet!E12-Balance_Sheet!F12</f>
        <v>-1678340.52739725</v>
      </c>
      <c r="G13" s="34" t="n">
        <f aca="false">Balance_Sheet!F12-Balance_Sheet!G12</f>
        <v>-1775472.93678081</v>
      </c>
    </row>
    <row r="14" customFormat="false" ht="15" hidden="false" customHeight="false" outlineLevel="0" collapsed="false">
      <c r="A14" s="6"/>
      <c r="B14" s="45" t="s">
        <v>191</v>
      </c>
      <c r="C14" s="34" t="n">
        <f aca="false">Day0_Inv-Balance_Sheet!C13</f>
        <v>-378082.191780821</v>
      </c>
      <c r="D14" s="34" t="n">
        <f aca="false">Balance_Sheet!C13-Balance_Sheet!D13</f>
        <v>-574587.739726026</v>
      </c>
      <c r="E14" s="34" t="n">
        <f aca="false">Balance_Sheet!D13-Balance_Sheet!E13</f>
        <v>-622386.349952052</v>
      </c>
      <c r="F14" s="34" t="n">
        <f aca="false">Balance_Sheet!E13-Balance_Sheet!F13</f>
        <v>-674187.137655973</v>
      </c>
      <c r="G14" s="34" t="n">
        <f aca="false">Balance_Sheet!F13-Balance_Sheet!G13</f>
        <v>-730327.321508205</v>
      </c>
    </row>
    <row r="15" customFormat="false" ht="15" hidden="false" customHeight="false" outlineLevel="0" collapsed="false">
      <c r="A15" s="6"/>
      <c r="B15" s="45" t="s">
        <v>192</v>
      </c>
      <c r="C15" s="34" t="n">
        <f aca="false">Balance_Sheet!C23-Day0_AP</f>
        <v>504109.589041095</v>
      </c>
      <c r="D15" s="34" t="n">
        <f aca="false">Balance_Sheet!D23-Balance_Sheet!C23</f>
        <v>766116.986301368</v>
      </c>
      <c r="E15" s="34" t="n">
        <f aca="false">Balance_Sheet!E23-Balance_Sheet!D23</f>
        <v>829848.466602735</v>
      </c>
      <c r="F15" s="34" t="n">
        <f aca="false">Balance_Sheet!F23-Balance_Sheet!E23</f>
        <v>898916.183541298</v>
      </c>
      <c r="G15" s="34" t="n">
        <f aca="false">Balance_Sheet!G23-Balance_Sheet!F23</f>
        <v>973769.762010938</v>
      </c>
    </row>
    <row r="16" customFormat="false" ht="15" hidden="false" customHeight="false" outlineLevel="0" collapsed="false">
      <c r="A16" s="6"/>
      <c r="B16" s="7" t="s">
        <v>193</v>
      </c>
      <c r="C16" s="42" t="n">
        <f aca="false">C9+C10+C13+C14+C15</f>
        <v>71866552.5114155</v>
      </c>
      <c r="D16" s="42" t="n">
        <f aca="false">D9+D10+D13+D14+D15</f>
        <v>75799454.9343607</v>
      </c>
      <c r="E16" s="42" t="n">
        <f aca="false">E9+E10+E13+E14+E15</f>
        <v>79756942.2412605</v>
      </c>
      <c r="F16" s="42" t="n">
        <f aca="false">F9+F10+F13+F14+F15</f>
        <v>83783482.8711481</v>
      </c>
      <c r="G16" s="42" t="n">
        <f aca="false">G9+G10+G13+G14+G15</f>
        <v>87871444.8674633</v>
      </c>
    </row>
    <row r="17" customFormat="false" ht="15" hidden="false" customHeight="false" outlineLevel="0" collapsed="false">
      <c r="A17" s="6"/>
      <c r="B17" s="24" t="s">
        <v>194</v>
      </c>
      <c r="C17" s="25"/>
      <c r="D17" s="25"/>
      <c r="E17" s="25"/>
      <c r="F17" s="25"/>
      <c r="G17" s="25"/>
    </row>
    <row r="18" customFormat="false" ht="15" hidden="false" customHeight="false" outlineLevel="0" collapsed="false">
      <c r="A18" s="6"/>
      <c r="B18" s="6"/>
      <c r="C18" s="6"/>
      <c r="D18" s="6"/>
      <c r="E18" s="6"/>
      <c r="F18" s="6"/>
      <c r="G18" s="6"/>
    </row>
    <row r="19" customFormat="false" ht="15" hidden="false" customHeight="false" outlineLevel="0" collapsed="false">
      <c r="A19" s="6"/>
      <c r="B19" s="41" t="s">
        <v>195</v>
      </c>
      <c r="C19" s="34" t="n">
        <f aca="false">-Income_Statement!C35</f>
        <v>-2000000</v>
      </c>
      <c r="D19" s="34" t="n">
        <f aca="false">-Income_Statement!D35</f>
        <v>-2000000</v>
      </c>
      <c r="E19" s="34" t="n">
        <f aca="false">-Income_Statement!E35</f>
        <v>-2000000</v>
      </c>
      <c r="F19" s="34" t="n">
        <f aca="false">-Income_Statement!F35</f>
        <v>-2000000</v>
      </c>
      <c r="G19" s="34" t="n">
        <f aca="false">-Income_Statement!G35</f>
        <v>-2000000</v>
      </c>
    </row>
    <row r="20" customFormat="false" ht="15" hidden="false" customHeight="false" outlineLevel="0" collapsed="false">
      <c r="A20" s="6"/>
      <c r="B20" s="7" t="s">
        <v>196</v>
      </c>
      <c r="C20" s="42" t="n">
        <f aca="false">C19</f>
        <v>-2000000</v>
      </c>
      <c r="D20" s="42" t="n">
        <f aca="false">D19</f>
        <v>-2000000</v>
      </c>
      <c r="E20" s="42" t="n">
        <f aca="false">E19</f>
        <v>-2000000</v>
      </c>
      <c r="F20" s="42" t="n">
        <f aca="false">F19</f>
        <v>-2000000</v>
      </c>
      <c r="G20" s="42" t="n">
        <f aca="false">G19</f>
        <v>-2000000</v>
      </c>
    </row>
    <row r="21" customFormat="false" ht="15" hidden="false" customHeight="false" outlineLevel="0" collapsed="false">
      <c r="A21" s="6"/>
      <c r="B21" s="24" t="s">
        <v>197</v>
      </c>
      <c r="C21" s="25"/>
      <c r="D21" s="25"/>
      <c r="E21" s="25"/>
      <c r="F21" s="25"/>
      <c r="G21" s="25"/>
    </row>
    <row r="22" customFormat="false" ht="15" hidden="false" customHeight="false" outlineLevel="0" collapsed="false">
      <c r="A22" s="6"/>
      <c r="B22" s="6"/>
      <c r="C22" s="6"/>
      <c r="D22" s="6"/>
      <c r="E22" s="6"/>
      <c r="F22" s="6"/>
      <c r="G22" s="6"/>
    </row>
    <row r="23" customFormat="false" ht="15" hidden="false" customHeight="false" outlineLevel="0" collapsed="false">
      <c r="A23" s="6"/>
      <c r="B23" s="41" t="s">
        <v>148</v>
      </c>
      <c r="C23" s="34" t="n">
        <f aca="false">-Income_Statement!C38</f>
        <v>-10000000</v>
      </c>
      <c r="D23" s="34" t="n">
        <f aca="false">-Income_Statement!D38</f>
        <v>-10000000</v>
      </c>
      <c r="E23" s="34" t="n">
        <f aca="false">-Income_Statement!E38</f>
        <v>-10000000</v>
      </c>
      <c r="F23" s="34" t="n">
        <f aca="false">-Income_Statement!F38</f>
        <v>-10000000</v>
      </c>
      <c r="G23" s="34" t="n">
        <f aca="false">-Income_Statement!G38</f>
        <v>-10000000</v>
      </c>
    </row>
    <row r="24" customFormat="false" ht="15" hidden="false" customHeight="false" outlineLevel="0" collapsed="false">
      <c r="A24" s="6"/>
      <c r="B24" s="7" t="s">
        <v>198</v>
      </c>
      <c r="C24" s="42" t="n">
        <f aca="false">C23</f>
        <v>-10000000</v>
      </c>
      <c r="D24" s="42" t="n">
        <f aca="false">D23</f>
        <v>-10000000</v>
      </c>
      <c r="E24" s="42" t="n">
        <f aca="false">E23</f>
        <v>-10000000</v>
      </c>
      <c r="F24" s="42" t="n">
        <f aca="false">F23</f>
        <v>-10000000</v>
      </c>
      <c r="G24" s="42" t="n">
        <f aca="false">G23</f>
        <v>-10000000</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26" t="s">
        <v>199</v>
      </c>
      <c r="C26" s="34" t="n">
        <f aca="false">C16+C20+C24</f>
        <v>59866552.5114155</v>
      </c>
      <c r="D26" s="34" t="n">
        <f aca="false">D16+D20+D24</f>
        <v>63799454.9343607</v>
      </c>
      <c r="E26" s="34" t="n">
        <f aca="false">E16+E20+E24</f>
        <v>67756942.2412605</v>
      </c>
      <c r="F26" s="34" t="n">
        <f aca="false">F16+F20+F24</f>
        <v>71783482.8711481</v>
      </c>
      <c r="G26" s="34" t="n">
        <f aca="false">G16+G20+G24</f>
        <v>75871444.8674633</v>
      </c>
    </row>
    <row r="27" customFormat="false" ht="15" hidden="false" customHeight="false" outlineLevel="0" collapsed="false">
      <c r="A27" s="6"/>
      <c r="B27" s="26" t="s">
        <v>56</v>
      </c>
      <c r="C27" s="34" t="n">
        <f aca="false">Open_Cash</f>
        <v>25000000</v>
      </c>
      <c r="D27" s="34" t="n">
        <f aca="false">C28</f>
        <v>84866552.5114155</v>
      </c>
      <c r="E27" s="34" t="n">
        <f aca="false">D28</f>
        <v>148666007.445776</v>
      </c>
      <c r="F27" s="34" t="n">
        <f aca="false">E28</f>
        <v>216422949.687037</v>
      </c>
      <c r="G27" s="34" t="n">
        <f aca="false">F28</f>
        <v>288206432.558185</v>
      </c>
    </row>
    <row r="28" customFormat="false" ht="15" hidden="false" customHeight="false" outlineLevel="0" collapsed="false">
      <c r="A28" s="6"/>
      <c r="B28" s="7" t="s">
        <v>200</v>
      </c>
      <c r="C28" s="42" t="n">
        <f aca="false">C27+C26</f>
        <v>84866552.5114155</v>
      </c>
      <c r="D28" s="42" t="n">
        <f aca="false">D27+D26</f>
        <v>148666007.445776</v>
      </c>
      <c r="E28" s="42" t="n">
        <f aca="false">E27+E26</f>
        <v>216422949.687037</v>
      </c>
      <c r="F28" s="42" t="n">
        <f aca="false">F27+F26</f>
        <v>288206432.558185</v>
      </c>
      <c r="G28" s="42" t="n">
        <f aca="false">G27+G26</f>
        <v>364077877.425648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8" min="3" style="0" width="16"/>
    <col collapsed="false" customWidth="true" hidden="false" outlineLevel="0" max="9" min="9" style="0" width="40"/>
  </cols>
  <sheetData>
    <row r="1" customFormat="false" ht="15" hidden="false" customHeight="false" outlineLevel="0" collapsed="false">
      <c r="A1" s="1"/>
      <c r="B1" s="1"/>
      <c r="C1" s="1"/>
      <c r="D1" s="1"/>
      <c r="E1" s="1"/>
      <c r="F1" s="1"/>
      <c r="G1" s="1"/>
      <c r="H1" s="1"/>
      <c r="I1" s="1"/>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8" t="s">
        <v>201</v>
      </c>
      <c r="C2" s="1"/>
      <c r="D2" s="1"/>
      <c r="E2" s="1"/>
      <c r="F2" s="1"/>
      <c r="G2" s="1"/>
      <c r="H2" s="1"/>
      <c r="I2" s="1"/>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9" t="s">
        <v>202</v>
      </c>
      <c r="C3" s="1"/>
      <c r="D3" s="1"/>
      <c r="E3" s="1"/>
      <c r="F3" s="1"/>
      <c r="G3" s="1"/>
      <c r="H3" s="1"/>
      <c r="I3" s="1"/>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row>
    <row r="5" customFormat="false" ht="15" hidden="false" customHeight="false" outlineLevel="0" collapsed="false">
      <c r="A5" s="6"/>
      <c r="B5" s="6"/>
      <c r="C5" s="6"/>
      <c r="D5" s="6"/>
      <c r="E5" s="6"/>
      <c r="F5" s="6"/>
      <c r="G5" s="6"/>
      <c r="H5" s="6"/>
      <c r="I5" s="6"/>
    </row>
    <row r="6" customFormat="false" ht="15" hidden="false" customHeight="false" outlineLevel="0" collapsed="false">
      <c r="A6" s="6"/>
      <c r="B6" s="20" t="s">
        <v>203</v>
      </c>
      <c r="C6" s="20" t="s">
        <v>204</v>
      </c>
      <c r="D6" s="20" t="s">
        <v>205</v>
      </c>
      <c r="E6" s="20" t="s">
        <v>206</v>
      </c>
      <c r="F6" s="20" t="s">
        <v>207</v>
      </c>
      <c r="G6" s="20" t="s">
        <v>208</v>
      </c>
      <c r="H6" s="20" t="s">
        <v>209</v>
      </c>
      <c r="I6" s="25"/>
    </row>
    <row r="7" customFormat="false" ht="15" hidden="false" customHeight="false" outlineLevel="0" collapsed="false">
      <c r="A7" s="6"/>
      <c r="B7" s="6"/>
      <c r="C7" s="6"/>
      <c r="D7" s="6"/>
      <c r="E7" s="6"/>
      <c r="F7" s="6"/>
      <c r="G7" s="6"/>
      <c r="H7" s="6"/>
      <c r="I7" s="6"/>
    </row>
    <row r="8" customFormat="false" ht="15" hidden="false" customHeight="false" outlineLevel="0" collapsed="false">
      <c r="A8" s="6"/>
      <c r="B8" s="26" t="s">
        <v>210</v>
      </c>
      <c r="C8" s="46" t="b">
        <f aca="false">ABS(Balance_Sheet!C20-Balance_Sheet!C35)&lt;1</f>
        <v>1</v>
      </c>
      <c r="D8" s="46" t="b">
        <f aca="false">ABS(Balance_Sheet!D20-Balance_Sheet!D35)&lt;1</f>
        <v>1</v>
      </c>
      <c r="E8" s="46" t="b">
        <f aca="false">ABS(Balance_Sheet!E20-Balance_Sheet!E35)&lt;1</f>
        <v>1</v>
      </c>
      <c r="F8" s="46" t="b">
        <f aca="false">ABS(Balance_Sheet!F20-Balance_Sheet!F35)&lt;1</f>
        <v>1</v>
      </c>
      <c r="G8" s="46" t="b">
        <f aca="false">ABS(Balance_Sheet!G20-Balance_Sheet!G35)&lt;1</f>
        <v>1</v>
      </c>
      <c r="H8" s="46" t="b">
        <f aca="false">AND(C8,D8,E8,F8,G8)</f>
        <v>1</v>
      </c>
      <c r="I8" s="38" t="s">
        <v>211</v>
      </c>
    </row>
    <row r="9" customFormat="false" ht="15" hidden="false" customHeight="false" outlineLevel="0" collapsed="false">
      <c r="A9" s="6"/>
      <c r="B9" s="26" t="s">
        <v>212</v>
      </c>
      <c r="C9" s="46" t="b">
        <f aca="false">ABS(Balance_Sheet!C9-Cash_Flow!C28)&lt;1</f>
        <v>1</v>
      </c>
      <c r="D9" s="46" t="b">
        <f aca="false">ABS(Balance_Sheet!D9-Cash_Flow!D28)&lt;1</f>
        <v>1</v>
      </c>
      <c r="E9" s="46" t="b">
        <f aca="false">ABS(Balance_Sheet!E9-Cash_Flow!E28)&lt;1</f>
        <v>1</v>
      </c>
      <c r="F9" s="46" t="b">
        <f aca="false">ABS(Balance_Sheet!F9-Cash_Flow!F28)&lt;1</f>
        <v>1</v>
      </c>
      <c r="G9" s="46" t="b">
        <f aca="false">ABS(Balance_Sheet!G9-Cash_Flow!G28)&lt;1</f>
        <v>1</v>
      </c>
      <c r="H9" s="46" t="b">
        <f aca="false">AND(C9,D9,E9,F9,G9)</f>
        <v>1</v>
      </c>
      <c r="I9" s="38" t="s">
        <v>213</v>
      </c>
    </row>
    <row r="10" customFormat="false" ht="15" hidden="false" customHeight="false" outlineLevel="0" collapsed="false">
      <c r="A10" s="6"/>
      <c r="B10" s="26" t="s">
        <v>214</v>
      </c>
      <c r="C10" s="46" t="b">
        <f aca="false">Balance_Sheet!C27&lt;Open_Debt</f>
        <v>1</v>
      </c>
      <c r="D10" s="46" t="b">
        <f aca="false">Balance_Sheet!D27&lt;Balance_Sheet!C27</f>
        <v>1</v>
      </c>
      <c r="E10" s="46" t="b">
        <f aca="false">Balance_Sheet!E27&lt;Balance_Sheet!D27</f>
        <v>1</v>
      </c>
      <c r="F10" s="46" t="b">
        <f aca="false">Balance_Sheet!F27&lt;Balance_Sheet!E27</f>
        <v>1</v>
      </c>
      <c r="G10" s="46" t="b">
        <f aca="false">Balance_Sheet!G27&lt;Balance_Sheet!F27</f>
        <v>1</v>
      </c>
      <c r="H10" s="46" t="b">
        <f aca="false">AND(C10,D10,E10,F10,G10)</f>
        <v>1</v>
      </c>
      <c r="I10" s="38" t="s">
        <v>215</v>
      </c>
    </row>
    <row r="11" customFormat="false" ht="15" hidden="false" customHeight="false" outlineLevel="0" collapsed="false">
      <c r="A11" s="6"/>
      <c r="B11" s="26" t="s">
        <v>216</v>
      </c>
      <c r="C11" s="46" t="b">
        <f aca="false">ABS(Income_Statement!C30)&lt;=Net_PPE_Open+1</f>
        <v>1</v>
      </c>
      <c r="D11" s="46" t="b">
        <f aca="false">ABS(Income_Statement!D30)&lt;=Net_PPE_Open+1</f>
        <v>1</v>
      </c>
      <c r="E11" s="46" t="b">
        <f aca="false">ABS(Income_Statement!E30)&lt;=Net_PPE_Open+1</f>
        <v>1</v>
      </c>
      <c r="F11" s="46" t="b">
        <f aca="false">ABS(Income_Statement!F30)&lt;=Net_PPE_Open+1</f>
        <v>1</v>
      </c>
      <c r="G11" s="46" t="b">
        <f aca="false">ABS(Income_Statement!G30)&lt;=Net_PPE_Open+1</f>
        <v>1</v>
      </c>
      <c r="H11" s="46" t="b">
        <f aca="false">AND(C11,D11,E11,F11,G11)</f>
        <v>1</v>
      </c>
      <c r="I11" s="38" t="s">
        <v>217</v>
      </c>
    </row>
    <row r="12" customFormat="false" ht="15" hidden="false" customHeight="false" outlineLevel="0" collapsed="false">
      <c r="A12" s="6"/>
      <c r="B12" s="26" t="s">
        <v>218</v>
      </c>
      <c r="C12" s="6"/>
      <c r="D12" s="6"/>
      <c r="E12" s="6"/>
      <c r="F12" s="6"/>
      <c r="G12" s="6"/>
      <c r="H12" s="46" t="b">
        <f aca="false">AND(Scenario_Toggle&gt;=1,Scenario_Toggle&lt;=4)</f>
        <v>1</v>
      </c>
      <c r="I12" s="6"/>
    </row>
    <row r="13" customFormat="false" ht="15" hidden="false" customHeight="false" outlineLevel="0" collapsed="false">
      <c r="A13" s="6"/>
      <c r="B13" s="26" t="s">
        <v>219</v>
      </c>
      <c r="C13" s="6"/>
      <c r="D13" s="6"/>
      <c r="E13" s="6"/>
      <c r="F13" s="6"/>
      <c r="G13" s="6"/>
      <c r="H13" s="46" t="b">
        <f aca="false">ABS(Day0_Assets-Day0_Liab-Share_Capital-Open_RE)&lt;1</f>
        <v>1</v>
      </c>
      <c r="I13" s="23" t="s">
        <v>220</v>
      </c>
    </row>
    <row r="14" customFormat="false" ht="15" hidden="false" customHeight="false" outlineLevel="0" collapsed="false">
      <c r="A14" s="6"/>
      <c r="B14" s="26" t="s">
        <v>221</v>
      </c>
      <c r="C14" s="46" t="b">
        <f aca="false">Income_Statement!C12&gt;0</f>
        <v>1</v>
      </c>
      <c r="D14" s="46" t="b">
        <f aca="false">Income_Statement!D12&gt;0</f>
        <v>1</v>
      </c>
      <c r="E14" s="46" t="b">
        <f aca="false">Income_Statement!E12&gt;0</f>
        <v>1</v>
      </c>
      <c r="F14" s="46" t="b">
        <f aca="false">Income_Statement!F12&gt;0</f>
        <v>1</v>
      </c>
      <c r="G14" s="46" t="b">
        <f aca="false">Income_Statement!G12&gt;0</f>
        <v>1</v>
      </c>
      <c r="H14" s="46" t="b">
        <f aca="false">AND(C14,D14,E14,F14,G14)</f>
        <v>1</v>
      </c>
      <c r="I14" s="38" t="s">
        <v>222</v>
      </c>
    </row>
    <row r="15" customFormat="false" ht="15" hidden="false" customHeight="false" outlineLevel="0" collapsed="false">
      <c r="A15" s="6"/>
      <c r="B15" s="26" t="s">
        <v>223</v>
      </c>
      <c r="C15" s="46" t="b">
        <f aca="false">(Materials_Pct+Labour_Pct)&lt;1</f>
        <v>1</v>
      </c>
      <c r="D15" s="6"/>
      <c r="E15" s="6"/>
      <c r="F15" s="6"/>
      <c r="G15" s="6"/>
      <c r="H15" s="46" t="b">
        <f aca="false">C15</f>
        <v>1</v>
      </c>
      <c r="I15" s="6"/>
    </row>
    <row r="16" customFormat="false" ht="15" hidden="false" customHeight="false" outlineLevel="0" collapsed="false">
      <c r="A16" s="6"/>
      <c r="B16" s="26" t="s">
        <v>224</v>
      </c>
      <c r="C16" s="6"/>
      <c r="D16" s="6"/>
      <c r="E16" s="6"/>
      <c r="F16" s="6"/>
      <c r="G16" s="6"/>
      <c r="H16" s="46" t="b">
        <f aca="false">Open_Cash&gt;=0</f>
        <v>1</v>
      </c>
      <c r="I16" s="6"/>
    </row>
    <row r="17" customFormat="false" ht="15" hidden="false" customHeight="false" outlineLevel="0" collapsed="false">
      <c r="A17" s="6"/>
      <c r="B17" s="26" t="s">
        <v>225</v>
      </c>
      <c r="C17" s="46" t="b">
        <f aca="false">Balance_Sheet!C19&gt;=0</f>
        <v>1</v>
      </c>
      <c r="D17" s="46" t="b">
        <f aca="false">Balance_Sheet!D19&gt;=0</f>
        <v>1</v>
      </c>
      <c r="E17" s="46" t="b">
        <f aca="false">Balance_Sheet!E19&gt;=0</f>
        <v>1</v>
      </c>
      <c r="F17" s="46" t="b">
        <f aca="false">Balance_Sheet!F19&gt;=0</f>
        <v>1</v>
      </c>
      <c r="G17" s="46" t="b">
        <f aca="false">Balance_Sheet!G19&gt;=0</f>
        <v>1</v>
      </c>
      <c r="H17" s="46" t="b">
        <f aca="false">AND(C17,D17,E17,F17,G17)</f>
        <v>1</v>
      </c>
      <c r="I17" s="38" t="s">
        <v>226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7" t="s">
        <v>227</v>
      </c>
    </row>
    <row r="3" customFormat="false" ht="3.75" hidden="false" customHeight="true" outlineLevel="0" collapsed="false">
      <c r="B3" s="48"/>
    </row>
    <row r="5" customFormat="false" ht="19.5" hidden="false" customHeight="true" outlineLevel="0" collapsed="false">
      <c r="B5" s="49" t="s">
        <v>228</v>
      </c>
    </row>
    <row r="6" customFormat="false" ht="48" hidden="false" customHeight="true" outlineLevel="0" collapsed="false">
      <c r="B6" s="50" t="s">
        <v>229</v>
      </c>
    </row>
    <row r="8" customFormat="false" ht="19.5" hidden="false" customHeight="true" outlineLevel="0" collapsed="false">
      <c r="B8" s="49" t="s">
        <v>230</v>
      </c>
    </row>
    <row r="9" customFormat="false" ht="61.5" hidden="false" customHeight="true" outlineLevel="0" collapsed="false">
      <c r="B9" s="50" t="s">
        <v>231</v>
      </c>
    </row>
    <row r="11" customFormat="false" ht="19.5" hidden="false" customHeight="true" outlineLevel="0" collapsed="false">
      <c r="B11" s="49" t="s">
        <v>232</v>
      </c>
    </row>
    <row r="12" customFormat="false" ht="75.75" hidden="false" customHeight="true" outlineLevel="0" collapsed="false">
      <c r="B12" s="50" t="s">
        <v>233</v>
      </c>
    </row>
    <row r="14" customFormat="false" ht="19.5" hidden="false" customHeight="true" outlineLevel="0" collapsed="false">
      <c r="B14" s="49" t="s">
        <v>234</v>
      </c>
    </row>
    <row r="15" customFormat="false" ht="61.5" hidden="false" customHeight="true" outlineLevel="0" collapsed="false">
      <c r="B15" s="50" t="s">
        <v>235</v>
      </c>
    </row>
    <row r="17" customFormat="false" ht="19.5" hidden="false" customHeight="true" outlineLevel="0" collapsed="false">
      <c r="B17" s="49" t="s">
        <v>236</v>
      </c>
    </row>
    <row r="18" customFormat="false" ht="33.75" hidden="false" customHeight="true" outlineLevel="0" collapsed="false">
      <c r="B18" s="50" t="s">
        <v>237</v>
      </c>
    </row>
    <row r="20" customFormat="false" ht="19.5" hidden="false" customHeight="true" outlineLevel="0" collapsed="false">
      <c r="B20" s="49" t="s">
        <v>238</v>
      </c>
    </row>
    <row r="21" customFormat="false" ht="33.75" hidden="false" customHeight="true" outlineLevel="0" collapsed="false">
      <c r="B21" s="50" t="s">
        <v>239</v>
      </c>
    </row>
    <row r="23" customFormat="false" ht="21.75" hidden="false" customHeight="true" outlineLevel="0" collapsed="false">
      <c r="B23" s="51" t="s">
        <v>240</v>
      </c>
    </row>
    <row r="25" customFormat="false" ht="18" hidden="false" customHeight="true" outlineLevel="0" collapsed="false">
      <c r="B25" s="52" t="s">
        <v>241</v>
      </c>
    </row>
    <row r="26" customFormat="false" ht="201.75" hidden="false" customHeight="true" outlineLevel="0" collapsed="false">
      <c r="B26" s="53" t="s">
        <v>242</v>
      </c>
    </row>
    <row r="28" customFormat="false" ht="18" hidden="false" customHeight="true" outlineLevel="0" collapsed="false">
      <c r="B28" s="54" t="s">
        <v>243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2026-05-15T18:53:28Z</dcterms:created>
  <dc:creator>openpyxl</dc:creator>
  <dc:description/>
  <dc:language>en-GB</dc:language>
  <cp:lastModifiedBy/>
  <dcterms:modified xsi:type="dcterms:W3CDTF">2026-05-15T18:53:28Z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