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venue_Build" sheetId="3" state="visible" r:id="rId5"/>
    <sheet name="COGS_Gross_Profit" sheetId="4" state="visible" r:id="rId6"/>
    <sheet name="Operating_Expenses" sheetId="5" state="visible" r:id="rId7"/>
    <sheet name="CapEx_Depreciation" sheetId="6" state="visible" r:id="rId8"/>
    <sheet name="Working_Capital" sheetId="7" state="visible" r:id="rId9"/>
    <sheet name="Debt_Schedule" sheetId="8" state="visible" r:id="rId10"/>
    <sheet name="Income_Statement" sheetId="9" state="visible" r:id="rId11"/>
    <sheet name="Balance_Sheet" sheetId="10" state="visible" r:id="rId12"/>
    <sheet name="Cash_Flow" sheetId="11" state="visible" r:id="rId13"/>
    <sheet name="Checks" sheetId="12" state="visible" r:id="rId14"/>
    <sheet name="Disclaimer" sheetId="13" state="visible" r:id="rId15"/>
  </sheets>
  <definedNames>
    <definedName function="false" hidden="false" name="Accrued_Liab_Pct" vbProcedure="false">Assumptions!$C$68</definedName>
    <definedName function="false" hidden="false" name="Accum_Depr_Open" vbProcedure="false">Assumptions!$C$57</definedName>
    <definedName function="false" hidden="false" name="ASP_Erosion_Rate" vbProcedure="false">Assumptions!$C$14</definedName>
    <definedName function="false" hidden="false" name="Attach_Rate" vbProcedure="false">Assumptions!$C$22</definedName>
    <definedName function="false" hidden="false" name="Avg_Contract_Value" vbProcedure="false">Assumptions!$C$23</definedName>
    <definedName function="false" hidden="false" name="CD_Intang_Amort" vbProcedure="false">CapEx_Depreciation!$C$23:$G$23</definedName>
    <definedName function="false" hidden="false" name="CD_Intang_Closing" vbProcedure="false">CapEx_Depreciation!$C$24:$G$24</definedName>
    <definedName function="false" hidden="false" name="CD_PPE_Closing" vbProcedure="false">CapEx_Depreciation!$C$19:$G$19</definedName>
    <definedName function="false" hidden="false" name="CD_Total_CapEx" vbProcedure="false">CapEx_Depreciation!$C$11:$G$11</definedName>
    <definedName function="false" hidden="false" name="CD_Total_Depr" vbProcedure="false">CapEx_Depreciation!$C$18:$G$18</definedName>
    <definedName function="false" hidden="false" name="CF_Closing" vbProcedure="false">Cash_Flow!$C$27:$G$27</definedName>
    <definedName function="false" hidden="false" name="CG_Gross_Profit" vbProcedure="false">COGS_Gross_Profit!$C$16:$G$16</definedName>
    <definedName function="false" hidden="false" name="CG_Total_COGS" vbProcedure="false">COGS_Gross_Profit!$C$14:$G$14</definedName>
    <definedName function="false" hidden="false" name="Commit_Fee_Rate" vbProcedure="false">Assumptions!$C$78</definedName>
    <definedName function="false" hidden="false" name="Connected_Rate" vbProcedure="false">Assumptions!$C$27</definedName>
    <definedName function="false" hidden="false" name="Consum_COGS_Pct" vbProcedure="false">Assumptions!$C$33</definedName>
    <definedName function="false" hidden="false" name="Consum_Rev_Per_Proc" vbProcedure="false">Assumptions!$C$18</definedName>
    <definedName function="false" hidden="false" name="Consum_Vol_Growth" vbProcedure="false">Assumptions!$C$19</definedName>
    <definedName function="false" hidden="false" name="DIO" vbProcedure="false">Assumptions!$C$66</definedName>
    <definedName function="false" hidden="false" name="Dividend_Payout" vbProcedure="false">Assumptions!$C$82</definedName>
    <definedName function="false" hidden="false" name="DPO" vbProcedure="false">Assumptions!$C$67</definedName>
    <definedName function="false" hidden="false" name="DSO" vbProcedure="false">Assumptions!$C$65</definedName>
    <definedName function="false" hidden="false" name="DS_TL_Amort" vbProcedure="false">Debt_Schedule!$C$11:$G$11</definedName>
    <definedName function="false" hidden="false" name="DS_TL_Closing" vbProcedure="false">Debt_Schedule!$C$13:$G$13</definedName>
    <definedName function="false" hidden="false" name="DS_TL_Maturity" vbProcedure="false">Debt_Schedule!$C$12:$G$12</definedName>
    <definedName function="false" hidden="false" name="DS_Total_Interest" vbProcedure="false">Debt_Schedule!$C$22:$G$22</definedName>
    <definedName function="false" hidden="false" name="Equip_ASP" vbProcedure="false">Assumptions!$C$12</definedName>
    <definedName function="false" hidden="false" name="Equip_COGS_Pct" vbProcedure="false">Assumptions!$C$32</definedName>
    <definedName function="false" hidden="false" name="Equip_Units_Y1" vbProcedure="false">Assumptions!$C$11</definedName>
    <definedName function="false" hidden="false" name="Exist_Useful_Life" vbProcedure="false">Assumptions!$C$58</definedName>
    <definedName function="false" hidden="false" name="GA_Base" vbProcedure="false">Assumptions!$C$47</definedName>
    <definedName function="false" hidden="false" name="GA_Growth" vbProcedure="false">Assumptions!$C$48</definedName>
    <definedName function="false" hidden="false" name="Growth_CapEx" vbProcedure="false">Assumptions!$C$55</definedName>
    <definedName function="false" hidden="false" name="Intang_Accum_Amort" vbProcedure="false">Assumptions!$C$61</definedName>
    <definedName function="false" hidden="false" name="Intang_Useful_Life" vbProcedure="false">Assumptions!$C$62</definedName>
    <definedName function="false" hidden="false" name="IS_Dividends" vbProcedure="false">Income_Statement!$C$47:$G$47</definedName>
    <definedName function="false" hidden="false" name="IS_Net_Income" vbProcedure="false">Income_Statement!$C$44:$G$44</definedName>
    <definedName function="false" hidden="false" name="Maint_CapEx_Pct" vbProcedure="false">Assumptions!$C$54</definedName>
    <definedName function="false" hidden="false" name="Model_Start_Year" vbProcedure="false">Assumptions!$C$8</definedName>
    <definedName function="false" hidden="false" name="New_Asset_Life" vbProcedure="false">Assumptions!$C$59</definedName>
    <definedName function="false" hidden="false" name="OE_GA" vbProcedure="false">Operating_Expenses!$C$13:$G$13</definedName>
    <definedName function="false" hidden="false" name="OE_QR" vbProcedure="false">Operating_Expenses!$C$14:$G$14</definedName>
    <definedName function="false" hidden="false" name="OE_RD" vbProcedure="false">Operating_Expenses!$C$9:$G$9</definedName>
    <definedName function="false" hidden="false" name="OE_SM_Total" vbProcedure="false">Operating_Expenses!$C$12:$G$12</definedName>
    <definedName function="false" hidden="false" name="OE_Total_OpEx" vbProcedure="false">Operating_Expenses!$C$15:$G$15</definedName>
    <definedName function="false" hidden="false" name="Open_Cash" vbProcedure="false">Assumptions!$C$85</definedName>
    <definedName function="false" hidden="false" name="Open_Intang_Gross" vbProcedure="false">Assumptions!$C$60</definedName>
    <definedName function="false" hidden="false" name="Open_PPE_Gross" vbProcedure="false">Assumptions!$C$56</definedName>
    <definedName function="false" hidden="false" name="Open_Ret_Earnings" vbProcedure="false">Assumptions!$C$87</definedName>
    <definedName function="false" hidden="false" name="Other_CA_Pct" vbProcedure="false">Assumptions!$C$69</definedName>
    <definedName function="false" hidden="false" name="Other_CL_Pct" vbProcedure="false">Assumptions!$C$70</definedName>
    <definedName function="false" hidden="false" name="Proc_Per_Device" vbProcedure="false">Assumptions!$C$17</definedName>
    <definedName function="false" hidden="false" name="QR_Pct" vbProcedure="false">Assumptions!$C$51</definedName>
    <definedName function="false" hidden="false" name="RB_Consum_Rev" vbProcedure="false">Revenue_Build!$C$18:$G$18</definedName>
    <definedName function="false" hidden="false" name="RB_Equip_Rev" vbProcedure="false">Revenue_Build!$C$11:$G$11</definedName>
    <definedName function="false" hidden="false" name="RB_Svc_Rev" vbProcedure="false">Revenue_Build!$C$22:$G$22</definedName>
    <definedName function="false" hidden="false" name="RB_SW_Rev" vbProcedure="false">Revenue_Build!$C$26:$G$26</definedName>
    <definedName function="false" hidden="false" name="RB_Total_Rev" vbProcedure="false">Revenue_Build!$C$28:$G$28</definedName>
    <definedName function="false" hidden="false" name="RD_Base" vbProcedure="false">Assumptions!$C$39</definedName>
    <definedName function="false" hidden="false" name="RD_Growth" vbProcedure="false">Assumptions!$C$40</definedName>
    <definedName function="false" hidden="false" name="Revolver_Drawn" vbProcedure="false">Assumptions!$C$77</definedName>
    <definedName function="false" hidden="false" name="Revolver_Limit" vbProcedure="false">Assumptions!$C$76</definedName>
    <definedName function="false" hidden="false" name="Share_Capital" vbProcedure="false">Assumptions!$C$86</definedName>
    <definedName function="false" hidden="false" name="SM_Base" vbProcedure="false">Assumptions!$C$43</definedName>
    <definedName function="false" hidden="false" name="SM_Escalation" vbProcedure="false">Assumptions!$C$45</definedName>
    <definedName function="false" hidden="false" name="SM_Var_Pct" vbProcedure="false">Assumptions!$C$44</definedName>
    <definedName function="false" hidden="false" name="Svc_COGS_Pct" vbProcedure="false">Assumptions!$C$34</definedName>
    <definedName function="false" hidden="false" name="Svc_Escalation" vbProcedure="false">Assumptions!$C$24</definedName>
    <definedName function="false" hidden="false" name="SW_Adopt_Growth" vbProcedure="false">Assumptions!$C$29</definedName>
    <definedName function="false" hidden="false" name="SW_COGS_Pct" vbProcedure="false">Assumptions!$C$35</definedName>
    <definedName function="false" hidden="false" name="SW_Licence_Fee" vbProcedure="false">Assumptions!$C$28</definedName>
    <definedName function="false" hidden="false" name="Tax_Rate" vbProcedure="false">Assumptions!$C$81</definedName>
    <definedName function="false" hidden="false" name="Term_Loan_Amt" vbProcedure="false">Assumptions!$C$73</definedName>
    <definedName function="false" hidden="false" name="Term_Loan_Rate" vbProcedure="false">Assumptions!$C$74</definedName>
    <definedName function="false" hidden="false" name="Term_Loan_Tenor" vbProcedure="false">Assumptions!$C$75</definedName>
    <definedName function="false" hidden="false" name="Unit_Growth_Rate" vbProcedure="false">Assumptions!$C$13</definedName>
    <definedName function="false" hidden="false" name="Warranty_Pct" vbProcedure="false">Assumptions!$C$36</definedName>
    <definedName function="false" hidden="false" name="WC_Accrued" vbProcedure="false">Working_Capital!$C$16:$G$16</definedName>
    <definedName function="false" hidden="false" name="WC_AP" vbProcedure="false">Working_Capital!$C$15:$G$15</definedName>
    <definedName function="false" hidden="false" name="WC_AR" vbProcedure="false">Working_Capital!$C$9:$G$9</definedName>
    <definedName function="false" hidden="false" name="WC_Inventory" vbProcedure="false">Working_Capital!$C$10:$G$10</definedName>
    <definedName function="false" hidden="false" name="WC_NWC_Change" vbProcedure="false">Working_Capital!$C$22:$G$22</definedName>
    <definedName function="false" hidden="false" name="WC_Other_CA" vbProcedure="false">Working_Capital!$C$11:$G$11</definedName>
    <definedName function="false" hidden="false" name="WC_Other_CL" vbProcedure="false">Working_Capital!$C$17:$G$17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<sst xmlns="http://schemas.openxmlformats.org/spreadsheetml/2006/main" count="448" uniqueCount="347">
  <si>
    <t xml:space="preserve">MedTech Financial Model</t>
  </si>
  <si>
    <t xml:space="preserve">FINAMODEL.com</t>
  </si>
  <si>
    <t xml:space="preserve">Medical Device Company</t>
  </si>
  <si>
    <t xml:space="preserve">Company Name</t>
  </si>
  <si>
    <t xml:space="preserve">[Company Name]</t>
  </si>
  <si>
    <t xml:space="preserve">Sub-Sector</t>
  </si>
  <si>
    <t xml:space="preserve">Surgical Devices</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</si>
  <si>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</si>
  <si>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</si>
  <si>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</si>
  <si>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</si>
  <si>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</si>
  <si>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</si>
  <si>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</si>
  <si>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Assumptions</t>
  </si>
  <si>
    <t xml:space="preserve">All model inputs and drivers</t>
  </si>
  <si>
    <t xml:space="preserve">Revenue_Build</t>
  </si>
  <si>
    <t xml:space="preserve">Bottom-up revenue by segment</t>
  </si>
  <si>
    <t xml:space="preserve">COGS_Gross_Profit</t>
  </si>
  <si>
    <t xml:space="preserve">Cost of goods sold, gross profit</t>
  </si>
  <si>
    <t xml:space="preserve">Operating_Expenses</t>
  </si>
  <si>
    <t xml:space="preserve">R&amp;D, S&amp;M, G&amp;A, Quality</t>
  </si>
  <si>
    <t xml:space="preserve">CapEx_Depreciation</t>
  </si>
  <si>
    <t xml:space="preserve">PP&amp;E, intangibles, D&amp;A</t>
  </si>
  <si>
    <t xml:space="preserve">Working_Capital</t>
  </si>
  <si>
    <t xml:space="preserve">WC items and changes</t>
  </si>
  <si>
    <t xml:space="preserve">Debt_Schedule</t>
  </si>
  <si>
    <t xml:space="preserve">Term loan, revolver, interest</t>
  </si>
  <si>
    <t xml:space="preserve">Income_Statement</t>
  </si>
  <si>
    <t xml:space="preserve">Revenue to Net Income</t>
  </si>
  <si>
    <t xml:space="preserve">Balance_Sheet</t>
  </si>
  <si>
    <t xml:space="preserve">Assets, Liabilities, Equity</t>
  </si>
  <si>
    <t xml:space="preserve">Cash_Flow</t>
  </si>
  <si>
    <t xml:space="preserve">Operating, Investing, Financing</t>
  </si>
  <si>
    <t xml:space="preserve">Checks</t>
  </si>
  <si>
    <t xml:space="preserve">Model validation checks</t>
  </si>
  <si>
    <t xml:space="preserve">Tab Colour Legend</t>
  </si>
  <si>
    <t xml:space="preserve">Dark Blue</t>
  </si>
  <si>
    <t xml:space="preserve">Cover</t>
  </si>
  <si>
    <t xml:space="preserve">Light Blue</t>
  </si>
  <si>
    <t xml:space="preserve">Assumptions / Inputs</t>
  </si>
  <si>
    <t xml:space="preserve">Green</t>
  </si>
  <si>
    <t xml:space="preserve">Revenue and Gross Profit</t>
  </si>
  <si>
    <t xml:space="preserve">Orange</t>
  </si>
  <si>
    <t xml:space="preserve">Cost and Expense Schedules</t>
  </si>
  <si>
    <t xml:space="preserve">Red</t>
  </si>
  <si>
    <t xml:space="preserve">Debt Schedule</t>
  </si>
  <si>
    <t xml:space="preserve">Grey</t>
  </si>
  <si>
    <t xml:space="preserve">Financial Statements</t>
  </si>
  <si>
    <t xml:space="preserve">Purple</t>
  </si>
  <si>
    <t xml:space="preserve">Validation Checks</t>
  </si>
  <si>
    <t xml:space="preserve">About this model</t>
  </si>
  <si>
    <t xml:space="preserve">A Medical Device Financial Model projects commercial-stage medtech company performance, capturing the razor-blade economics of capital equipment sales funding high-margin recurring revenue. The model forecasts capital equipment unit sales (e.g., 500 units Year 1, growing 8% annually at $75K ASP), installed base accumulation (150 procedures per device per year Ã 3-year lives = 450 device-years), consumables revenue ($350/procedure Ã 150 procedures Ã installed base), service contracts (70% attach rate Ã $7,500/year), and software subscriptions (40% of installed base Ã $15K/year). Blended gross margin inflects upward as consumables and software (75-85% margins) mix shifts; equipment (45% margin) represents a smaller share over time. Year 1 EBITDA margin is typically 8-12%; maturity (Year 5+) reaches 20-25% as fixed opex is absorbed.
The Revenue_Build sheet segments by product type, linking capital equipment unit shipments to installed base and consumable demand. COGS_Gross_Profit applies segment-specific gross margins (55% equipment, 25% consumables, 40% service, 15% software) rather than a blended rateâthis prevents underestimating profitability in later years as consumables/software grow. Operating_Expenses model R&amp;D (fixed $12M base plus inflation, non-discretionary for FDA compliance), S&amp;M ($18M + 3% of incremental revenue, reflecting direct sales force for hospital selling), G&amp;A, and Quality/Regulatory (3.5% of revenue). CapEx includes maintenance capex (3% of revenue) and growth capex ($5M Y1-Y2, then zero). Working Capital is material due to 65-day DSO (hospital payment cycle) + 110-day DIO (consignment stock, sterilization holds) â 50-day DPO = ~125-day cash conversion cycle.
This model applies to medtech investors, M&amp;A buyers, and public company investors evaluating commercial-stage device companies. Typical financial milestones include &gt;15% EBITDA margins by Year 3, 15-18% unlevered FCF margins in steady state, and 20-25% ROE after capital costs. Sensitivity to reimbursement rates (GPO pricing power, insurance coverage), manufacturing scale (learning curves reducing unit costs), and installed base growth rate (determines consumables acceleration) is acute.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</si>
  <si>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</si>
  <si>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</si>
  <si>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</si>
  <si>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</si>
  <si>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</si>
  <si>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</si>
  <si>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</si>
  <si>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</si>
  <si>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</si>
  <si>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</si>
  <si>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</si>
  <si>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</si>
  <si>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Capital Equipment</t>
  </si>
  <si>
    <t xml:space="preserve">Units Sold (Year 1)</t>
  </si>
  <si>
    <t xml:space="preserve">units</t>
  </si>
  <si>
    <t xml:space="preserve">Base year sales volume</t>
  </si>
  <si>
    <t xml:space="preserve">Average Selling Price</t>
  </si>
  <si>
    <t xml:space="preserve">$</t>
  </si>
  <si>
    <t xml:space="preserve">Per unit</t>
  </si>
  <si>
    <t xml:space="preserve">Unit Growth Rate</t>
  </si>
  <si>
    <t xml:space="preserve">%</t>
  </si>
  <si>
    <t xml:space="preserve">Annual unit growth</t>
  </si>
  <si>
    <t xml:space="preserve">ASP Erosion Rate</t>
  </si>
  <si>
    <t xml:space="preserve">Annual price decline</t>
  </si>
  <si>
    <t xml:space="preserve">Consumables</t>
  </si>
  <si>
    <t xml:space="preserve">Procedures per Device/Yr</t>
  </si>
  <si>
    <t xml:space="preserve">#</t>
  </si>
  <si>
    <t xml:space="preserve">Annual utilisation</t>
  </si>
  <si>
    <t xml:space="preserve">Consumable Rev/Procedure</t>
  </si>
  <si>
    <t xml:space="preserve">Single-use kit</t>
  </si>
  <si>
    <t xml:space="preserve">Procedure Volume Growth</t>
  </si>
  <si>
    <t xml:space="preserve">Per-device annual growth</t>
  </si>
  <si>
    <t xml:space="preserve">Service Contracts</t>
  </si>
  <si>
    <t xml:space="preserve">Service Attach Rate</t>
  </si>
  <si>
    <t xml:space="preserve">% of installed base</t>
  </si>
  <si>
    <t xml:space="preserve">Avg Contract Value</t>
  </si>
  <si>
    <t xml:space="preserve">Annual per device</t>
  </si>
  <si>
    <t xml:space="preserve">Contract Escalation</t>
  </si>
  <si>
    <t xml:space="preserve">Annual price increase</t>
  </si>
  <si>
    <t xml:space="preserve">Software &amp; Digital</t>
  </si>
  <si>
    <t xml:space="preserve">Connected Device Rate</t>
  </si>
  <si>
    <t xml:space="preserve">Annual Licence Fee</t>
  </si>
  <si>
    <t xml:space="preserve">Per connected device</t>
  </si>
  <si>
    <t xml:space="preserve">Adoption Growth</t>
  </si>
  <si>
    <t xml:space="preserve">%p.a.</t>
  </si>
  <si>
    <t xml:space="preserve">Annual rate increase</t>
  </si>
  <si>
    <t xml:space="preserve">Cost of Goods Sold</t>
  </si>
  <si>
    <t xml:space="preserve">Equipment COGS %</t>
  </si>
  <si>
    <t xml:space="preserve">As % of equip revenue</t>
  </si>
  <si>
    <t xml:space="preserve">Consumable COGS %</t>
  </si>
  <si>
    <t xml:space="preserve">As % of consum revenue</t>
  </si>
  <si>
    <t xml:space="preserve">Service COGS %</t>
  </si>
  <si>
    <t xml:space="preserve">As % of service revenue</t>
  </si>
  <si>
    <t xml:space="preserve">Software COGS %</t>
  </si>
  <si>
    <t xml:space="preserve">As % of software revenue</t>
  </si>
  <si>
    <t xml:space="preserve">Warranty Provision %</t>
  </si>
  <si>
    <t xml:space="preserve">% of total revenue</t>
  </si>
  <si>
    <t xml:space="preserve">Research &amp; Development</t>
  </si>
  <si>
    <t xml:space="preserve">R&amp;D Base Spend</t>
  </si>
  <si>
    <t xml:space="preserve">Year 1</t>
  </si>
  <si>
    <t xml:space="preserve">R&amp;D Growth Rate</t>
  </si>
  <si>
    <t xml:space="preserve">Annual escalation</t>
  </si>
  <si>
    <t xml:space="preserve">Sales &amp; Marketing</t>
  </si>
  <si>
    <t xml:space="preserve">S&amp;M Fixed Base</t>
  </si>
  <si>
    <t xml:space="preserve">Year 1 fixed component</t>
  </si>
  <si>
    <t xml:space="preserve">S&amp;M Variable %</t>
  </si>
  <si>
    <t xml:space="preserve">S&amp;M Fixed Escalation</t>
  </si>
  <si>
    <t xml:space="preserve">Annual fixed growth</t>
  </si>
  <si>
    <t xml:space="preserve">General &amp; Administrative</t>
  </si>
  <si>
    <t xml:space="preserve">G&amp;A Base Spend</t>
  </si>
  <si>
    <t xml:space="preserve">G&amp;A Growth Rate</t>
  </si>
  <si>
    <t xml:space="preserve">Quality &amp; Regulatory</t>
  </si>
  <si>
    <t xml:space="preserve">Q&amp;R % of Revenue</t>
  </si>
  <si>
    <t xml:space="preserve">Ongoing compliance</t>
  </si>
  <si>
    <t xml:space="preserve">CapEx &amp; Depreciation</t>
  </si>
  <si>
    <t xml:space="preserve">Maintenance CapEx %</t>
  </si>
  <si>
    <t xml:space="preserve">% of revenue</t>
  </si>
  <si>
    <t xml:space="preserve">Growth CapEx</t>
  </si>
  <si>
    <t xml:space="preserve">Annual expansion</t>
  </si>
  <si>
    <t xml:space="preserve">Opening PP&amp;E (Gross)</t>
  </si>
  <si>
    <t xml:space="preserve">Existing assets</t>
  </si>
  <si>
    <t xml:space="preserve">Accum. Depreciation</t>
  </si>
  <si>
    <t xml:space="preserve">At start</t>
  </si>
  <si>
    <t xml:space="preserve">Existing Useful Life</t>
  </si>
  <si>
    <t xml:space="preserve">years</t>
  </si>
  <si>
    <t xml:space="preserve">Straight-line</t>
  </si>
  <si>
    <t xml:space="preserve">New Asset Useful Life</t>
  </si>
  <si>
    <t xml:space="preserve">Opening Intangibles</t>
  </si>
  <si>
    <t xml:space="preserve">Patents, clearances</t>
  </si>
  <si>
    <t xml:space="preserve">Intang. Accum. Amort</t>
  </si>
  <si>
    <t xml:space="preserve">Intangible Useful Life</t>
  </si>
  <si>
    <t xml:space="preserve">Weighted average</t>
  </si>
  <si>
    <t xml:space="preserve">Working Capital</t>
  </si>
  <si>
    <t xml:space="preserve">Days Sales Outstanding</t>
  </si>
  <si>
    <t xml:space="preserve">days</t>
  </si>
  <si>
    <t xml:space="preserve">Hospital terms</t>
  </si>
  <si>
    <t xml:space="preserve">Days Inventory On Hand</t>
  </si>
  <si>
    <t xml:space="preserve">Incl. consignment</t>
  </si>
  <si>
    <t xml:space="preserve">Days Payable Outstanding</t>
  </si>
  <si>
    <t xml:space="preserve">Supplier terms</t>
  </si>
  <si>
    <t xml:space="preserve">Accrued Liabilities %</t>
  </si>
  <si>
    <t xml:space="preserve">% of total OpEx</t>
  </si>
  <si>
    <t xml:space="preserve">Other Current Assets %</t>
  </si>
  <si>
    <t xml:space="preserve">Other Current Liab. %</t>
  </si>
  <si>
    <t xml:space="preserve">Debt</t>
  </si>
  <si>
    <t xml:space="preserve">Term Loan Amount</t>
  </si>
  <si>
    <t xml:space="preserve">Senior secured</t>
  </si>
  <si>
    <t xml:space="preserve">Term Loan Rate</t>
  </si>
  <si>
    <t xml:space="preserve">SOFR + 250bps</t>
  </si>
  <si>
    <t xml:space="preserve">Term Loan Tenor</t>
  </si>
  <si>
    <t xml:space="preserve">Amortisation period</t>
  </si>
  <si>
    <t xml:space="preserve">Revolver Limit</t>
  </si>
  <si>
    <t xml:space="preserve">WC facility</t>
  </si>
  <si>
    <t xml:space="preserve">Revolver Drawn</t>
  </si>
  <si>
    <t xml:space="preserve">Initially undrawn</t>
  </si>
  <si>
    <t xml:space="preserve">Commitment Fee Rate</t>
  </si>
  <si>
    <t xml:space="preserve">On undrawn amount</t>
  </si>
  <si>
    <t xml:space="preserve">Tax &amp; Dividends</t>
  </si>
  <si>
    <t xml:space="preserve">Corporate Tax Rate</t>
  </si>
  <si>
    <t xml:space="preserve">Blended rate</t>
  </si>
  <si>
    <t xml:space="preserve">Dividend Payout Ratio</t>
  </si>
  <si>
    <t xml:space="preserve">Growth stage</t>
  </si>
  <si>
    <t xml:space="preserve">Opening Balance Sheet</t>
  </si>
  <si>
    <t xml:space="preserve">Opening Cash</t>
  </si>
  <si>
    <t xml:space="preserve">Starting position</t>
  </si>
  <si>
    <t xml:space="preserve">Share Capital</t>
  </si>
  <si>
    <t xml:space="preserve">Equity invested</t>
  </si>
  <si>
    <t xml:space="preserve">Opening Ret. Earnings</t>
  </si>
  <si>
    <t xml:space="preserve">Live formula — backs into Y0 BS balance</t>
  </si>
  <si>
    <t xml:space="preserve">Revenue Build</t>
  </si>
  <si>
    <t xml:space="preserve">Segment Detail</t>
  </si>
  <si>
    <t xml:space="preserve">Year #</t>
  </si>
  <si>
    <t xml:space="preserve">Units Sold</t>
  </si>
  <si>
    <t xml:space="preserve">Equipment Revenue</t>
  </si>
  <si>
    <t xml:space="preserve">Installed Base</t>
  </si>
  <si>
    <t xml:space="preserve">Opening Installed Base</t>
  </si>
  <si>
    <t xml:space="preserve">New Additions</t>
  </si>
  <si>
    <t xml:space="preserve">Closing Installed Base</t>
  </si>
  <si>
    <t xml:space="preserve">Consumable Revenue</t>
  </si>
  <si>
    <t xml:space="preserve">Serviceable Base</t>
  </si>
  <si>
    <t xml:space="preserve">Service Revenue</t>
  </si>
  <si>
    <t xml:space="preserve">Connected Devices</t>
  </si>
  <si>
    <t xml:space="preserve">Software Revenue</t>
  </si>
  <si>
    <t xml:space="preserve">TOTAL REVENUE</t>
  </si>
  <si>
    <t xml:space="preserve">Revenue Mix</t>
  </si>
  <si>
    <t xml:space="preserve">Equipment %</t>
  </si>
  <si>
    <t xml:space="preserve">Consumables %</t>
  </si>
  <si>
    <t xml:space="preserve">Service %</t>
  </si>
  <si>
    <t xml:space="preserve">Software %</t>
  </si>
  <si>
    <t xml:space="preserve">Gross Profit</t>
  </si>
  <si>
    <t xml:space="preserve">Equipment COGS</t>
  </si>
  <si>
    <t xml:space="preserve">Consumable COGS</t>
  </si>
  <si>
    <t xml:space="preserve">Service COGS</t>
  </si>
  <si>
    <t xml:space="preserve">Software COGS</t>
  </si>
  <si>
    <t xml:space="preserve">Warranty Provision</t>
  </si>
  <si>
    <t xml:space="preserve">TOTAL COGS</t>
  </si>
  <si>
    <t xml:space="preserve">GROSS PROFIT</t>
  </si>
  <si>
    <t xml:space="preserve">Gross Margin</t>
  </si>
  <si>
    <t xml:space="preserve">Operating Expenses</t>
  </si>
  <si>
    <t xml:space="preserve">OpEx Detail</t>
  </si>
  <si>
    <t xml:space="preserve">S&amp;M Fixed</t>
  </si>
  <si>
    <t xml:space="preserve">S&amp;M Variable</t>
  </si>
  <si>
    <t xml:space="preserve">Total Sales &amp; Marketing</t>
  </si>
  <si>
    <t xml:space="preserve">TOTAL OPEX</t>
  </si>
  <si>
    <t xml:space="preserve">EBITDA</t>
  </si>
  <si>
    <t xml:space="preserve">EBITDA Margin</t>
  </si>
  <si>
    <t xml:space="preserve">PP&amp;E and Intangibles</t>
  </si>
  <si>
    <t xml:space="preserve">Capital Expenditure</t>
  </si>
  <si>
    <t xml:space="preserve">Maintenance CapEx</t>
  </si>
  <si>
    <t xml:space="preserve">Total CapEx</t>
  </si>
  <si>
    <t xml:space="preserve">PP&amp;E Schedule</t>
  </si>
  <si>
    <t xml:space="preserve">Opening PP&amp;E (Net)</t>
  </si>
  <si>
    <t xml:space="preserve">Additions (CapEx)</t>
  </si>
  <si>
    <t xml:space="preserve">Depr. (Existing Assets)</t>
  </si>
  <si>
    <t xml:space="preserve">Depr. (New Assets)</t>
  </si>
  <si>
    <t xml:space="preserve">Total Depreciation</t>
  </si>
  <si>
    <t xml:space="preserve">Closing PP&amp;E (Net)</t>
  </si>
  <si>
    <t xml:space="preserve">Intangible Assets</t>
  </si>
  <si>
    <t xml:space="preserve">Opening Intangibles (Net)</t>
  </si>
  <si>
    <t xml:space="preserve">Amortisation</t>
  </si>
  <si>
    <t xml:space="preserve">Closing Intangibles (Net)</t>
  </si>
  <si>
    <t xml:space="preserve">TOTAL D&amp;A</t>
  </si>
  <si>
    <t xml:space="preserve">Balance and Changes</t>
  </si>
  <si>
    <t xml:space="preserve">Current Assets (ex-Cash)</t>
  </si>
  <si>
    <t xml:space="preserve">Accounts Receivable</t>
  </si>
  <si>
    <t xml:space="preserve">Inventory</t>
  </si>
  <si>
    <t xml:space="preserve">Other Current Assets</t>
  </si>
  <si>
    <t xml:space="preserve">Total WC Assets</t>
  </si>
  <si>
    <t xml:space="preserve">Current Liabilities (ex-Debt)</t>
  </si>
  <si>
    <t xml:space="preserve">Accounts Payable</t>
  </si>
  <si>
    <t xml:space="preserve">Accrued Liabilities</t>
  </si>
  <si>
    <t xml:space="preserve">Other Current Liabilities</t>
  </si>
  <si>
    <t xml:space="preserve">Total WC Liabilities</t>
  </si>
  <si>
    <t xml:space="preserve">Net Working Capital</t>
  </si>
  <si>
    <t xml:space="preserve">Working Capital Change</t>
  </si>
  <si>
    <t xml:space="preserve">Change in NWC</t>
  </si>
  <si>
    <t xml:space="preserve">Term Loan &amp; Revolver</t>
  </si>
  <si>
    <t xml:space="preserve">Term Loan</t>
  </si>
  <si>
    <t xml:space="preserve">Opening Balance</t>
  </si>
  <si>
    <t xml:space="preserve">Drawdown</t>
  </si>
  <si>
    <t xml:space="preserve">Maturity Repayment</t>
  </si>
  <si>
    <t xml:space="preserve">Closing Balance</t>
  </si>
  <si>
    <t xml:space="preserve">Interest Expense</t>
  </si>
  <si>
    <t xml:space="preserve">Revolving Credit Facility</t>
  </si>
  <si>
    <t xml:space="preserve">Facility Limit</t>
  </si>
  <si>
    <t xml:space="preserve">Drawn Amount</t>
  </si>
  <si>
    <t xml:space="preserve">Undrawn Amount</t>
  </si>
  <si>
    <t xml:space="preserve">Commitment Fee</t>
  </si>
  <si>
    <t xml:space="preserve">TOTAL INTEREST &amp; FEES</t>
  </si>
  <si>
    <t xml:space="preserve">Income Statement</t>
  </si>
  <si>
    <t xml:space="preserve">Annual Projections</t>
  </si>
  <si>
    <t xml:space="preserve">Revenue</t>
  </si>
  <si>
    <t xml:space="preserve">Total Revenue</t>
  </si>
  <si>
    <t xml:space="preserve">Total COGS</t>
  </si>
  <si>
    <t xml:space="preserve">Total OpEx</t>
  </si>
  <si>
    <t xml:space="preserve">Depreciation &amp; Amortisation</t>
  </si>
  <si>
    <t xml:space="preserve">Depreciation</t>
  </si>
  <si>
    <t xml:space="preserve">Total D&amp;A</t>
  </si>
  <si>
    <t xml:space="preserve">EBIT</t>
  </si>
  <si>
    <t xml:space="preserve">Interest</t>
  </si>
  <si>
    <t xml:space="preserve">Interest &amp; Fees</t>
  </si>
  <si>
    <t xml:space="preserve">EBT</t>
  </si>
  <si>
    <t xml:space="preserve">Tax</t>
  </si>
  <si>
    <t xml:space="preserve">Income Tax</t>
  </si>
  <si>
    <t xml:space="preserve">NET INCOME</t>
  </si>
  <si>
    <t xml:space="preserve">Net Margin</t>
  </si>
  <si>
    <t xml:space="preserve">Dividends</t>
  </si>
  <si>
    <t xml:space="preserve">Balance Sheet</t>
  </si>
  <si>
    <t xml:space="preserve">Year-End Positions</t>
  </si>
  <si>
    <t xml:space="preserve">Assets</t>
  </si>
  <si>
    <t xml:space="preserve">Current Assets</t>
  </si>
  <si>
    <t xml:space="preserve">Cash &amp; Equivalents</t>
  </si>
  <si>
    <t xml:space="preserve">Total Current Assets</t>
  </si>
  <si>
    <t xml:space="preserve">Non-Current Assets</t>
  </si>
  <si>
    <t xml:space="preserve">Net PP&amp;E</t>
  </si>
  <si>
    <t xml:space="preserve">Net Intangibles</t>
  </si>
  <si>
    <t xml:space="preserve">Total Non-Current Assets</t>
  </si>
  <si>
    <t xml:space="preserve">TOTAL ASSETS</t>
  </si>
  <si>
    <t xml:space="preserve">Liabilities</t>
  </si>
  <si>
    <t xml:space="preserve">Current Liabilities</t>
  </si>
  <si>
    <t xml:space="preserve">Current Portion of LTD</t>
  </si>
  <si>
    <t xml:space="preserve">Total Current Liabilities</t>
  </si>
  <si>
    <t xml:space="preserve">Non-Current Liabilities</t>
  </si>
  <si>
    <t xml:space="preserve">Long-Term Debt</t>
  </si>
  <si>
    <t xml:space="preserve">Total Non-Current Liab.</t>
  </si>
  <si>
    <t xml:space="preserve">TOTAL LIABILITIES</t>
  </si>
  <si>
    <t xml:space="preserve">Equity</t>
  </si>
  <si>
    <t xml:space="preserve">Retained Earnings</t>
  </si>
  <si>
    <t xml:space="preserve">TOTAL EQUITY</t>
  </si>
  <si>
    <t xml:space="preserve">TOTAL LIABILITIES &amp; EQUITY</t>
  </si>
  <si>
    <t xml:space="preserve">Balance Check</t>
  </si>
  <si>
    <t xml:space="preserve">Cash Flow Statement</t>
  </si>
  <si>
    <t xml:space="preserve">Indirect Method</t>
  </si>
  <si>
    <t xml:space="preserve">Operating Activities</t>
  </si>
  <si>
    <t xml:space="preserve">Net Income</t>
  </si>
  <si>
    <t xml:space="preserve">Cash from Operations</t>
  </si>
  <si>
    <t xml:space="preserve">Investing Activities</t>
  </si>
  <si>
    <t xml:space="preserve">Cash from Investing</t>
  </si>
  <si>
    <t xml:space="preserve">Financing Activities</t>
  </si>
  <si>
    <t xml:space="preserve">Debt Proceeds</t>
  </si>
  <si>
    <t xml:space="preserve">Debt Repayment</t>
  </si>
  <si>
    <t xml:space="preserve">Dividends Paid</t>
  </si>
  <si>
    <t xml:space="preserve">Cash from Financing</t>
  </si>
  <si>
    <t xml:space="preserve">NET CHANGE IN CASH</t>
  </si>
  <si>
    <t xml:space="preserve">CLOSING CASH</t>
  </si>
  <si>
    <t xml:space="preserve">Model Checks</t>
  </si>
  <si>
    <t xml:space="preserve">Validation</t>
  </si>
  <si>
    <t xml:space="preserve">BS Balance Check</t>
  </si>
  <si>
    <t xml:space="preserve">Gross Margin (50-75%)</t>
  </si>
  <si>
    <t xml:space="preserve">EBITDA Margin (10-35%)</t>
  </si>
  <si>
    <t xml:space="preserve">DSO (40-90 days)</t>
  </si>
  <si>
    <t xml:space="preserve">DIO (60-150 days)</t>
  </si>
  <si>
    <t xml:space="preserve">Cash Positive</t>
  </si>
  <si>
    <t xml:space="preserve">Interest Coverage (&gt;2.5x)</t>
  </si>
  <si>
    <t xml:space="preserve">Revenue Growth (&lt;30%)</t>
  </si>
  <si>
    <t xml:space="preserve">R&amp;D % Revenue (6-18%)</t>
  </si>
  <si>
    <t xml:space="preserve">NWC/Revenue (15-40%)</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</si>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</sst>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
    <numFmt numFmtId="169" formatCode="@"/>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4">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7030A0"/>
        <bgColor rgb="FF993366"/>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4" fontId="12" fillId="10" borderId="0" xfId="0" applyFont="true" applyBorder="false" applyAlignment="true" applyProtection="false">
      <alignment horizontal="left" vertical="center" textRotation="0" wrapText="false" indent="0" shrinkToFit="false"/>
      <protection locked="true" hidden="false"/>
    </xf>
    <xf numFmtId="164" fontId="13" fillId="1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5" fontId="18" fillId="11"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1"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7" fontId="1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1"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5" fontId="19"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9" fontId="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2"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3"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7030A0"/>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4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7" t="s">
        <v>11</v>
      </c>
      <c r="C9" s="8" t="s">
        <v>12</v>
      </c>
      <c r="D9" s="6"/>
    </row>
    <row r="10" customFormat="false" ht="15" hidden="false" customHeight="false" outlineLevel="0" collapsed="false">
      <c r="A10" s="6"/>
      <c r="B10" s="6"/>
      <c r="C10" s="6"/>
      <c r="D10" s="6"/>
    </row>
    <row r="11" customFormat="false" ht="15" hidden="false" customHeight="false" outlineLevel="0" collapsed="false">
      <c r="A11" s="6"/>
      <c r="B11" s="9" t="s">
        <v>13</v>
      </c>
      <c r="C11" s="10"/>
      <c r="D11" s="10"/>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7" t="s">
        <v>26</v>
      </c>
      <c r="C18" s="8" t="s">
        <v>27</v>
      </c>
      <c r="D18" s="6"/>
    </row>
    <row r="19" customFormat="false" ht="15" hidden="false" customHeight="false" outlineLevel="0" collapsed="false">
      <c r="A19" s="6"/>
      <c r="B19" s="7" t="s">
        <v>28</v>
      </c>
      <c r="C19" s="8" t="s">
        <v>29</v>
      </c>
      <c r="D19" s="6"/>
    </row>
    <row r="20" customFormat="false" ht="15" hidden="false" customHeight="false" outlineLevel="0" collapsed="false">
      <c r="A20" s="6"/>
      <c r="B20" s="7" t="s">
        <v>30</v>
      </c>
      <c r="C20" s="8" t="s">
        <v>31</v>
      </c>
      <c r="D20" s="6"/>
    </row>
    <row r="21" customFormat="false" ht="15" hidden="false" customHeight="false" outlineLevel="0" collapsed="false">
      <c r="A21" s="6"/>
      <c r="B21" s="7" t="s">
        <v>32</v>
      </c>
      <c r="C21" s="8" t="s">
        <v>33</v>
      </c>
      <c r="D21" s="6"/>
    </row>
    <row r="22" customFormat="false" ht="15" hidden="false" customHeight="false" outlineLevel="0" collapsed="false">
      <c r="A22" s="6"/>
      <c r="B22" s="7" t="s">
        <v>34</v>
      </c>
      <c r="C22" s="8" t="s">
        <v>35</v>
      </c>
      <c r="D22" s="6"/>
    </row>
    <row r="23" customFormat="false" ht="15" hidden="false" customHeight="false" outlineLevel="0" collapsed="false">
      <c r="A23" s="6"/>
      <c r="B23" s="6"/>
      <c r="C23" s="6"/>
      <c r="D23" s="6"/>
    </row>
    <row r="24" customFormat="false" ht="15" hidden="false" customHeight="false" outlineLevel="0" collapsed="false">
      <c r="A24" s="6"/>
      <c r="B24" s="9" t="s">
        <v>36</v>
      </c>
      <c r="C24" s="10"/>
      <c r="D24" s="10"/>
    </row>
    <row r="25" customFormat="false" ht="15" hidden="false" customHeight="false" outlineLevel="0" collapsed="false">
      <c r="A25" s="6"/>
      <c r="B25" s="7" t="s">
        <v>37</v>
      </c>
      <c r="C25" s="8" t="s">
        <v>38</v>
      </c>
      <c r="D25" s="11"/>
    </row>
    <row r="26" customFormat="false" ht="15" hidden="false" customHeight="false" outlineLevel="0" collapsed="false">
      <c r="A26" s="6"/>
      <c r="B26" s="7" t="s">
        <v>39</v>
      </c>
      <c r="C26" s="8" t="s">
        <v>40</v>
      </c>
      <c r="D26" s="12"/>
    </row>
    <row r="27" customFormat="false" ht="15" hidden="false" customHeight="false" outlineLevel="0" collapsed="false">
      <c r="A27" s="6"/>
      <c r="B27" s="7" t="s">
        <v>41</v>
      </c>
      <c r="C27" s="8" t="s">
        <v>42</v>
      </c>
      <c r="D27" s="13"/>
    </row>
    <row r="28" customFormat="false" ht="15" hidden="false" customHeight="false" outlineLevel="0" collapsed="false">
      <c r="A28" s="6"/>
      <c r="B28" s="7" t="s">
        <v>43</v>
      </c>
      <c r="C28" s="8" t="s">
        <v>44</v>
      </c>
      <c r="D28" s="14"/>
    </row>
    <row r="29" customFormat="false" ht="15" hidden="false" customHeight="false" outlineLevel="0" collapsed="false">
      <c r="A29" s="6"/>
      <c r="B29" s="7" t="s">
        <v>45</v>
      </c>
      <c r="C29" s="8" t="s">
        <v>46</v>
      </c>
      <c r="D29" s="15"/>
    </row>
    <row r="30" customFormat="false" ht="15" hidden="false" customHeight="false" outlineLevel="0" collapsed="false">
      <c r="A30" s="6"/>
      <c r="B30" s="7" t="s">
        <v>47</v>
      </c>
      <c r="C30" s="8" t="s">
        <v>48</v>
      </c>
      <c r="D30" s="16"/>
    </row>
    <row r="31" customFormat="false" ht="15" hidden="false" customHeight="false" outlineLevel="0" collapsed="false">
      <c r="A31" s="6"/>
      <c r="B31" s="7" t="s">
        <v>49</v>
      </c>
      <c r="C31" s="8" t="s">
        <v>50</v>
      </c>
      <c r="D31" s="17"/>
    </row>
    <row r="34" customFormat="false" ht="19.5" hidden="false" customHeight="true" outlineLevel="0" collapsed="false">
      <c r="B34" s="18" t="s">
        <v>51</v>
      </c>
      <c r="C34" s="19"/>
      <c r="D34" s="19"/>
      <c r="E34" s="19"/>
      <c r="F34" s="19"/>
      <c r="G34" s="19"/>
    </row>
    <row r="35" customFormat="false" ht="296.25" hidden="false" customHeight="true" outlineLevel="0" collapsed="false">
      <c r="B35" s="20" t="s">
        <v>52</v>
      </c>
      <c r="C35" s="20"/>
      <c r="D35" s="20"/>
      <c r="E35" s="20"/>
      <c r="F35" s="20"/>
      <c r="G35" s="20"/>
    </row>
    <row r="37" customFormat="false" ht="19.5" hidden="false" customHeight="true" outlineLevel="0" collapsed="false">
      <c r="B37" s="18" t="s">
        <v>53</v>
      </c>
      <c r="C37" s="19"/>
      <c r="D37" s="19"/>
      <c r="E37" s="19"/>
      <c r="F37" s="19"/>
      <c r="G37" s="19"/>
    </row>
    <row r="38" customFormat="false" ht="57" hidden="false" customHeight="true" outlineLevel="0" collapsed="false">
      <c r="B38" s="20" t="s">
        <v>54</v>
      </c>
      <c r="C38" s="20"/>
      <c r="D38" s="20"/>
      <c r="E38" s="20"/>
      <c r="F38" s="20"/>
      <c r="G38" s="20"/>
    </row>
    <row r="39" customFormat="false" ht="15" hidden="false" customHeight="false" outlineLevel="0" collapsed="false">
      <c r="B39" s="21" t="s">
        <v>55</v>
      </c>
      <c r="C39" s="21"/>
      <c r="D39" s="21"/>
      <c r="E39" s="21"/>
      <c r="F39" s="21"/>
      <c r="G39" s="21"/>
    </row>
    <row r="40" customFormat="false" ht="15" hidden="false" customHeight="false" outlineLevel="0" collapsed="false">
      <c r="B40" s="22" t="s">
        <v>56</v>
      </c>
    </row>
  </sheetData>
  <mergeCells count="3">
    <mergeCell ref="B35:G35"/>
    <mergeCell ref="B38:G38"/>
    <mergeCell ref="B39:G3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280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281</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282</v>
      </c>
      <c r="C8" s="10"/>
      <c r="D8" s="10"/>
      <c r="E8" s="10"/>
      <c r="F8" s="10"/>
      <c r="G8" s="10"/>
    </row>
    <row r="9" customFormat="false" ht="15" hidden="false" customHeight="false" outlineLevel="0" collapsed="false">
      <c r="A9" s="6"/>
      <c r="B9" s="7" t="s">
        <v>283</v>
      </c>
      <c r="C9" s="6"/>
      <c r="D9" s="6"/>
      <c r="E9" s="6"/>
      <c r="F9" s="6"/>
      <c r="G9" s="6"/>
    </row>
    <row r="10" customFormat="false" ht="15" hidden="false" customHeight="false" outlineLevel="0" collapsed="false">
      <c r="A10" s="6"/>
      <c r="B10" s="31" t="s">
        <v>284</v>
      </c>
      <c r="C10" s="32" t="n">
        <f aca="false">CF_Closing</f>
        <v>3163784.44589403</v>
      </c>
      <c r="D10" s="32" t="n">
        <f aca="false">CF_Closing</f>
        <v>-1523298.43350584</v>
      </c>
      <c r="E10" s="32" t="n">
        <f aca="false">CF_Closing</f>
        <v>13280256.4208468</v>
      </c>
      <c r="F10" s="32" t="n">
        <f aca="false">CF_Closing</f>
        <v>51042484.8300619</v>
      </c>
      <c r="G10" s="32" t="n">
        <f aca="false">CF_Closing</f>
        <v>115640126.549596</v>
      </c>
    </row>
    <row r="11" customFormat="false" ht="15" hidden="false" customHeight="false" outlineLevel="0" collapsed="false">
      <c r="A11" s="6"/>
      <c r="B11" s="31" t="s">
        <v>237</v>
      </c>
      <c r="C11" s="32" t="n">
        <f aca="false">WC_AR</f>
        <v>12354452.0547945</v>
      </c>
      <c r="D11" s="32" t="n">
        <f aca="false">WC_AR</f>
        <v>19473608.2191781</v>
      </c>
      <c r="E11" s="32" t="n">
        <f aca="false">WC_AR</f>
        <v>27792441.7487671</v>
      </c>
      <c r="F11" s="32" t="n">
        <f aca="false">WC_AR</f>
        <v>37450205.6269861</v>
      </c>
      <c r="G11" s="32" t="n">
        <f aca="false">WC_AR</f>
        <v>48601542.0428212</v>
      </c>
    </row>
    <row r="12" customFormat="false" ht="15" hidden="false" customHeight="false" outlineLevel="0" collapsed="false">
      <c r="A12" s="6"/>
      <c r="B12" s="31" t="s">
        <v>238</v>
      </c>
      <c r="C12" s="32" t="n">
        <f aca="false">WC_Inventory</f>
        <v>8959160.95890411</v>
      </c>
      <c r="D12" s="32" t="n">
        <f aca="false">WC_Inventory</f>
        <v>12340733.3424658</v>
      </c>
      <c r="E12" s="32" t="n">
        <f aca="false">WC_Inventory</f>
        <v>16230242.824611</v>
      </c>
      <c r="F12" s="32" t="n">
        <f aca="false">WC_Inventory</f>
        <v>20686096.8647757</v>
      </c>
      <c r="G12" s="32" t="n">
        <f aca="false">WC_Inventory</f>
        <v>25773173.4102039</v>
      </c>
    </row>
    <row r="13" customFormat="false" ht="15" hidden="false" customHeight="false" outlineLevel="0" collapsed="false">
      <c r="A13" s="6"/>
      <c r="B13" s="31" t="s">
        <v>239</v>
      </c>
      <c r="C13" s="32" t="n">
        <f aca="false">WC_Other_CA</f>
        <v>1387500</v>
      </c>
      <c r="D13" s="32" t="n">
        <f aca="false">WC_Other_CA</f>
        <v>2187036</v>
      </c>
      <c r="E13" s="32" t="n">
        <f aca="false">WC_Other_CA</f>
        <v>3121304.9964</v>
      </c>
      <c r="F13" s="32" t="n">
        <f aca="false">WC_Other_CA</f>
        <v>4205946.17041536</v>
      </c>
      <c r="G13" s="32" t="n">
        <f aca="false">WC_Other_CA</f>
        <v>5458327.02942454</v>
      </c>
    </row>
    <row r="14" customFormat="false" ht="15" hidden="false" customHeight="false" outlineLevel="0" collapsed="false">
      <c r="A14" s="6"/>
      <c r="B14" s="34" t="s">
        <v>285</v>
      </c>
      <c r="C14" s="35" t="n">
        <f aca="false">SUM(C10:C13)</f>
        <v>25864897.4595927</v>
      </c>
      <c r="D14" s="35" t="n">
        <f aca="false">SUM(D10:D13)</f>
        <v>32478079.128138</v>
      </c>
      <c r="E14" s="35" t="n">
        <f aca="false">SUM(E10:E13)</f>
        <v>60424245.9906249</v>
      </c>
      <c r="F14" s="35" t="n">
        <f aca="false">SUM(F10:F13)</f>
        <v>113384733.492239</v>
      </c>
      <c r="G14" s="35" t="n">
        <f aca="false">SUM(G10:G13)</f>
        <v>195473169.032046</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7" t="s">
        <v>286</v>
      </c>
      <c r="C16" s="6"/>
      <c r="D16" s="6"/>
      <c r="E16" s="6"/>
      <c r="F16" s="6"/>
      <c r="G16" s="6"/>
    </row>
    <row r="17" customFormat="false" ht="15" hidden="false" customHeight="false" outlineLevel="0" collapsed="false">
      <c r="A17" s="6"/>
      <c r="B17" s="31" t="s">
        <v>287</v>
      </c>
      <c r="C17" s="32" t="n">
        <f aca="false">CD_PPE_Closing</f>
        <v>28569642.8571429</v>
      </c>
      <c r="D17" s="32" t="n">
        <f aca="false">CD_PPE_Closing</f>
        <v>32155653.4285714</v>
      </c>
      <c r="E17" s="32" t="n">
        <f aca="false">CD_PPE_Closing</f>
        <v>35759930.7096572</v>
      </c>
      <c r="F17" s="32" t="n">
        <f aca="false">CD_PPE_Closing</f>
        <v>39375609.8581055</v>
      </c>
      <c r="G17" s="32" t="n">
        <f aca="false">CD_PPE_Closing</f>
        <v>42985933.0744766</v>
      </c>
    </row>
    <row r="18" customFormat="false" ht="15" hidden="false" customHeight="false" outlineLevel="0" collapsed="false">
      <c r="A18" s="6"/>
      <c r="B18" s="31" t="s">
        <v>288</v>
      </c>
      <c r="C18" s="32" t="n">
        <f aca="false">CD_Intang_Closing</f>
        <v>15583333.3333333</v>
      </c>
      <c r="D18" s="32" t="n">
        <f aca="false">CD_Intang_Closing</f>
        <v>14166666.6666667</v>
      </c>
      <c r="E18" s="32" t="n">
        <f aca="false">CD_Intang_Closing</f>
        <v>12750000</v>
      </c>
      <c r="F18" s="32" t="n">
        <f aca="false">CD_Intang_Closing</f>
        <v>11333333.3333333</v>
      </c>
      <c r="G18" s="32" t="n">
        <f aca="false">CD_Intang_Closing</f>
        <v>9916666.66666667</v>
      </c>
    </row>
    <row r="19" customFormat="false" ht="15" hidden="false" customHeight="false" outlineLevel="0" collapsed="false">
      <c r="A19" s="6"/>
      <c r="B19" s="34" t="s">
        <v>289</v>
      </c>
      <c r="C19" s="35" t="n">
        <f aca="false">C17+C18</f>
        <v>44152976.1904762</v>
      </c>
      <c r="D19" s="35" t="n">
        <f aca="false">D17+D18</f>
        <v>46322320.0952381</v>
      </c>
      <c r="E19" s="35" t="n">
        <f aca="false">E17+E18</f>
        <v>48509930.7096572</v>
      </c>
      <c r="F19" s="35" t="n">
        <f aca="false">F17+F18</f>
        <v>50708943.1914388</v>
      </c>
      <c r="G19" s="35" t="n">
        <f aca="false">G17+G18</f>
        <v>52902599.7411433</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34" t="s">
        <v>290</v>
      </c>
      <c r="C21" s="36" t="n">
        <f aca="false">C14+C19</f>
        <v>70017873.6500689</v>
      </c>
      <c r="D21" s="36" t="n">
        <f aca="false">D14+D19</f>
        <v>78800399.2233761</v>
      </c>
      <c r="E21" s="36" t="n">
        <f aca="false">E14+E19</f>
        <v>108934176.700282</v>
      </c>
      <c r="F21" s="36" t="n">
        <f aca="false">F14+F19</f>
        <v>164093676.683678</v>
      </c>
      <c r="G21" s="36" t="n">
        <f aca="false">G14+G19</f>
        <v>248375768.773189</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9" t="s">
        <v>291</v>
      </c>
      <c r="C23" s="10"/>
      <c r="D23" s="10"/>
      <c r="E23" s="10"/>
      <c r="F23" s="10"/>
      <c r="G23" s="10"/>
    </row>
    <row r="24" customFormat="false" ht="15" hidden="false" customHeight="false" outlineLevel="0" collapsed="false">
      <c r="A24" s="6"/>
      <c r="B24" s="7" t="s">
        <v>292</v>
      </c>
      <c r="C24" s="6"/>
      <c r="D24" s="6"/>
      <c r="E24" s="6"/>
      <c r="F24" s="6"/>
      <c r="G24" s="6"/>
    </row>
    <row r="25" customFormat="false" ht="15" hidden="false" customHeight="false" outlineLevel="0" collapsed="false">
      <c r="A25" s="6"/>
      <c r="B25" s="31" t="s">
        <v>242</v>
      </c>
      <c r="C25" s="32" t="n">
        <f aca="false">WC_AP</f>
        <v>4072345.89041096</v>
      </c>
      <c r="D25" s="32" t="n">
        <f aca="false">WC_AP</f>
        <v>5609424.24657534</v>
      </c>
      <c r="E25" s="32" t="n">
        <f aca="false">WC_AP</f>
        <v>7377383.10209589</v>
      </c>
      <c r="F25" s="32" t="n">
        <f aca="false">WC_AP</f>
        <v>9402771.30217078</v>
      </c>
      <c r="G25" s="32" t="n">
        <f aca="false">WC_AP</f>
        <v>11715078.82282</v>
      </c>
    </row>
    <row r="26" customFormat="false" ht="15" hidden="false" customHeight="false" outlineLevel="0" collapsed="false">
      <c r="A26" s="6"/>
      <c r="B26" s="31" t="s">
        <v>243</v>
      </c>
      <c r="C26" s="32" t="n">
        <f aca="false">WC_Accrued</f>
        <v>3400750</v>
      </c>
      <c r="D26" s="32" t="n">
        <f aca="false">WC_Accrued</f>
        <v>3735029.36</v>
      </c>
      <c r="E26" s="32" t="n">
        <f aca="false">WC_Accrued</f>
        <v>4110115.299064</v>
      </c>
      <c r="F26" s="32" t="n">
        <f aca="false">WC_Accrued</f>
        <v>4530361.20430799</v>
      </c>
      <c r="G26" s="32" t="n">
        <f aca="false">WC_Accrued</f>
        <v>5000585.07405038</v>
      </c>
    </row>
    <row r="27" customFormat="false" ht="15" hidden="false" customHeight="false" outlineLevel="0" collapsed="false">
      <c r="A27" s="6"/>
      <c r="B27" s="31" t="s">
        <v>244</v>
      </c>
      <c r="C27" s="32" t="n">
        <f aca="false">WC_Other_CL</f>
        <v>1040625</v>
      </c>
      <c r="D27" s="32" t="n">
        <f aca="false">WC_Other_CL</f>
        <v>1640277</v>
      </c>
      <c r="E27" s="32" t="n">
        <f aca="false">WC_Other_CL</f>
        <v>2340978.7473</v>
      </c>
      <c r="F27" s="32" t="n">
        <f aca="false">WC_Other_CL</f>
        <v>3154459.62781152</v>
      </c>
      <c r="G27" s="32" t="n">
        <f aca="false">WC_Other_CL</f>
        <v>4093745.2720684</v>
      </c>
    </row>
    <row r="28" customFormat="false" ht="15" hidden="false" customHeight="false" outlineLevel="0" collapsed="false">
      <c r="A28" s="6"/>
      <c r="B28" s="31" t="s">
        <v>293</v>
      </c>
      <c r="C28" s="32" t="n">
        <f aca="false">MIN(Term_Loan_Amt/Term_Loan_Tenor,DS_TL_Closing)</f>
        <v>4285714.28571429</v>
      </c>
      <c r="D28" s="32" t="n">
        <f aca="false">MIN(Term_Loan_Amt/Term_Loan_Tenor,DS_TL_Closing)</f>
        <v>4285714.28571429</v>
      </c>
      <c r="E28" s="32" t="n">
        <f aca="false">MIN(Term_Loan_Amt/Term_Loan_Tenor,DS_TL_Closing)</f>
        <v>4285714.28571429</v>
      </c>
      <c r="F28" s="32" t="n">
        <f aca="false">MIN(Term_Loan_Amt/Term_Loan_Tenor,DS_TL_Closing)</f>
        <v>4285714.28571429</v>
      </c>
      <c r="G28" s="32" t="n">
        <f aca="false">DS_TL_Closing</f>
        <v>8571428.57142858</v>
      </c>
    </row>
    <row r="29" customFormat="false" ht="15" hidden="false" customHeight="false" outlineLevel="0" collapsed="false">
      <c r="A29" s="6"/>
      <c r="B29" s="34" t="s">
        <v>294</v>
      </c>
      <c r="C29" s="35" t="n">
        <f aca="false">SUM(C25:C28)</f>
        <v>12799435.1761252</v>
      </c>
      <c r="D29" s="35" t="n">
        <f aca="false">SUM(D25:D28)</f>
        <v>15270444.8922896</v>
      </c>
      <c r="E29" s="35" t="n">
        <f aca="false">SUM(E25:E28)</f>
        <v>18114191.4341742</v>
      </c>
      <c r="F29" s="35" t="n">
        <f aca="false">SUM(F25:F28)</f>
        <v>21373306.4200046</v>
      </c>
      <c r="G29" s="35" t="n">
        <f aca="false">SUM(G25:G28)</f>
        <v>29380837.7403673</v>
      </c>
    </row>
    <row r="30" customFormat="false" ht="15" hidden="false" customHeight="false" outlineLevel="0" collapsed="false">
      <c r="A30" s="6"/>
      <c r="B30" s="6"/>
      <c r="C30" s="6"/>
      <c r="D30" s="6"/>
      <c r="E30" s="6"/>
      <c r="F30" s="6"/>
      <c r="G30" s="6"/>
    </row>
    <row r="31" customFormat="false" ht="15" hidden="false" customHeight="false" outlineLevel="0" collapsed="false">
      <c r="A31" s="6"/>
      <c r="B31" s="7" t="s">
        <v>295</v>
      </c>
      <c r="C31" s="6"/>
      <c r="D31" s="6"/>
      <c r="E31" s="6"/>
      <c r="F31" s="6"/>
      <c r="G31" s="6"/>
    </row>
    <row r="32" customFormat="false" ht="15" hidden="false" customHeight="false" outlineLevel="0" collapsed="false">
      <c r="A32" s="6"/>
      <c r="B32" s="31" t="s">
        <v>296</v>
      </c>
      <c r="C32" s="32" t="n">
        <f aca="false">MAX(0,DS_TL_Closing-C28)</f>
        <v>21428571.4285714</v>
      </c>
      <c r="D32" s="32" t="n">
        <f aca="false">MAX(0,DS_TL_Closing-D28)</f>
        <v>17142857.1428572</v>
      </c>
      <c r="E32" s="32" t="n">
        <f aca="false">MAX(0,DS_TL_Closing-E28)</f>
        <v>12857142.8571429</v>
      </c>
      <c r="F32" s="32" t="n">
        <f aca="false">MAX(0,DS_TL_Closing-F28)</f>
        <v>8571428.57142858</v>
      </c>
      <c r="G32" s="32" t="n">
        <f aca="false">MAX(0,DS_TL_Closing-G28)</f>
        <v>0</v>
      </c>
    </row>
    <row r="33" customFormat="false" ht="15" hidden="false" customHeight="false" outlineLevel="0" collapsed="false">
      <c r="A33" s="6"/>
      <c r="B33" s="34" t="s">
        <v>297</v>
      </c>
      <c r="C33" s="35" t="n">
        <f aca="false">C32</f>
        <v>21428571.4285714</v>
      </c>
      <c r="D33" s="35" t="n">
        <f aca="false">D32</f>
        <v>17142857.1428572</v>
      </c>
      <c r="E33" s="35" t="n">
        <f aca="false">E32</f>
        <v>12857142.8571429</v>
      </c>
      <c r="F33" s="35" t="n">
        <f aca="false">F32</f>
        <v>8571428.57142858</v>
      </c>
      <c r="G33" s="35" t="n">
        <f aca="false">G32</f>
        <v>0</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34" t="s">
        <v>298</v>
      </c>
      <c r="C35" s="36" t="n">
        <f aca="false">C29+C33</f>
        <v>34228006.6046967</v>
      </c>
      <c r="D35" s="36" t="n">
        <f aca="false">D29+D33</f>
        <v>32413302.0351468</v>
      </c>
      <c r="E35" s="36" t="n">
        <f aca="false">E29+E33</f>
        <v>30971334.291317</v>
      </c>
      <c r="F35" s="36" t="n">
        <f aca="false">F29+F33</f>
        <v>29944734.9914332</v>
      </c>
      <c r="G35" s="36" t="n">
        <f aca="false">G29+G33</f>
        <v>29380837.7403673</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9" t="s">
        <v>299</v>
      </c>
      <c r="C37" s="10"/>
      <c r="D37" s="10"/>
      <c r="E37" s="10"/>
      <c r="F37" s="10"/>
      <c r="G37" s="10"/>
    </row>
    <row r="38" customFormat="false" ht="15" hidden="false" customHeight="false" outlineLevel="0" collapsed="false">
      <c r="A38" s="6"/>
      <c r="B38" s="31" t="s">
        <v>178</v>
      </c>
      <c r="C38" s="32" t="n">
        <f aca="false">Share_Capital</f>
        <v>50000000</v>
      </c>
      <c r="D38" s="32" t="n">
        <f aca="false">Share_Capital</f>
        <v>50000000</v>
      </c>
      <c r="E38" s="32" t="n">
        <f aca="false">Share_Capital</f>
        <v>50000000</v>
      </c>
      <c r="F38" s="32" t="n">
        <f aca="false">Share_Capital</f>
        <v>50000000</v>
      </c>
      <c r="G38" s="32" t="n">
        <f aca="false">Share_Capital</f>
        <v>50000000</v>
      </c>
    </row>
    <row r="39" customFormat="false" ht="15" hidden="false" customHeight="false" outlineLevel="0" collapsed="false">
      <c r="A39" s="6"/>
      <c r="B39" s="31" t="s">
        <v>300</v>
      </c>
      <c r="C39" s="32" t="n">
        <f aca="false">Open_Ret_Earnings+IS_Net_Income-IS_Dividends</f>
        <v>-14210132.9546278</v>
      </c>
      <c r="D39" s="32" t="n">
        <f aca="false">C39+IS_Net_Income-IS_Dividends</f>
        <v>-3612902.81177067</v>
      </c>
      <c r="E39" s="32" t="n">
        <f aca="false">D39+IS_Net_Income-IS_Dividends</f>
        <v>27962842.408965</v>
      </c>
      <c r="F39" s="32" t="n">
        <f aca="false">E39+IS_Net_Income-IS_Dividends</f>
        <v>84148941.6922447</v>
      </c>
      <c r="G39" s="32" t="n">
        <f aca="false">F39+IS_Net_Income-IS_Dividends</f>
        <v>168994931.032822</v>
      </c>
    </row>
    <row r="40" customFormat="false" ht="15" hidden="false" customHeight="false" outlineLevel="0" collapsed="false">
      <c r="A40" s="6"/>
      <c r="B40" s="34" t="s">
        <v>301</v>
      </c>
      <c r="C40" s="36" t="n">
        <f aca="false">C38+C39</f>
        <v>35789867.0453722</v>
      </c>
      <c r="D40" s="36" t="n">
        <f aca="false">D38+D39</f>
        <v>46387097.1882293</v>
      </c>
      <c r="E40" s="36" t="n">
        <f aca="false">E38+E39</f>
        <v>77962842.408965</v>
      </c>
      <c r="F40" s="36" t="n">
        <f aca="false">F38+F39</f>
        <v>134148941.692245</v>
      </c>
      <c r="G40" s="36" t="n">
        <f aca="false">G38+G39</f>
        <v>218994931.032822</v>
      </c>
    </row>
    <row r="41" customFormat="false" ht="15" hidden="false" customHeight="false" outlineLevel="0" collapsed="false">
      <c r="A41" s="6"/>
      <c r="B41" s="6"/>
      <c r="C41" s="6"/>
      <c r="D41" s="6"/>
      <c r="E41" s="6"/>
      <c r="F41" s="6"/>
      <c r="G41" s="6"/>
    </row>
    <row r="42" customFormat="false" ht="15" hidden="false" customHeight="false" outlineLevel="0" collapsed="false">
      <c r="A42" s="6"/>
      <c r="B42" s="34" t="s">
        <v>302</v>
      </c>
      <c r="C42" s="36" t="n">
        <f aca="false">C35+C40</f>
        <v>70017873.6500689</v>
      </c>
      <c r="D42" s="36" t="n">
        <f aca="false">D35+D40</f>
        <v>78800399.2233761</v>
      </c>
      <c r="E42" s="36" t="n">
        <f aca="false">E35+E40</f>
        <v>108934176.700282</v>
      </c>
      <c r="F42" s="36" t="n">
        <f aca="false">F35+F40</f>
        <v>164093676.683678</v>
      </c>
      <c r="G42" s="36" t="n">
        <f aca="false">G35+G40</f>
        <v>248375768.773189</v>
      </c>
    </row>
    <row r="43" customFormat="false" ht="15" hidden="false" customHeight="false" outlineLevel="0" collapsed="false">
      <c r="A43" s="6"/>
      <c r="B43" s="6"/>
      <c r="C43" s="6"/>
      <c r="D43" s="6"/>
      <c r="E43" s="6"/>
      <c r="F43" s="6"/>
      <c r="G43" s="6"/>
    </row>
    <row r="44" customFormat="false" ht="15" hidden="false" customHeight="false" outlineLevel="0" collapsed="false">
      <c r="A44" s="6"/>
      <c r="B44" s="40" t="s">
        <v>303</v>
      </c>
      <c r="C44" s="41" t="n">
        <f aca="false">C21-C42</f>
        <v>0</v>
      </c>
      <c r="D44" s="41" t="n">
        <f aca="false">D21-D42</f>
        <v>0</v>
      </c>
      <c r="E44" s="41" t="n">
        <f aca="false">E21-E42</f>
        <v>0</v>
      </c>
      <c r="F44" s="41" t="n">
        <f aca="false">F21-F42</f>
        <v>0</v>
      </c>
      <c r="G44" s="41" t="n">
        <f aca="false">G21-G42</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304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305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306</v>
      </c>
      <c r="C7" s="10"/>
      <c r="D7" s="10"/>
      <c r="E7" s="10"/>
      <c r="F7" s="10"/>
      <c r="G7" s="10"/>
    </row>
    <row r="8" customFormat="false" ht="15" hidden="false" customHeight="false" outlineLevel="0" collapsed="false">
      <c r="A8" s="6"/>
      <c r="B8" s="31" t="s">
        <v>307</v>
      </c>
      <c r="C8" s="32" t="n">
        <f aca="false">IS_Net_Income</f>
        <v>-9500773.80952381</v>
      </c>
      <c r="D8" s="32" t="n">
        <f aca="false">IS_Net_Income</f>
        <v>10597230.1428571</v>
      </c>
      <c r="E8" s="32" t="n">
        <f aca="false">IS_Net_Income</f>
        <v>31575745.2207357</v>
      </c>
      <c r="F8" s="32" t="n">
        <f aca="false">IS_Net_Income</f>
        <v>56186099.2832796</v>
      </c>
      <c r="G8" s="32" t="n">
        <f aca="false">IS_Net_Income</f>
        <v>84845989.3405771</v>
      </c>
    </row>
    <row r="9" customFormat="false" ht="15" hidden="false" customHeight="false" outlineLevel="0" collapsed="false">
      <c r="A9" s="6"/>
      <c r="B9" s="31" t="s">
        <v>269</v>
      </c>
      <c r="C9" s="32" t="n">
        <f aca="false">CD_Total_Depr</f>
        <v>3511607.14285714</v>
      </c>
      <c r="D9" s="32" t="n">
        <f aca="false">CD_Total_Depr</f>
        <v>4694543.42857143</v>
      </c>
      <c r="E9" s="32" t="n">
        <f aca="false">CD_Total_Depr</f>
        <v>6077680.21351429</v>
      </c>
      <c r="F9" s="32" t="n">
        <f aca="false">CD_Total_Depr</f>
        <v>7693240.10717472</v>
      </c>
      <c r="G9" s="32" t="n">
        <f aca="false">CD_Total_Depr</f>
        <v>9577167.32776569</v>
      </c>
    </row>
    <row r="10" customFormat="false" ht="15" hidden="false" customHeight="false" outlineLevel="0" collapsed="false">
      <c r="A10" s="6"/>
      <c r="B10" s="31" t="s">
        <v>232</v>
      </c>
      <c r="C10" s="32" t="n">
        <f aca="false">CD_Intang_Amort</f>
        <v>1416666.66666667</v>
      </c>
      <c r="D10" s="32" t="n">
        <f aca="false">CD_Intang_Amort</f>
        <v>1416666.66666667</v>
      </c>
      <c r="E10" s="32" t="n">
        <f aca="false">CD_Intang_Amort</f>
        <v>1416666.66666667</v>
      </c>
      <c r="F10" s="32" t="n">
        <f aca="false">CD_Intang_Amort</f>
        <v>1416666.66666667</v>
      </c>
      <c r="G10" s="32" t="n">
        <f aca="false">CD_Intang_Amort</f>
        <v>1416666.66666667</v>
      </c>
    </row>
    <row r="11" customFormat="false" ht="15" hidden="false" customHeight="false" outlineLevel="0" collapsed="false">
      <c r="A11" s="6"/>
      <c r="B11" s="31" t="s">
        <v>247</v>
      </c>
      <c r="C11" s="32" t="n">
        <f aca="false">WC_NWC_Change</f>
        <v>-896751.26839168</v>
      </c>
      <c r="D11" s="32" t="n">
        <f aca="false">WC_NWC_Change</f>
        <v>-8829254.83178082</v>
      </c>
      <c r="E11" s="32" t="n">
        <f aca="false">WC_NWC_Change</f>
        <v>-10298865.4662497</v>
      </c>
      <c r="F11" s="32" t="n">
        <f aca="false">WC_NWC_Change</f>
        <v>-11939144.1065687</v>
      </c>
      <c r="G11" s="32" t="n">
        <f aca="false">WC_NWC_Change</f>
        <v>-13768976.785624</v>
      </c>
    </row>
    <row r="12" customFormat="false" ht="15" hidden="false" customHeight="false" outlineLevel="0" collapsed="false">
      <c r="A12" s="6"/>
      <c r="B12" s="34" t="s">
        <v>308</v>
      </c>
      <c r="C12" s="35" t="n">
        <f aca="false">SUM(C8:C11)</f>
        <v>-5469251.26839168</v>
      </c>
      <c r="D12" s="35" t="n">
        <f aca="false">SUM(D8:D11)</f>
        <v>7879185.40631442</v>
      </c>
      <c r="E12" s="35" t="n">
        <f aca="false">SUM(E8:E11)</f>
        <v>28771226.634667</v>
      </c>
      <c r="F12" s="35" t="n">
        <f aca="false">SUM(F8:F11)</f>
        <v>53356861.9505523</v>
      </c>
      <c r="G12" s="35" t="n">
        <f aca="false">SUM(G8:G11)</f>
        <v>82070846.5493854</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309</v>
      </c>
      <c r="C14" s="10"/>
      <c r="D14" s="10"/>
      <c r="E14" s="10"/>
      <c r="F14" s="10"/>
      <c r="G14" s="10"/>
    </row>
    <row r="15" customFormat="false" ht="15" hidden="false" customHeight="false" outlineLevel="0" collapsed="false">
      <c r="A15" s="6"/>
      <c r="B15" s="31" t="s">
        <v>220</v>
      </c>
      <c r="C15" s="32" t="n">
        <f aca="false">-CD_Total_CapEx</f>
        <v>-7081250</v>
      </c>
      <c r="D15" s="32" t="n">
        <f aca="false">-CD_Total_CapEx</f>
        <v>-8280554</v>
      </c>
      <c r="E15" s="32" t="n">
        <f aca="false">-CD_Total_CapEx</f>
        <v>-9681957.4946</v>
      </c>
      <c r="F15" s="32" t="n">
        <f aca="false">-CD_Total_CapEx</f>
        <v>-11308919.255623</v>
      </c>
      <c r="G15" s="32" t="n">
        <f aca="false">-CD_Total_CapEx</f>
        <v>-13187490.5441368</v>
      </c>
    </row>
    <row r="16" customFormat="false" ht="15" hidden="false" customHeight="false" outlineLevel="0" collapsed="false">
      <c r="A16" s="6"/>
      <c r="B16" s="34" t="s">
        <v>310</v>
      </c>
      <c r="C16" s="35" t="n">
        <f aca="false">C15</f>
        <v>-7081250</v>
      </c>
      <c r="D16" s="35" t="n">
        <f aca="false">D15</f>
        <v>-8280554</v>
      </c>
      <c r="E16" s="35" t="n">
        <f aca="false">E15</f>
        <v>-9681957.4946</v>
      </c>
      <c r="F16" s="35" t="n">
        <f aca="false">F15</f>
        <v>-11308919.255623</v>
      </c>
      <c r="G16" s="35" t="n">
        <f aca="false">G15</f>
        <v>-13187490.5441368</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311</v>
      </c>
      <c r="C18" s="10"/>
      <c r="D18" s="10"/>
      <c r="E18" s="10"/>
      <c r="F18" s="10"/>
      <c r="G18" s="10"/>
    </row>
    <row r="19" customFormat="false" ht="15" hidden="false" customHeight="false" outlineLevel="0" collapsed="false">
      <c r="A19" s="6"/>
      <c r="B19" s="31" t="s">
        <v>312</v>
      </c>
      <c r="C19" s="32" t="n">
        <f aca="false">0</f>
        <v>0</v>
      </c>
      <c r="D19" s="32" t="n">
        <f aca="false">0</f>
        <v>0</v>
      </c>
      <c r="E19" s="32" t="n">
        <f aca="false">0</f>
        <v>0</v>
      </c>
      <c r="F19" s="32" t="n">
        <f aca="false">0</f>
        <v>0</v>
      </c>
      <c r="G19" s="32" t="n">
        <f aca="false">0</f>
        <v>0</v>
      </c>
    </row>
    <row r="20" customFormat="false" ht="15" hidden="false" customHeight="false" outlineLevel="0" collapsed="false">
      <c r="A20" s="6"/>
      <c r="B20" s="31" t="s">
        <v>313</v>
      </c>
      <c r="C20" s="32" t="n">
        <f aca="false">-(DS_TL_Amort+DS_TL_Maturity)</f>
        <v>-4285714.28571429</v>
      </c>
      <c r="D20" s="32" t="n">
        <f aca="false">-(DS_TL_Amort+DS_TL_Maturity)</f>
        <v>-4285714.28571429</v>
      </c>
      <c r="E20" s="32" t="n">
        <f aca="false">-(DS_TL_Amort+DS_TL_Maturity)</f>
        <v>-4285714.28571429</v>
      </c>
      <c r="F20" s="32" t="n">
        <f aca="false">-(DS_TL_Amort+DS_TL_Maturity)</f>
        <v>-4285714.28571429</v>
      </c>
      <c r="G20" s="32" t="n">
        <f aca="false">-(DS_TL_Amort+DS_TL_Maturity)</f>
        <v>-4285714.28571429</v>
      </c>
    </row>
    <row r="21" customFormat="false" ht="15" hidden="false" customHeight="false" outlineLevel="0" collapsed="false">
      <c r="A21" s="6"/>
      <c r="B21" s="31" t="s">
        <v>314</v>
      </c>
      <c r="C21" s="32" t="n">
        <f aca="false">-IS_Dividends</f>
        <v>0</v>
      </c>
      <c r="D21" s="32" t="n">
        <f aca="false">-IS_Dividends</f>
        <v>-0</v>
      </c>
      <c r="E21" s="32" t="n">
        <f aca="false">-IS_Dividends</f>
        <v>-0</v>
      </c>
      <c r="F21" s="32" t="n">
        <f aca="false">-IS_Dividends</f>
        <v>-0</v>
      </c>
      <c r="G21" s="32" t="n">
        <f aca="false">-IS_Dividends</f>
        <v>-0</v>
      </c>
    </row>
    <row r="22" customFormat="false" ht="15" hidden="false" customHeight="false" outlineLevel="0" collapsed="false">
      <c r="A22" s="6"/>
      <c r="B22" s="34" t="s">
        <v>315</v>
      </c>
      <c r="C22" s="35" t="n">
        <f aca="false">C19+C20+C21</f>
        <v>-4285714.28571429</v>
      </c>
      <c r="D22" s="35" t="n">
        <f aca="false">D19+D20+D21</f>
        <v>-4285714.28571429</v>
      </c>
      <c r="E22" s="35" t="n">
        <f aca="false">E19+E20+E21</f>
        <v>-4285714.28571429</v>
      </c>
      <c r="F22" s="35" t="n">
        <f aca="false">F19+F20+F21</f>
        <v>-4285714.28571429</v>
      </c>
      <c r="G22" s="35" t="n">
        <f aca="false">G19+G20+G21</f>
        <v>-4285714.28571429</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34" t="s">
        <v>316</v>
      </c>
      <c r="C24" s="36" t="n">
        <f aca="false">C12+C16+C22</f>
        <v>-16836215.554106</v>
      </c>
      <c r="D24" s="36" t="n">
        <f aca="false">D12+D16+D22</f>
        <v>-4687082.87939987</v>
      </c>
      <c r="E24" s="36" t="n">
        <f aca="false">E12+E16+E22</f>
        <v>14803554.8543527</v>
      </c>
      <c r="F24" s="36" t="n">
        <f aca="false">F12+F16+F22</f>
        <v>37762228.409215</v>
      </c>
      <c r="G24" s="36" t="n">
        <f aca="false">G12+G16+G22</f>
        <v>64597641.7195343</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24" t="s">
        <v>176</v>
      </c>
      <c r="C26" s="32" t="n">
        <f aca="false">Open_Cash</f>
        <v>20000000</v>
      </c>
      <c r="D26" s="32" t="n">
        <f aca="false">C27</f>
        <v>3163784.44589403</v>
      </c>
      <c r="E26" s="32" t="n">
        <f aca="false">D27</f>
        <v>-1523298.43350584</v>
      </c>
      <c r="F26" s="32" t="n">
        <f aca="false">E27</f>
        <v>13280256.4208468</v>
      </c>
      <c r="G26" s="32" t="n">
        <f aca="false">F27</f>
        <v>51042484.8300619</v>
      </c>
    </row>
    <row r="27" customFormat="false" ht="15" hidden="false" customHeight="false" outlineLevel="0" collapsed="false">
      <c r="A27" s="6"/>
      <c r="B27" s="34" t="s">
        <v>317</v>
      </c>
      <c r="C27" s="36" t="n">
        <f aca="false">C26+C24</f>
        <v>3163784.44589403</v>
      </c>
      <c r="D27" s="36" t="n">
        <f aca="false">D26+D24</f>
        <v>-1523298.43350584</v>
      </c>
      <c r="E27" s="36" t="n">
        <f aca="false">E26+E24</f>
        <v>13280256.4208468</v>
      </c>
      <c r="F27" s="36" t="n">
        <f aca="false">F26+F24</f>
        <v>51042484.8300619</v>
      </c>
      <c r="G27" s="36" t="n">
        <f aca="false">G26+G24</f>
        <v>115640126.549596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318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319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34</v>
      </c>
      <c r="C7" s="10"/>
      <c r="D7" s="10"/>
      <c r="E7" s="10"/>
      <c r="F7" s="10"/>
      <c r="G7" s="10"/>
    </row>
    <row r="8" customFormat="false" ht="15" hidden="false" customHeight="false" outlineLevel="0" collapsed="false">
      <c r="A8" s="6"/>
      <c r="B8" s="24" t="s">
        <v>320</v>
      </c>
      <c r="C8" s="42" t="str">
        <f aca="false">IF(ABS(Balance_Sheet!C44)&lt;1,"PASS","FAIL")</f>
        <v>PASS</v>
      </c>
      <c r="D8" s="42" t="str">
        <f aca="false">IF(ABS(Balance_Sheet!D44)&lt;1,"PASS","FAIL")</f>
        <v>PASS</v>
      </c>
      <c r="E8" s="42" t="str">
        <f aca="false">IF(ABS(Balance_Sheet!E44)&lt;1,"PASS","FAIL")</f>
        <v>PASS</v>
      </c>
      <c r="F8" s="42" t="str">
        <f aca="false">IF(ABS(Balance_Sheet!F44)&lt;1,"PASS","FAIL")</f>
        <v>PASS</v>
      </c>
      <c r="G8" s="42" t="str">
        <f aca="false">IF(ABS(Balance_Sheet!G44)&lt;1,"PASS","FAIL")</f>
        <v>PASS</v>
      </c>
    </row>
    <row r="9" customFormat="false" ht="15" hidden="false" customHeight="false" outlineLevel="0" collapsed="false">
      <c r="A9" s="6"/>
      <c r="B9" s="24" t="s">
        <v>321</v>
      </c>
      <c r="C9" s="42" t="str">
        <f aca="false">IF(AND(Income_Statement!C18&gt;=0.5,Income_Statement!C18&lt;=0.75),"PASS","FLAG")</f>
        <v>PASS</v>
      </c>
      <c r="D9" s="42" t="str">
        <f aca="false">IF(AND(Income_Statement!D18&gt;=0.5,Income_Statement!D18&lt;=0.75),"PASS","FLAG")</f>
        <v>PASS</v>
      </c>
      <c r="E9" s="42" t="str">
        <f aca="false">IF(AND(Income_Statement!E18&gt;=0.5,Income_Statement!E18&lt;=0.75),"PASS","FLAG")</f>
        <v>PASS</v>
      </c>
      <c r="F9" s="42" t="str">
        <f aca="false">IF(AND(Income_Statement!F18&gt;=0.5,Income_Statement!F18&lt;=0.75),"PASS","FLAG")</f>
        <v>PASS</v>
      </c>
      <c r="G9" s="42" t="str">
        <f aca="false">IF(AND(Income_Statement!G18&gt;=0.5,Income_Statement!G18&lt;=0.75),"PASS","FLAG")</f>
        <v>PASS</v>
      </c>
    </row>
    <row r="10" customFormat="false" ht="15" hidden="false" customHeight="false" outlineLevel="0" collapsed="false">
      <c r="A10" s="6"/>
      <c r="B10" s="24" t="s">
        <v>322</v>
      </c>
      <c r="C10" s="42" t="str">
        <f aca="false">IF(AND(Income_Statement!C28&gt;=0.1,Income_Statement!C28&lt;=0.35),"PASS","FLAG")</f>
        <v>FLAG</v>
      </c>
      <c r="D10" s="42" t="str">
        <f aca="false">IF(AND(Income_Statement!D28&gt;=0.1,Income_Statement!D28&lt;=0.35),"PASS","FLAG")</f>
        <v>PASS</v>
      </c>
      <c r="E10" s="42" t="str">
        <f aca="false">IF(AND(Income_Statement!E28&gt;=0.1,Income_Statement!E28&lt;=0.35),"PASS","FLAG")</f>
        <v>PASS</v>
      </c>
      <c r="F10" s="42" t="str">
        <f aca="false">IF(AND(Income_Statement!F28&gt;=0.1,Income_Statement!F28&lt;=0.35),"PASS","FLAG")</f>
        <v>FLAG</v>
      </c>
      <c r="G10" s="42" t="str">
        <f aca="false">IF(AND(Income_Statement!G28&gt;=0.1,Income_Statement!G28&lt;=0.35),"PASS","FLAG")</f>
        <v>FLAG</v>
      </c>
    </row>
    <row r="11" customFormat="false" ht="15" hidden="false" customHeight="false" outlineLevel="0" collapsed="false">
      <c r="A11" s="6"/>
      <c r="B11" s="24" t="s">
        <v>323</v>
      </c>
      <c r="C11" s="42" t="str">
        <f aca="false">IF(AND(DSO&gt;=40,DSO&lt;=90),"PASS","FLAG")</f>
        <v>PASS</v>
      </c>
      <c r="D11" s="42" t="str">
        <f aca="false">IF(AND(DSO&gt;=40,DSO&lt;=90),"PASS","FLAG")</f>
        <v>PASS</v>
      </c>
      <c r="E11" s="42" t="str">
        <f aca="false">IF(AND(DSO&gt;=40,DSO&lt;=90),"PASS","FLAG")</f>
        <v>PASS</v>
      </c>
      <c r="F11" s="42" t="str">
        <f aca="false">IF(AND(DSO&gt;=40,DSO&lt;=90),"PASS","FLAG")</f>
        <v>PASS</v>
      </c>
      <c r="G11" s="42" t="str">
        <f aca="false">IF(AND(DSO&gt;=40,DSO&lt;=90),"PASS","FLAG")</f>
        <v>PASS</v>
      </c>
    </row>
    <row r="12" customFormat="false" ht="15" hidden="false" customHeight="false" outlineLevel="0" collapsed="false">
      <c r="A12" s="6"/>
      <c r="B12" s="24" t="s">
        <v>324</v>
      </c>
      <c r="C12" s="42" t="str">
        <f aca="false">IF(AND(DIO&gt;=60,DIO&lt;=150),"PASS","FLAG")</f>
        <v>PASS</v>
      </c>
      <c r="D12" s="42" t="str">
        <f aca="false">IF(AND(DIO&gt;=60,DIO&lt;=150),"PASS","FLAG")</f>
        <v>PASS</v>
      </c>
      <c r="E12" s="42" t="str">
        <f aca="false">IF(AND(DIO&gt;=60,DIO&lt;=150),"PASS","FLAG")</f>
        <v>PASS</v>
      </c>
      <c r="F12" s="42" t="str">
        <f aca="false">IF(AND(DIO&gt;=60,DIO&lt;=150),"PASS","FLAG")</f>
        <v>PASS</v>
      </c>
      <c r="G12" s="42" t="str">
        <f aca="false">IF(AND(DIO&gt;=60,DIO&lt;=150),"PASS","FLAG")</f>
        <v>PASS</v>
      </c>
    </row>
    <row r="13" customFormat="false" ht="15" hidden="false" customHeight="false" outlineLevel="0" collapsed="false">
      <c r="A13" s="6"/>
      <c r="B13" s="24" t="s">
        <v>325</v>
      </c>
      <c r="C13" s="42" t="str">
        <f aca="false">IF(Balance_Sheet!C10&gt;=0,"PASS","FAIL")</f>
        <v>PASS</v>
      </c>
      <c r="D13" s="42" t="str">
        <f aca="false">IF(Balance_Sheet!D10&gt;=0,"PASS","FAIL")</f>
        <v>FAIL</v>
      </c>
      <c r="E13" s="42" t="str">
        <f aca="false">IF(Balance_Sheet!E10&gt;=0,"PASS","FAIL")</f>
        <v>PASS</v>
      </c>
      <c r="F13" s="42" t="str">
        <f aca="false">IF(Balance_Sheet!F10&gt;=0,"PASS","FAIL")</f>
        <v>PASS</v>
      </c>
      <c r="G13" s="42" t="str">
        <f aca="false">IF(Balance_Sheet!G10&gt;=0,"PASS","FAIL")</f>
        <v>PASS</v>
      </c>
    </row>
    <row r="14" customFormat="false" ht="15" hidden="false" customHeight="false" outlineLevel="0" collapsed="false">
      <c r="A14" s="6"/>
      <c r="B14" s="24" t="s">
        <v>326</v>
      </c>
      <c r="C14" s="42" t="str">
        <f aca="false">IF(Income_Statement!C27/Income_Statement!C38&gt;2.5,"PASS","FLAG")</f>
        <v>FLAG</v>
      </c>
      <c r="D14" s="42" t="str">
        <f aca="false">IF(Income_Statement!D27/Income_Statement!D38&gt;2.5,"PASS","FLAG")</f>
        <v>PASS</v>
      </c>
      <c r="E14" s="42" t="str">
        <f aca="false">IF(Income_Statement!E27/Income_Statement!E38&gt;2.5,"PASS","FLAG")</f>
        <v>PASS</v>
      </c>
      <c r="F14" s="42" t="str">
        <f aca="false">IF(Income_Statement!F27/Income_Statement!F38&gt;2.5,"PASS","FLAG")</f>
        <v>PASS</v>
      </c>
      <c r="G14" s="42" t="str">
        <f aca="false">IF(Income_Statement!G27/Income_Statement!G38&gt;2.5,"PASS","FLAG")</f>
        <v>PASS</v>
      </c>
    </row>
    <row r="15" customFormat="false" ht="15" hidden="false" customHeight="false" outlineLevel="0" collapsed="false">
      <c r="A15" s="6"/>
      <c r="B15" s="24" t="s">
        <v>327</v>
      </c>
      <c r="C15" s="42" t="str">
        <f aca="false">"N/A"</f>
        <v>N/A</v>
      </c>
      <c r="D15" s="42" t="str">
        <f aca="false">IF((Income_Statement!D13/Income_Statement!C13-1)&lt;0.3,"PASS","FLAG")</f>
        <v>FLAG</v>
      </c>
      <c r="E15" s="42" t="str">
        <f aca="false">IF((Income_Statement!E13/Income_Statement!D13-1)&lt;0.3,"PASS","FLAG")</f>
        <v>FLAG</v>
      </c>
      <c r="F15" s="42" t="str">
        <f aca="false">IF((Income_Statement!F13/Income_Statement!E13-1)&lt;0.3,"PASS","FLAG")</f>
        <v>FLAG</v>
      </c>
      <c r="G15" s="42" t="str">
        <f aca="false">IF((Income_Statement!G13/Income_Statement!F13-1)&lt;0.3,"PASS","FLAG")</f>
        <v>PASS</v>
      </c>
    </row>
    <row r="16" customFormat="false" ht="15" hidden="false" customHeight="false" outlineLevel="0" collapsed="false">
      <c r="A16" s="6"/>
      <c r="B16" s="24" t="s">
        <v>328</v>
      </c>
      <c r="C16" s="42" t="str">
        <f aca="false">IF(AND(Income_Statement!C21/Income_Statement!C13&gt;=0.06,Income_Statement!C21/Income_Statement!C13&lt;=0.18),"PASS","FLAG")</f>
        <v>PASS</v>
      </c>
      <c r="D16" s="42" t="str">
        <f aca="false">IF(AND(Income_Statement!D21/Income_Statement!D13&gt;=0.06,Income_Statement!D21/Income_Statement!D13&lt;=0.18),"PASS","FLAG")</f>
        <v>PASS</v>
      </c>
      <c r="E16" s="42" t="str">
        <f aca="false">IF(AND(Income_Statement!E21/Income_Statement!E13&gt;=0.06,Income_Statement!E21/Income_Statement!E13&lt;=0.18),"PASS","FLAG")</f>
        <v>PASS</v>
      </c>
      <c r="F16" s="42" t="str">
        <f aca="false">IF(AND(Income_Statement!F21/Income_Statement!F13&gt;=0.06,Income_Statement!F21/Income_Statement!F13&lt;=0.18),"PASS","FLAG")</f>
        <v>PASS</v>
      </c>
      <c r="G16" s="42" t="str">
        <f aca="false">IF(AND(Income_Statement!G21/Income_Statement!G13&gt;=0.06,Income_Statement!G21/Income_Statement!G13&lt;=0.18),"PASS","FLAG")</f>
        <v>FLAG</v>
      </c>
    </row>
    <row r="17" customFormat="false" ht="15" hidden="false" customHeight="false" outlineLevel="0" collapsed="false">
      <c r="A17" s="6"/>
      <c r="B17" s="24" t="s">
        <v>329</v>
      </c>
      <c r="C17" s="42" t="str">
        <f aca="false">IF(AND(Working_Capital!C20/Income_Statement!C13&gt;=0.15,Working_Capital!C20/Income_Statement!C13&lt;=0.4),"PASS","FLAG")</f>
        <v>PASS</v>
      </c>
      <c r="D17" s="42" t="str">
        <f aca="false">IF(AND(Working_Capital!D20/Income_Statement!D13&gt;=0.15,Working_Capital!D20/Income_Statement!D13&lt;=0.4),"PASS","FLAG")</f>
        <v>PASS</v>
      </c>
      <c r="E17" s="42" t="str">
        <f aca="false">IF(AND(Working_Capital!E20/Income_Statement!E13&gt;=0.15,Working_Capital!E20/Income_Statement!E13&lt;=0.4),"PASS","FLAG")</f>
        <v>PASS</v>
      </c>
      <c r="F17" s="42" t="str">
        <f aca="false">IF(AND(Working_Capital!F20/Income_Statement!F13&gt;=0.15,Working_Capital!F20/Income_Statement!F13&lt;=0.4),"PASS","FLAG")</f>
        <v>PASS</v>
      </c>
      <c r="G17" s="42" t="str">
        <f aca="false">IF(AND(Working_Capital!G20/Income_Statement!G13&gt;=0.15,Working_Capital!G20/Income_Statement!G13&lt;=0.4),"PASS","FLAG")</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3" t="s">
        <v>330</v>
      </c>
    </row>
    <row r="3" customFormat="false" ht="3.75" hidden="false" customHeight="true" outlineLevel="0" collapsed="false">
      <c r="B3" s="44"/>
    </row>
    <row r="5" customFormat="false" ht="19.5" hidden="false" customHeight="true" outlineLevel="0" collapsed="false">
      <c r="B5" s="45" t="s">
        <v>331</v>
      </c>
    </row>
    <row r="6" customFormat="false" ht="48" hidden="false" customHeight="true" outlineLevel="0" collapsed="false">
      <c r="B6" s="46" t="s">
        <v>332</v>
      </c>
    </row>
    <row r="8" customFormat="false" ht="19.5" hidden="false" customHeight="true" outlineLevel="0" collapsed="false">
      <c r="B8" s="45" t="s">
        <v>333</v>
      </c>
    </row>
    <row r="9" customFormat="false" ht="61.5" hidden="false" customHeight="true" outlineLevel="0" collapsed="false">
      <c r="B9" s="46" t="s">
        <v>334</v>
      </c>
    </row>
    <row r="11" customFormat="false" ht="19.5" hidden="false" customHeight="true" outlineLevel="0" collapsed="false">
      <c r="B11" s="45" t="s">
        <v>335</v>
      </c>
    </row>
    <row r="12" customFormat="false" ht="75.75" hidden="false" customHeight="true" outlineLevel="0" collapsed="false">
      <c r="B12" s="46" t="s">
        <v>336</v>
      </c>
    </row>
    <row r="14" customFormat="false" ht="19.5" hidden="false" customHeight="true" outlineLevel="0" collapsed="false">
      <c r="B14" s="45" t="s">
        <v>337</v>
      </c>
    </row>
    <row r="15" customFormat="false" ht="61.5" hidden="false" customHeight="true" outlineLevel="0" collapsed="false">
      <c r="B15" s="46" t="s">
        <v>338</v>
      </c>
    </row>
    <row r="17" customFormat="false" ht="19.5" hidden="false" customHeight="true" outlineLevel="0" collapsed="false">
      <c r="B17" s="45" t="s">
        <v>339</v>
      </c>
    </row>
    <row r="18" customFormat="false" ht="33.75" hidden="false" customHeight="true" outlineLevel="0" collapsed="false">
      <c r="B18" s="46" t="s">
        <v>340</v>
      </c>
    </row>
    <row r="20" customFormat="false" ht="19.5" hidden="false" customHeight="true" outlineLevel="0" collapsed="false">
      <c r="B20" s="45" t="s">
        <v>341</v>
      </c>
    </row>
    <row r="21" customFormat="false" ht="33.75" hidden="false" customHeight="true" outlineLevel="0" collapsed="false">
      <c r="B21" s="46" t="s">
        <v>342</v>
      </c>
    </row>
    <row r="23" customFormat="false" ht="21.75" hidden="false" customHeight="true" outlineLevel="0" collapsed="false">
      <c r="B23" s="47" t="s">
        <v>343</v>
      </c>
    </row>
    <row r="25" customFormat="false" ht="18" hidden="false" customHeight="true" outlineLevel="0" collapsed="false">
      <c r="B25" s="48" t="s">
        <v>344</v>
      </c>
    </row>
    <row r="26" customFormat="false" ht="201.75" hidden="false" customHeight="true" outlineLevel="0" collapsed="false">
      <c r="B26" s="49" t="s">
        <v>345</v>
      </c>
    </row>
    <row r="28" customFormat="false" ht="18" hidden="false" customHeight="true" outlineLevel="0" collapsed="false">
      <c r="B28" s="50" t="s">
        <v>346</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8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57</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3" t="s">
        <v>58</v>
      </c>
      <c r="C5" s="23" t="s">
        <v>59</v>
      </c>
      <c r="D5" s="23" t="s">
        <v>60</v>
      </c>
      <c r="E5" s="23" t="s">
        <v>61</v>
      </c>
    </row>
    <row r="6" customFormat="false" ht="15" hidden="false" customHeight="false" outlineLevel="0" collapsed="false">
      <c r="A6" s="6"/>
      <c r="B6" s="6"/>
      <c r="C6" s="6"/>
      <c r="D6" s="6"/>
      <c r="E6" s="6"/>
    </row>
    <row r="7" customFormat="false" ht="15" hidden="false" customHeight="false" outlineLevel="0" collapsed="false">
      <c r="A7" s="6"/>
      <c r="B7" s="9" t="s">
        <v>62</v>
      </c>
      <c r="C7" s="10"/>
      <c r="D7" s="10"/>
      <c r="E7" s="10"/>
    </row>
    <row r="8" customFormat="false" ht="15" hidden="false" customHeight="false" outlineLevel="0" collapsed="false">
      <c r="A8" s="6"/>
      <c r="B8" s="24" t="s">
        <v>63</v>
      </c>
      <c r="C8" s="25" t="n">
        <v>2026</v>
      </c>
      <c r="D8" s="26"/>
      <c r="E8" s="26" t="s">
        <v>64</v>
      </c>
    </row>
    <row r="9" customFormat="false" ht="15" hidden="false" customHeight="false" outlineLevel="0" collapsed="false">
      <c r="A9" s="6"/>
      <c r="B9" s="6"/>
      <c r="C9" s="6"/>
      <c r="D9" s="6"/>
      <c r="E9" s="6"/>
    </row>
    <row r="10" customFormat="false" ht="15" hidden="false" customHeight="false" outlineLevel="0" collapsed="false">
      <c r="A10" s="6"/>
      <c r="B10" s="9" t="s">
        <v>65</v>
      </c>
      <c r="C10" s="10"/>
      <c r="D10" s="10"/>
      <c r="E10" s="10"/>
    </row>
    <row r="11" customFormat="false" ht="15" hidden="false" customHeight="false" outlineLevel="0" collapsed="false">
      <c r="A11" s="6"/>
      <c r="B11" s="24" t="s">
        <v>66</v>
      </c>
      <c r="C11" s="25" t="n">
        <v>500</v>
      </c>
      <c r="D11" s="26" t="s">
        <v>67</v>
      </c>
      <c r="E11" s="26" t="s">
        <v>68</v>
      </c>
    </row>
    <row r="12" customFormat="false" ht="15" hidden="false" customHeight="false" outlineLevel="0" collapsed="false">
      <c r="A12" s="6"/>
      <c r="B12" s="24" t="s">
        <v>69</v>
      </c>
      <c r="C12" s="25" t="n">
        <v>75000</v>
      </c>
      <c r="D12" s="26" t="s">
        <v>70</v>
      </c>
      <c r="E12" s="26" t="s">
        <v>71</v>
      </c>
    </row>
    <row r="13" customFormat="false" ht="15" hidden="false" customHeight="false" outlineLevel="0" collapsed="false">
      <c r="A13" s="6"/>
      <c r="B13" s="24" t="s">
        <v>72</v>
      </c>
      <c r="C13" s="27" t="n">
        <v>0.08</v>
      </c>
      <c r="D13" s="26" t="s">
        <v>73</v>
      </c>
      <c r="E13" s="26" t="s">
        <v>74</v>
      </c>
    </row>
    <row r="14" customFormat="false" ht="15" hidden="false" customHeight="false" outlineLevel="0" collapsed="false">
      <c r="A14" s="6"/>
      <c r="B14" s="24" t="s">
        <v>75</v>
      </c>
      <c r="C14" s="27" t="n">
        <v>0.02</v>
      </c>
      <c r="D14" s="26" t="s">
        <v>73</v>
      </c>
      <c r="E14" s="26" t="s">
        <v>76</v>
      </c>
    </row>
    <row r="15" customFormat="false" ht="15" hidden="false" customHeight="false" outlineLevel="0" collapsed="false">
      <c r="A15" s="6"/>
      <c r="B15" s="6"/>
      <c r="C15" s="6"/>
      <c r="D15" s="6"/>
      <c r="E15" s="6"/>
    </row>
    <row r="16" customFormat="false" ht="15" hidden="false" customHeight="false" outlineLevel="0" collapsed="false">
      <c r="A16" s="6"/>
      <c r="B16" s="9" t="s">
        <v>77</v>
      </c>
      <c r="C16" s="10"/>
      <c r="D16" s="10"/>
      <c r="E16" s="10"/>
    </row>
    <row r="17" customFormat="false" ht="15" hidden="false" customHeight="false" outlineLevel="0" collapsed="false">
      <c r="A17" s="6"/>
      <c r="B17" s="24" t="s">
        <v>78</v>
      </c>
      <c r="C17" s="25" t="n">
        <v>150</v>
      </c>
      <c r="D17" s="26" t="s">
        <v>79</v>
      </c>
      <c r="E17" s="26" t="s">
        <v>80</v>
      </c>
    </row>
    <row r="18" customFormat="false" ht="15" hidden="false" customHeight="false" outlineLevel="0" collapsed="false">
      <c r="A18" s="6"/>
      <c r="B18" s="24" t="s">
        <v>81</v>
      </c>
      <c r="C18" s="25" t="n">
        <v>350</v>
      </c>
      <c r="D18" s="26" t="s">
        <v>70</v>
      </c>
      <c r="E18" s="26" t="s">
        <v>82</v>
      </c>
    </row>
    <row r="19" customFormat="false" ht="15" hidden="false" customHeight="false" outlineLevel="0" collapsed="false">
      <c r="A19" s="6"/>
      <c r="B19" s="24" t="s">
        <v>83</v>
      </c>
      <c r="C19" s="27" t="n">
        <v>0.03</v>
      </c>
      <c r="D19" s="26" t="s">
        <v>73</v>
      </c>
      <c r="E19" s="26" t="s">
        <v>84</v>
      </c>
    </row>
    <row r="20" customFormat="false" ht="15" hidden="false" customHeight="false" outlineLevel="0" collapsed="false">
      <c r="A20" s="6"/>
      <c r="B20" s="6"/>
      <c r="C20" s="6"/>
      <c r="D20" s="6"/>
      <c r="E20" s="6"/>
    </row>
    <row r="21" customFormat="false" ht="15" hidden="false" customHeight="false" outlineLevel="0" collapsed="false">
      <c r="A21" s="6"/>
      <c r="B21" s="9" t="s">
        <v>85</v>
      </c>
      <c r="C21" s="10"/>
      <c r="D21" s="10"/>
      <c r="E21" s="10"/>
    </row>
    <row r="22" customFormat="false" ht="15" hidden="false" customHeight="false" outlineLevel="0" collapsed="false">
      <c r="A22" s="6"/>
      <c r="B22" s="24" t="s">
        <v>86</v>
      </c>
      <c r="C22" s="27" t="n">
        <v>0.7</v>
      </c>
      <c r="D22" s="26" t="s">
        <v>73</v>
      </c>
      <c r="E22" s="26" t="s">
        <v>87</v>
      </c>
    </row>
    <row r="23" customFormat="false" ht="15" hidden="false" customHeight="false" outlineLevel="0" collapsed="false">
      <c r="A23" s="6"/>
      <c r="B23" s="24" t="s">
        <v>88</v>
      </c>
      <c r="C23" s="25" t="n">
        <v>7500</v>
      </c>
      <c r="D23" s="26" t="s">
        <v>70</v>
      </c>
      <c r="E23" s="26" t="s">
        <v>89</v>
      </c>
    </row>
    <row r="24" customFormat="false" ht="15" hidden="false" customHeight="false" outlineLevel="0" collapsed="false">
      <c r="A24" s="6"/>
      <c r="B24" s="24" t="s">
        <v>90</v>
      </c>
      <c r="C24" s="27" t="n">
        <v>0.03</v>
      </c>
      <c r="D24" s="26" t="s">
        <v>73</v>
      </c>
      <c r="E24" s="26" t="s">
        <v>91</v>
      </c>
    </row>
    <row r="25" customFormat="false" ht="15" hidden="false" customHeight="false" outlineLevel="0" collapsed="false">
      <c r="A25" s="6"/>
      <c r="B25" s="6"/>
      <c r="C25" s="6"/>
      <c r="D25" s="6"/>
      <c r="E25" s="6"/>
    </row>
    <row r="26" customFormat="false" ht="15" hidden="false" customHeight="false" outlineLevel="0" collapsed="false">
      <c r="A26" s="6"/>
      <c r="B26" s="9" t="s">
        <v>92</v>
      </c>
      <c r="C26" s="10"/>
      <c r="D26" s="10"/>
      <c r="E26" s="10"/>
    </row>
    <row r="27" customFormat="false" ht="15" hidden="false" customHeight="false" outlineLevel="0" collapsed="false">
      <c r="A27" s="6"/>
      <c r="B27" s="24" t="s">
        <v>93</v>
      </c>
      <c r="C27" s="27" t="n">
        <v>0.4</v>
      </c>
      <c r="D27" s="26" t="s">
        <v>73</v>
      </c>
      <c r="E27" s="26" t="s">
        <v>87</v>
      </c>
    </row>
    <row r="28" customFormat="false" ht="15" hidden="false" customHeight="false" outlineLevel="0" collapsed="false">
      <c r="A28" s="6"/>
      <c r="B28" s="24" t="s">
        <v>94</v>
      </c>
      <c r="C28" s="25" t="n">
        <v>15000</v>
      </c>
      <c r="D28" s="26" t="s">
        <v>70</v>
      </c>
      <c r="E28" s="26" t="s">
        <v>95</v>
      </c>
    </row>
    <row r="29" customFormat="false" ht="15" hidden="false" customHeight="false" outlineLevel="0" collapsed="false">
      <c r="A29" s="6"/>
      <c r="B29" s="24" t="s">
        <v>96</v>
      </c>
      <c r="C29" s="27" t="n">
        <v>0.1</v>
      </c>
      <c r="D29" s="26" t="s">
        <v>97</v>
      </c>
      <c r="E29" s="26" t="s">
        <v>98</v>
      </c>
    </row>
    <row r="30" customFormat="false" ht="15" hidden="false" customHeight="false" outlineLevel="0" collapsed="false">
      <c r="A30" s="6"/>
      <c r="B30" s="6"/>
      <c r="C30" s="6"/>
      <c r="D30" s="6"/>
      <c r="E30" s="6"/>
    </row>
    <row r="31" customFormat="false" ht="15" hidden="false" customHeight="false" outlineLevel="0" collapsed="false">
      <c r="A31" s="6"/>
      <c r="B31" s="9" t="s">
        <v>99</v>
      </c>
      <c r="C31" s="10"/>
      <c r="D31" s="10"/>
      <c r="E31" s="10"/>
    </row>
    <row r="32" customFormat="false" ht="15" hidden="false" customHeight="false" outlineLevel="0" collapsed="false">
      <c r="A32" s="6"/>
      <c r="B32" s="24" t="s">
        <v>100</v>
      </c>
      <c r="C32" s="27" t="n">
        <v>0.55</v>
      </c>
      <c r="D32" s="26" t="s">
        <v>73</v>
      </c>
      <c r="E32" s="26" t="s">
        <v>101</v>
      </c>
    </row>
    <row r="33" customFormat="false" ht="15" hidden="false" customHeight="false" outlineLevel="0" collapsed="false">
      <c r="A33" s="6"/>
      <c r="B33" s="24" t="s">
        <v>102</v>
      </c>
      <c r="C33" s="27" t="n">
        <v>0.25</v>
      </c>
      <c r="D33" s="26" t="s">
        <v>73</v>
      </c>
      <c r="E33" s="26" t="s">
        <v>103</v>
      </c>
    </row>
    <row r="34" customFormat="false" ht="15" hidden="false" customHeight="false" outlineLevel="0" collapsed="false">
      <c r="A34" s="6"/>
      <c r="B34" s="24" t="s">
        <v>104</v>
      </c>
      <c r="C34" s="27" t="n">
        <v>0.4</v>
      </c>
      <c r="D34" s="26" t="s">
        <v>73</v>
      </c>
      <c r="E34" s="26" t="s">
        <v>105</v>
      </c>
    </row>
    <row r="35" customFormat="false" ht="15" hidden="false" customHeight="false" outlineLevel="0" collapsed="false">
      <c r="A35" s="6"/>
      <c r="B35" s="24" t="s">
        <v>106</v>
      </c>
      <c r="C35" s="27" t="n">
        <v>0.15</v>
      </c>
      <c r="D35" s="26" t="s">
        <v>73</v>
      </c>
      <c r="E35" s="26" t="s">
        <v>107</v>
      </c>
    </row>
    <row r="36" customFormat="false" ht="15" hidden="false" customHeight="false" outlineLevel="0" collapsed="false">
      <c r="A36" s="6"/>
      <c r="B36" s="24" t="s">
        <v>108</v>
      </c>
      <c r="C36" s="27" t="n">
        <v>0.015</v>
      </c>
      <c r="D36" s="26" t="s">
        <v>73</v>
      </c>
      <c r="E36" s="26" t="s">
        <v>109</v>
      </c>
    </row>
    <row r="37" customFormat="false" ht="15" hidden="false" customHeight="false" outlineLevel="0" collapsed="false">
      <c r="A37" s="6"/>
      <c r="B37" s="6"/>
      <c r="C37" s="6"/>
      <c r="D37" s="6"/>
      <c r="E37" s="6"/>
    </row>
    <row r="38" customFormat="false" ht="15" hidden="false" customHeight="false" outlineLevel="0" collapsed="false">
      <c r="A38" s="6"/>
      <c r="B38" s="9" t="s">
        <v>110</v>
      </c>
      <c r="C38" s="10"/>
      <c r="D38" s="10"/>
      <c r="E38" s="10"/>
    </row>
    <row r="39" customFormat="false" ht="15" hidden="false" customHeight="false" outlineLevel="0" collapsed="false">
      <c r="A39" s="6"/>
      <c r="B39" s="24" t="s">
        <v>111</v>
      </c>
      <c r="C39" s="25" t="n">
        <v>12000000</v>
      </c>
      <c r="D39" s="26" t="s">
        <v>70</v>
      </c>
      <c r="E39" s="26" t="s">
        <v>112</v>
      </c>
    </row>
    <row r="40" customFormat="false" ht="15" hidden="false" customHeight="false" outlineLevel="0" collapsed="false">
      <c r="A40" s="6"/>
      <c r="B40" s="24" t="s">
        <v>113</v>
      </c>
      <c r="C40" s="27" t="n">
        <v>0.06</v>
      </c>
      <c r="D40" s="26" t="s">
        <v>73</v>
      </c>
      <c r="E40" s="26" t="s">
        <v>114</v>
      </c>
    </row>
    <row r="41" customFormat="false" ht="15" hidden="false" customHeight="false" outlineLevel="0" collapsed="false">
      <c r="A41" s="6"/>
      <c r="B41" s="6"/>
      <c r="C41" s="6"/>
      <c r="D41" s="6"/>
      <c r="E41" s="6"/>
    </row>
    <row r="42" customFormat="false" ht="15" hidden="false" customHeight="false" outlineLevel="0" collapsed="false">
      <c r="A42" s="6"/>
      <c r="B42" s="9" t="s">
        <v>115</v>
      </c>
      <c r="C42" s="10"/>
      <c r="D42" s="10"/>
      <c r="E42" s="10"/>
    </row>
    <row r="43" customFormat="false" ht="15" hidden="false" customHeight="false" outlineLevel="0" collapsed="false">
      <c r="A43" s="6"/>
      <c r="B43" s="24" t="s">
        <v>116</v>
      </c>
      <c r="C43" s="25" t="n">
        <v>18000000</v>
      </c>
      <c r="D43" s="26" t="s">
        <v>70</v>
      </c>
      <c r="E43" s="26" t="s">
        <v>117</v>
      </c>
    </row>
    <row r="44" customFormat="false" ht="15" hidden="false" customHeight="false" outlineLevel="0" collapsed="false">
      <c r="A44" s="6"/>
      <c r="B44" s="24" t="s">
        <v>118</v>
      </c>
      <c r="C44" s="27" t="n">
        <v>0.03</v>
      </c>
      <c r="D44" s="26" t="s">
        <v>73</v>
      </c>
      <c r="E44" s="26" t="s">
        <v>109</v>
      </c>
    </row>
    <row r="45" customFormat="false" ht="15" hidden="false" customHeight="false" outlineLevel="0" collapsed="false">
      <c r="A45" s="6"/>
      <c r="B45" s="24" t="s">
        <v>119</v>
      </c>
      <c r="C45" s="27" t="n">
        <v>0.03</v>
      </c>
      <c r="D45" s="26" t="s">
        <v>73</v>
      </c>
      <c r="E45" s="26" t="s">
        <v>120</v>
      </c>
    </row>
    <row r="46" customFormat="false" ht="15" hidden="false" customHeight="false" outlineLevel="0" collapsed="false">
      <c r="A46" s="6"/>
      <c r="B46" s="9" t="s">
        <v>121</v>
      </c>
      <c r="C46" s="10"/>
      <c r="D46" s="10"/>
      <c r="E46" s="10"/>
    </row>
    <row r="47" customFormat="false" ht="15" hidden="false" customHeight="false" outlineLevel="0" collapsed="false">
      <c r="A47" s="6"/>
      <c r="B47" s="24" t="s">
        <v>122</v>
      </c>
      <c r="C47" s="25" t="n">
        <v>8000000</v>
      </c>
      <c r="D47" s="26" t="s">
        <v>70</v>
      </c>
      <c r="E47" s="26" t="s">
        <v>112</v>
      </c>
    </row>
    <row r="48" customFormat="false" ht="15" hidden="false" customHeight="false" outlineLevel="0" collapsed="false">
      <c r="A48" s="6"/>
      <c r="B48" s="24" t="s">
        <v>123</v>
      </c>
      <c r="C48" s="27" t="n">
        <v>0.04</v>
      </c>
      <c r="D48" s="26" t="s">
        <v>73</v>
      </c>
      <c r="E48" s="26" t="s">
        <v>114</v>
      </c>
    </row>
    <row r="49" customFormat="false" ht="15" hidden="false" customHeight="false" outlineLevel="0" collapsed="false">
      <c r="A49" s="6"/>
      <c r="B49" s="6"/>
      <c r="C49" s="6"/>
      <c r="D49" s="6"/>
      <c r="E49" s="6"/>
    </row>
    <row r="50" customFormat="false" ht="15" hidden="false" customHeight="false" outlineLevel="0" collapsed="false">
      <c r="A50" s="6"/>
      <c r="B50" s="9" t="s">
        <v>124</v>
      </c>
      <c r="C50" s="10"/>
      <c r="D50" s="10"/>
      <c r="E50" s="10"/>
    </row>
    <row r="51" customFormat="false" ht="15" hidden="false" customHeight="false" outlineLevel="0" collapsed="false">
      <c r="A51" s="6"/>
      <c r="B51" s="24" t="s">
        <v>125</v>
      </c>
      <c r="C51" s="27" t="n">
        <v>0.035</v>
      </c>
      <c r="D51" s="26" t="s">
        <v>73</v>
      </c>
      <c r="E51" s="26" t="s">
        <v>126</v>
      </c>
    </row>
    <row r="52" customFormat="false" ht="15" hidden="false" customHeight="false" outlineLevel="0" collapsed="false">
      <c r="A52" s="6"/>
      <c r="B52" s="6"/>
      <c r="C52" s="6"/>
      <c r="D52" s="6"/>
      <c r="E52" s="6"/>
    </row>
    <row r="53" customFormat="false" ht="15" hidden="false" customHeight="false" outlineLevel="0" collapsed="false">
      <c r="A53" s="6"/>
      <c r="B53" s="9" t="s">
        <v>127</v>
      </c>
      <c r="C53" s="10"/>
      <c r="D53" s="10"/>
      <c r="E53" s="10"/>
    </row>
    <row r="54" customFormat="false" ht="15" hidden="false" customHeight="false" outlineLevel="0" collapsed="false">
      <c r="A54" s="6"/>
      <c r="B54" s="24" t="s">
        <v>128</v>
      </c>
      <c r="C54" s="27" t="n">
        <v>0.03</v>
      </c>
      <c r="D54" s="26" t="s">
        <v>73</v>
      </c>
      <c r="E54" s="26" t="s">
        <v>129</v>
      </c>
    </row>
    <row r="55" customFormat="false" ht="15" hidden="false" customHeight="false" outlineLevel="0" collapsed="false">
      <c r="A55" s="6"/>
      <c r="B55" s="24" t="s">
        <v>130</v>
      </c>
      <c r="C55" s="25" t="n">
        <v>5000000</v>
      </c>
      <c r="D55" s="26" t="s">
        <v>70</v>
      </c>
      <c r="E55" s="26" t="s">
        <v>131</v>
      </c>
    </row>
    <row r="56" customFormat="false" ht="15" hidden="false" customHeight="false" outlineLevel="0" collapsed="false">
      <c r="A56" s="6"/>
      <c r="B56" s="24" t="s">
        <v>132</v>
      </c>
      <c r="C56" s="25" t="n">
        <v>40000000</v>
      </c>
      <c r="D56" s="26" t="s">
        <v>70</v>
      </c>
      <c r="E56" s="26" t="s">
        <v>133</v>
      </c>
    </row>
    <row r="57" customFormat="false" ht="15" hidden="false" customHeight="false" outlineLevel="0" collapsed="false">
      <c r="A57" s="6"/>
      <c r="B57" s="24" t="s">
        <v>134</v>
      </c>
      <c r="C57" s="25" t="n">
        <v>15000000</v>
      </c>
      <c r="D57" s="26" t="s">
        <v>70</v>
      </c>
      <c r="E57" s="26" t="s">
        <v>135</v>
      </c>
    </row>
    <row r="58" customFormat="false" ht="15" hidden="false" customHeight="false" outlineLevel="0" collapsed="false">
      <c r="A58" s="6"/>
      <c r="B58" s="24" t="s">
        <v>136</v>
      </c>
      <c r="C58" s="25" t="n">
        <v>10</v>
      </c>
      <c r="D58" s="26" t="s">
        <v>137</v>
      </c>
      <c r="E58" s="26" t="s">
        <v>138</v>
      </c>
    </row>
    <row r="59" customFormat="false" ht="15" hidden="false" customHeight="false" outlineLevel="0" collapsed="false">
      <c r="A59" s="6"/>
      <c r="B59" s="24" t="s">
        <v>139</v>
      </c>
      <c r="C59" s="25" t="n">
        <v>7</v>
      </c>
      <c r="D59" s="26" t="s">
        <v>137</v>
      </c>
      <c r="E59" s="26" t="s">
        <v>138</v>
      </c>
    </row>
    <row r="60" customFormat="false" ht="15" hidden="false" customHeight="false" outlineLevel="0" collapsed="false">
      <c r="A60" s="6"/>
      <c r="B60" s="24" t="s">
        <v>140</v>
      </c>
      <c r="C60" s="25" t="n">
        <v>25000000</v>
      </c>
      <c r="D60" s="26" t="s">
        <v>70</v>
      </c>
      <c r="E60" s="26" t="s">
        <v>141</v>
      </c>
    </row>
    <row r="61" customFormat="false" ht="15" hidden="false" customHeight="false" outlineLevel="0" collapsed="false">
      <c r="A61" s="6"/>
      <c r="B61" s="24" t="s">
        <v>142</v>
      </c>
      <c r="C61" s="25" t="n">
        <v>8000000</v>
      </c>
      <c r="D61" s="26" t="s">
        <v>70</v>
      </c>
      <c r="E61" s="26" t="s">
        <v>135</v>
      </c>
    </row>
    <row r="62" customFormat="false" ht="15" hidden="false" customHeight="false" outlineLevel="0" collapsed="false">
      <c r="A62" s="6"/>
      <c r="B62" s="24" t="s">
        <v>143</v>
      </c>
      <c r="C62" s="25" t="n">
        <v>12</v>
      </c>
      <c r="D62" s="26" t="s">
        <v>137</v>
      </c>
      <c r="E62" s="26" t="s">
        <v>144</v>
      </c>
    </row>
    <row r="63" customFormat="false" ht="15" hidden="false" customHeight="false" outlineLevel="0" collapsed="false">
      <c r="A63" s="6"/>
      <c r="B63" s="6"/>
      <c r="C63" s="6"/>
      <c r="D63" s="6"/>
      <c r="E63" s="6"/>
    </row>
    <row r="64" customFormat="false" ht="15" hidden="false" customHeight="false" outlineLevel="0" collapsed="false">
      <c r="A64" s="6"/>
      <c r="B64" s="9" t="s">
        <v>145</v>
      </c>
      <c r="C64" s="10"/>
      <c r="D64" s="10"/>
      <c r="E64" s="10"/>
    </row>
    <row r="65" customFormat="false" ht="15" hidden="false" customHeight="false" outlineLevel="0" collapsed="false">
      <c r="A65" s="6"/>
      <c r="B65" s="24" t="s">
        <v>146</v>
      </c>
      <c r="C65" s="25" t="n">
        <v>65</v>
      </c>
      <c r="D65" s="26" t="s">
        <v>147</v>
      </c>
      <c r="E65" s="26" t="s">
        <v>148</v>
      </c>
    </row>
    <row r="66" customFormat="false" ht="15" hidden="false" customHeight="false" outlineLevel="0" collapsed="false">
      <c r="A66" s="6"/>
      <c r="B66" s="24" t="s">
        <v>149</v>
      </c>
      <c r="C66" s="25" t="n">
        <v>110</v>
      </c>
      <c r="D66" s="26" t="s">
        <v>147</v>
      </c>
      <c r="E66" s="26" t="s">
        <v>150</v>
      </c>
    </row>
    <row r="67" customFormat="false" ht="15" hidden="false" customHeight="false" outlineLevel="0" collapsed="false">
      <c r="A67" s="6"/>
      <c r="B67" s="24" t="s">
        <v>151</v>
      </c>
      <c r="C67" s="25" t="n">
        <v>50</v>
      </c>
      <c r="D67" s="26" t="s">
        <v>147</v>
      </c>
      <c r="E67" s="26" t="s">
        <v>152</v>
      </c>
    </row>
    <row r="68" customFormat="false" ht="15" hidden="false" customHeight="false" outlineLevel="0" collapsed="false">
      <c r="A68" s="6"/>
      <c r="B68" s="24" t="s">
        <v>153</v>
      </c>
      <c r="C68" s="27" t="n">
        <v>0.08</v>
      </c>
      <c r="D68" s="26" t="s">
        <v>73</v>
      </c>
      <c r="E68" s="26" t="s">
        <v>154</v>
      </c>
    </row>
    <row r="69" customFormat="false" ht="15" hidden="false" customHeight="false" outlineLevel="0" collapsed="false">
      <c r="A69" s="6"/>
      <c r="B69" s="24" t="s">
        <v>155</v>
      </c>
      <c r="C69" s="27" t="n">
        <v>0.02</v>
      </c>
      <c r="D69" s="26" t="s">
        <v>73</v>
      </c>
      <c r="E69" s="26" t="s">
        <v>129</v>
      </c>
    </row>
    <row r="70" customFormat="false" ht="15" hidden="false" customHeight="false" outlineLevel="0" collapsed="false">
      <c r="A70" s="6"/>
      <c r="B70" s="24" t="s">
        <v>156</v>
      </c>
      <c r="C70" s="27" t="n">
        <v>0.015</v>
      </c>
      <c r="D70" s="26" t="s">
        <v>73</v>
      </c>
      <c r="E70" s="26" t="s">
        <v>129</v>
      </c>
    </row>
    <row r="71" customFormat="false" ht="15" hidden="false" customHeight="false" outlineLevel="0" collapsed="false">
      <c r="A71" s="6"/>
      <c r="B71" s="6"/>
      <c r="C71" s="6"/>
      <c r="D71" s="6"/>
      <c r="E71" s="6"/>
    </row>
    <row r="72" customFormat="false" ht="15" hidden="false" customHeight="false" outlineLevel="0" collapsed="false">
      <c r="A72" s="6"/>
      <c r="B72" s="9" t="s">
        <v>157</v>
      </c>
      <c r="C72" s="10"/>
      <c r="D72" s="10"/>
      <c r="E72" s="10"/>
    </row>
    <row r="73" customFormat="false" ht="15" hidden="false" customHeight="false" outlineLevel="0" collapsed="false">
      <c r="A73" s="6"/>
      <c r="B73" s="24" t="s">
        <v>158</v>
      </c>
      <c r="C73" s="25" t="n">
        <v>30000000</v>
      </c>
      <c r="D73" s="26" t="s">
        <v>70</v>
      </c>
      <c r="E73" s="26" t="s">
        <v>159</v>
      </c>
    </row>
    <row r="74" customFormat="false" ht="15" hidden="false" customHeight="false" outlineLevel="0" collapsed="false">
      <c r="A74" s="6"/>
      <c r="B74" s="24" t="s">
        <v>160</v>
      </c>
      <c r="C74" s="27" t="n">
        <v>0.055</v>
      </c>
      <c r="D74" s="26" t="s">
        <v>73</v>
      </c>
      <c r="E74" s="26" t="s">
        <v>161</v>
      </c>
    </row>
    <row r="75" customFormat="false" ht="15" hidden="false" customHeight="false" outlineLevel="0" collapsed="false">
      <c r="A75" s="6"/>
      <c r="B75" s="24" t="s">
        <v>162</v>
      </c>
      <c r="C75" s="25" t="n">
        <v>7</v>
      </c>
      <c r="D75" s="26" t="s">
        <v>137</v>
      </c>
      <c r="E75" s="26" t="s">
        <v>163</v>
      </c>
    </row>
    <row r="76" customFormat="false" ht="15" hidden="false" customHeight="false" outlineLevel="0" collapsed="false">
      <c r="A76" s="6"/>
      <c r="B76" s="24" t="s">
        <v>164</v>
      </c>
      <c r="C76" s="25" t="n">
        <v>15000000</v>
      </c>
      <c r="D76" s="26" t="s">
        <v>70</v>
      </c>
      <c r="E76" s="26" t="s">
        <v>165</v>
      </c>
    </row>
    <row r="77" customFormat="false" ht="15" hidden="false" customHeight="false" outlineLevel="0" collapsed="false">
      <c r="A77" s="6"/>
      <c r="B77" s="24" t="s">
        <v>166</v>
      </c>
      <c r="C77" s="25" t="n">
        <v>0</v>
      </c>
      <c r="D77" s="26" t="s">
        <v>70</v>
      </c>
      <c r="E77" s="26" t="s">
        <v>167</v>
      </c>
    </row>
    <row r="78" customFormat="false" ht="15" hidden="false" customHeight="false" outlineLevel="0" collapsed="false">
      <c r="A78" s="6"/>
      <c r="B78" s="24" t="s">
        <v>168</v>
      </c>
      <c r="C78" s="27" t="n">
        <v>0.004</v>
      </c>
      <c r="D78" s="26" t="s">
        <v>73</v>
      </c>
      <c r="E78" s="26" t="s">
        <v>169</v>
      </c>
    </row>
    <row r="79" customFormat="false" ht="15" hidden="false" customHeight="false" outlineLevel="0" collapsed="false">
      <c r="A79" s="6"/>
      <c r="B79" s="6"/>
      <c r="C79" s="6"/>
      <c r="D79" s="6"/>
      <c r="E79" s="6"/>
    </row>
    <row r="80" customFormat="false" ht="15" hidden="false" customHeight="false" outlineLevel="0" collapsed="false">
      <c r="A80" s="6"/>
      <c r="B80" s="9" t="s">
        <v>170</v>
      </c>
      <c r="C80" s="10"/>
      <c r="D80" s="10"/>
      <c r="E80" s="10"/>
    </row>
    <row r="81" customFormat="false" ht="15" hidden="false" customHeight="false" outlineLevel="0" collapsed="false">
      <c r="A81" s="6"/>
      <c r="B81" s="24" t="s">
        <v>171</v>
      </c>
      <c r="C81" s="27" t="n">
        <v>0.25</v>
      </c>
      <c r="D81" s="26" t="s">
        <v>73</v>
      </c>
      <c r="E81" s="26" t="s">
        <v>172</v>
      </c>
    </row>
    <row r="82" customFormat="false" ht="15" hidden="false" customHeight="false" outlineLevel="0" collapsed="false">
      <c r="A82" s="6"/>
      <c r="B82" s="24" t="s">
        <v>173</v>
      </c>
      <c r="C82" s="27" t="n">
        <v>0</v>
      </c>
      <c r="D82" s="26" t="s">
        <v>73</v>
      </c>
      <c r="E82" s="26" t="s">
        <v>174</v>
      </c>
    </row>
    <row r="83" customFormat="false" ht="15" hidden="false" customHeight="false" outlineLevel="0" collapsed="false">
      <c r="A83" s="6"/>
      <c r="B83" s="6"/>
      <c r="C83" s="6"/>
      <c r="D83" s="6"/>
      <c r="E83" s="6"/>
    </row>
    <row r="84" customFormat="false" ht="15" hidden="false" customHeight="false" outlineLevel="0" collapsed="false">
      <c r="A84" s="6"/>
      <c r="B84" s="9" t="s">
        <v>175</v>
      </c>
      <c r="C84" s="10"/>
      <c r="D84" s="10"/>
      <c r="E84" s="10"/>
    </row>
    <row r="85" customFormat="false" ht="15" hidden="false" customHeight="false" outlineLevel="0" collapsed="false">
      <c r="A85" s="6"/>
      <c r="B85" s="24" t="s">
        <v>176</v>
      </c>
      <c r="C85" s="25" t="n">
        <v>20000000</v>
      </c>
      <c r="D85" s="26" t="s">
        <v>70</v>
      </c>
      <c r="E85" s="26" t="s">
        <v>177</v>
      </c>
    </row>
    <row r="86" customFormat="false" ht="15" hidden="false" customHeight="false" outlineLevel="0" collapsed="false">
      <c r="A86" s="6"/>
      <c r="B86" s="24" t="s">
        <v>178</v>
      </c>
      <c r="C86" s="25" t="n">
        <v>50000000</v>
      </c>
      <c r="D86" s="26" t="s">
        <v>70</v>
      </c>
      <c r="E86" s="26" t="s">
        <v>179</v>
      </c>
    </row>
    <row r="87" customFormat="false" ht="15" hidden="false" customHeight="false" outlineLevel="0" collapsed="false">
      <c r="A87" s="6"/>
      <c r="B87" s="24" t="s">
        <v>180</v>
      </c>
      <c r="C87" s="25" t="n">
        <f aca="false">Open_Cash+(Open_PPE_Gross-Accum_Depr_Open)+(Open_Intang_Gross-Intang_Accum_Amort)+(((Equip_Units_Y1*Equip_ASP+Equip_Units_Y1*Proc_Per_Device*Consum_Rev_Per_Proc+Equip_Units_Y1*Attach_Rate*Avg_Contract_Value+Equip_Units_Y1*Connected_Rate*SW_Licence_Fee)*DSO/365+(Equip_Units_Y1*Equip_ASP*Equip_COGS_Pct+Equip_Units_Y1*Proc_Per_Device*Consum_Rev_Per_Proc*Consum_COGS_Pct+Equip_Units_Y1*Attach_Rate*Avg_Contract_Value*Svc_COGS_Pct+Equip_Units_Y1*Connected_Rate*SW_Licence_Fee*SW_COGS_Pct+(Equip_Units_Y1*Equip_ASP+Equip_Units_Y1*Proc_Per_Device*Consum_Rev_Per_Proc+Equip_Units_Y1*Attach_Rate*Avg_Contract_Value+Equip_Units_Y1*Connected_Rate*SW_Licence_Fee)*Warranty_Pct)*DIO/365+(Equip_Units_Y1*Equip_ASP+Equip_Units_Y1*Proc_Per_Device*Consum_Rev_Per_Proc+Equip_Units_Y1*Attach_Rate*Avg_Contract_Value+Equip_Units_Y1*Connected_Rate*SW_Licence_Fee)*Other_CA_Pct-(Equip_Units_Y1*Equip_ASP*Equip_COGS_Pct+Equip_Units_Y1*Proc_Per_Device*Consum_Rev_Per_Proc*Consum_COGS_Pct+Equip_Units_Y1*Attach_Rate*Avg_Contract_Value*Svc_COGS_Pct+Equip_Units_Y1*Connected_Rate*SW_Licence_Fee*SW_COGS_Pct+(Equip_Units_Y1*Equip_ASP+Equip_Units_Y1*Proc_Per_Device*Consum_Rev_Per_Proc+Equip_Units_Y1*Attach_Rate*Avg_Contract_Value+Equip_Units_Y1*Connected_Rate*SW_Licence_Fee)*Warranty_Pct)*DPO/365-(RD_Base+SM_Base+GA_Base+(Equip_Units_Y1*Equip_ASP+Equip_Units_Y1*Proc_Per_Device*Consum_Rev_Per_Proc+Equip_Units_Y1*Attach_Rate*Avg_Contract_Value+Equip_Units_Y1*Connected_Rate*SW_Licence_Fee)*QR_Pct)*Accrued_Liab_Pct-(Equip_Units_Y1*Equip_ASP+Equip_Units_Y1*Proc_Per_Device*Consum_Rev_Per_Proc+Equip_Units_Y1*Attach_Rate*Avg_Contract_Value+Equip_Units_Y1*Connected_Rate*SW_Licence_Fee)*Other_CL_Pct)/(1+Unit_Growth_Rate))-Term_Loan_Amt-Share_Capital</f>
        <v>-4709359.14510401</v>
      </c>
      <c r="D87" s="28" t="s">
        <v>70</v>
      </c>
      <c r="E87" s="28" t="s">
        <v>181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28" t="s">
        <v>184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65</v>
      </c>
      <c r="C8" s="10"/>
      <c r="D8" s="10"/>
      <c r="E8" s="10"/>
      <c r="F8" s="10"/>
      <c r="G8" s="10"/>
    </row>
    <row r="9" customFormat="false" ht="15" hidden="false" customHeight="false" outlineLevel="0" collapsed="false">
      <c r="A9" s="6"/>
      <c r="B9" s="31" t="s">
        <v>185</v>
      </c>
      <c r="C9" s="32" t="n">
        <f aca="false">Equip_Units_Y1*(1+Unit_Growth_Rate)^(C6-1)</f>
        <v>500</v>
      </c>
      <c r="D9" s="32" t="n">
        <f aca="false">Equip_Units_Y1*(1+Unit_Growth_Rate)^(D6-1)</f>
        <v>540</v>
      </c>
      <c r="E9" s="32" t="n">
        <f aca="false">Equip_Units_Y1*(1+Unit_Growth_Rate)^(E6-1)</f>
        <v>583.2</v>
      </c>
      <c r="F9" s="32" t="n">
        <f aca="false">Equip_Units_Y1*(1+Unit_Growth_Rate)^(F6-1)</f>
        <v>629.856</v>
      </c>
      <c r="G9" s="32" t="n">
        <f aca="false">Equip_Units_Y1*(1+Unit_Growth_Rate)^(G6-1)</f>
        <v>680.24448</v>
      </c>
    </row>
    <row r="10" customFormat="false" ht="15" hidden="false" customHeight="false" outlineLevel="0" collapsed="false">
      <c r="A10" s="6"/>
      <c r="B10" s="31" t="s">
        <v>69</v>
      </c>
      <c r="C10" s="33" t="n">
        <f aca="false">Equip_ASP*(1-ASP_Erosion_Rate)^(C6-1)</f>
        <v>75000</v>
      </c>
      <c r="D10" s="33" t="n">
        <f aca="false">Equip_ASP*(1-ASP_Erosion_Rate)^(D6-1)</f>
        <v>73500</v>
      </c>
      <c r="E10" s="33" t="n">
        <f aca="false">Equip_ASP*(1-ASP_Erosion_Rate)^(E6-1)</f>
        <v>72030</v>
      </c>
      <c r="F10" s="33" t="n">
        <f aca="false">Equip_ASP*(1-ASP_Erosion_Rate)^(F6-1)</f>
        <v>70589.4</v>
      </c>
      <c r="G10" s="33" t="n">
        <f aca="false">Equip_ASP*(1-ASP_Erosion_Rate)^(G6-1)</f>
        <v>69177.612</v>
      </c>
    </row>
    <row r="11" customFormat="false" ht="15" hidden="false" customHeight="false" outlineLevel="0" collapsed="false">
      <c r="A11" s="6"/>
      <c r="B11" s="34" t="s">
        <v>186</v>
      </c>
      <c r="C11" s="35" t="n">
        <f aca="false">C9*C10</f>
        <v>37500000</v>
      </c>
      <c r="D11" s="35" t="n">
        <f aca="false">D9*D10</f>
        <v>39690000</v>
      </c>
      <c r="E11" s="35" t="n">
        <f aca="false">E9*E10</f>
        <v>42007896</v>
      </c>
      <c r="F11" s="35" t="n">
        <f aca="false">F9*F10</f>
        <v>44461157.1264</v>
      </c>
      <c r="G11" s="35" t="n">
        <f aca="false">G9*G10</f>
        <v>47057688.7025818</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187</v>
      </c>
      <c r="C13" s="10"/>
      <c r="D13" s="10"/>
      <c r="E13" s="10"/>
      <c r="F13" s="10"/>
      <c r="G13" s="10"/>
    </row>
    <row r="14" customFormat="false" ht="15" hidden="false" customHeight="false" outlineLevel="0" collapsed="false">
      <c r="A14" s="6"/>
      <c r="B14" s="31" t="s">
        <v>188</v>
      </c>
      <c r="C14" s="32" t="n">
        <f aca="false">0</f>
        <v>0</v>
      </c>
      <c r="D14" s="32" t="n">
        <f aca="false">C16</f>
        <v>500</v>
      </c>
      <c r="E14" s="32" t="n">
        <f aca="false">D16</f>
        <v>1040</v>
      </c>
      <c r="F14" s="32" t="n">
        <f aca="false">E16</f>
        <v>1623.2</v>
      </c>
      <c r="G14" s="32" t="n">
        <f aca="false">F16</f>
        <v>2253.056</v>
      </c>
    </row>
    <row r="15" customFormat="false" ht="15" hidden="false" customHeight="false" outlineLevel="0" collapsed="false">
      <c r="A15" s="6"/>
      <c r="B15" s="31" t="s">
        <v>189</v>
      </c>
      <c r="C15" s="32" t="n">
        <f aca="false">C9</f>
        <v>500</v>
      </c>
      <c r="D15" s="32" t="n">
        <f aca="false">D9</f>
        <v>540</v>
      </c>
      <c r="E15" s="32" t="n">
        <f aca="false">E9</f>
        <v>583.2</v>
      </c>
      <c r="F15" s="32" t="n">
        <f aca="false">F9</f>
        <v>629.856</v>
      </c>
      <c r="G15" s="32" t="n">
        <f aca="false">G9</f>
        <v>680.24448</v>
      </c>
    </row>
    <row r="16" customFormat="false" ht="15" hidden="false" customHeight="false" outlineLevel="0" collapsed="false">
      <c r="A16" s="6"/>
      <c r="B16" s="34" t="s">
        <v>190</v>
      </c>
      <c r="C16" s="35" t="n">
        <f aca="false">C14+C15</f>
        <v>500</v>
      </c>
      <c r="D16" s="35" t="n">
        <f aca="false">D14+D15</f>
        <v>1040</v>
      </c>
      <c r="E16" s="35" t="n">
        <f aca="false">E14+E15</f>
        <v>1623.2</v>
      </c>
      <c r="F16" s="35" t="n">
        <f aca="false">F14+F15</f>
        <v>2253.056</v>
      </c>
      <c r="G16" s="35" t="n">
        <f aca="false">G14+G15</f>
        <v>2933.30048</v>
      </c>
    </row>
    <row r="17" customFormat="false" ht="15" hidden="false" customHeight="false" outlineLevel="0" collapsed="false">
      <c r="A17" s="6"/>
      <c r="B17" s="9" t="s">
        <v>77</v>
      </c>
      <c r="C17" s="10"/>
      <c r="D17" s="10"/>
      <c r="E17" s="10"/>
      <c r="F17" s="10"/>
      <c r="G17" s="10"/>
    </row>
    <row r="18" customFormat="false" ht="15" hidden="false" customHeight="false" outlineLevel="0" collapsed="false">
      <c r="A18" s="6"/>
      <c r="B18" s="34" t="s">
        <v>191</v>
      </c>
      <c r="C18" s="35" t="n">
        <f aca="false">C16*Proc_Per_Device*(1+Consum_Vol_Growth)^(C6-1)*Consum_Rev_Per_Proc</f>
        <v>26250000</v>
      </c>
      <c r="D18" s="35" t="n">
        <f aca="false">D16*Proc_Per_Device*(1+Consum_Vol_Growth)^(D6-1)*Consum_Rev_Per_Proc</f>
        <v>56238000</v>
      </c>
      <c r="E18" s="35" t="n">
        <f aca="false">E16*Proc_Per_Device*(1+Consum_Vol_Growth)^(E6-1)*Consum_Rev_Per_Proc</f>
        <v>90407776.2</v>
      </c>
      <c r="F18" s="35" t="n">
        <f aca="false">F16*Proc_Per_Device*(1+Consum_Vol_Growth)^(F6-1)*Consum_Rev_Per_Proc</f>
        <v>129253693.99488</v>
      </c>
      <c r="G18" s="35" t="n">
        <f aca="false">G16*Proc_Per_Device*(1+Consum_Vol_Growth)^(G6-1)*Consum_Rev_Per_Proc</f>
        <v>173326415.462405</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85</v>
      </c>
      <c r="C20" s="10"/>
      <c r="D20" s="10"/>
      <c r="E20" s="10"/>
      <c r="F20" s="10"/>
      <c r="G20" s="10"/>
    </row>
    <row r="21" customFormat="false" ht="15" hidden="false" customHeight="false" outlineLevel="0" collapsed="false">
      <c r="A21" s="6"/>
      <c r="B21" s="31" t="s">
        <v>192</v>
      </c>
      <c r="C21" s="32" t="n">
        <f aca="false">C16</f>
        <v>500</v>
      </c>
      <c r="D21" s="32" t="n">
        <f aca="false">D16</f>
        <v>1040</v>
      </c>
      <c r="E21" s="32" t="n">
        <f aca="false">E16</f>
        <v>1623.2</v>
      </c>
      <c r="F21" s="32" t="n">
        <f aca="false">F16</f>
        <v>2253.056</v>
      </c>
      <c r="G21" s="32" t="n">
        <f aca="false">G16</f>
        <v>2933.30048</v>
      </c>
    </row>
    <row r="22" customFormat="false" ht="15" hidden="false" customHeight="false" outlineLevel="0" collapsed="false">
      <c r="A22" s="6"/>
      <c r="B22" s="34" t="s">
        <v>193</v>
      </c>
      <c r="C22" s="35" t="n">
        <f aca="false">C21*Attach_Rate*Avg_Contract_Value*(1+Svc_Escalation)^(C6-1)</f>
        <v>2625000</v>
      </c>
      <c r="D22" s="35" t="n">
        <f aca="false">D21*Attach_Rate*Avg_Contract_Value*(1+Svc_Escalation)^(D6-1)</f>
        <v>5623800</v>
      </c>
      <c r="E22" s="35" t="n">
        <f aca="false">E21*Attach_Rate*Avg_Contract_Value*(1+Svc_Escalation)^(E6-1)</f>
        <v>9040777.62</v>
      </c>
      <c r="F22" s="35" t="n">
        <f aca="false">F21*Attach_Rate*Avg_Contract_Value*(1+Svc_Escalation)^(F6-1)</f>
        <v>12925369.399488</v>
      </c>
      <c r="G22" s="35" t="n">
        <f aca="false">G21*Attach_Rate*Avg_Contract_Value*(1+Svc_Escalation)^(G6-1)</f>
        <v>17332641.5462405</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9" t="s">
        <v>92</v>
      </c>
      <c r="C24" s="10"/>
      <c r="D24" s="10"/>
      <c r="E24" s="10"/>
      <c r="F24" s="10"/>
      <c r="G24" s="10"/>
    </row>
    <row r="25" customFormat="false" ht="15" hidden="false" customHeight="false" outlineLevel="0" collapsed="false">
      <c r="A25" s="6"/>
      <c r="B25" s="31" t="s">
        <v>194</v>
      </c>
      <c r="C25" s="32" t="n">
        <f aca="false">C16*(Connected_Rate+SW_Adopt_Growth*(C6-1))</f>
        <v>200</v>
      </c>
      <c r="D25" s="32" t="n">
        <f aca="false">D16*(Connected_Rate+SW_Adopt_Growth*(D6-1))</f>
        <v>520</v>
      </c>
      <c r="E25" s="32" t="n">
        <f aca="false">E16*(Connected_Rate+SW_Adopt_Growth*(E6-1))</f>
        <v>973.92</v>
      </c>
      <c r="F25" s="32" t="n">
        <f aca="false">F16*(Connected_Rate+SW_Adopt_Growth*(F6-1))</f>
        <v>1577.1392</v>
      </c>
      <c r="G25" s="32" t="n">
        <f aca="false">G16*(Connected_Rate+SW_Adopt_Growth*(G6-1))</f>
        <v>2346.640384</v>
      </c>
    </row>
    <row r="26" customFormat="false" ht="15" hidden="false" customHeight="false" outlineLevel="0" collapsed="false">
      <c r="A26" s="6"/>
      <c r="B26" s="34" t="s">
        <v>195</v>
      </c>
      <c r="C26" s="35" t="n">
        <f aca="false">C25*SW_Licence_Fee</f>
        <v>3000000</v>
      </c>
      <c r="D26" s="35" t="n">
        <f aca="false">D25*SW_Licence_Fee</f>
        <v>7800000</v>
      </c>
      <c r="E26" s="35" t="n">
        <f aca="false">E25*SW_Licence_Fee</f>
        <v>14608800</v>
      </c>
      <c r="F26" s="35" t="n">
        <f aca="false">F25*SW_Licence_Fee</f>
        <v>23657088</v>
      </c>
      <c r="G26" s="35" t="n">
        <f aca="false">G25*SW_Licence_Fee</f>
        <v>35199605.76</v>
      </c>
    </row>
    <row r="27" customFormat="false" ht="15" hidden="false" customHeight="false" outlineLevel="0" collapsed="false">
      <c r="A27" s="6"/>
      <c r="B27" s="6"/>
      <c r="C27" s="6"/>
      <c r="D27" s="6"/>
      <c r="E27" s="6"/>
      <c r="F27" s="6"/>
      <c r="G27" s="6"/>
    </row>
    <row r="28" customFormat="false" ht="15" hidden="false" customHeight="false" outlineLevel="0" collapsed="false">
      <c r="A28" s="6"/>
      <c r="B28" s="34" t="s">
        <v>196</v>
      </c>
      <c r="C28" s="36" t="n">
        <f aca="false">C11+C18+C22+C26</f>
        <v>69375000</v>
      </c>
      <c r="D28" s="36" t="n">
        <f aca="false">D11+D18+D22+D26</f>
        <v>109351800</v>
      </c>
      <c r="E28" s="36" t="n">
        <f aca="false">E11+E18+E22+E26</f>
        <v>156065249.82</v>
      </c>
      <c r="F28" s="36" t="n">
        <f aca="false">F11+F18+F22+F26</f>
        <v>210297308.520768</v>
      </c>
      <c r="G28" s="36" t="n">
        <f aca="false">G11+G18+G22+G26</f>
        <v>272916351.471227</v>
      </c>
    </row>
    <row r="29" customFormat="false" ht="15" hidden="false" customHeight="false" outlineLevel="0" collapsed="false">
      <c r="A29" s="6"/>
      <c r="B29" s="7" t="s">
        <v>197</v>
      </c>
      <c r="C29" s="6"/>
      <c r="D29" s="6"/>
      <c r="E29" s="6"/>
      <c r="F29" s="6"/>
      <c r="G29" s="6"/>
    </row>
    <row r="30" customFormat="false" ht="15" hidden="false" customHeight="false" outlineLevel="0" collapsed="false">
      <c r="A30" s="6"/>
      <c r="B30" s="37" t="s">
        <v>198</v>
      </c>
      <c r="C30" s="38" t="n">
        <f aca="false">C11/C28</f>
        <v>0.540540540540541</v>
      </c>
      <c r="D30" s="38" t="n">
        <f aca="false">D11/D28</f>
        <v>0.362956988362332</v>
      </c>
      <c r="E30" s="38" t="n">
        <f aca="false">E11/E28</f>
        <v>0.269168799899083</v>
      </c>
      <c r="F30" s="38" t="n">
        <f aca="false">F11/F28</f>
        <v>0.211420476273044</v>
      </c>
      <c r="G30" s="38" t="n">
        <f aca="false">G11/G28</f>
        <v>0.172425318046739</v>
      </c>
    </row>
    <row r="31" customFormat="false" ht="15" hidden="false" customHeight="false" outlineLevel="0" collapsed="false">
      <c r="A31" s="6"/>
      <c r="B31" s="37" t="s">
        <v>199</v>
      </c>
      <c r="C31" s="38" t="n">
        <f aca="false">C18/C28</f>
        <v>0.378378378378378</v>
      </c>
      <c r="D31" s="38" t="n">
        <f aca="false">D18/D28</f>
        <v>0.514285087213928</v>
      </c>
      <c r="E31" s="38" t="n">
        <f aca="false">E18/E28</f>
        <v>0.579294726431881</v>
      </c>
      <c r="F31" s="38" t="n">
        <f aca="false">F18/F28</f>
        <v>0.614623624543989</v>
      </c>
      <c r="G31" s="38" t="n">
        <f aca="false">G18/G28</f>
        <v>0.635089889367359</v>
      </c>
    </row>
    <row r="32" customFormat="false" ht="15" hidden="false" customHeight="false" outlineLevel="0" collapsed="false">
      <c r="A32" s="6"/>
      <c r="B32" s="37" t="s">
        <v>200</v>
      </c>
      <c r="C32" s="38" t="n">
        <f aca="false">C22/C28</f>
        <v>0.0378378378378378</v>
      </c>
      <c r="D32" s="38" t="n">
        <f aca="false">D22/D28</f>
        <v>0.0514285087213928</v>
      </c>
      <c r="E32" s="38" t="n">
        <f aca="false">E22/E28</f>
        <v>0.0579294726431881</v>
      </c>
      <c r="F32" s="38" t="n">
        <f aca="false">F22/F28</f>
        <v>0.0614623624543989</v>
      </c>
      <c r="G32" s="38" t="n">
        <f aca="false">G22/G28</f>
        <v>0.0635089889367358</v>
      </c>
    </row>
    <row r="33" customFormat="false" ht="15" hidden="false" customHeight="false" outlineLevel="0" collapsed="false">
      <c r="A33" s="6"/>
      <c r="B33" s="37" t="s">
        <v>201</v>
      </c>
      <c r="C33" s="38" t="n">
        <f aca="false">C26/C28</f>
        <v>0.0432432432432432</v>
      </c>
      <c r="D33" s="38" t="n">
        <f aca="false">D26/D28</f>
        <v>0.0713294157023478</v>
      </c>
      <c r="E33" s="38" t="n">
        <f aca="false">E26/E28</f>
        <v>0.0936070010258483</v>
      </c>
      <c r="F33" s="38" t="n">
        <f aca="false">F26/F28</f>
        <v>0.112493536728568</v>
      </c>
      <c r="G33" s="38" t="n">
        <f aca="false">G26/G28</f>
        <v>0.128975803649167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99</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99</v>
      </c>
      <c r="C8" s="10"/>
      <c r="D8" s="10"/>
      <c r="E8" s="10"/>
      <c r="F8" s="10"/>
      <c r="G8" s="10"/>
    </row>
    <row r="9" customFormat="false" ht="15" hidden="false" customHeight="false" outlineLevel="0" collapsed="false">
      <c r="A9" s="6"/>
      <c r="B9" s="31" t="s">
        <v>203</v>
      </c>
      <c r="C9" s="32" t="n">
        <f aca="false">RB_Equip_Rev*Equip_COGS_Pct</f>
        <v>20625000</v>
      </c>
      <c r="D9" s="32" t="n">
        <f aca="false">RB_Equip_Rev*Equip_COGS_Pct</f>
        <v>21829500</v>
      </c>
      <c r="E9" s="32" t="n">
        <f aca="false">RB_Equip_Rev*Equip_COGS_Pct</f>
        <v>23104342.8</v>
      </c>
      <c r="F9" s="32" t="n">
        <f aca="false">RB_Equip_Rev*Equip_COGS_Pct</f>
        <v>24453636.41952</v>
      </c>
      <c r="G9" s="32" t="n">
        <f aca="false">RB_Equip_Rev*Equip_COGS_Pct</f>
        <v>25881728.78642</v>
      </c>
    </row>
    <row r="10" customFormat="false" ht="15" hidden="false" customHeight="false" outlineLevel="0" collapsed="false">
      <c r="A10" s="6"/>
      <c r="B10" s="31" t="s">
        <v>204</v>
      </c>
      <c r="C10" s="32" t="n">
        <f aca="false">RB_Consum_Rev*Consum_COGS_Pct</f>
        <v>6562500</v>
      </c>
      <c r="D10" s="32" t="n">
        <f aca="false">RB_Consum_Rev*Consum_COGS_Pct</f>
        <v>14059500</v>
      </c>
      <c r="E10" s="32" t="n">
        <f aca="false">RB_Consum_Rev*Consum_COGS_Pct</f>
        <v>22601944.05</v>
      </c>
      <c r="F10" s="32" t="n">
        <f aca="false">RB_Consum_Rev*Consum_COGS_Pct</f>
        <v>32313423.49872</v>
      </c>
      <c r="G10" s="32" t="n">
        <f aca="false">RB_Consum_Rev*Consum_COGS_Pct</f>
        <v>43331603.8656011</v>
      </c>
    </row>
    <row r="11" customFormat="false" ht="15" hidden="false" customHeight="false" outlineLevel="0" collapsed="false">
      <c r="A11" s="6"/>
      <c r="B11" s="31" t="s">
        <v>205</v>
      </c>
      <c r="C11" s="32" t="n">
        <f aca="false">RB_Svc_Rev*Svc_COGS_Pct</f>
        <v>1050000</v>
      </c>
      <c r="D11" s="32" t="n">
        <f aca="false">RB_Svc_Rev*Svc_COGS_Pct</f>
        <v>2249520</v>
      </c>
      <c r="E11" s="32" t="n">
        <f aca="false">RB_Svc_Rev*Svc_COGS_Pct</f>
        <v>3616311.048</v>
      </c>
      <c r="F11" s="32" t="n">
        <f aca="false">RB_Svc_Rev*Svc_COGS_Pct</f>
        <v>5170147.7597952</v>
      </c>
      <c r="G11" s="32" t="n">
        <f aca="false">RB_Svc_Rev*Svc_COGS_Pct</f>
        <v>6933056.61849618</v>
      </c>
    </row>
    <row r="12" customFormat="false" ht="15" hidden="false" customHeight="false" outlineLevel="0" collapsed="false">
      <c r="A12" s="6"/>
      <c r="B12" s="31" t="s">
        <v>206</v>
      </c>
      <c r="C12" s="32" t="n">
        <f aca="false">RB_SW_Rev*SW_COGS_Pct</f>
        <v>450000</v>
      </c>
      <c r="D12" s="32" t="n">
        <f aca="false">RB_SW_Rev*SW_COGS_Pct</f>
        <v>1170000</v>
      </c>
      <c r="E12" s="32" t="n">
        <f aca="false">RB_SW_Rev*SW_COGS_Pct</f>
        <v>2191320</v>
      </c>
      <c r="F12" s="32" t="n">
        <f aca="false">RB_SW_Rev*SW_COGS_Pct</f>
        <v>3548563.2</v>
      </c>
      <c r="G12" s="32" t="n">
        <f aca="false">RB_SW_Rev*SW_COGS_Pct</f>
        <v>5279940.864</v>
      </c>
    </row>
    <row r="13" customFormat="false" ht="15" hidden="false" customHeight="false" outlineLevel="0" collapsed="false">
      <c r="A13" s="6"/>
      <c r="B13" s="31" t="s">
        <v>207</v>
      </c>
      <c r="C13" s="32" t="n">
        <f aca="false">RB_Total_Rev*Warranty_Pct</f>
        <v>1040625</v>
      </c>
      <c r="D13" s="32" t="n">
        <f aca="false">RB_Total_Rev*Warranty_Pct</f>
        <v>1640277</v>
      </c>
      <c r="E13" s="32" t="n">
        <f aca="false">RB_Total_Rev*Warranty_Pct</f>
        <v>2340978.7473</v>
      </c>
      <c r="F13" s="32" t="n">
        <f aca="false">RB_Total_Rev*Warranty_Pct</f>
        <v>3154459.62781152</v>
      </c>
      <c r="G13" s="32" t="n">
        <f aca="false">RB_Total_Rev*Warranty_Pct</f>
        <v>4093745.2720684</v>
      </c>
    </row>
    <row r="14" customFormat="false" ht="15" hidden="false" customHeight="false" outlineLevel="0" collapsed="false">
      <c r="A14" s="6"/>
      <c r="B14" s="34" t="s">
        <v>208</v>
      </c>
      <c r="C14" s="36" t="n">
        <f aca="false">SUM(C9:C13)</f>
        <v>29728125</v>
      </c>
      <c r="D14" s="36" t="n">
        <f aca="false">SUM(D9:D13)</f>
        <v>40948797</v>
      </c>
      <c r="E14" s="36" t="n">
        <f aca="false">SUM(E9:E13)</f>
        <v>53854896.6453</v>
      </c>
      <c r="F14" s="36" t="n">
        <f aca="false">SUM(F9:F13)</f>
        <v>68640230.5058467</v>
      </c>
      <c r="G14" s="36" t="n">
        <f aca="false">SUM(G9:G13)</f>
        <v>85520075.4065857</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34" t="s">
        <v>209</v>
      </c>
      <c r="C16" s="36" t="n">
        <f aca="false">RB_Total_Rev-C14</f>
        <v>39646875</v>
      </c>
      <c r="D16" s="36" t="n">
        <f aca="false">RB_Total_Rev-D14</f>
        <v>68403003</v>
      </c>
      <c r="E16" s="36" t="n">
        <f aca="false">RB_Total_Rev-E14</f>
        <v>102210353.1747</v>
      </c>
      <c r="F16" s="36" t="n">
        <f aca="false">RB_Total_Rev-F14</f>
        <v>141657078.014921</v>
      </c>
      <c r="G16" s="36" t="n">
        <f aca="false">RB_Total_Rev-G14</f>
        <v>187396276.064641</v>
      </c>
    </row>
    <row r="17" customFormat="false" ht="15" hidden="false" customHeight="false" outlineLevel="0" collapsed="false">
      <c r="A17" s="6"/>
      <c r="B17" s="26" t="s">
        <v>210</v>
      </c>
      <c r="C17" s="38" t="n">
        <f aca="false">C16/RB_Total_Rev</f>
        <v>0.571486486486487</v>
      </c>
      <c r="D17" s="38" t="n">
        <f aca="false">D16/RB_Total_Rev</f>
        <v>0.625531568753326</v>
      </c>
      <c r="E17" s="38" t="n">
        <f aca="false">E16/RB_Total_Rev</f>
        <v>0.654920639236382</v>
      </c>
      <c r="F17" s="38" t="n">
        <f aca="false">F16/RB_Total_Rev</f>
        <v>0.673603856422784</v>
      </c>
      <c r="G17" s="38" t="n">
        <f aca="false">G16/RB_Total_Rev</f>
        <v>0.686643636610385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211</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212</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28" t="s">
        <v>184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211</v>
      </c>
      <c r="C8" s="10"/>
      <c r="D8" s="10"/>
      <c r="E8" s="10"/>
      <c r="F8" s="10"/>
      <c r="G8" s="10"/>
    </row>
    <row r="9" customFormat="false" ht="15" hidden="false" customHeight="false" outlineLevel="0" collapsed="false">
      <c r="A9" s="6"/>
      <c r="B9" s="31" t="s">
        <v>110</v>
      </c>
      <c r="C9" s="32" t="n">
        <f aca="false">RD_Base*(1+RD_Growth)^(C6-1)</f>
        <v>12000000</v>
      </c>
      <c r="D9" s="32" t="n">
        <f aca="false">RD_Base*(1+RD_Growth)^(D6-1)</f>
        <v>12720000</v>
      </c>
      <c r="E9" s="32" t="n">
        <f aca="false">RD_Base*(1+RD_Growth)^(E6-1)</f>
        <v>13483200</v>
      </c>
      <c r="F9" s="32" t="n">
        <f aca="false">RD_Base*(1+RD_Growth)^(F6-1)</f>
        <v>14292192</v>
      </c>
      <c r="G9" s="32" t="n">
        <f aca="false">RD_Base*(1+RD_Growth)^(G6-1)</f>
        <v>15149723.52</v>
      </c>
    </row>
    <row r="10" customFormat="false" ht="15" hidden="false" customHeight="false" outlineLevel="0" collapsed="false">
      <c r="A10" s="6"/>
      <c r="B10" s="31" t="s">
        <v>213</v>
      </c>
      <c r="C10" s="32" t="n">
        <f aca="false">SM_Base*(1+SM_Escalation)^(C6-1)</f>
        <v>18000000</v>
      </c>
      <c r="D10" s="32" t="n">
        <f aca="false">SM_Base*(1+SM_Escalation)^(D6-1)</f>
        <v>18540000</v>
      </c>
      <c r="E10" s="32" t="n">
        <f aca="false">SM_Base*(1+SM_Escalation)^(E6-1)</f>
        <v>19096200</v>
      </c>
      <c r="F10" s="32" t="n">
        <f aca="false">SM_Base*(1+SM_Escalation)^(F6-1)</f>
        <v>19669086</v>
      </c>
      <c r="G10" s="32" t="n">
        <f aca="false">SM_Base*(1+SM_Escalation)^(G6-1)</f>
        <v>20259158.58</v>
      </c>
    </row>
    <row r="11" customFormat="false" ht="15" hidden="false" customHeight="false" outlineLevel="0" collapsed="false">
      <c r="A11" s="6"/>
      <c r="B11" s="31" t="s">
        <v>214</v>
      </c>
      <c r="C11" s="32" t="n">
        <f aca="false">RB_Total_Rev*SM_Var_Pct</f>
        <v>2081250</v>
      </c>
      <c r="D11" s="32" t="n">
        <f aca="false">RB_Total_Rev*SM_Var_Pct</f>
        <v>3280554</v>
      </c>
      <c r="E11" s="32" t="n">
        <f aca="false">RB_Total_Rev*SM_Var_Pct</f>
        <v>4681957.4946</v>
      </c>
      <c r="F11" s="32" t="n">
        <f aca="false">RB_Total_Rev*SM_Var_Pct</f>
        <v>6308919.25562304</v>
      </c>
      <c r="G11" s="32" t="n">
        <f aca="false">RB_Total_Rev*SM_Var_Pct</f>
        <v>8187490.5441368</v>
      </c>
    </row>
    <row r="12" customFormat="false" ht="15" hidden="false" customHeight="false" outlineLevel="0" collapsed="false">
      <c r="A12" s="6"/>
      <c r="B12" s="34" t="s">
        <v>215</v>
      </c>
      <c r="C12" s="35" t="n">
        <f aca="false">C10+C11</f>
        <v>20081250</v>
      </c>
      <c r="D12" s="35" t="n">
        <f aca="false">D10+D11</f>
        <v>21820554</v>
      </c>
      <c r="E12" s="35" t="n">
        <f aca="false">E10+E11</f>
        <v>23778157.4946</v>
      </c>
      <c r="F12" s="35" t="n">
        <f aca="false">F10+F11</f>
        <v>25978005.255623</v>
      </c>
      <c r="G12" s="35" t="n">
        <f aca="false">G10+G11</f>
        <v>28446649.1241368</v>
      </c>
    </row>
    <row r="13" customFormat="false" ht="15" hidden="false" customHeight="false" outlineLevel="0" collapsed="false">
      <c r="A13" s="6"/>
      <c r="B13" s="31" t="s">
        <v>121</v>
      </c>
      <c r="C13" s="32" t="n">
        <f aca="false">GA_Base*(1+GA_Growth)^(C6-1)</f>
        <v>8000000</v>
      </c>
      <c r="D13" s="32" t="n">
        <f aca="false">GA_Base*(1+GA_Growth)^(D6-1)</f>
        <v>8320000</v>
      </c>
      <c r="E13" s="32" t="n">
        <f aca="false">GA_Base*(1+GA_Growth)^(E6-1)</f>
        <v>8652800</v>
      </c>
      <c r="F13" s="32" t="n">
        <f aca="false">GA_Base*(1+GA_Growth)^(F6-1)</f>
        <v>8998912</v>
      </c>
      <c r="G13" s="32" t="n">
        <f aca="false">GA_Base*(1+GA_Growth)^(G6-1)</f>
        <v>9358868.48</v>
      </c>
    </row>
    <row r="14" customFormat="false" ht="15" hidden="false" customHeight="false" outlineLevel="0" collapsed="false">
      <c r="A14" s="6"/>
      <c r="B14" s="31" t="s">
        <v>124</v>
      </c>
      <c r="C14" s="32" t="n">
        <f aca="false">RB_Total_Rev*QR_Pct</f>
        <v>2428125</v>
      </c>
      <c r="D14" s="32" t="n">
        <f aca="false">RB_Total_Rev*QR_Pct</f>
        <v>3827313</v>
      </c>
      <c r="E14" s="32" t="n">
        <f aca="false">RB_Total_Rev*QR_Pct</f>
        <v>5462283.7437</v>
      </c>
      <c r="F14" s="32" t="n">
        <f aca="false">RB_Total_Rev*QR_Pct</f>
        <v>7360405.79822688</v>
      </c>
      <c r="G14" s="32" t="n">
        <f aca="false">RB_Total_Rev*QR_Pct</f>
        <v>9552072.30149294</v>
      </c>
    </row>
    <row r="15" customFormat="false" ht="15" hidden="false" customHeight="false" outlineLevel="0" collapsed="false">
      <c r="A15" s="6"/>
      <c r="B15" s="34" t="s">
        <v>216</v>
      </c>
      <c r="C15" s="36" t="n">
        <f aca="false">C9+C12+C13+C14</f>
        <v>42509375</v>
      </c>
      <c r="D15" s="36" t="n">
        <f aca="false">D9+D12+D13+D14</f>
        <v>46687867</v>
      </c>
      <c r="E15" s="36" t="n">
        <f aca="false">E9+E12+E13+E14</f>
        <v>51376441.2383</v>
      </c>
      <c r="F15" s="36" t="n">
        <f aca="false">F9+F12+F13+F14</f>
        <v>56629515.0538499</v>
      </c>
      <c r="G15" s="36" t="n">
        <f aca="false">G9+G12+G13+G14</f>
        <v>62507313.4256298</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34" t="s">
        <v>217</v>
      </c>
      <c r="C17" s="36" t="n">
        <f aca="false">CG_Gross_Profit-C15</f>
        <v>-2862500</v>
      </c>
      <c r="D17" s="36" t="n">
        <f aca="false">CG_Gross_Profit-D15</f>
        <v>21715136</v>
      </c>
      <c r="E17" s="36" t="n">
        <f aca="false">CG_Gross_Profit-E15</f>
        <v>50833911.9364</v>
      </c>
      <c r="F17" s="36" t="n">
        <f aca="false">CG_Gross_Profit-F15</f>
        <v>85027562.9610714</v>
      </c>
      <c r="G17" s="36" t="n">
        <f aca="false">CG_Gross_Profit-G15</f>
        <v>124888962.639011</v>
      </c>
    </row>
    <row r="18" customFormat="false" ht="15" hidden="false" customHeight="false" outlineLevel="0" collapsed="false">
      <c r="A18" s="6"/>
      <c r="B18" s="26" t="s">
        <v>218</v>
      </c>
      <c r="C18" s="38" t="n">
        <f aca="false">C17/RB_Total_Rev</f>
        <v>-0.0412612612612613</v>
      </c>
      <c r="D18" s="38" t="n">
        <f aca="false">D17/RB_Total_Rev</f>
        <v>0.198580508048336</v>
      </c>
      <c r="E18" s="38" t="n">
        <f aca="false">E17/RB_Total_Rev</f>
        <v>0.325722170662784</v>
      </c>
      <c r="F18" s="38" t="n">
        <f aca="false">F17/RB_Total_Rev</f>
        <v>0.404320737907468</v>
      </c>
      <c r="G18" s="38" t="n">
        <f aca="false">G17/RB_Total_Rev</f>
        <v>0.457608941222337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219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28" t="s">
        <v>184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220</v>
      </c>
      <c r="C8" s="10"/>
      <c r="D8" s="10"/>
      <c r="E8" s="10"/>
      <c r="F8" s="10"/>
      <c r="G8" s="10"/>
    </row>
    <row r="9" customFormat="false" ht="15" hidden="false" customHeight="false" outlineLevel="0" collapsed="false">
      <c r="A9" s="6"/>
      <c r="B9" s="31" t="s">
        <v>221</v>
      </c>
      <c r="C9" s="32" t="n">
        <f aca="false">RB_Total_Rev*Maint_CapEx_Pct</f>
        <v>2081250</v>
      </c>
      <c r="D9" s="32" t="n">
        <f aca="false">RB_Total_Rev*Maint_CapEx_Pct</f>
        <v>3280554</v>
      </c>
      <c r="E9" s="32" t="n">
        <f aca="false">RB_Total_Rev*Maint_CapEx_Pct</f>
        <v>4681957.4946</v>
      </c>
      <c r="F9" s="32" t="n">
        <f aca="false">RB_Total_Rev*Maint_CapEx_Pct</f>
        <v>6308919.25562304</v>
      </c>
      <c r="G9" s="32" t="n">
        <f aca="false">RB_Total_Rev*Maint_CapEx_Pct</f>
        <v>8187490.5441368</v>
      </c>
    </row>
    <row r="10" customFormat="false" ht="15" hidden="false" customHeight="false" outlineLevel="0" collapsed="false">
      <c r="A10" s="6"/>
      <c r="B10" s="31" t="s">
        <v>130</v>
      </c>
      <c r="C10" s="32" t="n">
        <f aca="false">Growth_CapEx</f>
        <v>5000000</v>
      </c>
      <c r="D10" s="32" t="n">
        <f aca="false">Growth_CapEx</f>
        <v>5000000</v>
      </c>
      <c r="E10" s="32" t="n">
        <f aca="false">Growth_CapEx</f>
        <v>5000000</v>
      </c>
      <c r="F10" s="32" t="n">
        <f aca="false">Growth_CapEx</f>
        <v>5000000</v>
      </c>
      <c r="G10" s="32" t="n">
        <f aca="false">Growth_CapEx</f>
        <v>5000000</v>
      </c>
    </row>
    <row r="11" customFormat="false" ht="15" hidden="false" customHeight="false" outlineLevel="0" collapsed="false">
      <c r="A11" s="6"/>
      <c r="B11" s="34" t="s">
        <v>222</v>
      </c>
      <c r="C11" s="35" t="n">
        <f aca="false">C9+C10</f>
        <v>7081250</v>
      </c>
      <c r="D11" s="35" t="n">
        <f aca="false">D9+D10</f>
        <v>8280554</v>
      </c>
      <c r="E11" s="35" t="n">
        <f aca="false">E9+E10</f>
        <v>9681957.4946</v>
      </c>
      <c r="F11" s="35" t="n">
        <f aca="false">F9+F10</f>
        <v>11308919.255623</v>
      </c>
      <c r="G11" s="35" t="n">
        <f aca="false">G9+G10</f>
        <v>13187490.5441368</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9" t="s">
        <v>223</v>
      </c>
      <c r="C13" s="10"/>
      <c r="D13" s="10"/>
      <c r="E13" s="10"/>
      <c r="F13" s="10"/>
      <c r="G13" s="10"/>
    </row>
    <row r="14" customFormat="false" ht="15" hidden="false" customHeight="false" outlineLevel="0" collapsed="false">
      <c r="A14" s="6"/>
      <c r="B14" s="31" t="s">
        <v>224</v>
      </c>
      <c r="C14" s="32" t="n">
        <f aca="false">Open_PPE_Gross-Accum_Depr_Open</f>
        <v>25000000</v>
      </c>
      <c r="D14" s="32" t="n">
        <f aca="false">C19</f>
        <v>28569642.8571429</v>
      </c>
      <c r="E14" s="32" t="n">
        <f aca="false">D19</f>
        <v>32155653.4285714</v>
      </c>
      <c r="F14" s="32" t="n">
        <f aca="false">E19</f>
        <v>35759930.7096572</v>
      </c>
      <c r="G14" s="32" t="n">
        <f aca="false">F19</f>
        <v>39375609.8581055</v>
      </c>
    </row>
    <row r="15" customFormat="false" ht="15" hidden="false" customHeight="false" outlineLevel="0" collapsed="false">
      <c r="A15" s="6"/>
      <c r="B15" s="31" t="s">
        <v>225</v>
      </c>
      <c r="C15" s="32" t="n">
        <f aca="false">C11</f>
        <v>7081250</v>
      </c>
      <c r="D15" s="32" t="n">
        <f aca="false">D11</f>
        <v>8280554</v>
      </c>
      <c r="E15" s="32" t="n">
        <f aca="false">E11</f>
        <v>9681957.4946</v>
      </c>
      <c r="F15" s="32" t="n">
        <f aca="false">F11</f>
        <v>11308919.255623</v>
      </c>
      <c r="G15" s="32" t="n">
        <f aca="false">G11</f>
        <v>13187490.5441368</v>
      </c>
    </row>
    <row r="16" customFormat="false" ht="15" hidden="false" customHeight="false" outlineLevel="0" collapsed="false">
      <c r="A16" s="6"/>
      <c r="B16" s="31" t="s">
        <v>226</v>
      </c>
      <c r="C16" s="32" t="n">
        <f aca="false">MIN((Open_PPE_Gross-Accum_Depr_Open)/Exist_Useful_Life,MAX(0,(Open_PPE_Gross-Accum_Depr_Open)-(Open_PPE_Gross-Accum_Depr_Open)/Exist_Useful_Life*(C6-1)))</f>
        <v>2500000</v>
      </c>
      <c r="D16" s="32" t="n">
        <f aca="false">MIN((Open_PPE_Gross-Accum_Depr_Open)/Exist_Useful_Life,MAX(0,(Open_PPE_Gross-Accum_Depr_Open)-(Open_PPE_Gross-Accum_Depr_Open)/Exist_Useful_Life*(D6-1)))</f>
        <v>2500000</v>
      </c>
      <c r="E16" s="32" t="n">
        <f aca="false">MIN((Open_PPE_Gross-Accum_Depr_Open)/Exist_Useful_Life,MAX(0,(Open_PPE_Gross-Accum_Depr_Open)-(Open_PPE_Gross-Accum_Depr_Open)/Exist_Useful_Life*(E6-1)))</f>
        <v>2500000</v>
      </c>
      <c r="F16" s="32" t="n">
        <f aca="false">MIN((Open_PPE_Gross-Accum_Depr_Open)/Exist_Useful_Life,MAX(0,(Open_PPE_Gross-Accum_Depr_Open)-(Open_PPE_Gross-Accum_Depr_Open)/Exist_Useful_Life*(F6-1)))</f>
        <v>2500000</v>
      </c>
      <c r="G16" s="32" t="n">
        <f aca="false">MIN((Open_PPE_Gross-Accum_Depr_Open)/Exist_Useful_Life,MAX(0,(Open_PPE_Gross-Accum_Depr_Open)-(Open_PPE_Gross-Accum_Depr_Open)/Exist_Useful_Life*(G6-1)))</f>
        <v>2500000</v>
      </c>
    </row>
    <row r="17" customFormat="false" ht="15" hidden="false" customHeight="false" outlineLevel="0" collapsed="false">
      <c r="A17" s="6"/>
      <c r="B17" s="31" t="s">
        <v>227</v>
      </c>
      <c r="C17" s="32" t="n">
        <f aca="false">SUM($C$11:C11)/New_Asset_Life</f>
        <v>1011607.14285714</v>
      </c>
      <c r="D17" s="32" t="n">
        <f aca="false">SUM($C$11:D11)/New_Asset_Life</f>
        <v>2194543.42857143</v>
      </c>
      <c r="E17" s="32" t="n">
        <f aca="false">SUM($C$11:E11)/New_Asset_Life</f>
        <v>3577680.21351429</v>
      </c>
      <c r="F17" s="32" t="n">
        <f aca="false">SUM($C$11:F11)/New_Asset_Life</f>
        <v>5193240.10717472</v>
      </c>
      <c r="G17" s="32" t="n">
        <f aca="false">SUM($C$11:G11)/New_Asset_Life</f>
        <v>7077167.32776569</v>
      </c>
    </row>
    <row r="18" customFormat="false" ht="15" hidden="false" customHeight="false" outlineLevel="0" collapsed="false">
      <c r="A18" s="6"/>
      <c r="B18" s="34" t="s">
        <v>228</v>
      </c>
      <c r="C18" s="35" t="n">
        <f aca="false">C16+C17</f>
        <v>3511607.14285714</v>
      </c>
      <c r="D18" s="35" t="n">
        <f aca="false">D16+D17</f>
        <v>4694543.42857143</v>
      </c>
      <c r="E18" s="35" t="n">
        <f aca="false">E16+E17</f>
        <v>6077680.21351429</v>
      </c>
      <c r="F18" s="35" t="n">
        <f aca="false">F16+F17</f>
        <v>7693240.10717472</v>
      </c>
      <c r="G18" s="35" t="n">
        <f aca="false">G16+G17</f>
        <v>9577167.32776569</v>
      </c>
    </row>
    <row r="19" customFormat="false" ht="15" hidden="false" customHeight="false" outlineLevel="0" collapsed="false">
      <c r="A19" s="6"/>
      <c r="B19" s="34" t="s">
        <v>229</v>
      </c>
      <c r="C19" s="35" t="n">
        <f aca="false">C14+C15-C18</f>
        <v>28569642.8571429</v>
      </c>
      <c r="D19" s="35" t="n">
        <f aca="false">D14+D15-D18</f>
        <v>32155653.4285714</v>
      </c>
      <c r="E19" s="35" t="n">
        <f aca="false">E14+E15-E18</f>
        <v>35759930.7096572</v>
      </c>
      <c r="F19" s="35" t="n">
        <f aca="false">F14+F15-F18</f>
        <v>39375609.8581055</v>
      </c>
      <c r="G19" s="35" t="n">
        <f aca="false">G14+G15-G18</f>
        <v>42985933.0744766</v>
      </c>
    </row>
    <row r="20" customFormat="false" ht="15" hidden="false" customHeight="false" outlineLevel="0" collapsed="false">
      <c r="A20" s="6"/>
      <c r="B20" s="6"/>
      <c r="C20" s="6"/>
      <c r="D20" s="6"/>
      <c r="E20" s="6"/>
      <c r="F20" s="6"/>
      <c r="G20" s="6"/>
    </row>
    <row r="21" customFormat="false" ht="15" hidden="false" customHeight="false" outlineLevel="0" collapsed="false">
      <c r="A21" s="6"/>
      <c r="B21" s="9" t="s">
        <v>230</v>
      </c>
      <c r="C21" s="10"/>
      <c r="D21" s="10"/>
      <c r="E21" s="10"/>
      <c r="F21" s="10"/>
      <c r="G21" s="10"/>
    </row>
    <row r="22" customFormat="false" ht="15" hidden="false" customHeight="false" outlineLevel="0" collapsed="false">
      <c r="A22" s="6"/>
      <c r="B22" s="31" t="s">
        <v>231</v>
      </c>
      <c r="C22" s="32" t="n">
        <f aca="false">Open_Intang_Gross-Intang_Accum_Amort</f>
        <v>17000000</v>
      </c>
      <c r="D22" s="32" t="n">
        <f aca="false">C24</f>
        <v>15583333.3333333</v>
      </c>
      <c r="E22" s="32" t="n">
        <f aca="false">D24</f>
        <v>14166666.6666667</v>
      </c>
      <c r="F22" s="32" t="n">
        <f aca="false">E24</f>
        <v>12750000</v>
      </c>
      <c r="G22" s="32" t="n">
        <f aca="false">F24</f>
        <v>11333333.3333333</v>
      </c>
    </row>
    <row r="23" customFormat="false" ht="15" hidden="false" customHeight="false" outlineLevel="0" collapsed="false">
      <c r="A23" s="6"/>
      <c r="B23" s="31" t="s">
        <v>232</v>
      </c>
      <c r="C23" s="32" t="n">
        <f aca="false">MIN((Open_Intang_Gross-Intang_Accum_Amort)/Intang_Useful_Life,C22)</f>
        <v>1416666.66666667</v>
      </c>
      <c r="D23" s="32" t="n">
        <f aca="false">MIN((Open_Intang_Gross-Intang_Accum_Amort)/Intang_Useful_Life,D22)</f>
        <v>1416666.66666667</v>
      </c>
      <c r="E23" s="32" t="n">
        <f aca="false">MIN((Open_Intang_Gross-Intang_Accum_Amort)/Intang_Useful_Life,E22)</f>
        <v>1416666.66666667</v>
      </c>
      <c r="F23" s="32" t="n">
        <f aca="false">MIN((Open_Intang_Gross-Intang_Accum_Amort)/Intang_Useful_Life,F22)</f>
        <v>1416666.66666667</v>
      </c>
      <c r="G23" s="32" t="n">
        <f aca="false">MIN((Open_Intang_Gross-Intang_Accum_Amort)/Intang_Useful_Life,G22)</f>
        <v>1416666.66666667</v>
      </c>
    </row>
    <row r="24" customFormat="false" ht="15" hidden="false" customHeight="false" outlineLevel="0" collapsed="false">
      <c r="A24" s="6"/>
      <c r="B24" s="34" t="s">
        <v>233</v>
      </c>
      <c r="C24" s="35" t="n">
        <f aca="false">C22-C23</f>
        <v>15583333.3333333</v>
      </c>
      <c r="D24" s="35" t="n">
        <f aca="false">D22-D23</f>
        <v>14166666.6666667</v>
      </c>
      <c r="E24" s="35" t="n">
        <f aca="false">E22-E23</f>
        <v>12750000</v>
      </c>
      <c r="F24" s="35" t="n">
        <f aca="false">F22-F23</f>
        <v>11333333.3333333</v>
      </c>
      <c r="G24" s="35" t="n">
        <f aca="false">G22-G23</f>
        <v>9916666.66666667</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34" t="s">
        <v>234</v>
      </c>
      <c r="C26" s="36" t="n">
        <f aca="false">C18+C23</f>
        <v>4928273.80952381</v>
      </c>
      <c r="D26" s="36" t="n">
        <f aca="false">D18+D23</f>
        <v>6111210.0952381</v>
      </c>
      <c r="E26" s="36" t="n">
        <f aca="false">E18+E23</f>
        <v>7494346.88018095</v>
      </c>
      <c r="F26" s="36" t="n">
        <f aca="false">F18+F23</f>
        <v>9109906.77384139</v>
      </c>
      <c r="G26" s="36" t="n">
        <f aca="false">G18+G23</f>
        <v>10993833.9944324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235</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236</v>
      </c>
      <c r="C8" s="10"/>
      <c r="D8" s="10"/>
      <c r="E8" s="10"/>
      <c r="F8" s="10"/>
      <c r="G8" s="10"/>
    </row>
    <row r="9" customFormat="false" ht="15" hidden="false" customHeight="false" outlineLevel="0" collapsed="false">
      <c r="A9" s="6"/>
      <c r="B9" s="31" t="s">
        <v>237</v>
      </c>
      <c r="C9" s="32" t="n">
        <f aca="false">RB_Total_Rev*DSO/365</f>
        <v>12354452.0547945</v>
      </c>
      <c r="D9" s="32" t="n">
        <f aca="false">RB_Total_Rev*DSO/365</f>
        <v>19473608.2191781</v>
      </c>
      <c r="E9" s="32" t="n">
        <f aca="false">RB_Total_Rev*DSO/365</f>
        <v>27792441.7487671</v>
      </c>
      <c r="F9" s="32" t="n">
        <f aca="false">RB_Total_Rev*DSO/365</f>
        <v>37450205.6269861</v>
      </c>
      <c r="G9" s="32" t="n">
        <f aca="false">RB_Total_Rev*DSO/365</f>
        <v>48601542.0428212</v>
      </c>
    </row>
    <row r="10" customFormat="false" ht="15" hidden="false" customHeight="false" outlineLevel="0" collapsed="false">
      <c r="A10" s="6"/>
      <c r="B10" s="31" t="s">
        <v>238</v>
      </c>
      <c r="C10" s="32" t="n">
        <f aca="false">CG_Total_COGS*DIO/365</f>
        <v>8959160.95890411</v>
      </c>
      <c r="D10" s="32" t="n">
        <f aca="false">CG_Total_COGS*DIO/365</f>
        <v>12340733.3424658</v>
      </c>
      <c r="E10" s="32" t="n">
        <f aca="false">CG_Total_COGS*DIO/365</f>
        <v>16230242.824611</v>
      </c>
      <c r="F10" s="32" t="n">
        <f aca="false">CG_Total_COGS*DIO/365</f>
        <v>20686096.8647757</v>
      </c>
      <c r="G10" s="32" t="n">
        <f aca="false">CG_Total_COGS*DIO/365</f>
        <v>25773173.4102039</v>
      </c>
    </row>
    <row r="11" customFormat="false" ht="15" hidden="false" customHeight="false" outlineLevel="0" collapsed="false">
      <c r="A11" s="6"/>
      <c r="B11" s="31" t="s">
        <v>239</v>
      </c>
      <c r="C11" s="32" t="n">
        <f aca="false">RB_Total_Rev*Other_CA_Pct</f>
        <v>1387500</v>
      </c>
      <c r="D11" s="32" t="n">
        <f aca="false">RB_Total_Rev*Other_CA_Pct</f>
        <v>2187036</v>
      </c>
      <c r="E11" s="32" t="n">
        <f aca="false">RB_Total_Rev*Other_CA_Pct</f>
        <v>3121304.9964</v>
      </c>
      <c r="F11" s="32" t="n">
        <f aca="false">RB_Total_Rev*Other_CA_Pct</f>
        <v>4205946.17041536</v>
      </c>
      <c r="G11" s="32" t="n">
        <f aca="false">RB_Total_Rev*Other_CA_Pct</f>
        <v>5458327.02942454</v>
      </c>
    </row>
    <row r="12" customFormat="false" ht="15" hidden="false" customHeight="false" outlineLevel="0" collapsed="false">
      <c r="A12" s="6"/>
      <c r="B12" s="34" t="s">
        <v>240</v>
      </c>
      <c r="C12" s="35" t="n">
        <f aca="false">SUM(C9:C11)</f>
        <v>22701113.0136986</v>
      </c>
      <c r="D12" s="35" t="n">
        <f aca="false">SUM(D9:D11)</f>
        <v>34001377.5616438</v>
      </c>
      <c r="E12" s="35" t="n">
        <f aca="false">SUM(E9:E11)</f>
        <v>47143989.5697781</v>
      </c>
      <c r="F12" s="35" t="n">
        <f aca="false">SUM(F9:F11)</f>
        <v>62342248.6621772</v>
      </c>
      <c r="G12" s="35" t="n">
        <f aca="false">SUM(G9:G11)</f>
        <v>79833042.4824496</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9" t="s">
        <v>241</v>
      </c>
      <c r="C14" s="10"/>
      <c r="D14" s="10"/>
      <c r="E14" s="10"/>
      <c r="F14" s="10"/>
      <c r="G14" s="10"/>
    </row>
    <row r="15" customFormat="false" ht="15" hidden="false" customHeight="false" outlineLevel="0" collapsed="false">
      <c r="A15" s="6"/>
      <c r="B15" s="31" t="s">
        <v>242</v>
      </c>
      <c r="C15" s="32" t="n">
        <f aca="false">CG_Total_COGS*DPO/365</f>
        <v>4072345.89041096</v>
      </c>
      <c r="D15" s="32" t="n">
        <f aca="false">CG_Total_COGS*DPO/365</f>
        <v>5609424.24657534</v>
      </c>
      <c r="E15" s="32" t="n">
        <f aca="false">CG_Total_COGS*DPO/365</f>
        <v>7377383.10209589</v>
      </c>
      <c r="F15" s="32" t="n">
        <f aca="false">CG_Total_COGS*DPO/365</f>
        <v>9402771.30217078</v>
      </c>
      <c r="G15" s="32" t="n">
        <f aca="false">CG_Total_COGS*DPO/365</f>
        <v>11715078.82282</v>
      </c>
    </row>
    <row r="16" customFormat="false" ht="15" hidden="false" customHeight="false" outlineLevel="0" collapsed="false">
      <c r="A16" s="6"/>
      <c r="B16" s="31" t="s">
        <v>243</v>
      </c>
      <c r="C16" s="32" t="n">
        <f aca="false">OE_Total_OpEx*Accrued_Liab_Pct</f>
        <v>3400750</v>
      </c>
      <c r="D16" s="32" t="n">
        <f aca="false">OE_Total_OpEx*Accrued_Liab_Pct</f>
        <v>3735029.36</v>
      </c>
      <c r="E16" s="32" t="n">
        <f aca="false">OE_Total_OpEx*Accrued_Liab_Pct</f>
        <v>4110115.299064</v>
      </c>
      <c r="F16" s="32" t="n">
        <f aca="false">OE_Total_OpEx*Accrued_Liab_Pct</f>
        <v>4530361.20430799</v>
      </c>
      <c r="G16" s="32" t="n">
        <f aca="false">OE_Total_OpEx*Accrued_Liab_Pct</f>
        <v>5000585.07405038</v>
      </c>
    </row>
    <row r="17" customFormat="false" ht="15" hidden="false" customHeight="false" outlineLevel="0" collapsed="false">
      <c r="A17" s="6"/>
      <c r="B17" s="31" t="s">
        <v>244</v>
      </c>
      <c r="C17" s="32" t="n">
        <f aca="false">RB_Total_Rev*Other_CL_Pct</f>
        <v>1040625</v>
      </c>
      <c r="D17" s="32" t="n">
        <f aca="false">RB_Total_Rev*Other_CL_Pct</f>
        <v>1640277</v>
      </c>
      <c r="E17" s="32" t="n">
        <f aca="false">RB_Total_Rev*Other_CL_Pct</f>
        <v>2340978.7473</v>
      </c>
      <c r="F17" s="32" t="n">
        <f aca="false">RB_Total_Rev*Other_CL_Pct</f>
        <v>3154459.62781152</v>
      </c>
      <c r="G17" s="32" t="n">
        <f aca="false">RB_Total_Rev*Other_CL_Pct</f>
        <v>4093745.2720684</v>
      </c>
    </row>
    <row r="18" customFormat="false" ht="15" hidden="false" customHeight="false" outlineLevel="0" collapsed="false">
      <c r="A18" s="6"/>
      <c r="B18" s="34" t="s">
        <v>245</v>
      </c>
      <c r="C18" s="35" t="n">
        <f aca="false">SUM(C15:C17)</f>
        <v>8513720.89041096</v>
      </c>
      <c r="D18" s="35" t="n">
        <f aca="false">SUM(D15:D17)</f>
        <v>10984730.6065753</v>
      </c>
      <c r="E18" s="35" t="n">
        <f aca="false">SUM(E15:E17)</f>
        <v>13828477.1484599</v>
      </c>
      <c r="F18" s="35" t="n">
        <f aca="false">SUM(F15:F17)</f>
        <v>17087592.1342903</v>
      </c>
      <c r="G18" s="35" t="n">
        <f aca="false">SUM(G15:G17)</f>
        <v>20809409.1689387</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34" t="s">
        <v>246</v>
      </c>
      <c r="C20" s="35" t="n">
        <f aca="false">C12-C18</f>
        <v>14187392.1232877</v>
      </c>
      <c r="D20" s="35" t="n">
        <f aca="false">D12-D18</f>
        <v>23016646.9550685</v>
      </c>
      <c r="E20" s="35" t="n">
        <f aca="false">E12-E18</f>
        <v>33315512.4213182</v>
      </c>
      <c r="F20" s="35" t="n">
        <f aca="false">F12-F18</f>
        <v>45254656.5278869</v>
      </c>
      <c r="G20" s="35" t="n">
        <f aca="false">G12-G18</f>
        <v>59023633.3135109</v>
      </c>
    </row>
    <row r="21" customFormat="false" ht="15" hidden="false" customHeight="false" outlineLevel="0" collapsed="false">
      <c r="A21" s="6"/>
      <c r="B21" s="7" t="s">
        <v>247</v>
      </c>
      <c r="C21" s="6"/>
      <c r="D21" s="6"/>
      <c r="E21" s="6"/>
      <c r="F21" s="6"/>
      <c r="G21" s="6"/>
    </row>
    <row r="22" customFormat="false" ht="15" hidden="false" customHeight="false" outlineLevel="0" collapsed="false">
      <c r="A22" s="6"/>
      <c r="B22" s="34" t="s">
        <v>248</v>
      </c>
      <c r="C22" s="35" t="n">
        <f aca="false">(((Equip_Units_Y1*Equip_ASP+Equip_Units_Y1*Proc_Per_Device*Consum_Rev_Per_Proc+Equip_Units_Y1*Attach_Rate*Avg_Contract_Value+Equip_Units_Y1*Connected_Rate*SW_Licence_Fee)*DSO/365+(Equip_Units_Y1*Equip_ASP*Equip_COGS_Pct+Equip_Units_Y1*Proc_Per_Device*Consum_Rev_Per_Proc*Consum_COGS_Pct+Equip_Units_Y1*Attach_Rate*Avg_Contract_Value*Svc_COGS_Pct+Equip_Units_Y1*Connected_Rate*SW_Licence_Fee*SW_COGS_Pct+(Equip_Units_Y1*Equip_ASP+Equip_Units_Y1*Proc_Per_Device*Consum_Rev_Per_Proc+Equip_Units_Y1*Attach_Rate*Avg_Contract_Value+Equip_Units_Y1*Connected_Rate*SW_Licence_Fee)*Warranty_Pct)*DIO/365+(Equip_Units_Y1*Equip_ASP+Equip_Units_Y1*Proc_Per_Device*Consum_Rev_Per_Proc+Equip_Units_Y1*Attach_Rate*Avg_Contract_Value+Equip_Units_Y1*Connected_Rate*SW_Licence_Fee)*Other_CA_Pct-(Equip_Units_Y1*Equip_ASP*Equip_COGS_Pct+Equip_Units_Y1*Proc_Per_Device*Consum_Rev_Per_Proc*Consum_COGS_Pct+Equip_Units_Y1*Attach_Rate*Avg_Contract_Value*Svc_COGS_Pct+Equip_Units_Y1*Connected_Rate*SW_Licence_Fee*SW_COGS_Pct+(Equip_Units_Y1*Equip_ASP+Equip_Units_Y1*Proc_Per_Device*Consum_Rev_Per_Proc+Equip_Units_Y1*Attach_Rate*Avg_Contract_Value+Equip_Units_Y1*Connected_Rate*SW_Licence_Fee)*Warranty_Pct)*DPO/365-(RD_Base+SM_Base+GA_Base+(Equip_Units_Y1*Equip_ASP+Equip_Units_Y1*Proc_Per_Device*Consum_Rev_Per_Proc+Equip_Units_Y1*Attach_Rate*Avg_Contract_Value+Equip_Units_Y1*Connected_Rate*SW_Licence_Fee)*QR_Pct)*Accrued_Liab_Pct-(Equip_Units_Y1*Equip_ASP+Equip_Units_Y1*Proc_Per_Device*Consum_Rev_Per_Proc+Equip_Units_Y1*Attach_Rate*Avg_Contract_Value+Equip_Units_Y1*Connected_Rate*SW_Licence_Fee)*Other_CL_Pct)/(1+Unit_Growth_Rate))-C20</f>
        <v>-896751.26839168</v>
      </c>
      <c r="D22" s="35" t="n">
        <f aca="false">C20-D20</f>
        <v>-8829254.83178082</v>
      </c>
      <c r="E22" s="35" t="n">
        <f aca="false">D20-E20</f>
        <v>-10298865.4662497</v>
      </c>
      <c r="F22" s="35" t="n">
        <f aca="false">E20-F20</f>
        <v>-11939144.1065687</v>
      </c>
      <c r="G22" s="35" t="n">
        <f aca="false">F20-G20</f>
        <v>-13768976.785624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46</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28" t="s">
        <v>184</v>
      </c>
      <c r="C6" s="30" t="n">
        <f aca="false">COLUMN()-2</f>
        <v>1</v>
      </c>
      <c r="D6" s="30" t="n">
        <f aca="false">COLUMN()-2</f>
        <v>2</v>
      </c>
      <c r="E6" s="30" t="n">
        <f aca="false">COLUMN()-2</f>
        <v>3</v>
      </c>
      <c r="F6" s="30" t="n">
        <f aca="false">COLUMN()-2</f>
        <v>4</v>
      </c>
      <c r="G6" s="30"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250</v>
      </c>
      <c r="C8" s="10"/>
      <c r="D8" s="10"/>
      <c r="E8" s="10"/>
      <c r="F8" s="10"/>
      <c r="G8" s="10"/>
    </row>
    <row r="9" customFormat="false" ht="15" hidden="false" customHeight="false" outlineLevel="0" collapsed="false">
      <c r="A9" s="6"/>
      <c r="B9" s="31" t="s">
        <v>251</v>
      </c>
      <c r="C9" s="32" t="n">
        <f aca="false">Term_Loan_Amt</f>
        <v>30000000</v>
      </c>
      <c r="D9" s="32" t="n">
        <f aca="false">C13</f>
        <v>25714285.7142857</v>
      </c>
      <c r="E9" s="32" t="n">
        <f aca="false">D13</f>
        <v>21428571.4285714</v>
      </c>
      <c r="F9" s="32" t="n">
        <f aca="false">E13</f>
        <v>17142857.1428572</v>
      </c>
      <c r="G9" s="32" t="n">
        <f aca="false">F13</f>
        <v>12857142.8571429</v>
      </c>
    </row>
    <row r="10" customFormat="false" ht="15" hidden="false" customHeight="false" outlineLevel="0" collapsed="false">
      <c r="A10" s="6"/>
      <c r="B10" s="31" t="s">
        <v>252</v>
      </c>
      <c r="C10" s="32" t="n">
        <f aca="false">0</f>
        <v>0</v>
      </c>
      <c r="D10" s="32" t="n">
        <f aca="false">0</f>
        <v>0</v>
      </c>
      <c r="E10" s="32" t="n">
        <f aca="false">0</f>
        <v>0</v>
      </c>
      <c r="F10" s="32" t="n">
        <f aca="false">0</f>
        <v>0</v>
      </c>
      <c r="G10" s="32" t="n">
        <f aca="false">0</f>
        <v>0</v>
      </c>
    </row>
    <row r="11" customFormat="false" ht="15" hidden="false" customHeight="false" outlineLevel="0" collapsed="false">
      <c r="A11" s="6"/>
      <c r="B11" s="31" t="s">
        <v>232</v>
      </c>
      <c r="C11" s="32" t="n">
        <f aca="false">MIN(Term_Loan_Amt/Term_Loan_Tenor,C9)</f>
        <v>4285714.28571429</v>
      </c>
      <c r="D11" s="32" t="n">
        <f aca="false">MIN(Term_Loan_Amt/Term_Loan_Tenor,D9)</f>
        <v>4285714.28571429</v>
      </c>
      <c r="E11" s="32" t="n">
        <f aca="false">MIN(Term_Loan_Amt/Term_Loan_Tenor,E9)</f>
        <v>4285714.28571429</v>
      </c>
      <c r="F11" s="32" t="n">
        <f aca="false">MIN(Term_Loan_Amt/Term_Loan_Tenor,F9)</f>
        <v>4285714.28571429</v>
      </c>
      <c r="G11" s="32" t="n">
        <f aca="false">MIN(Term_Loan_Amt/Term_Loan_Tenor,G9)</f>
        <v>4285714.28571429</v>
      </c>
    </row>
    <row r="12" customFormat="false" ht="15" hidden="false" customHeight="false" outlineLevel="0" collapsed="false">
      <c r="A12" s="6"/>
      <c r="B12" s="31" t="s">
        <v>253</v>
      </c>
      <c r="C12" s="32" t="n">
        <f aca="false">IF(C6&gt;=Term_Loan_Tenor,MAX(0,C9-C11),0)</f>
        <v>0</v>
      </c>
      <c r="D12" s="32" t="n">
        <f aca="false">IF(D6&gt;=Term_Loan_Tenor,MAX(0,D9-D11),0)</f>
        <v>0</v>
      </c>
      <c r="E12" s="32" t="n">
        <f aca="false">IF(E6&gt;=Term_Loan_Tenor,MAX(0,E9-E11),0)</f>
        <v>0</v>
      </c>
      <c r="F12" s="32" t="n">
        <f aca="false">IF(F6&gt;=Term_Loan_Tenor,MAX(0,F9-F11),0)</f>
        <v>0</v>
      </c>
      <c r="G12" s="32" t="n">
        <f aca="false">IF(G6&gt;=Term_Loan_Tenor,MAX(0,G9-G11),0)</f>
        <v>0</v>
      </c>
    </row>
    <row r="13" customFormat="false" ht="15" hidden="false" customHeight="false" outlineLevel="0" collapsed="false">
      <c r="A13" s="6"/>
      <c r="B13" s="34" t="s">
        <v>254</v>
      </c>
      <c r="C13" s="35" t="n">
        <f aca="false">C9+C10-C11-C12</f>
        <v>25714285.7142857</v>
      </c>
      <c r="D13" s="35" t="n">
        <f aca="false">D9+D10-D11-D12</f>
        <v>21428571.4285714</v>
      </c>
      <c r="E13" s="35" t="n">
        <f aca="false">E9+E10-E11-E12</f>
        <v>17142857.1428572</v>
      </c>
      <c r="F13" s="35" t="n">
        <f aca="false">F9+F10-F11-F12</f>
        <v>12857142.8571429</v>
      </c>
      <c r="G13" s="35" t="n">
        <f aca="false">G9+G10-G11-G12</f>
        <v>8571428.57142858</v>
      </c>
    </row>
    <row r="14" customFormat="false" ht="15" hidden="false" customHeight="false" outlineLevel="0" collapsed="false">
      <c r="A14" s="6"/>
      <c r="B14" s="31" t="s">
        <v>255</v>
      </c>
      <c r="C14" s="32" t="n">
        <f aca="false">C9*Term_Loan_Rate</f>
        <v>1650000</v>
      </c>
      <c r="D14" s="32" t="n">
        <f aca="false">D9*Term_Loan_Rate</f>
        <v>1414285.71428571</v>
      </c>
      <c r="E14" s="32" t="n">
        <f aca="false">E9*Term_Loan_Rate</f>
        <v>1178571.42857143</v>
      </c>
      <c r="F14" s="32" t="n">
        <f aca="false">F9*Term_Loan_Rate</f>
        <v>942857.142857143</v>
      </c>
      <c r="G14" s="32" t="n">
        <f aca="false">G9*Term_Loan_Rate</f>
        <v>707142.857142858</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256</v>
      </c>
      <c r="C16" s="10"/>
      <c r="D16" s="10"/>
      <c r="E16" s="10"/>
      <c r="F16" s="10"/>
      <c r="G16" s="10"/>
    </row>
    <row r="17" customFormat="false" ht="15" hidden="false" customHeight="false" outlineLevel="0" collapsed="false">
      <c r="A17" s="6"/>
      <c r="B17" s="31" t="s">
        <v>257</v>
      </c>
      <c r="C17" s="32" t="n">
        <f aca="false">Revolver_Limit</f>
        <v>15000000</v>
      </c>
      <c r="D17" s="32" t="n">
        <f aca="false">Revolver_Limit</f>
        <v>15000000</v>
      </c>
      <c r="E17" s="32" t="n">
        <f aca="false">Revolver_Limit</f>
        <v>15000000</v>
      </c>
      <c r="F17" s="32" t="n">
        <f aca="false">Revolver_Limit</f>
        <v>15000000</v>
      </c>
      <c r="G17" s="32" t="n">
        <f aca="false">Revolver_Limit</f>
        <v>15000000</v>
      </c>
    </row>
    <row r="18" customFormat="false" ht="15" hidden="false" customHeight="false" outlineLevel="0" collapsed="false">
      <c r="A18" s="6"/>
      <c r="B18" s="31" t="s">
        <v>258</v>
      </c>
      <c r="C18" s="32" t="n">
        <f aca="false">Revolver_Drawn</f>
        <v>0</v>
      </c>
      <c r="D18" s="32" t="n">
        <f aca="false">Revolver_Drawn</f>
        <v>0</v>
      </c>
      <c r="E18" s="32" t="n">
        <f aca="false">Revolver_Drawn</f>
        <v>0</v>
      </c>
      <c r="F18" s="32" t="n">
        <f aca="false">Revolver_Drawn</f>
        <v>0</v>
      </c>
      <c r="G18" s="32" t="n">
        <f aca="false">Revolver_Drawn</f>
        <v>0</v>
      </c>
    </row>
    <row r="19" customFormat="false" ht="15" hidden="false" customHeight="false" outlineLevel="0" collapsed="false">
      <c r="A19" s="6"/>
      <c r="B19" s="31" t="s">
        <v>259</v>
      </c>
      <c r="C19" s="32" t="n">
        <f aca="false">C17-C18</f>
        <v>15000000</v>
      </c>
      <c r="D19" s="32" t="n">
        <f aca="false">D17-D18</f>
        <v>15000000</v>
      </c>
      <c r="E19" s="32" t="n">
        <f aca="false">E17-E18</f>
        <v>15000000</v>
      </c>
      <c r="F19" s="32" t="n">
        <f aca="false">F17-F18</f>
        <v>15000000</v>
      </c>
      <c r="G19" s="32" t="n">
        <f aca="false">G17-G18</f>
        <v>15000000</v>
      </c>
    </row>
    <row r="20" customFormat="false" ht="15" hidden="false" customHeight="false" outlineLevel="0" collapsed="false">
      <c r="A20" s="6"/>
      <c r="B20" s="31" t="s">
        <v>260</v>
      </c>
      <c r="C20" s="32" t="n">
        <f aca="false">C19*Commit_Fee_Rate</f>
        <v>60000</v>
      </c>
      <c r="D20" s="32" t="n">
        <f aca="false">D19*Commit_Fee_Rate</f>
        <v>60000</v>
      </c>
      <c r="E20" s="32" t="n">
        <f aca="false">E19*Commit_Fee_Rate</f>
        <v>60000</v>
      </c>
      <c r="F20" s="32" t="n">
        <f aca="false">F19*Commit_Fee_Rate</f>
        <v>60000</v>
      </c>
      <c r="G20" s="32" t="n">
        <f aca="false">G19*Commit_Fee_Rate</f>
        <v>60000</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34" t="s">
        <v>261</v>
      </c>
      <c r="C22" s="36" t="n">
        <f aca="false">C14+C20</f>
        <v>1710000</v>
      </c>
      <c r="D22" s="36" t="n">
        <f aca="false">D14+D20</f>
        <v>1474285.71428571</v>
      </c>
      <c r="E22" s="36" t="n">
        <f aca="false">E14+E20</f>
        <v>1238571.42857143</v>
      </c>
      <c r="F22" s="36" t="n">
        <f aca="false">F14+F20</f>
        <v>1002857.14285714</v>
      </c>
      <c r="G22" s="36" t="n">
        <f aca="false">G14+G20</f>
        <v>767142.857142858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262</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263</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3"/>
      <c r="C5" s="29" t="n">
        <f aca="false">Model_Start_Year+0</f>
        <v>2026</v>
      </c>
      <c r="D5" s="29" t="n">
        <f aca="false">Model_Start_Year+1</f>
        <v>2027</v>
      </c>
      <c r="E5" s="29" t="n">
        <f aca="false">Model_Start_Year+2</f>
        <v>2028</v>
      </c>
      <c r="F5" s="29" t="n">
        <f aca="false">Model_Start_Year+3</f>
        <v>2029</v>
      </c>
      <c r="G5" s="29"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264</v>
      </c>
      <c r="C8" s="10"/>
      <c r="D8" s="10"/>
      <c r="E8" s="10"/>
      <c r="F8" s="10"/>
      <c r="G8" s="10"/>
    </row>
    <row r="9" customFormat="false" ht="15" hidden="false" customHeight="false" outlineLevel="0" collapsed="false">
      <c r="A9" s="6"/>
      <c r="B9" s="31" t="s">
        <v>186</v>
      </c>
      <c r="C9" s="32" t="n">
        <f aca="false">RB_Equip_Rev</f>
        <v>37500000</v>
      </c>
      <c r="D9" s="32" t="n">
        <f aca="false">RB_Equip_Rev</f>
        <v>39690000</v>
      </c>
      <c r="E9" s="32" t="n">
        <f aca="false">RB_Equip_Rev</f>
        <v>42007896</v>
      </c>
      <c r="F9" s="32" t="n">
        <f aca="false">RB_Equip_Rev</f>
        <v>44461157.1264</v>
      </c>
      <c r="G9" s="32" t="n">
        <f aca="false">RB_Equip_Rev</f>
        <v>47057688.7025818</v>
      </c>
    </row>
    <row r="10" customFormat="false" ht="15" hidden="false" customHeight="false" outlineLevel="0" collapsed="false">
      <c r="A10" s="6"/>
      <c r="B10" s="31" t="s">
        <v>191</v>
      </c>
      <c r="C10" s="32" t="n">
        <f aca="false">RB_Consum_Rev</f>
        <v>26250000</v>
      </c>
      <c r="D10" s="32" t="n">
        <f aca="false">RB_Consum_Rev</f>
        <v>56238000</v>
      </c>
      <c r="E10" s="32" t="n">
        <f aca="false">RB_Consum_Rev</f>
        <v>90407776.2</v>
      </c>
      <c r="F10" s="32" t="n">
        <f aca="false">RB_Consum_Rev</f>
        <v>129253693.99488</v>
      </c>
      <c r="G10" s="32" t="n">
        <f aca="false">RB_Consum_Rev</f>
        <v>173326415.462405</v>
      </c>
    </row>
    <row r="11" customFormat="false" ht="15" hidden="false" customHeight="false" outlineLevel="0" collapsed="false">
      <c r="A11" s="6"/>
      <c r="B11" s="31" t="s">
        <v>193</v>
      </c>
      <c r="C11" s="32" t="n">
        <f aca="false">RB_Svc_Rev</f>
        <v>2625000</v>
      </c>
      <c r="D11" s="32" t="n">
        <f aca="false">RB_Svc_Rev</f>
        <v>5623800</v>
      </c>
      <c r="E11" s="32" t="n">
        <f aca="false">RB_Svc_Rev</f>
        <v>9040777.62</v>
      </c>
      <c r="F11" s="32" t="n">
        <f aca="false">RB_Svc_Rev</f>
        <v>12925369.399488</v>
      </c>
      <c r="G11" s="32" t="n">
        <f aca="false">RB_Svc_Rev</f>
        <v>17332641.5462405</v>
      </c>
    </row>
    <row r="12" customFormat="false" ht="15" hidden="false" customHeight="false" outlineLevel="0" collapsed="false">
      <c r="A12" s="6"/>
      <c r="B12" s="31" t="s">
        <v>195</v>
      </c>
      <c r="C12" s="32" t="n">
        <f aca="false">RB_SW_Rev</f>
        <v>3000000</v>
      </c>
      <c r="D12" s="32" t="n">
        <f aca="false">RB_SW_Rev</f>
        <v>7800000</v>
      </c>
      <c r="E12" s="32" t="n">
        <f aca="false">RB_SW_Rev</f>
        <v>14608800</v>
      </c>
      <c r="F12" s="32" t="n">
        <f aca="false">RB_SW_Rev</f>
        <v>23657088</v>
      </c>
      <c r="G12" s="32" t="n">
        <f aca="false">RB_SW_Rev</f>
        <v>35199605.76</v>
      </c>
    </row>
    <row r="13" customFormat="false" ht="15" hidden="false" customHeight="false" outlineLevel="0" collapsed="false">
      <c r="A13" s="6"/>
      <c r="B13" s="34" t="s">
        <v>265</v>
      </c>
      <c r="C13" s="35" t="n">
        <f aca="false">SUM(C9:C12)</f>
        <v>69375000</v>
      </c>
      <c r="D13" s="35" t="n">
        <f aca="false">SUM(D9:D12)</f>
        <v>109351800</v>
      </c>
      <c r="E13" s="35" t="n">
        <f aca="false">SUM(E9:E12)</f>
        <v>156065249.82</v>
      </c>
      <c r="F13" s="35" t="n">
        <f aca="false">SUM(F9:F12)</f>
        <v>210297308.520768</v>
      </c>
      <c r="G13" s="35" t="n">
        <f aca="false">SUM(G9:G12)</f>
        <v>272916351.471227</v>
      </c>
    </row>
    <row r="14" customFormat="false" ht="15" hidden="false" customHeight="false" outlineLevel="0" collapsed="false">
      <c r="A14" s="6"/>
      <c r="B14" s="6"/>
      <c r="C14" s="6"/>
      <c r="D14" s="6"/>
      <c r="E14" s="6"/>
      <c r="F14" s="6"/>
      <c r="G14" s="6"/>
    </row>
    <row r="15" customFormat="false" ht="15" hidden="false" customHeight="false" outlineLevel="0" collapsed="false">
      <c r="A15" s="6"/>
      <c r="B15" s="9" t="s">
        <v>99</v>
      </c>
      <c r="C15" s="10"/>
      <c r="D15" s="10"/>
      <c r="E15" s="10"/>
      <c r="F15" s="10"/>
      <c r="G15" s="10"/>
    </row>
    <row r="16" customFormat="false" ht="15" hidden="false" customHeight="false" outlineLevel="0" collapsed="false">
      <c r="A16" s="6"/>
      <c r="B16" s="31" t="s">
        <v>266</v>
      </c>
      <c r="C16" s="32" t="n">
        <f aca="false">CG_Total_COGS</f>
        <v>29728125</v>
      </c>
      <c r="D16" s="32" t="n">
        <f aca="false">CG_Total_COGS</f>
        <v>40948797</v>
      </c>
      <c r="E16" s="32" t="n">
        <f aca="false">CG_Total_COGS</f>
        <v>53854896.6453</v>
      </c>
      <c r="F16" s="32" t="n">
        <f aca="false">CG_Total_COGS</f>
        <v>68640230.5058467</v>
      </c>
      <c r="G16" s="32" t="n">
        <f aca="false">CG_Total_COGS</f>
        <v>85520075.4065857</v>
      </c>
    </row>
    <row r="17" customFormat="false" ht="15" hidden="false" customHeight="false" outlineLevel="0" collapsed="false">
      <c r="A17" s="6"/>
      <c r="B17" s="34" t="s">
        <v>209</v>
      </c>
      <c r="C17" s="36" t="n">
        <f aca="false">C13-C16</f>
        <v>39646875</v>
      </c>
      <c r="D17" s="36" t="n">
        <f aca="false">D13-D16</f>
        <v>68403003</v>
      </c>
      <c r="E17" s="36" t="n">
        <f aca="false">E13-E16</f>
        <v>102210353.1747</v>
      </c>
      <c r="F17" s="36" t="n">
        <f aca="false">F13-F16</f>
        <v>141657078.014921</v>
      </c>
      <c r="G17" s="36" t="n">
        <f aca="false">G13-G16</f>
        <v>187396276.064641</v>
      </c>
    </row>
    <row r="18" customFormat="false" ht="15" hidden="false" customHeight="false" outlineLevel="0" collapsed="false">
      <c r="A18" s="6"/>
      <c r="B18" s="26" t="s">
        <v>210</v>
      </c>
      <c r="C18" s="38" t="n">
        <f aca="false">C17/C13</f>
        <v>0.571486486486487</v>
      </c>
      <c r="D18" s="38" t="n">
        <f aca="false">D17/D13</f>
        <v>0.625531568753326</v>
      </c>
      <c r="E18" s="38" t="n">
        <f aca="false">E17/E13</f>
        <v>0.654920639236382</v>
      </c>
      <c r="F18" s="38" t="n">
        <f aca="false">F17/F13</f>
        <v>0.673603856422784</v>
      </c>
      <c r="G18" s="38" t="n">
        <f aca="false">G17/G13</f>
        <v>0.686643636610385</v>
      </c>
    </row>
    <row r="19" customFormat="false" ht="15" hidden="false" customHeight="false" outlineLevel="0" collapsed="false">
      <c r="A19" s="6"/>
      <c r="B19" s="6"/>
      <c r="C19" s="6"/>
      <c r="D19" s="6"/>
      <c r="E19" s="6"/>
      <c r="F19" s="6"/>
      <c r="G19" s="6"/>
    </row>
    <row r="20" customFormat="false" ht="15" hidden="false" customHeight="false" outlineLevel="0" collapsed="false">
      <c r="A20" s="6"/>
      <c r="B20" s="9" t="s">
        <v>211</v>
      </c>
      <c r="C20" s="10"/>
      <c r="D20" s="10"/>
      <c r="E20" s="10"/>
      <c r="F20" s="10"/>
      <c r="G20" s="10"/>
    </row>
    <row r="21" customFormat="false" ht="15" hidden="false" customHeight="false" outlineLevel="0" collapsed="false">
      <c r="A21" s="6"/>
      <c r="B21" s="31" t="s">
        <v>110</v>
      </c>
      <c r="C21" s="32" t="n">
        <f aca="false">OE_RD</f>
        <v>12000000</v>
      </c>
      <c r="D21" s="32" t="n">
        <f aca="false">OE_RD</f>
        <v>12720000</v>
      </c>
      <c r="E21" s="32" t="n">
        <f aca="false">OE_RD</f>
        <v>13483200</v>
      </c>
      <c r="F21" s="32" t="n">
        <f aca="false">OE_RD</f>
        <v>14292192</v>
      </c>
      <c r="G21" s="32" t="n">
        <f aca="false">OE_RD</f>
        <v>15149723.52</v>
      </c>
    </row>
    <row r="22" customFormat="false" ht="15" hidden="false" customHeight="false" outlineLevel="0" collapsed="false">
      <c r="A22" s="6"/>
      <c r="B22" s="31" t="s">
        <v>115</v>
      </c>
      <c r="C22" s="32" t="n">
        <f aca="false">OE_SM_Total</f>
        <v>20081250</v>
      </c>
      <c r="D22" s="32" t="n">
        <f aca="false">OE_SM_Total</f>
        <v>21820554</v>
      </c>
      <c r="E22" s="32" t="n">
        <f aca="false">OE_SM_Total</f>
        <v>23778157.4946</v>
      </c>
      <c r="F22" s="32" t="n">
        <f aca="false">OE_SM_Total</f>
        <v>25978005.255623</v>
      </c>
      <c r="G22" s="32" t="n">
        <f aca="false">OE_SM_Total</f>
        <v>28446649.1241368</v>
      </c>
    </row>
    <row r="23" customFormat="false" ht="15" hidden="false" customHeight="false" outlineLevel="0" collapsed="false">
      <c r="A23" s="6"/>
      <c r="B23" s="31" t="s">
        <v>121</v>
      </c>
      <c r="C23" s="32" t="n">
        <f aca="false">OE_GA</f>
        <v>8000000</v>
      </c>
      <c r="D23" s="32" t="n">
        <f aca="false">OE_GA</f>
        <v>8320000</v>
      </c>
      <c r="E23" s="32" t="n">
        <f aca="false">OE_GA</f>
        <v>8652800</v>
      </c>
      <c r="F23" s="32" t="n">
        <f aca="false">OE_GA</f>
        <v>8998912</v>
      </c>
      <c r="G23" s="32" t="n">
        <f aca="false">OE_GA</f>
        <v>9358868.48</v>
      </c>
    </row>
    <row r="24" customFormat="false" ht="15" hidden="false" customHeight="false" outlineLevel="0" collapsed="false">
      <c r="A24" s="6"/>
      <c r="B24" s="31" t="s">
        <v>124</v>
      </c>
      <c r="C24" s="32" t="n">
        <f aca="false">OE_QR</f>
        <v>2428125</v>
      </c>
      <c r="D24" s="32" t="n">
        <f aca="false">OE_QR</f>
        <v>3827313</v>
      </c>
      <c r="E24" s="32" t="n">
        <f aca="false">OE_QR</f>
        <v>5462283.7437</v>
      </c>
      <c r="F24" s="32" t="n">
        <f aca="false">OE_QR</f>
        <v>7360405.79822688</v>
      </c>
      <c r="G24" s="32" t="n">
        <f aca="false">OE_QR</f>
        <v>9552072.30149294</v>
      </c>
    </row>
    <row r="25" customFormat="false" ht="15" hidden="false" customHeight="false" outlineLevel="0" collapsed="false">
      <c r="A25" s="6"/>
      <c r="B25" s="34" t="s">
        <v>267</v>
      </c>
      <c r="C25" s="35" t="n">
        <f aca="false">SUM(C21:C24)</f>
        <v>42509375</v>
      </c>
      <c r="D25" s="35" t="n">
        <f aca="false">SUM(D21:D24)</f>
        <v>46687867</v>
      </c>
      <c r="E25" s="35" t="n">
        <f aca="false">SUM(E21:E24)</f>
        <v>51376441.2383</v>
      </c>
      <c r="F25" s="35" t="n">
        <f aca="false">SUM(F21:F24)</f>
        <v>56629515.0538499</v>
      </c>
      <c r="G25" s="35" t="n">
        <f aca="false">SUM(G21:G24)</f>
        <v>62507313.4256298</v>
      </c>
    </row>
    <row r="26" customFormat="false" ht="15" hidden="false" customHeight="false" outlineLevel="0" collapsed="false">
      <c r="A26" s="6"/>
      <c r="B26" s="6"/>
      <c r="C26" s="6"/>
      <c r="D26" s="6"/>
      <c r="E26" s="6"/>
      <c r="F26" s="6"/>
      <c r="G26" s="6"/>
    </row>
    <row r="27" customFormat="false" ht="15" hidden="false" customHeight="false" outlineLevel="0" collapsed="false">
      <c r="A27" s="6"/>
      <c r="B27" s="34" t="s">
        <v>217</v>
      </c>
      <c r="C27" s="36" t="n">
        <f aca="false">C17-C25</f>
        <v>-2862500</v>
      </c>
      <c r="D27" s="36" t="n">
        <f aca="false">D17-D25</f>
        <v>21715136</v>
      </c>
      <c r="E27" s="36" t="n">
        <f aca="false">E17-E25</f>
        <v>50833911.9364</v>
      </c>
      <c r="F27" s="36" t="n">
        <f aca="false">F17-F25</f>
        <v>85027562.9610714</v>
      </c>
      <c r="G27" s="36" t="n">
        <f aca="false">G17-G25</f>
        <v>124888962.639011</v>
      </c>
    </row>
    <row r="28" customFormat="false" ht="15" hidden="false" customHeight="false" outlineLevel="0" collapsed="false">
      <c r="A28" s="6"/>
      <c r="B28" s="26" t="s">
        <v>218</v>
      </c>
      <c r="C28" s="38" t="n">
        <f aca="false">C27/C13</f>
        <v>-0.0412612612612613</v>
      </c>
      <c r="D28" s="38" t="n">
        <f aca="false">D27/D13</f>
        <v>0.198580508048336</v>
      </c>
      <c r="E28" s="38" t="n">
        <f aca="false">E27/E13</f>
        <v>0.325722170662784</v>
      </c>
      <c r="F28" s="38" t="n">
        <f aca="false">F27/F13</f>
        <v>0.404320737907468</v>
      </c>
      <c r="G28" s="38" t="n">
        <f aca="false">G27/G13</f>
        <v>0.457608941222337</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9" t="s">
        <v>268</v>
      </c>
      <c r="C30" s="10"/>
      <c r="D30" s="10"/>
      <c r="E30" s="10"/>
      <c r="F30" s="10"/>
      <c r="G30" s="10"/>
    </row>
    <row r="31" customFormat="false" ht="15" hidden="false" customHeight="false" outlineLevel="0" collapsed="false">
      <c r="A31" s="6"/>
      <c r="B31" s="31" t="s">
        <v>269</v>
      </c>
      <c r="C31" s="32" t="n">
        <f aca="false">CD_Total_Depr</f>
        <v>3511607.14285714</v>
      </c>
      <c r="D31" s="32" t="n">
        <f aca="false">CD_Total_Depr</f>
        <v>4694543.42857143</v>
      </c>
      <c r="E31" s="32" t="n">
        <f aca="false">CD_Total_Depr</f>
        <v>6077680.21351429</v>
      </c>
      <c r="F31" s="32" t="n">
        <f aca="false">CD_Total_Depr</f>
        <v>7693240.10717472</v>
      </c>
      <c r="G31" s="32" t="n">
        <f aca="false">CD_Total_Depr</f>
        <v>9577167.32776569</v>
      </c>
    </row>
    <row r="32" customFormat="false" ht="15" hidden="false" customHeight="false" outlineLevel="0" collapsed="false">
      <c r="A32" s="6"/>
      <c r="B32" s="31" t="s">
        <v>232</v>
      </c>
      <c r="C32" s="32" t="n">
        <f aca="false">CD_Intang_Amort</f>
        <v>1416666.66666667</v>
      </c>
      <c r="D32" s="32" t="n">
        <f aca="false">CD_Intang_Amort</f>
        <v>1416666.66666667</v>
      </c>
      <c r="E32" s="32" t="n">
        <f aca="false">CD_Intang_Amort</f>
        <v>1416666.66666667</v>
      </c>
      <c r="F32" s="32" t="n">
        <f aca="false">CD_Intang_Amort</f>
        <v>1416666.66666667</v>
      </c>
      <c r="G32" s="32" t="n">
        <f aca="false">CD_Intang_Amort</f>
        <v>1416666.66666667</v>
      </c>
    </row>
    <row r="33" customFormat="false" ht="15" hidden="false" customHeight="false" outlineLevel="0" collapsed="false">
      <c r="A33" s="6"/>
      <c r="B33" s="34" t="s">
        <v>270</v>
      </c>
      <c r="C33" s="35" t="n">
        <f aca="false">C31+C32</f>
        <v>4928273.80952381</v>
      </c>
      <c r="D33" s="35" t="n">
        <f aca="false">D31+D32</f>
        <v>6111210.0952381</v>
      </c>
      <c r="E33" s="35" t="n">
        <f aca="false">E31+E32</f>
        <v>7494346.88018095</v>
      </c>
      <c r="F33" s="35" t="n">
        <f aca="false">F31+F32</f>
        <v>9109906.77384139</v>
      </c>
      <c r="G33" s="35" t="n">
        <f aca="false">G31+G32</f>
        <v>10993833.9944324</v>
      </c>
    </row>
    <row r="34" customFormat="false" ht="15" hidden="false" customHeight="false" outlineLevel="0" collapsed="false">
      <c r="A34" s="6"/>
      <c r="B34" s="6"/>
      <c r="C34" s="6"/>
      <c r="D34" s="6"/>
      <c r="E34" s="6"/>
      <c r="F34" s="6"/>
      <c r="G34" s="6"/>
    </row>
    <row r="35" customFormat="false" ht="15" hidden="false" customHeight="false" outlineLevel="0" collapsed="false">
      <c r="A35" s="6"/>
      <c r="B35" s="34" t="s">
        <v>271</v>
      </c>
      <c r="C35" s="36" t="n">
        <f aca="false">C27-C33</f>
        <v>-7790773.80952381</v>
      </c>
      <c r="D35" s="36" t="n">
        <f aca="false">D27-D33</f>
        <v>15603925.9047619</v>
      </c>
      <c r="E35" s="36" t="n">
        <f aca="false">E27-E33</f>
        <v>43339565.056219</v>
      </c>
      <c r="F35" s="36" t="n">
        <f aca="false">F27-F33</f>
        <v>75917656.18723</v>
      </c>
      <c r="G35" s="36" t="n">
        <f aca="false">G27-G33</f>
        <v>113895128.644579</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9" t="s">
        <v>272</v>
      </c>
      <c r="C37" s="10"/>
      <c r="D37" s="10"/>
      <c r="E37" s="10"/>
      <c r="F37" s="10"/>
      <c r="G37" s="10"/>
    </row>
    <row r="38" customFormat="false" ht="15" hidden="false" customHeight="false" outlineLevel="0" collapsed="false">
      <c r="A38" s="6"/>
      <c r="B38" s="31" t="s">
        <v>273</v>
      </c>
      <c r="C38" s="32" t="n">
        <f aca="false">DS_Total_Interest</f>
        <v>1710000</v>
      </c>
      <c r="D38" s="32" t="n">
        <f aca="false">DS_Total_Interest</f>
        <v>1474285.71428571</v>
      </c>
      <c r="E38" s="32" t="n">
        <f aca="false">DS_Total_Interest</f>
        <v>1238571.42857143</v>
      </c>
      <c r="F38" s="32" t="n">
        <f aca="false">DS_Total_Interest</f>
        <v>1002857.14285714</v>
      </c>
      <c r="G38" s="32" t="n">
        <f aca="false">DS_Total_Interest</f>
        <v>767142.857142858</v>
      </c>
    </row>
    <row r="39" customFormat="false" ht="15" hidden="false" customHeight="false" outlineLevel="0" collapsed="false">
      <c r="A39" s="6"/>
      <c r="B39" s="6"/>
      <c r="C39" s="6"/>
      <c r="D39" s="6"/>
      <c r="E39" s="6"/>
      <c r="F39" s="6"/>
      <c r="G39" s="6"/>
    </row>
    <row r="40" customFormat="false" ht="15" hidden="false" customHeight="false" outlineLevel="0" collapsed="false">
      <c r="A40" s="6"/>
      <c r="B40" s="34" t="s">
        <v>274</v>
      </c>
      <c r="C40" s="36" t="n">
        <f aca="false">C35-C38</f>
        <v>-9500773.80952381</v>
      </c>
      <c r="D40" s="36" t="n">
        <f aca="false">D35-D38</f>
        <v>14129640.1904762</v>
      </c>
      <c r="E40" s="36" t="n">
        <f aca="false">E35-E38</f>
        <v>42100993.6276476</v>
      </c>
      <c r="F40" s="36" t="n">
        <f aca="false">F35-F38</f>
        <v>74914799.0443729</v>
      </c>
      <c r="G40" s="36" t="n">
        <f aca="false">G35-G38</f>
        <v>113127985.787436</v>
      </c>
    </row>
    <row r="41" customFormat="false" ht="15" hidden="false" customHeight="false" outlineLevel="0" collapsed="false">
      <c r="A41" s="6"/>
      <c r="B41" s="9" t="s">
        <v>275</v>
      </c>
      <c r="C41" s="10"/>
      <c r="D41" s="10"/>
      <c r="E41" s="10"/>
      <c r="F41" s="10"/>
      <c r="G41" s="10"/>
    </row>
    <row r="42" customFormat="false" ht="15" hidden="false" customHeight="false" outlineLevel="0" collapsed="false">
      <c r="A42" s="6"/>
      <c r="B42" s="31" t="s">
        <v>276</v>
      </c>
      <c r="C42" s="32" t="n">
        <f aca="false">MAX(0,C40*Tax_Rate)</f>
        <v>0</v>
      </c>
      <c r="D42" s="32" t="n">
        <f aca="false">MAX(0,D40*Tax_Rate)</f>
        <v>3532410.04761905</v>
      </c>
      <c r="E42" s="32" t="n">
        <f aca="false">MAX(0,E40*Tax_Rate)</f>
        <v>10525248.4069119</v>
      </c>
      <c r="F42" s="32" t="n">
        <f aca="false">MAX(0,F40*Tax_Rate)</f>
        <v>18728699.7610932</v>
      </c>
      <c r="G42" s="32" t="n">
        <f aca="false">MAX(0,G40*Tax_Rate)</f>
        <v>28281996.446859</v>
      </c>
    </row>
    <row r="43" customFormat="false" ht="15" hidden="false" customHeight="false" outlineLevel="0" collapsed="false">
      <c r="A43" s="6"/>
      <c r="B43" s="6"/>
      <c r="C43" s="6"/>
      <c r="D43" s="6"/>
      <c r="E43" s="6"/>
      <c r="F43" s="6"/>
      <c r="G43" s="6"/>
    </row>
    <row r="44" customFormat="false" ht="15" hidden="false" customHeight="false" outlineLevel="0" collapsed="false">
      <c r="A44" s="6"/>
      <c r="B44" s="34" t="s">
        <v>277</v>
      </c>
      <c r="C44" s="36" t="n">
        <f aca="false">C40-C42</f>
        <v>-9500773.80952381</v>
      </c>
      <c r="D44" s="36" t="n">
        <f aca="false">D40-D42</f>
        <v>10597230.1428571</v>
      </c>
      <c r="E44" s="36" t="n">
        <f aca="false">E40-E42</f>
        <v>31575745.2207357</v>
      </c>
      <c r="F44" s="36" t="n">
        <f aca="false">F40-F42</f>
        <v>56186099.2832796</v>
      </c>
      <c r="G44" s="36" t="n">
        <f aca="false">G40-G42</f>
        <v>84845989.3405771</v>
      </c>
    </row>
    <row r="45" customFormat="false" ht="15" hidden="false" customHeight="false" outlineLevel="0" collapsed="false">
      <c r="A45" s="6"/>
      <c r="B45" s="26" t="s">
        <v>278</v>
      </c>
      <c r="C45" s="38" t="n">
        <f aca="false">C44/C13</f>
        <v>-0.136948090948091</v>
      </c>
      <c r="D45" s="38" t="n">
        <f aca="false">D44/D13</f>
        <v>0.0969095171991421</v>
      </c>
      <c r="E45" s="38" t="n">
        <f aca="false">E44/E13</f>
        <v>0.202323997540478</v>
      </c>
      <c r="F45" s="38" t="n">
        <f aca="false">F44/F13</f>
        <v>0.267174599991283</v>
      </c>
      <c r="G45" s="38" t="n">
        <f aca="false">G44/G13</f>
        <v>0.310886426860071</v>
      </c>
    </row>
    <row r="46" customFormat="false" ht="15" hidden="false" customHeight="false" outlineLevel="0" collapsed="false">
      <c r="A46" s="6"/>
      <c r="B46" s="6"/>
      <c r="C46" s="6"/>
      <c r="D46" s="6"/>
      <c r="E46" s="6"/>
      <c r="F46" s="6"/>
      <c r="G46" s="6"/>
    </row>
    <row r="47" customFormat="false" ht="15" hidden="false" customHeight="false" outlineLevel="0" collapsed="false">
      <c r="A47" s="6"/>
      <c r="B47" s="26" t="s">
        <v>279</v>
      </c>
      <c r="C47" s="39" t="n">
        <f aca="false">MAX(0,C44*Dividend_Payout)</f>
        <v>-0</v>
      </c>
      <c r="D47" s="39" t="n">
        <f aca="false">MAX(0,D44*Dividend_Payout)</f>
        <v>0</v>
      </c>
      <c r="E47" s="39" t="n">
        <f aca="false">MAX(0,E44*Dividend_Payout)</f>
        <v>0</v>
      </c>
      <c r="F47" s="39" t="n">
        <f aca="false">MAX(0,F44*Dividend_Payout)</f>
        <v>0</v>
      </c>
      <c r="G47" s="39" t="n">
        <f aca="false">MAX(0,G44*Dividend_Payout)</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2026-05-15T18:53:29Z</dcterms:created>
  <dc:creator>openpyxl</dc:creator>
  <dc:description/>
  <dc:language>en-GB</dc:language>
  <cp:lastModifiedBy/>
  <dcterms:modified xsi:type="dcterms:W3CDTF">2026-05-15T18:53:29Z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