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Capital_Calls" sheetId="4" state="visible" r:id="rId6"/>
    <sheet name="Loan_Portfolio" sheetId="5" state="visible" r:id="rId7"/>
    <sheet name="Credit_Losses" sheetId="6" state="visible" r:id="rId8"/>
    <sheet name="Income_Statement" sheetId="7" state="visible" r:id="rId9"/>
    <sheet name="Cash_Flow" sheetId="8" state="visible" r:id="rId10"/>
    <sheet name="Distributions" sheetId="9" state="visible" r:id="rId11"/>
    <sheet name="Returns" sheetId="10" state="visible" r:id="rId12"/>
    <sheet name="Checks" sheetId="11" state="visible" r:id="rId13"/>
  </sheets>
  <definedNames>
    <definedName function="false" hidden="false" name="Call_Pct_Y0" vbProcedure="false">Assumptions!$C$10</definedName>
    <definedName function="false" hidden="false" name="Call_Pct_Y1" vbProcedure="false">Assumptions!$C$11</definedName>
    <definedName function="false" hidden="false" name="Call_Pct_Y2" vbProcedure="false">Assumptions!$C$12</definedName>
    <definedName function="false" hidden="false" name="Call_Pct_Y3" vbProcedure="false">Assumptions!$C$13</definedName>
    <definedName function="false" hidden="false" name="Carry_Rate" vbProcedure="false">Assumptions!$C$34</definedName>
    <definedName function="false" hidden="false" name="Cash_Coupon_Rate" vbProcedure="false">Assumptions!$C$18</definedName>
    <definedName function="false" hidden="false" name="Catchup_Rate" vbProcedure="false">Assumptions!$C$35</definedName>
    <definedName function="false" hidden="false" name="CC_LP_Annual" vbProcedure="false">Capital_Calls!$C$11</definedName>
    <definedName function="false" hidden="false" name="CC_LP_Cumulative" vbProcedure="false">Capital_Calls!$C$13</definedName>
    <definedName function="false" hidden="false" name="CF_Distributable" vbProcedure="false">Cash_Flow!$C$13</definedName>
    <definedName function="false" hidden="false" name="Commitment_Fee_Rate" vbProcedure="false">Assumptions!$C$28</definedName>
    <definedName function="false" hidden="false" name="Default_Rate" vbProcedure="false">Assumptions!$C$23</definedName>
    <definedName function="false" hidden="false" name="Deploy_Pct_Y0" vbProcedure="false">Assumptions!$C$14</definedName>
    <definedName function="false" hidden="false" name="Deploy_Pct_Y1" vbProcedure="false">Assumptions!$C$15</definedName>
    <definedName function="false" hidden="false" name="Deploy_Pct_Y2" vbProcedure="false">Assumptions!$C$16</definedName>
    <definedName function="false" hidden="false" name="Deploy_Pct_Y3" vbProcedure="false">Assumptions!$C$17</definedName>
    <definedName function="false" hidden="false" name="Dist_GP_Total" vbProcedure="false">Distributions!$C$28</definedName>
    <definedName function="false" hidden="false" name="Dist_LP_Total" vbProcedure="false">Distributions!$C$27</definedName>
    <definedName function="false" hidden="false" name="EV_Debt_Multiple" vbProcedure="false">Assumptions!$C$26</definedName>
    <definedName function="false" hidden="false" name="Expense_Rate" vbProcedure="false">Assumptions!$C$32</definedName>
    <definedName function="false" hidden="false" name="Fund_Size" vbProcedure="false">Assumptions!$C$7</definedName>
    <definedName function="false" hidden="false" name="GP_Commit_Pct" vbProcedure="false">Assumptions!$C$8</definedName>
    <definedName function="false" hidden="false" name="Gross_IRR" vbProcedure="false">Returns!$C$8</definedName>
    <definedName function="false" hidden="false" name="Inv_Period_End_Yr" vbProcedure="false">Assumptions!$C$9</definedName>
    <definedName function="false" hidden="false" name="IS_Net_Fund_Income" vbProcedure="false">Income_Statement!$C$15</definedName>
    <definedName function="false" hidden="false" name="LP_Basis_Outstanding" vbProcedure="false">Distributions!$C$7</definedName>
    <definedName function="false" hidden="false" name="LP_Closing_Principal" vbProcedure="false">Loan_Portfolio!$C$11</definedName>
    <definedName function="false" hidden="false" name="LP_Commitment" vbProcedure="false">Capital_Calls!$C$6</definedName>
    <definedName function="false" hidden="false" name="LP_Deployed_Opening" vbProcedure="false">Loan_Portfolio!$C$5</definedName>
    <definedName function="false" hidden="false" name="LP_New_Deploy" vbProcedure="false">Loan_Portfolio!$C$6</definedName>
    <definedName function="false" hidden="false" name="Mgmt_Fee_Harvest" vbProcedure="false">Assumptions!$C$31</definedName>
    <definedName function="false" hidden="false" name="Mgmt_Fee_Inv" vbProcedure="false">Assumptions!$C$30</definedName>
    <definedName function="false" hidden="false" name="Net_IRR" vbProcedure="false">Returns!$C$9</definedName>
    <definedName function="false" hidden="false" name="Net_Loss" vbProcedure="false">Credit_Losses!$C$8</definedName>
    <definedName function="false" hidden="false" name="Num_Portfolio_Cos" vbProcedure="false">Assumptions!$C$27</definedName>
    <definedName function="false" hidden="false" name="OID_Rate" vbProcedure="false">Assumptions!$C$20</definedName>
    <definedName function="false" hidden="false" name="PIK_Rate" vbProcedure="false">Assumptions!$C$19</definedName>
    <definedName function="false" hidden="false" name="Pref_Rate" vbProcedure="false">Assumptions!$C$33</definedName>
    <definedName function="false" hidden="false" name="Prepay_Fee_Rate" vbProcedure="false">Assumptions!$C$21</definedName>
    <definedName function="false" hidden="false" name="Prepay_Pct" vbProcedure="false">Assumptions!$C$22</definedName>
    <definedName function="false" hidden="false" name="Recovery_Rate" vbProcedure="false">Assumptions!$C$24</definedName>
    <definedName function="false" hidden="false" name="Unfunded_Commit_Base" vbProcedure="false">Assumptions!$C$29</definedName>
    <definedName function="false" hidden="false" name="Warrant_Coverage_Pct" vbProcedure="false">Assumptions!$C$25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<sst xmlns="http://schemas.openxmlformats.org/spreadsheetml/2006/main" count="290" uniqueCount="218">
  <si>
    <t xml:space="preserve">Mezzanine Debt Fund Model</t>
  </si>
  <si>
    <t xml:space="preserve">FINAMODEL.com</t>
  </si>
  <si>
    <t xml:space="preserve">7-Year Closed-End Fund  ·  $300M Committed Capital  ·  Annual Projection</t>
  </si>
  <si>
    <t xml:space="preserve">Sign Convention:</t>
  </si>
  <si>
    <t xml:space="preserve">Capital calls are NEGATIVE (LP pays out). Distributions are POSITIVE (LP receives).</t>
  </si>
  <si>
    <t xml:space="preserve">Gross IRR = portfolio-level CF before fund fees/carry. Net IRR = LP-level CF after waterfall.</t>
  </si>
  <si>
    <t xml:space="preserve">Sheet Guide:</t>
  </si>
  <si>
    <t xml:space="preserve">Assumptions → Capital_Calls → Loan_Portfolio → Credit_Losses → Income_Statement → Cash_Flow → Distributions → Returns → Checks</t>
  </si>
  <si>
    <t xml:space="preserve">About this model</t>
  </si>
  <si>
    <t xml:space="preserve">A Mezzanine Debt Fund Model values a $300M fund deploying into 15 portfolio companies (avg $18M loan per company) over a 4-year investment period (Years 0-3), then harvesting over a 3-year exit period (Years 4-6). Each loan earns a blended 15% gross return: 11.5% all-in cash coupon (SOFR 1% floor + 6.2% spread + 4.3% mezzanine structuring premium), 3.5% PIK (paid-in-kind, accrued to principal), 2% origination/OID fees, 1.5% prepayment fees (if refinanced early), 0.5% commitment fees (on unfunded capacity), and 3% equity warrant kickers (allowing the fund to purchase 3% of borrower equity at maturity, capturing upside in exits).
The Loan_Portfolio sheet models annual deployments (25%, 30%, 25%, 10% of fund size in Years 0-3) to a stable of 15 portfolio companies. Each loan accrues interest on opening deployed principal; PIK capitalizes into principal each year, creating leverage accretion. Default rates (3% of opening portfolio annually) and recovery rates (50% for mezzanine subordination) apply from Year 1 onward. Credit Losses are modeled as a drag on fund returns (1.5% net loss rate). Cash interest is distributed to LPs annually; PIK is realized only at loan exits (maturity or refinance). Capital calls follow a PRIOR-period cap formula to avoid circular references. The Distributions sheet applies the LP waterfall: return of capital (Tier 1), then preferred return accrual at 7% on un-returned capital (Tier 2), then 80/20 split (Tier 3) between LPs and GP on remaining profits.
Key metrics include Gross IRR (~15-18% target), Net IRR to LPs (~12-15% post-fees), management fees (1.5% of committed capital in investment period, 1.0% of invested capital in harvest), and carried interest (15% on GP-realized gains). This model applies to credit fund investors, credit analysts, and portfolio company management evaluating mezzanine financing terms. Typical mezzanine terms: 5-7 year tenor, 40-65% LTV, covenant DSCR minimums of 1.25-1.35Ã. Equity warrant provisions (typically 2-5% coverage) provide meaningful upside in strong exits.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</si>
  <si>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</si>
  <si>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</si>
  <si>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</si>
  <si>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</si>
  <si>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</si>
  <si>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All hardcoded inputs — edit column C only</t>
  </si>
  <si>
    <t xml:space="preserve">Parameter</t>
  </si>
  <si>
    <t xml:space="preserve">Value</t>
  </si>
  <si>
    <t xml:space="preserve">Unit</t>
  </si>
  <si>
    <t xml:space="preserve">Notes</t>
  </si>
  <si>
    <t xml:space="preserve">Fund Structure</t>
  </si>
  <si>
    <t xml:space="preserve">Fund Size</t>
  </si>
  <si>
    <t xml:space="preserve">USD</t>
  </si>
  <si>
    <t xml:space="preserve">Total committed capital</t>
  </si>
  <si>
    <t xml:space="preserve">GP Commit %</t>
  </si>
  <si>
    <t xml:space="preserve">%</t>
  </si>
  <si>
    <t xml:space="preserve">GP co-invest = 2% of fund</t>
  </si>
  <si>
    <t xml:space="preserve">Investment Period End Yr</t>
  </si>
  <si>
    <t xml:space="preserve">integer</t>
  </si>
  <si>
    <t xml:space="preserve">Last year of investment period</t>
  </si>
  <si>
    <t xml:space="preserve">Call % Year 0</t>
  </si>
  <si>
    <t xml:space="preserve">25% of fund called Year 0</t>
  </si>
  <si>
    <t xml:space="preserve">Call % Year 1</t>
  </si>
  <si>
    <t xml:space="preserve">30% called Year 1</t>
  </si>
  <si>
    <t xml:space="preserve">Call % Year 2</t>
  </si>
  <si>
    <t xml:space="preserve">25% called Year 2</t>
  </si>
  <si>
    <t xml:space="preserve">Call % Year 3</t>
  </si>
  <si>
    <t xml:space="preserve">10% called Year 3</t>
  </si>
  <si>
    <t xml:space="preserve">Deploy % Year 0</t>
  </si>
  <si>
    <t xml:space="preserve">25% deployed Year 0</t>
  </si>
  <si>
    <t xml:space="preserve">Deploy % Year 1</t>
  </si>
  <si>
    <t xml:space="preserve">30% deployed Year 1</t>
  </si>
  <si>
    <t xml:space="preserve">Deploy % Year 2</t>
  </si>
  <si>
    <t xml:space="preserve">25% deployed Year 2</t>
  </si>
  <si>
    <t xml:space="preserve">Deploy % Year 3</t>
  </si>
  <si>
    <t xml:space="preserve">10% deployed Year 3</t>
  </si>
  <si>
    <t xml:space="preserve">Cash Coupon Rate</t>
  </si>
  <si>
    <t xml:space="preserve">All-in cash coupon rate</t>
  </si>
  <si>
    <t xml:space="preserve">PIK Rate</t>
  </si>
  <si>
    <t xml:space="preserve">PIK rate, capitalised to principal</t>
  </si>
  <si>
    <t xml:space="preserve">OID Rate</t>
  </si>
  <si>
    <t xml:space="preserve">Origination / OID fee rate</t>
  </si>
  <si>
    <t xml:space="preserve">Prepay Fee Rate</t>
  </si>
  <si>
    <t xml:space="preserve">Call protection / prepay fee rate</t>
  </si>
  <si>
    <t xml:space="preserve">Prepay %</t>
  </si>
  <si>
    <t xml:space="preserve">% of opening portfolio prepaying annually</t>
  </si>
  <si>
    <t xml:space="preserve">Default Rate</t>
  </si>
  <si>
    <t xml:space="preserve">Annual default rate on opening portfolio</t>
  </si>
  <si>
    <t xml:space="preserve">Recovery Rate</t>
  </si>
  <si>
    <t xml:space="preserve">Recovery on defaulted principal</t>
  </si>
  <si>
    <t xml:space="preserve">Warrant Coverage %</t>
  </si>
  <si>
    <t xml:space="preserve">Warrant coverage = 3% of borrower equity</t>
  </si>
  <si>
    <t xml:space="preserve">EV / Debt Multiple</t>
  </si>
  <si>
    <t xml:space="preserve">x</t>
  </si>
  <si>
    <t xml:space="preserve">Exit EV / mezzanine par</t>
  </si>
  <si>
    <t xml:space="preserve">Num Portfolio Cos</t>
  </si>
  <si>
    <t xml:space="preserve">Number of portfolio companies</t>
  </si>
  <si>
    <t xml:space="preserve">Commitment Fee Rate</t>
  </si>
  <si>
    <t xml:space="preserve">Commitment fee on undrawn</t>
  </si>
  <si>
    <t xml:space="preserve">Unfunded Commit Base</t>
  </si>
  <si>
    <t xml:space="preserve">Avg unfunded commitment base (Yrs 0-2)</t>
  </si>
  <si>
    <t xml:space="preserve">Mgmt Fee Inv Period</t>
  </si>
  <si>
    <t xml:space="preserve">Management fee rate, investment period</t>
  </si>
  <si>
    <t xml:space="preserve">Mgmt Fee Harvest</t>
  </si>
  <si>
    <t xml:space="preserve">Management fee rate, harvest period</t>
  </si>
  <si>
    <t xml:space="preserve">Expense Rate</t>
  </si>
  <si>
    <t xml:space="preserve">Annual fund expenses as % of closing NAV</t>
  </si>
  <si>
    <t xml:space="preserve">Pref Return Rate</t>
  </si>
  <si>
    <t xml:space="preserve">Preferred return hurdle rate</t>
  </si>
  <si>
    <t xml:space="preserve">Carry Rate</t>
  </si>
  <si>
    <t xml:space="preserve">GP carried interest rate</t>
  </si>
  <si>
    <t xml:space="preserve">Catchup Rate</t>
  </si>
  <si>
    <t xml:space="preserve">GP catch-up rate (100% = full catch-up)</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</si>
  <si>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</si>
  <si>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</si>
  <si>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</si>
  <si>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</si>
  <si>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</si>
  <si>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</si>
  <si>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</si>
  <si>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</si>
  <si>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</si>
  <si>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</si>
  <si>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</si>
  <si>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</si>
  <si>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</si>
  <si>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</si>
  <si>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</si>
  <si>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</si>
  <si>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</si>
  <si>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Capital Calls</t>
  </si>
  <si>
    <t xml:space="preserve">Year</t>
  </si>
  <si>
    <t xml:space="preserve">Commitments</t>
  </si>
  <si>
    <t xml:space="preserve">GP Commitment</t>
  </si>
  <si>
    <t xml:space="preserve">LP Commitment</t>
  </si>
  <si>
    <t xml:space="preserve">Total Commitment</t>
  </si>
  <si>
    <t xml:space="preserve">Target Annual Call</t>
  </si>
  <si>
    <t xml:space="preserve">Uncalled Capital</t>
  </si>
  <si>
    <t xml:space="preserve">Total Annual Call</t>
  </si>
  <si>
    <t xml:space="preserve">  LP Annual Call</t>
  </si>
  <si>
    <t xml:space="preserve">  GP Annual Call</t>
  </si>
  <si>
    <t xml:space="preserve">Cumul. LP Called</t>
  </si>
  <si>
    <t xml:space="preserve">Cumul. GP Called</t>
  </si>
  <si>
    <t xml:space="preserve">Loan Portfolio</t>
  </si>
  <si>
    <t xml:space="preserve">Year 0</t>
  </si>
  <si>
    <t xml:space="preserve">Year 1</t>
  </si>
  <si>
    <t xml:space="preserve">Year 2</t>
  </si>
  <si>
    <t xml:space="preserve">Year 3</t>
  </si>
  <si>
    <t xml:space="preserve">Year 4</t>
  </si>
  <si>
    <t xml:space="preserve">Year 5</t>
  </si>
  <si>
    <t xml:space="preserve">Year 6</t>
  </si>
  <si>
    <t xml:space="preserve">Principal Roll-Forward</t>
  </si>
  <si>
    <t xml:space="preserve">Opening Principal</t>
  </si>
  <si>
    <t xml:space="preserve">New Deployments</t>
  </si>
  <si>
    <t xml:space="preserve">  PIK Accrued</t>
  </si>
  <si>
    <t xml:space="preserve">Sched. Repayments</t>
  </si>
  <si>
    <t xml:space="preserve">  Prepayments</t>
  </si>
  <si>
    <t xml:space="preserve">Default Writeoffs</t>
  </si>
  <si>
    <t xml:space="preserve">Closing Principal</t>
  </si>
  <si>
    <t xml:space="preserve">Avg Loan Par</t>
  </si>
  <si>
    <t xml:space="preserve">Portfolio Exits (count)</t>
  </si>
  <si>
    <t xml:space="preserve">  Warrant Proceeds</t>
  </si>
  <si>
    <t xml:space="preserve">PIK Cash at Exit</t>
  </si>
  <si>
    <t xml:space="preserve">Invested Capital</t>
  </si>
  <si>
    <t xml:space="preserve">Credit Losses</t>
  </si>
  <si>
    <t xml:space="preserve">Default Analysis</t>
  </si>
  <si>
    <t xml:space="preserve">Opening Deployed</t>
  </si>
  <si>
    <t xml:space="preserve">  Defaulted Principal</t>
  </si>
  <si>
    <t xml:space="preserve">  Recovery</t>
  </si>
  <si>
    <t xml:space="preserve">Net Loss</t>
  </si>
  <si>
    <t xml:space="preserve">Cumul. Net Loss</t>
  </si>
  <si>
    <t xml:space="preserve">Cumul. Deployed</t>
  </si>
  <si>
    <t xml:space="preserve">Cumul. Loss Rate</t>
  </si>
  <si>
    <t xml:space="preserve">Income Statement</t>
  </si>
  <si>
    <t xml:space="preserve">Income</t>
  </si>
  <si>
    <t xml:space="preserve">  Cash Interest Income</t>
  </si>
  <si>
    <t xml:space="preserve">  PIK Interest (non-cash)</t>
  </si>
  <si>
    <t xml:space="preserve">  Origination / OID Fees</t>
  </si>
  <si>
    <t xml:space="preserve">  Prepayment Fees</t>
  </si>
  <si>
    <t xml:space="preserve">  Commitment Fees</t>
  </si>
  <si>
    <t xml:space="preserve">Total Income</t>
  </si>
  <si>
    <t xml:space="preserve">  Management Fee</t>
  </si>
  <si>
    <t xml:space="preserve">  Fund Expenses</t>
  </si>
  <si>
    <t xml:space="preserve">  Credit Loss Expense</t>
  </si>
  <si>
    <t xml:space="preserve">Total Costs</t>
  </si>
  <si>
    <t xml:space="preserve">Net Fund Income</t>
  </si>
  <si>
    <t xml:space="preserve">Cash Flow</t>
  </si>
  <si>
    <t xml:space="preserve">Operating Cash Flow (Non-Cash Adjustments)</t>
  </si>
  <si>
    <t xml:space="preserve">  Less: PIK Income (non-cash)</t>
  </si>
  <si>
    <t xml:space="preserve">  Plus: PIK Cash at Exit</t>
  </si>
  <si>
    <t xml:space="preserve">Operating Cash</t>
  </si>
  <si>
    <t xml:space="preserve">  Capital Deployments</t>
  </si>
  <si>
    <t xml:space="preserve">  Principal Repayments</t>
  </si>
  <si>
    <t xml:space="preserve">  Prepayments Received</t>
  </si>
  <si>
    <t xml:space="preserve">Total Distributable Cash</t>
  </si>
  <si>
    <t xml:space="preserve">  Capital Calls (LP + GP)</t>
  </si>
  <si>
    <t xml:space="preserve">Net Cash to Fund</t>
  </si>
  <si>
    <t xml:space="preserve">Distributions Waterfall</t>
  </si>
  <si>
    <t xml:space="preserve">Distributable Cash</t>
  </si>
  <si>
    <t xml:space="preserve">Cumul. Distributable</t>
  </si>
  <si>
    <t xml:space="preserve">LP Basis — Opening</t>
  </si>
  <si>
    <t xml:space="preserve">LP Basis — Closing</t>
  </si>
  <si>
    <t xml:space="preserve">T1 Threshold (Cumul LP Called)</t>
  </si>
  <si>
    <t xml:space="preserve">  T1 Cumul. Allocated</t>
  </si>
  <si>
    <t xml:space="preserve">  T1 Periodic (RoC)</t>
  </si>
  <si>
    <t xml:space="preserve">  T2 Pref Accrual (period)</t>
  </si>
  <si>
    <t xml:space="preserve">  Cumul. Pref Owed</t>
  </si>
  <si>
    <t xml:space="preserve">T2 Threshold (RoC + Pref)</t>
  </si>
  <si>
    <t xml:space="preserve">  T2 Cumul. Allocated</t>
  </si>
  <si>
    <t xml:space="preserve">  T2 Periodic (Pref Dist.)</t>
  </si>
  <si>
    <t xml:space="preserve">T3 Threshold (Catch-Up Target)</t>
  </si>
  <si>
    <t xml:space="preserve">  T3 Cumul. Allocated</t>
  </si>
  <si>
    <t xml:space="preserve">  T3 Periodic (GP Catch-Up)</t>
  </si>
  <si>
    <t xml:space="preserve">  T4 Cumul. Allocated</t>
  </si>
  <si>
    <t xml:space="preserve">  T4 Periodic (Residual)</t>
  </si>
  <si>
    <t xml:space="preserve">LP Total Distribution</t>
  </si>
  <si>
    <t xml:space="preserve">GP Total Distribution</t>
  </si>
  <si>
    <t xml:space="preserve">Total Check (LP + GP)</t>
  </si>
  <si>
    <t xml:space="preserve">Returns</t>
  </si>
  <si>
    <t xml:space="preserve">IRR Cash Flow Streams</t>
  </si>
  <si>
    <t xml:space="preserve">Gross IRR CF (Portfolio)</t>
  </si>
  <si>
    <t xml:space="preserve">Net IRR CF (LP)</t>
  </si>
  <si>
    <t xml:space="preserve">IRR / Return Metrics</t>
  </si>
  <si>
    <t xml:space="preserve">Gross IRR</t>
  </si>
  <si>
    <t xml:space="preserve">Net IRR</t>
  </si>
  <si>
    <t xml:space="preserve">Per-Period Performance Metrics</t>
  </si>
  <si>
    <t xml:space="preserve">DPI</t>
  </si>
  <si>
    <t xml:space="preserve">RVPI</t>
  </si>
  <si>
    <t xml:space="preserve">Reference Rows</t>
  </si>
  <si>
    <t xml:space="preserve">Cumul. LP Distributions</t>
  </si>
  <si>
    <t xml:space="preserve">Closing NAV</t>
  </si>
  <si>
    <t xml:space="preserve">Checks</t>
  </si>
  <si>
    <t xml:space="preserve">Validation checks — all must show PASS</t>
  </si>
  <si>
    <t xml:space="preserve">Check</t>
  </si>
  <si>
    <t xml:space="preserve">Formula Result</t>
  </si>
  <si>
    <t xml:space="preserve">Status</t>
  </si>
  <si>
    <t xml:space="preserve">LP Total Called &lt;= LP Commitment</t>
  </si>
  <si>
    <t xml:space="preserve">Gross IRR &gt; Net IRR</t>
  </si>
  <si>
    <t xml:space="preserve">LP Dist + GP Dist = Total Distributable</t>
  </si>
  <si>
    <t xml:space="preserve">Closing Principal ~0 in Year 6</t>
  </si>
  <si>
    <t xml:space="preserve">IRR stream has sign change (neg + pos)</t>
  </si>
  <si>
    <t xml:space="preserve">LP Basis Outstanding &gt;= 0 all periods</t>
  </si>
  <si>
    <t xml:space="preserve">Loss rate denominator &gt; 0</t>
  </si>
  <si>
    <t xml:space="preserve">Cumul. Called &lt;= Fund_Size each period</t>
  </si>
  <si>
    <t xml:space="preserve">Key Return Metrics</t>
  </si>
  <si>
    <t xml:space="preserve">MOIC</t>
  </si>
  <si>
    <t xml:space="preserve">DPI (Year 6)</t>
  </si>
  <si>
    <t xml:space="preserve">TVPI (Year 6)</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</si>
</sst>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x"/>
    <numFmt numFmtId="169" formatCode="0.00\x"/>
  </numFmts>
  <fonts count="27">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0"/>
      <name val="Arial"/>
      <family val="0"/>
      <charset val="1"/>
    </font>
    <font>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sz val="10"/>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
      <b val="true"/>
      <sz val="10"/>
      <color rgb="FFFFFFFF"/>
      <name val="Arial"/>
      <family val="0"/>
      <charset val="1"/>
    </font>
    <font>
      <sz val="10"/>
      <color rgb="FF000000"/>
      <name val="Arial"/>
      <family val="0"/>
      <charset val="1"/>
    </font>
    <font>
      <i val="true"/>
      <sz val="11"/>
      <color rgb="FF80808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5" fontId="16" fillId="4" borderId="0" xfId="0" applyFont="true" applyBorder="false" applyAlignment="true" applyProtection="false">
      <alignment horizontal="right" vertical="center" textRotation="0" wrapText="false" indent="0" shrinkToFit="false"/>
      <protection locked="true" hidden="false"/>
    </xf>
    <xf numFmtId="166" fontId="16" fillId="4" borderId="0" xfId="0" applyFont="true" applyBorder="false" applyAlignment="true" applyProtection="false">
      <alignment horizontal="right" vertical="center" textRotation="0" wrapText="false" indent="0" shrinkToFit="false"/>
      <protection locked="true" hidden="false"/>
    </xf>
    <xf numFmtId="167" fontId="16" fillId="4" borderId="0" xfId="0" applyFont="true" applyBorder="false" applyAlignment="true" applyProtection="false">
      <alignment horizontal="right" vertical="center" textRotation="0" wrapText="false" indent="0" shrinkToFit="false"/>
      <protection locked="true" hidden="false"/>
    </xf>
    <xf numFmtId="168" fontId="16" fillId="4"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21" fillId="6"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7" fontId="8" fillId="3" borderId="0" xfId="0" applyFont="true" applyBorder="false" applyAlignment="true" applyProtection="false">
      <alignment horizontal="center" vertical="center" textRotation="0" wrapText="false" indent="0" shrinkToFit="false"/>
      <protection locked="true" hidden="false"/>
    </xf>
    <xf numFmtId="164" fontId="24" fillId="5" borderId="0" xfId="0" applyFont="true" applyBorder="false" applyAlignment="true" applyProtection="false">
      <alignment horizontal="left" vertical="center" textRotation="0" wrapText="false" indent="0" shrinkToFit="false"/>
      <protection locked="true" hidden="false"/>
    </xf>
    <xf numFmtId="164" fontId="11" fillId="5" borderId="0" xfId="0" applyFont="true" applyBorder="false" applyAlignment="false" applyProtection="false">
      <alignment horizontal="general" vertical="bottom" textRotation="0" wrapText="false" indent="0" shrinkToFit="false"/>
      <protection locked="true" hidden="false"/>
    </xf>
    <xf numFmtId="165" fontId="25" fillId="0" borderId="0" xfId="0" applyFont="true" applyBorder="false" applyAlignment="true" applyProtection="false">
      <alignment horizontal="right" vertical="center" textRotation="0" wrapText="false" indent="0" shrinkToFit="false"/>
      <protection locked="true" hidden="false"/>
    </xf>
    <xf numFmtId="164" fontId="9" fillId="5" borderId="0" xfId="0" applyFont="true" applyBorder="false" applyAlignment="true" applyProtection="false">
      <alignment horizontal="left" vertical="center" textRotation="0" wrapText="false" indent="0" shrinkToFit="false"/>
      <protection locked="true" hidden="false"/>
    </xf>
    <xf numFmtId="165" fontId="25" fillId="5" borderId="0" xfId="0" applyFont="true" applyBorder="false" applyAlignment="true" applyProtection="false">
      <alignment horizontal="righ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5" fontId="8" fillId="0" borderId="2"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true" applyProtection="false">
      <alignment horizontal="center" vertical="center" textRotation="0" wrapText="false" indent="0" shrinkToFit="false"/>
      <protection locked="true" hidden="false"/>
    </xf>
    <xf numFmtId="167" fontId="25" fillId="0" borderId="0" xfId="0" applyFont="true" applyBorder="false" applyAlignment="true" applyProtection="false">
      <alignment horizontal="right" vertical="center" textRotation="0" wrapText="false" indent="0" shrinkToFit="false"/>
      <protection locked="true" hidden="false"/>
    </xf>
    <xf numFmtId="166" fontId="25" fillId="0" borderId="0" xfId="0" applyFont="true" applyBorder="false" applyAlignment="true" applyProtection="false">
      <alignment horizontal="right"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false" indent="0" shrinkToFit="false"/>
      <protection locked="true" hidden="false"/>
    </xf>
    <xf numFmtId="165" fontId="8" fillId="0" borderId="3" xfId="0" applyFont="true" applyBorder="true" applyAlignment="true" applyProtection="false">
      <alignment horizontal="right" vertical="center" textRotation="0" wrapText="false" indent="0" shrinkToFit="false"/>
      <protection locked="true" hidden="false"/>
    </xf>
    <xf numFmtId="164" fontId="8" fillId="5" borderId="2" xfId="0" applyFont="true" applyBorder="true" applyAlignment="true" applyProtection="false">
      <alignment horizontal="left" vertical="center" textRotation="0" wrapText="false" indent="0" shrinkToFit="false"/>
      <protection locked="true" hidden="false"/>
    </xf>
    <xf numFmtId="165" fontId="8" fillId="5" borderId="2"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5" fontId="8" fillId="0" borderId="0" xfId="0" applyFont="true" applyBorder="false" applyAlignment="true" applyProtection="false">
      <alignment horizontal="right" vertical="center" textRotation="0" wrapText="false" indent="0" shrinkToFit="false"/>
      <protection locked="true" hidden="false"/>
    </xf>
    <xf numFmtId="169" fontId="25" fillId="5" borderId="0" xfId="0" applyFont="true" applyBorder="false" applyAlignment="true" applyProtection="false">
      <alignment horizontal="right" vertical="center" textRotation="0" wrapText="false" indent="0" shrinkToFit="false"/>
      <protection locked="true" hidden="false"/>
    </xf>
    <xf numFmtId="169" fontId="25" fillId="0" borderId="0" xfId="0" applyFont="true" applyBorder="false" applyAlignment="true" applyProtection="false">
      <alignment horizontal="right" vertical="center" textRotation="0" wrapText="false" indent="0" shrinkToFit="false"/>
      <protection locked="true" hidden="false"/>
    </xf>
    <xf numFmtId="169" fontId="8" fillId="5" borderId="0" xfId="0" applyFont="true" applyBorder="false" applyAlignment="true" applyProtection="false">
      <alignment horizontal="righ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2E75B6"/>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9"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row>
    <row r="6" customFormat="false" ht="15" hidden="false" customHeight="false" outlineLevel="0" collapsed="false">
      <c r="B6" s="6" t="s">
        <v>4</v>
      </c>
    </row>
    <row r="7" customFormat="false" ht="15" hidden="false" customHeight="false" outlineLevel="0" collapsed="false">
      <c r="B7" s="6" t="s">
        <v>5</v>
      </c>
    </row>
    <row r="9" customFormat="false" ht="15" hidden="false" customHeight="false" outlineLevel="0" collapsed="false">
      <c r="B9" s="5" t="s">
        <v>6</v>
      </c>
    </row>
    <row r="10" customFormat="false" ht="15" hidden="false" customHeight="false" outlineLevel="0" collapsed="false">
      <c r="B10" s="6" t="s">
        <v>7</v>
      </c>
    </row>
    <row r="13" customFormat="false" ht="19.5" hidden="false" customHeight="true" outlineLevel="0" collapsed="false">
      <c r="B13" s="7" t="s">
        <v>8</v>
      </c>
      <c r="C13" s="8"/>
      <c r="D13" s="8"/>
      <c r="E13" s="8"/>
      <c r="F13" s="8"/>
      <c r="G13" s="8"/>
    </row>
    <row r="14" customFormat="false" ht="283.5" hidden="false" customHeight="true" outlineLevel="0" collapsed="false">
      <c r="B14" s="9" t="s">
        <v>9</v>
      </c>
      <c r="C14" s="9"/>
      <c r="D14" s="9"/>
      <c r="E14" s="9"/>
      <c r="F14" s="9"/>
      <c r="G14" s="9"/>
    </row>
    <row r="16" customFormat="false" ht="19.5" hidden="false" customHeight="true" outlineLevel="0" collapsed="false">
      <c r="B16" s="7" t="s">
        <v>10</v>
      </c>
      <c r="C16" s="8"/>
      <c r="D16" s="8"/>
      <c r="E16" s="8"/>
      <c r="F16" s="8"/>
      <c r="G16" s="8"/>
    </row>
    <row r="17" customFormat="false" ht="57" hidden="false" customHeight="true" outlineLevel="0" collapsed="false">
      <c r="B17" s="9" t="s">
        <v>11</v>
      </c>
      <c r="C17" s="9"/>
      <c r="D17" s="9"/>
      <c r="E17" s="9"/>
      <c r="F17" s="9"/>
      <c r="G17" s="9"/>
    </row>
    <row r="18" customFormat="false" ht="15" hidden="false" customHeight="false" outlineLevel="0" collapsed="false">
      <c r="B18" s="10" t="s">
        <v>12</v>
      </c>
      <c r="C18" s="10"/>
      <c r="D18" s="10"/>
      <c r="E18" s="10"/>
      <c r="F18" s="10"/>
      <c r="G18" s="10"/>
    </row>
    <row r="19" customFormat="false" ht="15" hidden="false" customHeight="false" outlineLevel="0" collapsed="false">
      <c r="B19" s="11" t="s">
        <v>13</v>
      </c>
    </row>
  </sheetData>
  <mergeCells count="3">
    <mergeCell ref="B14:G14"/>
    <mergeCell ref="B17:G17"/>
    <mergeCell ref="B18:G1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B2:I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9" min="3" style="0" width="14"/>
  </cols>
  <sheetData>
    <row r="2" customFormat="false" ht="22.05" hidden="false" customHeight="false" outlineLevel="0" collapsed="false">
      <c r="B2" s="26" t="s">
        <v>188</v>
      </c>
    </row>
    <row r="3" customFormat="false" ht="15" hidden="false" customHeight="false" outlineLevel="0" collapsed="false">
      <c r="B3" s="5" t="s">
        <v>101</v>
      </c>
      <c r="C3" s="36" t="s">
        <v>114</v>
      </c>
      <c r="D3" s="36" t="s">
        <v>115</v>
      </c>
      <c r="E3" s="36" t="s">
        <v>116</v>
      </c>
      <c r="F3" s="36" t="s">
        <v>117</v>
      </c>
      <c r="G3" s="36" t="s">
        <v>118</v>
      </c>
      <c r="H3" s="36" t="s">
        <v>119</v>
      </c>
      <c r="I3" s="36" t="s">
        <v>120</v>
      </c>
    </row>
    <row r="4" customFormat="false" ht="15" hidden="false" customHeight="false" outlineLevel="0" collapsed="false">
      <c r="B4" s="28" t="s">
        <v>189</v>
      </c>
      <c r="C4" s="29"/>
      <c r="D4" s="29"/>
      <c r="E4" s="29"/>
      <c r="F4" s="29"/>
      <c r="G4" s="29"/>
      <c r="H4" s="29"/>
      <c r="I4" s="29"/>
    </row>
    <row r="5" customFormat="false" ht="15" hidden="false" customHeight="false" outlineLevel="0" collapsed="false">
      <c r="B5" s="35" t="s">
        <v>190</v>
      </c>
      <c r="C5" s="30" t="n">
        <f aca="false">-Loan_Portfolio!C6+Income_Statement!C5+Income_Statement!C7+Income_Statement!C8+Income_Statement!C9+ABS(Loan_Portfolio!C8)+ABS(Loan_Portfolio!C9)+Loan_Portfolio!C15+Loan_Portfolio!C14</f>
        <v>-73350000</v>
      </c>
      <c r="D5" s="30" t="n">
        <f aca="false">-Loan_Portfolio!D6+Income_Statement!D5+Income_Statement!D7+Income_Statement!D8+Income_Statement!D9+ABS(Loan_Portfolio!D8)+ABS(Loan_Portfolio!D9)+Loan_Portfolio!D15+Loan_Portfolio!D14</f>
        <v>-75618750</v>
      </c>
      <c r="E5" s="30" t="n">
        <f aca="false">-Loan_Portfolio!E6+Income_Statement!E5+Income_Statement!E7+Income_Statement!E8+Income_Statement!E9+ABS(Loan_Portfolio!E8)+ABS(Loan_Portfolio!E9)+Loan_Portfolio!E15+Loan_Portfolio!E14</f>
        <v>-46374187.5</v>
      </c>
      <c r="F5" s="30" t="n">
        <f aca="false">-Loan_Portfolio!F6+Income_Statement!F5+Income_Statement!F7+Income_Statement!F8+Income_Statement!F9+ABS(Loan_Portfolio!F8)+ABS(Loan_Portfolio!F9)+Loan_Portfolio!F15+Loan_Portfolio!F14</f>
        <v>9197788.125</v>
      </c>
      <c r="G5" s="30" t="n">
        <f aca="false">-Loan_Portfolio!G6+Income_Statement!G5+Income_Statement!G7+Income_Statement!G8+Income_Statement!G9+ABS(Loan_Portfolio!G8)+ABS(Loan_Portfolio!G9)+Loan_Portfolio!G15+Loan_Portfolio!G14</f>
        <v>170362474.48125</v>
      </c>
      <c r="H5" s="30" t="n">
        <f aca="false">-Loan_Portfolio!H6+Income_Statement!H5+Income_Statement!H7+Income_Statement!H8+Income_Statement!H9+ABS(Loan_Portfolio!H8)+ABS(Loan_Portfolio!H9)+Loan_Portfolio!H15+Loan_Portfolio!H14</f>
        <v>136358598.503063</v>
      </c>
      <c r="I5" s="30" t="n">
        <f aca="false">-Loan_Portfolio!I6+Income_Statement!I5+Income_Statement!I7+Income_Statement!I8+Income_Statement!I9+ABS(Loan_Portfolio!I8)+ABS(Loan_Portfolio!I9)+Loan_Portfolio!I15+Loan_Portfolio!I14</f>
        <v>102863076.212721</v>
      </c>
    </row>
    <row r="6" customFormat="false" ht="15" hidden="false" customHeight="false" outlineLevel="0" collapsed="false">
      <c r="B6" s="35" t="s">
        <v>191</v>
      </c>
      <c r="C6" s="30" t="n">
        <f aca="false">-Capital_Calls!C11+Distributions!C27</f>
        <v>-73500000</v>
      </c>
      <c r="D6" s="30" t="n">
        <f aca="false">-Capital_Calls!D11+Distributions!D27</f>
        <v>-88200000</v>
      </c>
      <c r="E6" s="30" t="n">
        <f aca="false">-Capital_Calls!E11+Distributions!E27</f>
        <v>-73500000</v>
      </c>
      <c r="F6" s="30" t="n">
        <f aca="false">-Capital_Calls!F11+Distributions!F27</f>
        <v>-28834928.0625</v>
      </c>
      <c r="G6" s="30" t="n">
        <f aca="false">-Capital_Calls!G11+Distributions!G27</f>
        <v>164269912.591875</v>
      </c>
      <c r="H6" s="30" t="n">
        <f aca="false">-Capital_Calls!H11+Distributions!H27</f>
        <v>132738981.805369</v>
      </c>
      <c r="I6" s="30" t="n">
        <f aca="false">-Capital_Calls!I11+Distributions!I27</f>
        <v>81333412.1661466</v>
      </c>
    </row>
    <row r="7" customFormat="false" ht="15" hidden="false" customHeight="false" outlineLevel="0" collapsed="false">
      <c r="B7" s="28" t="s">
        <v>192</v>
      </c>
      <c r="C7" s="29"/>
      <c r="D7" s="29"/>
      <c r="E7" s="29"/>
      <c r="F7" s="29"/>
      <c r="G7" s="29"/>
      <c r="H7" s="29"/>
      <c r="I7" s="29"/>
    </row>
    <row r="8" customFormat="false" ht="15" hidden="false" customHeight="false" outlineLevel="0" collapsed="false">
      <c r="B8" s="5" t="s">
        <v>193</v>
      </c>
      <c r="C8" s="38" t="n">
        <f aca="false">IFERROR(IRR(C5:I5),"N/A")</f>
        <v>0.214581764751959</v>
      </c>
    </row>
    <row r="9" customFormat="false" ht="15" hidden="false" customHeight="false" outlineLevel="0" collapsed="false">
      <c r="B9" s="5" t="s">
        <v>194</v>
      </c>
      <c r="C9" s="38" t="n">
        <f aca="false">IFERROR(IRR(C6:I6),"N/A")</f>
        <v>0.105714351679152</v>
      </c>
    </row>
    <row r="10" customFormat="false" ht="15" hidden="false" customHeight="false" outlineLevel="0" collapsed="false">
      <c r="B10" s="28" t="s">
        <v>195</v>
      </c>
      <c r="C10" s="45" t="n">
        <f aca="false">IFERROR((SUM(Distributions!C27:I27)+I16)/SUM(Capital_Calls!C11:I11),0)</f>
        <v>1.43200067460654</v>
      </c>
      <c r="D10" s="29"/>
      <c r="E10" s="29"/>
      <c r="F10" s="29"/>
      <c r="G10" s="29"/>
      <c r="H10" s="29"/>
      <c r="I10" s="29"/>
    </row>
    <row r="11" customFormat="false" ht="15" hidden="false" customHeight="false" outlineLevel="0" collapsed="false">
      <c r="B11" s="35" t="s">
        <v>196</v>
      </c>
      <c r="C11" s="46" t="n">
        <f aca="false">IFERROR(SUM(Distributions!$C$27:C27)/SUM(Capital_Calls!$C$11:C11),0)</f>
        <v>0</v>
      </c>
      <c r="D11" s="46" t="n">
        <f aca="false">IFERROR(SUM(Distributions!$C$27:D27)/SUM(Capital_Calls!$C$11:D11),0)</f>
        <v>0</v>
      </c>
      <c r="E11" s="46" t="n">
        <f aca="false">IFERROR(SUM(Distributions!$C$27:E27)/SUM(Capital_Calls!$C$11:E11),0)</f>
        <v>0</v>
      </c>
      <c r="F11" s="46" t="n">
        <f aca="false">IFERROR(SUM(Distributions!$C$27:F27)/SUM(Capital_Calls!$C$11:F11),0)</f>
        <v>0.00213557043650794</v>
      </c>
      <c r="G11" s="46" t="n">
        <f aca="false">IFERROR(SUM(Distributions!$C$27:G27)/SUM(Capital_Calls!$C$11:G11),0)</f>
        <v>0.622959125205499</v>
      </c>
      <c r="H11" s="46" t="n">
        <f aca="false">IFERROR(SUM(Distributions!$C$27:H27)/SUM(Capital_Calls!$C$11:H11),0)</f>
        <v>1.1246181645304</v>
      </c>
      <c r="I11" s="46" t="n">
        <f aca="false">IFERROR(SUM(Distributions!$C$27:I27)/SUM(Capital_Calls!$C$11:I11),0)</f>
        <v>1.43200067460654</v>
      </c>
    </row>
    <row r="12" customFormat="false" ht="15" hidden="false" customHeight="false" outlineLevel="0" collapsed="false">
      <c r="B12" s="35" t="s">
        <v>197</v>
      </c>
      <c r="C12" s="46" t="n">
        <f aca="false">IFERROR(C16/SUM(Capital_Calls!$C$11:C11),0)</f>
        <v>1.02040816326531</v>
      </c>
      <c r="D12" s="46" t="n">
        <f aca="false">IFERROR(D16/SUM(Capital_Calls!$C$11:D11),0)</f>
        <v>1.00649350649351</v>
      </c>
      <c r="E12" s="46" t="n">
        <f aca="false">IFERROR(E16/SUM(Capital_Calls!$C$11:E11),0)</f>
        <v>0.990082908163265</v>
      </c>
      <c r="F12" s="46" t="n">
        <f aca="false">IFERROR(F16/SUM(Capital_Calls!$C$11:F11),0)</f>
        <v>0.967050170068027</v>
      </c>
      <c r="G12" s="46" t="n">
        <f aca="false">IFERROR(G16/SUM(Capital_Calls!$C$11:G11),0)</f>
        <v>0.615688608276644</v>
      </c>
      <c r="H12" s="46" t="n">
        <f aca="false">IFERROR(H16/SUM(Capital_Calls!$C$11:H11),0)</f>
        <v>0.274867893339002</v>
      </c>
      <c r="I12" s="46" t="n">
        <f aca="false">IFERROR(I16/SUM(Capital_Calls!$C$11:I11),0)</f>
        <v>0</v>
      </c>
    </row>
    <row r="13" customFormat="false" ht="15" hidden="false" customHeight="false" outlineLevel="0" collapsed="false">
      <c r="B13" s="28" t="s">
        <v>198</v>
      </c>
      <c r="C13" s="47" t="n">
        <f aca="false">C11+C12</f>
        <v>1.02040816326531</v>
      </c>
      <c r="D13" s="47" t="n">
        <f aca="false">D11+D12</f>
        <v>1.00649350649351</v>
      </c>
      <c r="E13" s="47" t="n">
        <f aca="false">E11+E12</f>
        <v>0.990082908163265</v>
      </c>
      <c r="F13" s="47" t="n">
        <f aca="false">F11+F12</f>
        <v>0.969185740504535</v>
      </c>
      <c r="G13" s="47" t="n">
        <f aca="false">G11+G12</f>
        <v>1.23864773348214</v>
      </c>
      <c r="H13" s="47" t="n">
        <f aca="false">H11+H12</f>
        <v>1.3994860578694</v>
      </c>
      <c r="I13" s="47" t="n">
        <f aca="false">I11+I12</f>
        <v>1.43200067460654</v>
      </c>
    </row>
    <row r="14" customFormat="false" ht="15" hidden="false" customHeight="false" outlineLevel="0" collapsed="false">
      <c r="B14" s="35" t="s">
        <v>111</v>
      </c>
      <c r="C14" s="30" t="n">
        <f aca="false">Capital_Calls!C13</f>
        <v>73500000</v>
      </c>
      <c r="D14" s="30" t="n">
        <f aca="false">Capital_Calls!D13</f>
        <v>161700000</v>
      </c>
      <c r="E14" s="30" t="n">
        <f aca="false">Capital_Calls!E13</f>
        <v>235200000</v>
      </c>
      <c r="F14" s="30" t="n">
        <f aca="false">Capital_Calls!F13</f>
        <v>264600000</v>
      </c>
      <c r="G14" s="30" t="n">
        <f aca="false">Capital_Calls!G13</f>
        <v>264600000</v>
      </c>
      <c r="H14" s="30" t="n">
        <f aca="false">Capital_Calls!H13</f>
        <v>264600000</v>
      </c>
      <c r="I14" s="30" t="n">
        <f aca="false">Capital_Calls!I13</f>
        <v>264600000</v>
      </c>
    </row>
    <row r="15" customFormat="false" ht="15" hidden="false" customHeight="false" outlineLevel="0" collapsed="false">
      <c r="B15" s="6" t="s">
        <v>199</v>
      </c>
      <c r="C15" s="30" t="n">
        <f aca="false">Distributions!C27</f>
        <v>0</v>
      </c>
      <c r="D15" s="30" t="n">
        <f aca="false">C15+Distributions!D27</f>
        <v>0</v>
      </c>
      <c r="E15" s="30" t="n">
        <f aca="false">D15+Distributions!E27</f>
        <v>0</v>
      </c>
      <c r="F15" s="30" t="n">
        <f aca="false">E15+Distributions!F27</f>
        <v>565071.9375</v>
      </c>
      <c r="G15" s="30" t="n">
        <f aca="false">F15+Distributions!G27</f>
        <v>164834984.529375</v>
      </c>
      <c r="H15" s="30" t="n">
        <f aca="false">G15+Distributions!H27</f>
        <v>297573966.334744</v>
      </c>
      <c r="I15" s="30" t="n">
        <f aca="false">H15+Distributions!I27</f>
        <v>378907378.50089</v>
      </c>
    </row>
    <row r="16" customFormat="false" ht="15" hidden="false" customHeight="false" outlineLevel="0" collapsed="false">
      <c r="B16" s="35" t="s">
        <v>200</v>
      </c>
      <c r="C16" s="30" t="n">
        <f aca="false">Loan_Portfolio!C11</f>
        <v>75000000</v>
      </c>
      <c r="D16" s="30" t="n">
        <f aca="false">Loan_Portfolio!D11</f>
        <v>162750000</v>
      </c>
      <c r="E16" s="30" t="n">
        <f aca="false">Loan_Portfolio!E11</f>
        <v>232867500</v>
      </c>
      <c r="F16" s="30" t="n">
        <f aca="false">Loan_Portfolio!F11</f>
        <v>255881475</v>
      </c>
      <c r="G16" s="30" t="n">
        <f aca="false">Loan_Portfolio!G11</f>
        <v>162911205.75</v>
      </c>
      <c r="H16" s="30" t="n">
        <f aca="false">Loan_Portfolio!H11</f>
        <v>72730044.5775</v>
      </c>
      <c r="I16" s="30" t="n">
        <f aca="false">Loan_Portfolio!I11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B2: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50"/>
    <col collapsed="false" customWidth="true" hidden="false" outlineLevel="0" max="3" min="3" style="0" width="14"/>
    <col collapsed="false" customWidth="true" hidden="false" outlineLevel="0" max="4" min="4" style="0" width="10"/>
  </cols>
  <sheetData>
    <row r="2" customFormat="false" ht="22.05" hidden="false" customHeight="false" outlineLevel="0" collapsed="false">
      <c r="B2" s="26" t="s">
        <v>201</v>
      </c>
    </row>
    <row r="3" customFormat="false" ht="15" hidden="false" customHeight="false" outlineLevel="0" collapsed="false">
      <c r="B3" s="48" t="s">
        <v>202</v>
      </c>
    </row>
    <row r="4" customFormat="false" ht="15" hidden="false" customHeight="false" outlineLevel="0" collapsed="false">
      <c r="B4" s="28" t="s">
        <v>203</v>
      </c>
      <c r="C4" s="28" t="s">
        <v>204</v>
      </c>
      <c r="D4" s="28" t="s">
        <v>205</v>
      </c>
    </row>
    <row r="5" customFormat="false" ht="15" hidden="false" customHeight="false" outlineLevel="0" collapsed="false">
      <c r="B5" s="6" t="s">
        <v>206</v>
      </c>
      <c r="C5" s="49" t="b">
        <f aca="false">SUM(Capital_Calls!C11:I11)&lt;=Capital_Calls!C6</f>
        <v>1</v>
      </c>
      <c r="D5" s="50" t="str">
        <f aca="false">IF(C5,"PASS","FAIL")</f>
        <v>PASS</v>
      </c>
    </row>
    <row r="6" customFormat="false" ht="15" hidden="false" customHeight="false" outlineLevel="0" collapsed="false">
      <c r="B6" s="6" t="s">
        <v>207</v>
      </c>
      <c r="C6" s="49" t="b">
        <f aca="false">IFERROR(Returns!$C$8&gt;Returns!$C$9,FALSE())</f>
        <v>1</v>
      </c>
      <c r="D6" s="50" t="str">
        <f aca="false">IF(C6,"PASS","FAIL")</f>
        <v>PASS</v>
      </c>
    </row>
    <row r="7" customFormat="false" ht="15" hidden="false" customHeight="false" outlineLevel="0" collapsed="false">
      <c r="B7" s="6" t="s">
        <v>208</v>
      </c>
      <c r="C7" s="49" t="b">
        <f aca="false">ROUND(SUM(Distributions!C27:I27)+SUM(Distributions!C28:I28)-SUM(Distributions!C5:I5),0)=0</f>
        <v>1</v>
      </c>
      <c r="D7" s="50" t="str">
        <f aca="false">IF(C7,"PASS","FAIL")</f>
        <v>PASS</v>
      </c>
    </row>
    <row r="8" customFormat="false" ht="15" hidden="false" customHeight="false" outlineLevel="0" collapsed="false">
      <c r="B8" s="6" t="s">
        <v>209</v>
      </c>
      <c r="C8" s="49" t="b">
        <f aca="false">ABS(Loan_Portfolio!I11)&lt;1</f>
        <v>1</v>
      </c>
      <c r="D8" s="50" t="str">
        <f aca="false">IF(C8,"PASS","FAIL")</f>
        <v>PASS</v>
      </c>
    </row>
    <row r="9" customFormat="false" ht="15" hidden="false" customHeight="false" outlineLevel="0" collapsed="false">
      <c r="B9" s="6" t="s">
        <v>210</v>
      </c>
      <c r="C9" s="49" t="b">
        <f aca="false">AND(MIN(Returns!C6:I6)&lt;0,MAX(Returns!C6:I6)&gt;0)</f>
        <v>1</v>
      </c>
      <c r="D9" s="50" t="str">
        <f aca="false">IF(C9,"PASS","FAIL")</f>
        <v>PASS</v>
      </c>
    </row>
    <row r="10" customFormat="false" ht="15" hidden="false" customHeight="false" outlineLevel="0" collapsed="false">
      <c r="B10" s="6" t="s">
        <v>211</v>
      </c>
      <c r="C10" s="49" t="b">
        <f aca="false">MIN(Distributions!C8:I8)&gt;=0</f>
        <v>1</v>
      </c>
      <c r="D10" s="50" t="str">
        <f aca="false">IF(C10,"PASS","FAIL")</f>
        <v>PASS</v>
      </c>
    </row>
    <row r="11" customFormat="false" ht="15" hidden="false" customHeight="false" outlineLevel="0" collapsed="false">
      <c r="B11" s="6" t="s">
        <v>212</v>
      </c>
      <c r="C11" s="49" t="b">
        <f aca="false">SUM(Loan_Portfolio!C6:I6)&gt;0</f>
        <v>1</v>
      </c>
      <c r="D11" s="50" t="str">
        <f aca="false">IF(C11,"PASS","FAIL")</f>
        <v>PASS</v>
      </c>
    </row>
    <row r="12" customFormat="false" ht="15" hidden="false" customHeight="false" outlineLevel="0" collapsed="false">
      <c r="B12" s="6" t="s">
        <v>213</v>
      </c>
      <c r="C12" s="49" t="b">
        <f aca="false">MAX(Capital_Calls!C13:I13)+MAX(Capital_Calls!C14:I14)&lt;=Fund_Size</f>
        <v>1</v>
      </c>
      <c r="D12" s="50" t="str">
        <f aca="false">IF(C12,"PASS","FAIL")</f>
        <v>PASS</v>
      </c>
    </row>
    <row r="14" customFormat="false" ht="15" hidden="false" customHeight="false" outlineLevel="0" collapsed="false">
      <c r="B14" s="51" t="s">
        <v>214</v>
      </c>
    </row>
    <row r="15" customFormat="false" ht="15" hidden="false" customHeight="false" outlineLevel="0" collapsed="false">
      <c r="B15" s="6" t="s">
        <v>193</v>
      </c>
      <c r="C15" s="38" t="n">
        <f aca="false">Returns!$C$8</f>
        <v>0.214581764751959</v>
      </c>
    </row>
    <row r="16" customFormat="false" ht="15" hidden="false" customHeight="false" outlineLevel="0" collapsed="false">
      <c r="B16" s="6" t="s">
        <v>194</v>
      </c>
      <c r="C16" s="38" t="n">
        <f aca="false">Returns!$C$9</f>
        <v>0.105714351679152</v>
      </c>
    </row>
    <row r="17" customFormat="false" ht="15" hidden="false" customHeight="false" outlineLevel="0" collapsed="false">
      <c r="B17" s="6" t="s">
        <v>215</v>
      </c>
      <c r="C17" s="46" t="n">
        <f aca="false">Returns!$C$10</f>
        <v>1.43200067460654</v>
      </c>
    </row>
    <row r="18" customFormat="false" ht="15" hidden="false" customHeight="false" outlineLevel="0" collapsed="false">
      <c r="B18" s="6" t="s">
        <v>216</v>
      </c>
      <c r="C18" s="46" t="n">
        <f aca="false">Returns!I11</f>
        <v>1.43200067460654</v>
      </c>
    </row>
    <row r="19" customFormat="false" ht="15" hidden="false" customHeight="false" outlineLevel="0" collapsed="false">
      <c r="B19" s="6" t="s">
        <v>217</v>
      </c>
      <c r="C19" s="46" t="n">
        <f aca="false">Returns!I13</f>
        <v>1.43200067460654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0"/>
    <col collapsed="false" customWidth="true" hidden="false" outlineLevel="0" max="5" min="5" style="0" width="4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2" t="s">
        <v>16</v>
      </c>
      <c r="C4" s="12" t="s">
        <v>17</v>
      </c>
      <c r="D4" s="12" t="s">
        <v>18</v>
      </c>
      <c r="E4" s="12" t="s">
        <v>19</v>
      </c>
    </row>
    <row r="5" customFormat="false" ht="15" hidden="false" customHeight="false" outlineLevel="0" collapsed="false">
      <c r="B5" s="12" t="s">
        <v>20</v>
      </c>
      <c r="C5" s="13"/>
      <c r="D5" s="13"/>
      <c r="E5" s="13"/>
    </row>
    <row r="7" customFormat="false" ht="15" hidden="false" customHeight="false" outlineLevel="0" collapsed="false">
      <c r="B7" s="6" t="s">
        <v>21</v>
      </c>
      <c r="C7" s="14" t="n">
        <v>300000000</v>
      </c>
      <c r="D7" s="6" t="s">
        <v>22</v>
      </c>
      <c r="E7" s="6" t="s">
        <v>23</v>
      </c>
    </row>
    <row r="8" customFormat="false" ht="15" hidden="false" customHeight="false" outlineLevel="0" collapsed="false">
      <c r="B8" s="6" t="s">
        <v>24</v>
      </c>
      <c r="C8" s="15" t="n">
        <v>0.02</v>
      </c>
      <c r="D8" s="6" t="s">
        <v>25</v>
      </c>
      <c r="E8" s="6" t="s">
        <v>26</v>
      </c>
    </row>
    <row r="9" customFormat="false" ht="15" hidden="false" customHeight="false" outlineLevel="0" collapsed="false">
      <c r="B9" s="6" t="s">
        <v>27</v>
      </c>
      <c r="C9" s="16" t="n">
        <v>3</v>
      </c>
      <c r="D9" s="6" t="s">
        <v>28</v>
      </c>
      <c r="E9" s="6" t="s">
        <v>29</v>
      </c>
    </row>
    <row r="10" customFormat="false" ht="15" hidden="false" customHeight="false" outlineLevel="0" collapsed="false">
      <c r="B10" s="6" t="s">
        <v>30</v>
      </c>
      <c r="C10" s="15" t="n">
        <v>0.25</v>
      </c>
      <c r="D10" s="6" t="s">
        <v>25</v>
      </c>
      <c r="E10" s="6" t="s">
        <v>31</v>
      </c>
    </row>
    <row r="11" customFormat="false" ht="15" hidden="false" customHeight="false" outlineLevel="0" collapsed="false">
      <c r="B11" s="6" t="s">
        <v>32</v>
      </c>
      <c r="C11" s="15" t="n">
        <v>0.3</v>
      </c>
      <c r="D11" s="6" t="s">
        <v>25</v>
      </c>
      <c r="E11" s="6" t="s">
        <v>33</v>
      </c>
    </row>
    <row r="12" customFormat="false" ht="15" hidden="false" customHeight="false" outlineLevel="0" collapsed="false">
      <c r="B12" s="6" t="s">
        <v>34</v>
      </c>
      <c r="C12" s="15" t="n">
        <v>0.25</v>
      </c>
      <c r="D12" s="6" t="s">
        <v>25</v>
      </c>
      <c r="E12" s="6" t="s">
        <v>35</v>
      </c>
    </row>
    <row r="13" customFormat="false" ht="15" hidden="false" customHeight="false" outlineLevel="0" collapsed="false">
      <c r="B13" s="6" t="s">
        <v>36</v>
      </c>
      <c r="C13" s="15" t="n">
        <v>0.1</v>
      </c>
      <c r="D13" s="6" t="s">
        <v>25</v>
      </c>
      <c r="E13" s="6" t="s">
        <v>37</v>
      </c>
    </row>
    <row r="14" customFormat="false" ht="15" hidden="false" customHeight="false" outlineLevel="0" collapsed="false">
      <c r="B14" s="6" t="s">
        <v>38</v>
      </c>
      <c r="C14" s="15" t="n">
        <v>0.25</v>
      </c>
      <c r="D14" s="6" t="s">
        <v>25</v>
      </c>
      <c r="E14" s="6" t="s">
        <v>39</v>
      </c>
    </row>
    <row r="15" customFormat="false" ht="15" hidden="false" customHeight="false" outlineLevel="0" collapsed="false">
      <c r="B15" s="6" t="s">
        <v>40</v>
      </c>
      <c r="C15" s="15" t="n">
        <v>0.3</v>
      </c>
      <c r="D15" s="6" t="s">
        <v>25</v>
      </c>
      <c r="E15" s="6" t="s">
        <v>41</v>
      </c>
    </row>
    <row r="16" customFormat="false" ht="15" hidden="false" customHeight="false" outlineLevel="0" collapsed="false">
      <c r="B16" s="6" t="s">
        <v>42</v>
      </c>
      <c r="C16" s="15" t="n">
        <v>0.25</v>
      </c>
      <c r="D16" s="6" t="s">
        <v>25</v>
      </c>
      <c r="E16" s="6" t="s">
        <v>43</v>
      </c>
    </row>
    <row r="17" customFormat="false" ht="15" hidden="false" customHeight="false" outlineLevel="0" collapsed="false">
      <c r="B17" s="6" t="s">
        <v>44</v>
      </c>
      <c r="C17" s="15" t="n">
        <v>0.1</v>
      </c>
      <c r="D17" s="6" t="s">
        <v>25</v>
      </c>
      <c r="E17" s="6" t="s">
        <v>45</v>
      </c>
    </row>
    <row r="18" customFormat="false" ht="15" hidden="false" customHeight="false" outlineLevel="0" collapsed="false">
      <c r="B18" s="6" t="s">
        <v>46</v>
      </c>
      <c r="C18" s="15" t="n">
        <v>0.115</v>
      </c>
      <c r="D18" s="6" t="s">
        <v>25</v>
      </c>
      <c r="E18" s="6" t="s">
        <v>47</v>
      </c>
    </row>
    <row r="19" customFormat="false" ht="15" hidden="false" customHeight="false" outlineLevel="0" collapsed="false">
      <c r="B19" s="6" t="s">
        <v>48</v>
      </c>
      <c r="C19" s="15" t="n">
        <v>0.035</v>
      </c>
      <c r="D19" s="6" t="s">
        <v>25</v>
      </c>
      <c r="E19" s="6" t="s">
        <v>49</v>
      </c>
    </row>
    <row r="20" customFormat="false" ht="15" hidden="false" customHeight="false" outlineLevel="0" collapsed="false">
      <c r="B20" s="6" t="s">
        <v>50</v>
      </c>
      <c r="C20" s="15" t="n">
        <v>0.02</v>
      </c>
      <c r="D20" s="6" t="s">
        <v>25</v>
      </c>
      <c r="E20" s="6" t="s">
        <v>51</v>
      </c>
    </row>
    <row r="21" customFormat="false" ht="15" hidden="false" customHeight="false" outlineLevel="0" collapsed="false">
      <c r="B21" s="6" t="s">
        <v>52</v>
      </c>
      <c r="C21" s="15" t="n">
        <v>0.015</v>
      </c>
      <c r="D21" s="6" t="s">
        <v>25</v>
      </c>
      <c r="E21" s="6" t="s">
        <v>53</v>
      </c>
    </row>
    <row r="22" customFormat="false" ht="15" hidden="false" customHeight="false" outlineLevel="0" collapsed="false">
      <c r="B22" s="6" t="s">
        <v>54</v>
      </c>
      <c r="C22" s="15" t="n">
        <v>0.05</v>
      </c>
      <c r="D22" s="6" t="s">
        <v>25</v>
      </c>
      <c r="E22" s="6" t="s">
        <v>55</v>
      </c>
    </row>
    <row r="23" customFormat="false" ht="15" hidden="false" customHeight="false" outlineLevel="0" collapsed="false">
      <c r="B23" s="6" t="s">
        <v>56</v>
      </c>
      <c r="C23" s="15" t="n">
        <v>0.03</v>
      </c>
      <c r="D23" s="6" t="s">
        <v>25</v>
      </c>
      <c r="E23" s="6" t="s">
        <v>57</v>
      </c>
    </row>
    <row r="24" customFormat="false" ht="15" hidden="false" customHeight="false" outlineLevel="0" collapsed="false">
      <c r="B24" s="6" t="s">
        <v>58</v>
      </c>
      <c r="C24" s="15" t="n">
        <v>0.5</v>
      </c>
      <c r="D24" s="6" t="s">
        <v>25</v>
      </c>
      <c r="E24" s="6" t="s">
        <v>59</v>
      </c>
    </row>
    <row r="25" customFormat="false" ht="15" hidden="false" customHeight="false" outlineLevel="0" collapsed="false">
      <c r="B25" s="6" t="s">
        <v>60</v>
      </c>
      <c r="C25" s="15" t="n">
        <v>0.03</v>
      </c>
      <c r="D25" s="6" t="s">
        <v>25</v>
      </c>
      <c r="E25" s="6" t="s">
        <v>61</v>
      </c>
    </row>
    <row r="26" customFormat="false" ht="15" hidden="false" customHeight="false" outlineLevel="0" collapsed="false">
      <c r="B26" s="6" t="s">
        <v>62</v>
      </c>
      <c r="C26" s="17" t="n">
        <v>4</v>
      </c>
      <c r="D26" s="6" t="s">
        <v>63</v>
      </c>
      <c r="E26" s="6" t="s">
        <v>64</v>
      </c>
    </row>
    <row r="27" customFormat="false" ht="15" hidden="false" customHeight="false" outlineLevel="0" collapsed="false">
      <c r="B27" s="6" t="s">
        <v>65</v>
      </c>
      <c r="C27" s="16" t="n">
        <v>15</v>
      </c>
      <c r="D27" s="6" t="s">
        <v>28</v>
      </c>
      <c r="E27" s="6" t="s">
        <v>66</v>
      </c>
    </row>
    <row r="28" customFormat="false" ht="15" hidden="false" customHeight="false" outlineLevel="0" collapsed="false">
      <c r="B28" s="6" t="s">
        <v>67</v>
      </c>
      <c r="C28" s="15" t="n">
        <v>0.005</v>
      </c>
      <c r="D28" s="6" t="s">
        <v>25</v>
      </c>
      <c r="E28" s="6" t="s">
        <v>68</v>
      </c>
    </row>
    <row r="29" customFormat="false" ht="15" hidden="false" customHeight="false" outlineLevel="0" collapsed="false">
      <c r="B29" s="6" t="s">
        <v>69</v>
      </c>
      <c r="C29" s="14" t="n">
        <v>30000000</v>
      </c>
      <c r="D29" s="6" t="s">
        <v>22</v>
      </c>
      <c r="E29" s="6" t="s">
        <v>70</v>
      </c>
    </row>
    <row r="30" customFormat="false" ht="15" hidden="false" customHeight="false" outlineLevel="0" collapsed="false">
      <c r="B30" s="6" t="s">
        <v>71</v>
      </c>
      <c r="C30" s="15" t="n">
        <v>0.015</v>
      </c>
      <c r="D30" s="6" t="s">
        <v>25</v>
      </c>
      <c r="E30" s="6" t="s">
        <v>72</v>
      </c>
    </row>
    <row r="31" customFormat="false" ht="15" hidden="false" customHeight="false" outlineLevel="0" collapsed="false">
      <c r="B31" s="6" t="s">
        <v>73</v>
      </c>
      <c r="C31" s="15" t="n">
        <v>0.01</v>
      </c>
      <c r="D31" s="6" t="s">
        <v>25</v>
      </c>
      <c r="E31" s="6" t="s">
        <v>74</v>
      </c>
    </row>
    <row r="32" customFormat="false" ht="15" hidden="false" customHeight="false" outlineLevel="0" collapsed="false">
      <c r="B32" s="6" t="s">
        <v>75</v>
      </c>
      <c r="C32" s="15" t="n">
        <v>0.0025</v>
      </c>
      <c r="D32" s="6" t="s">
        <v>25</v>
      </c>
      <c r="E32" s="6" t="s">
        <v>76</v>
      </c>
    </row>
    <row r="33" customFormat="false" ht="15" hidden="false" customHeight="false" outlineLevel="0" collapsed="false">
      <c r="B33" s="6" t="s">
        <v>77</v>
      </c>
      <c r="C33" s="15" t="n">
        <v>0.07</v>
      </c>
      <c r="D33" s="6" t="s">
        <v>25</v>
      </c>
      <c r="E33" s="6" t="s">
        <v>78</v>
      </c>
    </row>
    <row r="34" customFormat="false" ht="15" hidden="false" customHeight="false" outlineLevel="0" collapsed="false">
      <c r="B34" s="6" t="s">
        <v>79</v>
      </c>
      <c r="C34" s="15" t="n">
        <v>0.15</v>
      </c>
      <c r="D34" s="6" t="s">
        <v>25</v>
      </c>
      <c r="E34" s="6" t="s">
        <v>80</v>
      </c>
    </row>
    <row r="35" customFormat="false" ht="15" hidden="false" customHeight="false" outlineLevel="0" collapsed="false">
      <c r="B35" s="6" t="s">
        <v>81</v>
      </c>
      <c r="C35" s="15" t="n">
        <v>1</v>
      </c>
      <c r="D35" s="6" t="s">
        <v>25</v>
      </c>
      <c r="E35" s="6" t="s">
        <v>82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18" t="s">
        <v>83</v>
      </c>
    </row>
    <row r="3" customFormat="false" ht="3.75" hidden="false" customHeight="true" outlineLevel="0" collapsed="false">
      <c r="B3" s="19"/>
    </row>
    <row r="5" customFormat="false" ht="19.5" hidden="false" customHeight="true" outlineLevel="0" collapsed="false">
      <c r="B5" s="20" t="s">
        <v>84</v>
      </c>
    </row>
    <row r="6" customFormat="false" ht="48" hidden="false" customHeight="true" outlineLevel="0" collapsed="false">
      <c r="B6" s="21" t="s">
        <v>85</v>
      </c>
    </row>
    <row r="8" customFormat="false" ht="19.5" hidden="false" customHeight="true" outlineLevel="0" collapsed="false">
      <c r="B8" s="20" t="s">
        <v>86</v>
      </c>
    </row>
    <row r="9" customFormat="false" ht="61.5" hidden="false" customHeight="true" outlineLevel="0" collapsed="false">
      <c r="B9" s="21" t="s">
        <v>87</v>
      </c>
    </row>
    <row r="11" customFormat="false" ht="19.5" hidden="false" customHeight="true" outlineLevel="0" collapsed="false">
      <c r="B11" s="20" t="s">
        <v>88</v>
      </c>
    </row>
    <row r="12" customFormat="false" ht="75.75" hidden="false" customHeight="true" outlineLevel="0" collapsed="false">
      <c r="B12" s="21" t="s">
        <v>89</v>
      </c>
    </row>
    <row r="14" customFormat="false" ht="19.5" hidden="false" customHeight="true" outlineLevel="0" collapsed="false">
      <c r="B14" s="20" t="s">
        <v>90</v>
      </c>
    </row>
    <row r="15" customFormat="false" ht="61.5" hidden="false" customHeight="true" outlineLevel="0" collapsed="false">
      <c r="B15" s="21" t="s">
        <v>91</v>
      </c>
    </row>
    <row r="17" customFormat="false" ht="19.5" hidden="false" customHeight="true" outlineLevel="0" collapsed="false">
      <c r="B17" s="20" t="s">
        <v>92</v>
      </c>
    </row>
    <row r="18" customFormat="false" ht="33.75" hidden="false" customHeight="true" outlineLevel="0" collapsed="false">
      <c r="B18" s="21" t="s">
        <v>93</v>
      </c>
    </row>
    <row r="20" customFormat="false" ht="19.5" hidden="false" customHeight="true" outlineLevel="0" collapsed="false">
      <c r="B20" s="20" t="s">
        <v>94</v>
      </c>
    </row>
    <row r="21" customFormat="false" ht="33.75" hidden="false" customHeight="true" outlineLevel="0" collapsed="false">
      <c r="B21" s="21" t="s">
        <v>95</v>
      </c>
    </row>
    <row r="23" customFormat="false" ht="21.75" hidden="false" customHeight="true" outlineLevel="0" collapsed="false">
      <c r="B23" s="22" t="s">
        <v>96</v>
      </c>
    </row>
    <row r="25" customFormat="false" ht="18" hidden="false" customHeight="true" outlineLevel="0" collapsed="false">
      <c r="B25" s="23" t="s">
        <v>97</v>
      </c>
    </row>
    <row r="26" customFormat="false" ht="201.75" hidden="false" customHeight="true" outlineLevel="0" collapsed="false">
      <c r="B26" s="24" t="s">
        <v>98</v>
      </c>
    </row>
    <row r="28" customFormat="false" ht="18" hidden="false" customHeight="true" outlineLevel="0" collapsed="false">
      <c r="B28" s="25" t="s">
        <v>99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B2:I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4"/>
  </cols>
  <sheetData>
    <row r="2" customFormat="false" ht="22.05" hidden="false" customHeight="false" outlineLevel="0" collapsed="false">
      <c r="B2" s="26" t="s">
        <v>100</v>
      </c>
    </row>
    <row r="3" customFormat="false" ht="15" hidden="false" customHeight="false" outlineLevel="0" collapsed="false">
      <c r="B3" s="5" t="s">
        <v>101</v>
      </c>
      <c r="C3" s="27" t="n">
        <v>0</v>
      </c>
      <c r="D3" s="27" t="n">
        <v>1</v>
      </c>
      <c r="E3" s="27" t="n">
        <v>2</v>
      </c>
      <c r="F3" s="27" t="n">
        <v>3</v>
      </c>
      <c r="G3" s="27" t="n">
        <v>4</v>
      </c>
      <c r="H3" s="27" t="n">
        <v>5</v>
      </c>
      <c r="I3" s="27" t="n">
        <v>6</v>
      </c>
    </row>
    <row r="4" customFormat="false" ht="15" hidden="false" customHeight="false" outlineLevel="0" collapsed="false">
      <c r="B4" s="28" t="s">
        <v>102</v>
      </c>
      <c r="C4" s="29"/>
      <c r="D4" s="29"/>
      <c r="E4" s="29"/>
      <c r="F4" s="29"/>
      <c r="G4" s="29"/>
      <c r="H4" s="29"/>
      <c r="I4" s="29"/>
    </row>
    <row r="5" customFormat="false" ht="15" hidden="false" customHeight="false" outlineLevel="0" collapsed="false">
      <c r="B5" s="6" t="s">
        <v>103</v>
      </c>
      <c r="C5" s="30" t="n">
        <f aca="false">Fund_Size*GP_Commit_Pct</f>
        <v>6000000</v>
      </c>
    </row>
    <row r="6" customFormat="false" ht="15" hidden="false" customHeight="false" outlineLevel="0" collapsed="false">
      <c r="B6" s="6" t="s">
        <v>104</v>
      </c>
      <c r="C6" s="30" t="n">
        <f aca="false">Fund_Size*(1-GP_Commit_Pct)</f>
        <v>294000000</v>
      </c>
    </row>
    <row r="7" customFormat="false" ht="15" hidden="false" customHeight="false" outlineLevel="0" collapsed="false">
      <c r="B7" s="6" t="s">
        <v>105</v>
      </c>
      <c r="C7" s="30" t="n">
        <f aca="false">Fund_Size</f>
        <v>300000000</v>
      </c>
    </row>
    <row r="8" customFormat="false" ht="15" hidden="false" customHeight="false" outlineLevel="0" collapsed="false">
      <c r="B8" s="31" t="s">
        <v>106</v>
      </c>
      <c r="C8" s="32" t="n">
        <f aca="false">Fund_Size*Call_Pct_Y0</f>
        <v>75000000</v>
      </c>
      <c r="D8" s="32" t="n">
        <f aca="false">Fund_Size*Call_Pct_Y1</f>
        <v>90000000</v>
      </c>
      <c r="E8" s="32" t="n">
        <f aca="false">Fund_Size*Call_Pct_Y2</f>
        <v>75000000</v>
      </c>
      <c r="F8" s="32" t="n">
        <f aca="false">Fund_Size*Call_Pct_Y3</f>
        <v>30000000</v>
      </c>
      <c r="G8" s="32" t="n">
        <f aca="false">0</f>
        <v>0</v>
      </c>
      <c r="H8" s="32" t="n">
        <f aca="false">0</f>
        <v>0</v>
      </c>
      <c r="I8" s="32" t="n">
        <f aca="false">0</f>
        <v>0</v>
      </c>
    </row>
    <row r="9" customFormat="false" ht="15" hidden="false" customHeight="false" outlineLevel="0" collapsed="false">
      <c r="B9" s="6" t="s">
        <v>107</v>
      </c>
      <c r="C9" s="30" t="n">
        <f aca="false">Fund_Size</f>
        <v>300000000</v>
      </c>
      <c r="D9" s="30" t="n">
        <f aca="false">Fund_Size-C13-C14</f>
        <v>225000000</v>
      </c>
      <c r="E9" s="30" t="n">
        <f aca="false">Fund_Size-D13-D14</f>
        <v>135000000</v>
      </c>
      <c r="F9" s="30" t="n">
        <f aca="false">Fund_Size-E13-E14</f>
        <v>60000000</v>
      </c>
      <c r="G9" s="30" t="n">
        <f aca="false">Fund_Size-F13-F14</f>
        <v>30000000</v>
      </c>
      <c r="H9" s="30" t="n">
        <f aca="false">Fund_Size-G13-G14</f>
        <v>30000000</v>
      </c>
      <c r="I9" s="30" t="n">
        <f aca="false">Fund_Size-H13-H14</f>
        <v>30000000</v>
      </c>
    </row>
    <row r="10" customFormat="false" ht="15" hidden="false" customHeight="false" outlineLevel="0" collapsed="false">
      <c r="B10" s="33" t="s">
        <v>108</v>
      </c>
      <c r="C10" s="34" t="n">
        <f aca="false">MIN(C8,C9)</f>
        <v>75000000</v>
      </c>
      <c r="D10" s="34" t="n">
        <f aca="false">MIN(D8,D9)</f>
        <v>90000000</v>
      </c>
      <c r="E10" s="34" t="n">
        <f aca="false">MIN(E8,E9)</f>
        <v>75000000</v>
      </c>
      <c r="F10" s="34" t="n">
        <f aca="false">MIN(F8,F9)</f>
        <v>30000000</v>
      </c>
      <c r="G10" s="34" t="n">
        <f aca="false">MIN(G8,G9)</f>
        <v>0</v>
      </c>
      <c r="H10" s="34" t="n">
        <f aca="false">MIN(H8,H9)</f>
        <v>0</v>
      </c>
      <c r="I10" s="34" t="n">
        <f aca="false">MIN(I8,I9)</f>
        <v>0</v>
      </c>
    </row>
    <row r="11" customFormat="false" ht="15" hidden="false" customHeight="false" outlineLevel="0" collapsed="false">
      <c r="B11" s="35" t="s">
        <v>109</v>
      </c>
      <c r="C11" s="30" t="n">
        <f aca="false">C10*(1-GP_Commit_Pct)</f>
        <v>73500000</v>
      </c>
      <c r="D11" s="30" t="n">
        <f aca="false">D10*(1-GP_Commit_Pct)</f>
        <v>88200000</v>
      </c>
      <c r="E11" s="30" t="n">
        <f aca="false">E10*(1-GP_Commit_Pct)</f>
        <v>73500000</v>
      </c>
      <c r="F11" s="30" t="n">
        <f aca="false">F10*(1-GP_Commit_Pct)</f>
        <v>29400000</v>
      </c>
      <c r="G11" s="30" t="n">
        <f aca="false">G10*(1-GP_Commit_Pct)</f>
        <v>0</v>
      </c>
      <c r="H11" s="30" t="n">
        <f aca="false">H10*(1-GP_Commit_Pct)</f>
        <v>0</v>
      </c>
      <c r="I11" s="30" t="n">
        <f aca="false">I10*(1-GP_Commit_Pct)</f>
        <v>0</v>
      </c>
    </row>
    <row r="12" customFormat="false" ht="15" hidden="false" customHeight="false" outlineLevel="0" collapsed="false">
      <c r="B12" s="35" t="s">
        <v>110</v>
      </c>
      <c r="C12" s="30" t="n">
        <f aca="false">C10*GP_Commit_Pct</f>
        <v>1500000</v>
      </c>
      <c r="D12" s="30" t="n">
        <f aca="false">D10*GP_Commit_Pct</f>
        <v>1800000</v>
      </c>
      <c r="E12" s="30" t="n">
        <f aca="false">E10*GP_Commit_Pct</f>
        <v>1500000</v>
      </c>
      <c r="F12" s="30" t="n">
        <f aca="false">F10*GP_Commit_Pct</f>
        <v>600000</v>
      </c>
      <c r="G12" s="30" t="n">
        <f aca="false">G10*GP_Commit_Pct</f>
        <v>0</v>
      </c>
      <c r="H12" s="30" t="n">
        <f aca="false">H10*GP_Commit_Pct</f>
        <v>0</v>
      </c>
      <c r="I12" s="30" t="n">
        <f aca="false">I10*GP_Commit_Pct</f>
        <v>0</v>
      </c>
    </row>
    <row r="13" customFormat="false" ht="15" hidden="false" customHeight="false" outlineLevel="0" collapsed="false">
      <c r="B13" s="31" t="s">
        <v>111</v>
      </c>
      <c r="C13" s="32" t="n">
        <f aca="false">C11</f>
        <v>73500000</v>
      </c>
      <c r="D13" s="32" t="n">
        <f aca="false">C13+D11</f>
        <v>161700000</v>
      </c>
      <c r="E13" s="32" t="n">
        <f aca="false">D13+E11</f>
        <v>235200000</v>
      </c>
      <c r="F13" s="32" t="n">
        <f aca="false">E13+F11</f>
        <v>264600000</v>
      </c>
      <c r="G13" s="32" t="n">
        <f aca="false">F13+G11</f>
        <v>264600000</v>
      </c>
      <c r="H13" s="32" t="n">
        <f aca="false">G13+H11</f>
        <v>264600000</v>
      </c>
      <c r="I13" s="32" t="n">
        <f aca="false">H13+I11</f>
        <v>264600000</v>
      </c>
    </row>
    <row r="14" customFormat="false" ht="15" hidden="false" customHeight="false" outlineLevel="0" collapsed="false">
      <c r="B14" s="6" t="s">
        <v>112</v>
      </c>
      <c r="C14" s="30" t="n">
        <f aca="false">C12</f>
        <v>1500000</v>
      </c>
      <c r="D14" s="30" t="n">
        <f aca="false">C14+D12</f>
        <v>3300000</v>
      </c>
      <c r="E14" s="30" t="n">
        <f aca="false">D14+E12</f>
        <v>4800000</v>
      </c>
      <c r="F14" s="30" t="n">
        <f aca="false">E14+F12</f>
        <v>5400000</v>
      </c>
      <c r="G14" s="30" t="n">
        <f aca="false">F14+G12</f>
        <v>5400000</v>
      </c>
      <c r="H14" s="30" t="n">
        <f aca="false">G14+H12</f>
        <v>5400000</v>
      </c>
      <c r="I14" s="30" t="n">
        <f aca="false">H14+I12</f>
        <v>5400000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B2:I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4"/>
  </cols>
  <sheetData>
    <row r="2" customFormat="false" ht="22.05" hidden="false" customHeight="false" outlineLevel="0" collapsed="false">
      <c r="B2" s="26" t="s">
        <v>113</v>
      </c>
    </row>
    <row r="3" customFormat="false" ht="15" hidden="false" customHeight="false" outlineLevel="0" collapsed="false">
      <c r="B3" s="5" t="s">
        <v>101</v>
      </c>
      <c r="C3" s="36" t="s">
        <v>114</v>
      </c>
      <c r="D3" s="36" t="s">
        <v>115</v>
      </c>
      <c r="E3" s="36" t="s">
        <v>116</v>
      </c>
      <c r="F3" s="36" t="s">
        <v>117</v>
      </c>
      <c r="G3" s="36" t="s">
        <v>118</v>
      </c>
      <c r="H3" s="36" t="s">
        <v>119</v>
      </c>
      <c r="I3" s="36" t="s">
        <v>120</v>
      </c>
    </row>
    <row r="4" customFormat="false" ht="15" hidden="false" customHeight="false" outlineLevel="0" collapsed="false">
      <c r="B4" s="28" t="s">
        <v>121</v>
      </c>
      <c r="C4" s="29"/>
      <c r="D4" s="29"/>
      <c r="E4" s="29"/>
      <c r="F4" s="29"/>
      <c r="G4" s="29"/>
      <c r="H4" s="29"/>
      <c r="I4" s="29"/>
    </row>
    <row r="5" customFormat="false" ht="15" hidden="false" customHeight="false" outlineLevel="0" collapsed="false">
      <c r="B5" s="6" t="s">
        <v>122</v>
      </c>
      <c r="C5" s="30" t="n">
        <f aca="false">0</f>
        <v>0</v>
      </c>
      <c r="D5" s="30" t="n">
        <f aca="false">C11</f>
        <v>75000000</v>
      </c>
      <c r="E5" s="30" t="n">
        <f aca="false">D11</f>
        <v>162750000</v>
      </c>
      <c r="F5" s="30" t="n">
        <f aca="false">E11</f>
        <v>232867500</v>
      </c>
      <c r="G5" s="30" t="n">
        <f aca="false">F11</f>
        <v>255881475</v>
      </c>
      <c r="H5" s="30" t="n">
        <f aca="false">G11</f>
        <v>162911205.75</v>
      </c>
      <c r="I5" s="30" t="n">
        <f aca="false">H11</f>
        <v>72730044.5775</v>
      </c>
    </row>
    <row r="6" customFormat="false" ht="15" hidden="false" customHeight="false" outlineLevel="0" collapsed="false">
      <c r="B6" s="6" t="s">
        <v>123</v>
      </c>
      <c r="C6" s="30" t="n">
        <f aca="false">Fund_Size*Deploy_Pct_Y0</f>
        <v>75000000</v>
      </c>
      <c r="D6" s="30" t="n">
        <f aca="false">Fund_Size*Deploy_Pct_Y1</f>
        <v>90000000</v>
      </c>
      <c r="E6" s="30" t="n">
        <f aca="false">Fund_Size*Deploy_Pct_Y2</f>
        <v>75000000</v>
      </c>
      <c r="F6" s="30" t="n">
        <f aca="false">Fund_Size*Deploy_Pct_Y3</f>
        <v>30000000</v>
      </c>
      <c r="G6" s="30" t="n">
        <f aca="false">0</f>
        <v>0</v>
      </c>
      <c r="H6" s="30" t="n">
        <f aca="false">0</f>
        <v>0</v>
      </c>
      <c r="I6" s="30" t="n">
        <f aca="false">0</f>
        <v>0</v>
      </c>
    </row>
    <row r="7" customFormat="false" ht="15" hidden="false" customHeight="false" outlineLevel="0" collapsed="false">
      <c r="B7" s="35" t="s">
        <v>124</v>
      </c>
      <c r="C7" s="30" t="n">
        <f aca="false">C5*PIK_Rate</f>
        <v>0</v>
      </c>
      <c r="D7" s="30" t="n">
        <f aca="false">D5*PIK_Rate</f>
        <v>2625000</v>
      </c>
      <c r="E7" s="30" t="n">
        <f aca="false">E5*PIK_Rate</f>
        <v>5696250</v>
      </c>
      <c r="F7" s="30" t="n">
        <f aca="false">F5*PIK_Rate</f>
        <v>8150362.5</v>
      </c>
      <c r="G7" s="30" t="n">
        <f aca="false">G5*PIK_Rate</f>
        <v>8955851.625</v>
      </c>
      <c r="H7" s="30" t="n">
        <f aca="false">H5*PIK_Rate</f>
        <v>5701892.20125</v>
      </c>
      <c r="I7" s="30" t="n">
        <f aca="false">I5*PIK_Rate</f>
        <v>2545551.5602125</v>
      </c>
    </row>
    <row r="8" customFormat="false" ht="15" hidden="false" customHeight="false" outlineLevel="0" collapsed="false">
      <c r="B8" s="6" t="s">
        <v>125</v>
      </c>
      <c r="C8" s="30" t="n">
        <f aca="false">0</f>
        <v>0</v>
      </c>
      <c r="D8" s="30" t="n">
        <f aca="false">0</f>
        <v>0</v>
      </c>
      <c r="E8" s="30" t="n">
        <f aca="false">0</f>
        <v>0</v>
      </c>
      <c r="F8" s="30" t="n">
        <f aca="false">0</f>
        <v>0</v>
      </c>
      <c r="G8" s="30" t="n">
        <f aca="false">-MIN($F$11/3,G5)</f>
        <v>-85293825</v>
      </c>
      <c r="H8" s="30" t="n">
        <f aca="false">-MIN($F$11/3,H5)</f>
        <v>-85293825</v>
      </c>
      <c r="I8" s="30" t="n">
        <f aca="false">-MIN($F$11/3,I5)</f>
        <v>-72730044.5775</v>
      </c>
    </row>
    <row r="9" customFormat="false" ht="15" hidden="false" customHeight="false" outlineLevel="0" collapsed="false">
      <c r="B9" s="35" t="s">
        <v>126</v>
      </c>
      <c r="C9" s="30" t="n">
        <f aca="false">-C5*Prepay_Pct</f>
        <v>-0</v>
      </c>
      <c r="D9" s="30" t="n">
        <f aca="false">-D5*Prepay_Pct</f>
        <v>-3750000</v>
      </c>
      <c r="E9" s="30" t="n">
        <f aca="false">-E5*Prepay_Pct</f>
        <v>-8137500</v>
      </c>
      <c r="F9" s="30" t="n">
        <f aca="false">-F5*Prepay_Pct</f>
        <v>-11643375</v>
      </c>
      <c r="G9" s="30" t="n">
        <f aca="false">-G5*Prepay_Pct</f>
        <v>-12794073.75</v>
      </c>
      <c r="H9" s="30" t="n">
        <f aca="false">-H5*Prepay_Pct</f>
        <v>-8145560.2875</v>
      </c>
      <c r="I9" s="30" t="n">
        <f aca="false">-I5*Prepay_Pct</f>
        <v>-3636502.228875</v>
      </c>
    </row>
    <row r="10" customFormat="false" ht="15" hidden="false" customHeight="false" outlineLevel="0" collapsed="false">
      <c r="B10" s="6" t="s">
        <v>127</v>
      </c>
      <c r="C10" s="30" t="n">
        <f aca="false">-Credit_Losses!C8</f>
        <v>-0</v>
      </c>
      <c r="D10" s="30" t="n">
        <f aca="false">-Credit_Losses!D8</f>
        <v>-1125000</v>
      </c>
      <c r="E10" s="30" t="n">
        <f aca="false">-Credit_Losses!E8</f>
        <v>-2441250</v>
      </c>
      <c r="F10" s="30" t="n">
        <f aca="false">-Credit_Losses!F8</f>
        <v>-3493012.5</v>
      </c>
      <c r="G10" s="30" t="n">
        <f aca="false">-Credit_Losses!G8</f>
        <v>-3838222.125</v>
      </c>
      <c r="H10" s="30" t="n">
        <f aca="false">-Credit_Losses!H8</f>
        <v>-2443668.08625</v>
      </c>
      <c r="I10" s="30" t="n">
        <f aca="false">-Credit_Losses!I8</f>
        <v>-1090950.6686625</v>
      </c>
    </row>
    <row r="11" customFormat="false" ht="15" hidden="false" customHeight="false" outlineLevel="0" collapsed="false">
      <c r="B11" s="33" t="s">
        <v>128</v>
      </c>
      <c r="C11" s="34" t="n">
        <f aca="false">C5+C6+C7+C8+C9+C10</f>
        <v>75000000</v>
      </c>
      <c r="D11" s="34" t="n">
        <f aca="false">D5+D6+D7+D8+D9+D10</f>
        <v>162750000</v>
      </c>
      <c r="E11" s="34" t="n">
        <f aca="false">E5+E6+E7+E8+E9+E10</f>
        <v>232867500</v>
      </c>
      <c r="F11" s="34" t="n">
        <f aca="false">F5+F6+F7+F8+F9+F10</f>
        <v>255881475</v>
      </c>
      <c r="G11" s="34" t="n">
        <f aca="false">G5+G6+G7+G8+G9+G10</f>
        <v>162911205.75</v>
      </c>
      <c r="H11" s="34" t="n">
        <f aca="false">H5+H6+H7+H8+H9+H10</f>
        <v>72730044.5775</v>
      </c>
      <c r="I11" s="34" t="n">
        <f aca="false">MAX(0,I5+I6+I7+I8+I9+I10)</f>
        <v>0</v>
      </c>
    </row>
    <row r="12" customFormat="false" ht="15" hidden="false" customHeight="false" outlineLevel="0" collapsed="false">
      <c r="B12" s="31" t="s">
        <v>129</v>
      </c>
      <c r="C12" s="32" t="n">
        <f aca="false">Fund_Size*(Deploy_Pct_Y0+Deploy_Pct_Y1+Deploy_Pct_Y2+Deploy_Pct_Y3)/Num_Portfolio_Cos</f>
        <v>18000000</v>
      </c>
      <c r="D12" s="29"/>
      <c r="E12" s="29"/>
      <c r="F12" s="29"/>
      <c r="G12" s="29"/>
      <c r="H12" s="29"/>
      <c r="I12" s="29"/>
    </row>
    <row r="13" customFormat="false" ht="15" hidden="false" customHeight="false" outlineLevel="0" collapsed="false">
      <c r="B13" s="6" t="s">
        <v>130</v>
      </c>
      <c r="C13" s="37" t="n">
        <v>0</v>
      </c>
      <c r="D13" s="37" t="n">
        <v>0</v>
      </c>
      <c r="E13" s="37" t="n">
        <v>0</v>
      </c>
      <c r="F13" s="37" t="n">
        <v>0</v>
      </c>
      <c r="G13" s="37" t="n">
        <v>3</v>
      </c>
      <c r="H13" s="37" t="n">
        <v>3</v>
      </c>
      <c r="I13" s="37" t="n">
        <v>9</v>
      </c>
    </row>
    <row r="14" customFormat="false" ht="15" hidden="false" customHeight="false" outlineLevel="0" collapsed="false">
      <c r="B14" s="35" t="s">
        <v>131</v>
      </c>
      <c r="C14" s="30" t="n">
        <f aca="false">Warrant_Coverage_Pct*$C$12*EV_Debt_Multiple*C13</f>
        <v>0</v>
      </c>
      <c r="D14" s="30" t="n">
        <f aca="false">Warrant_Coverage_Pct*$C$12*EV_Debt_Multiple*D13</f>
        <v>0</v>
      </c>
      <c r="E14" s="30" t="n">
        <f aca="false">Warrant_Coverage_Pct*$C$12*EV_Debt_Multiple*E13</f>
        <v>0</v>
      </c>
      <c r="F14" s="30" t="n">
        <f aca="false">Warrant_Coverage_Pct*$C$12*EV_Debt_Multiple*F13</f>
        <v>0</v>
      </c>
      <c r="G14" s="30" t="n">
        <f aca="false">Warrant_Coverage_Pct*$C$12*EV_Debt_Multiple*G13</f>
        <v>6480000</v>
      </c>
      <c r="H14" s="30" t="n">
        <f aca="false">Warrant_Coverage_Pct*$C$12*EV_Debt_Multiple*H13</f>
        <v>6480000</v>
      </c>
      <c r="I14" s="30" t="n">
        <f aca="false">Warrant_Coverage_Pct*$C$12*EV_Debt_Multiple*I13</f>
        <v>19440000</v>
      </c>
    </row>
    <row r="15" customFormat="false" ht="15" hidden="false" customHeight="false" outlineLevel="0" collapsed="false">
      <c r="B15" s="6" t="s">
        <v>132</v>
      </c>
      <c r="C15" s="30" t="n">
        <f aca="false">0</f>
        <v>0</v>
      </c>
      <c r="D15" s="30" t="n">
        <f aca="false">0</f>
        <v>0</v>
      </c>
      <c r="E15" s="30" t="n">
        <f aca="false">0</f>
        <v>0</v>
      </c>
      <c r="F15" s="30" t="n">
        <f aca="false">0</f>
        <v>0</v>
      </c>
      <c r="G15" s="30" t="n">
        <f aca="false">G13/Num_Portfolio_Cos*(G5-$C$6)</f>
        <v>36176295</v>
      </c>
      <c r="H15" s="30" t="n">
        <f aca="false">H13/Num_Portfolio_Cos*(H5-$C$6)</f>
        <v>17582241.15</v>
      </c>
      <c r="I15" s="30" t="n">
        <f aca="false">I13/Num_Portfolio_Cos*(I5-$C$6)</f>
        <v>-1361973.25350001</v>
      </c>
    </row>
    <row r="16" customFormat="false" ht="15" hidden="false" customHeight="false" outlineLevel="0" collapsed="false">
      <c r="B16" s="6" t="s">
        <v>133</v>
      </c>
      <c r="C16" s="30" t="n">
        <f aca="false">C6</f>
        <v>75000000</v>
      </c>
      <c r="D16" s="30" t="n">
        <f aca="false">C16+D6</f>
        <v>165000000</v>
      </c>
      <c r="E16" s="30" t="n">
        <f aca="false">D16+E6</f>
        <v>240000000</v>
      </c>
      <c r="F16" s="30" t="n">
        <f aca="false">E16+F6</f>
        <v>270000000</v>
      </c>
      <c r="G16" s="30" t="n">
        <f aca="false">F16+G8</f>
        <v>184706175</v>
      </c>
      <c r="H16" s="30" t="n">
        <f aca="false">G16+H8</f>
        <v>99412350</v>
      </c>
      <c r="I16" s="30" t="n">
        <f aca="false">H16+I8</f>
        <v>26682305.4225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B2:I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4"/>
  </cols>
  <sheetData>
    <row r="2" customFormat="false" ht="22.05" hidden="false" customHeight="false" outlineLevel="0" collapsed="false">
      <c r="B2" s="26" t="s">
        <v>134</v>
      </c>
    </row>
    <row r="3" customFormat="false" ht="15" hidden="false" customHeight="false" outlineLevel="0" collapsed="false">
      <c r="B3" s="5" t="s">
        <v>101</v>
      </c>
      <c r="C3" s="36" t="s">
        <v>114</v>
      </c>
      <c r="D3" s="36" t="s">
        <v>115</v>
      </c>
      <c r="E3" s="36" t="s">
        <v>116</v>
      </c>
      <c r="F3" s="36" t="s">
        <v>117</v>
      </c>
      <c r="G3" s="36" t="s">
        <v>118</v>
      </c>
      <c r="H3" s="36" t="s">
        <v>119</v>
      </c>
      <c r="I3" s="36" t="s">
        <v>120</v>
      </c>
    </row>
    <row r="4" customFormat="false" ht="15" hidden="false" customHeight="false" outlineLevel="0" collapsed="false">
      <c r="B4" s="28" t="s">
        <v>135</v>
      </c>
      <c r="C4" s="29"/>
      <c r="D4" s="29"/>
      <c r="E4" s="29"/>
      <c r="F4" s="29"/>
      <c r="G4" s="29"/>
      <c r="H4" s="29"/>
      <c r="I4" s="29"/>
    </row>
    <row r="5" customFormat="false" ht="15" hidden="false" customHeight="false" outlineLevel="0" collapsed="false">
      <c r="B5" s="35" t="s">
        <v>136</v>
      </c>
      <c r="C5" s="30" t="n">
        <f aca="false">Loan_Portfolio!C5</f>
        <v>0</v>
      </c>
      <c r="D5" s="30" t="n">
        <f aca="false">Loan_Portfolio!D5</f>
        <v>75000000</v>
      </c>
      <c r="E5" s="30" t="n">
        <f aca="false">Loan_Portfolio!E5</f>
        <v>162750000</v>
      </c>
      <c r="F5" s="30" t="n">
        <f aca="false">Loan_Portfolio!F5</f>
        <v>232867500</v>
      </c>
      <c r="G5" s="30" t="n">
        <f aca="false">Loan_Portfolio!G5</f>
        <v>255881475</v>
      </c>
      <c r="H5" s="30" t="n">
        <f aca="false">Loan_Portfolio!H5</f>
        <v>162911205.75</v>
      </c>
      <c r="I5" s="30" t="n">
        <f aca="false">Loan_Portfolio!I5</f>
        <v>72730044.5775</v>
      </c>
    </row>
    <row r="6" customFormat="false" ht="15" hidden="false" customHeight="false" outlineLevel="0" collapsed="false">
      <c r="B6" s="35" t="s">
        <v>137</v>
      </c>
      <c r="C6" s="30" t="n">
        <f aca="false">C5*Default_Rate</f>
        <v>0</v>
      </c>
      <c r="D6" s="30" t="n">
        <f aca="false">D5*Default_Rate</f>
        <v>2250000</v>
      </c>
      <c r="E6" s="30" t="n">
        <f aca="false">E5*Default_Rate</f>
        <v>4882500</v>
      </c>
      <c r="F6" s="30" t="n">
        <f aca="false">F5*Default_Rate</f>
        <v>6986025</v>
      </c>
      <c r="G6" s="30" t="n">
        <f aca="false">G5*Default_Rate</f>
        <v>7676444.25</v>
      </c>
      <c r="H6" s="30" t="n">
        <f aca="false">H5*Default_Rate</f>
        <v>4887336.1725</v>
      </c>
      <c r="I6" s="30" t="n">
        <f aca="false">I5*Default_Rate</f>
        <v>2181901.337325</v>
      </c>
    </row>
    <row r="7" customFormat="false" ht="15" hidden="false" customHeight="false" outlineLevel="0" collapsed="false">
      <c r="B7" s="35" t="s">
        <v>138</v>
      </c>
      <c r="C7" s="30" t="n">
        <f aca="false">C6*Recovery_Rate</f>
        <v>0</v>
      </c>
      <c r="D7" s="30" t="n">
        <f aca="false">D6*Recovery_Rate</f>
        <v>1125000</v>
      </c>
      <c r="E7" s="30" t="n">
        <f aca="false">E6*Recovery_Rate</f>
        <v>2441250</v>
      </c>
      <c r="F7" s="30" t="n">
        <f aca="false">F6*Recovery_Rate</f>
        <v>3493012.5</v>
      </c>
      <c r="G7" s="30" t="n">
        <f aca="false">G6*Recovery_Rate</f>
        <v>3838222.125</v>
      </c>
      <c r="H7" s="30" t="n">
        <f aca="false">H6*Recovery_Rate</f>
        <v>2443668.08625</v>
      </c>
      <c r="I7" s="30" t="n">
        <f aca="false">I6*Recovery_Rate</f>
        <v>1090950.6686625</v>
      </c>
    </row>
    <row r="8" customFormat="false" ht="15" hidden="false" customHeight="false" outlineLevel="0" collapsed="false">
      <c r="B8" s="33" t="s">
        <v>139</v>
      </c>
      <c r="C8" s="34" t="n">
        <f aca="false">C6-C7</f>
        <v>0</v>
      </c>
      <c r="D8" s="34" t="n">
        <f aca="false">D6-D7</f>
        <v>1125000</v>
      </c>
      <c r="E8" s="34" t="n">
        <f aca="false">E6-E7</f>
        <v>2441250</v>
      </c>
      <c r="F8" s="34" t="n">
        <f aca="false">F6-F7</f>
        <v>3493012.5</v>
      </c>
      <c r="G8" s="34" t="n">
        <f aca="false">G6-G7</f>
        <v>3838222.125</v>
      </c>
      <c r="H8" s="34" t="n">
        <f aca="false">H6-H7</f>
        <v>2443668.08625</v>
      </c>
      <c r="I8" s="34" t="n">
        <f aca="false">I6-I7</f>
        <v>1090950.6686625</v>
      </c>
    </row>
    <row r="9" customFormat="false" ht="15" hidden="false" customHeight="false" outlineLevel="0" collapsed="false">
      <c r="B9" s="31" t="s">
        <v>140</v>
      </c>
      <c r="C9" s="32" t="n">
        <f aca="false">C8</f>
        <v>0</v>
      </c>
      <c r="D9" s="32" t="n">
        <f aca="false">C9+D8</f>
        <v>1125000</v>
      </c>
      <c r="E9" s="32" t="n">
        <f aca="false">D9+E8</f>
        <v>3566250</v>
      </c>
      <c r="F9" s="32" t="n">
        <f aca="false">E9+F8</f>
        <v>7059262.5</v>
      </c>
      <c r="G9" s="32" t="n">
        <f aca="false">F9+G8</f>
        <v>10897484.625</v>
      </c>
      <c r="H9" s="32" t="n">
        <f aca="false">G9+H8</f>
        <v>13341152.71125</v>
      </c>
      <c r="I9" s="32" t="n">
        <f aca="false">H9+I8</f>
        <v>14432103.3799125</v>
      </c>
    </row>
    <row r="10" customFormat="false" ht="15" hidden="false" customHeight="false" outlineLevel="0" collapsed="false">
      <c r="B10" s="6" t="s">
        <v>141</v>
      </c>
      <c r="C10" s="30" t="n">
        <f aca="false">SUM(Loan_Portfolio!$C$6:C6)</f>
        <v>75000000</v>
      </c>
      <c r="D10" s="30" t="n">
        <f aca="false">SUM(Loan_Portfolio!$C$6:D6)</f>
        <v>165000000</v>
      </c>
      <c r="E10" s="30" t="n">
        <f aca="false">SUM(Loan_Portfolio!$C$6:E6)</f>
        <v>240000000</v>
      </c>
      <c r="F10" s="30" t="n">
        <f aca="false">SUM(Loan_Portfolio!$C$6:F6)</f>
        <v>270000000</v>
      </c>
      <c r="G10" s="30" t="n">
        <f aca="false">SUM(Loan_Portfolio!$C$6:G6)</f>
        <v>270000000</v>
      </c>
      <c r="H10" s="30" t="n">
        <f aca="false">SUM(Loan_Portfolio!$C$6:H6)</f>
        <v>270000000</v>
      </c>
      <c r="I10" s="30" t="n">
        <f aca="false">SUM(Loan_Portfolio!$C$6:I6)</f>
        <v>270000000</v>
      </c>
    </row>
    <row r="11" customFormat="false" ht="15" hidden="false" customHeight="false" outlineLevel="0" collapsed="false">
      <c r="B11" s="35" t="s">
        <v>142</v>
      </c>
      <c r="C11" s="38" t="n">
        <f aca="false">IFERROR(C9/C10,0)</f>
        <v>0</v>
      </c>
      <c r="D11" s="38" t="n">
        <f aca="false">IFERROR(D9/D10,0)</f>
        <v>0.00681818181818182</v>
      </c>
      <c r="E11" s="38" t="n">
        <f aca="false">IFERROR(E9/E10,0)</f>
        <v>0.014859375</v>
      </c>
      <c r="F11" s="38" t="n">
        <f aca="false">IFERROR(F9/F10,0)</f>
        <v>0.0261454166666667</v>
      </c>
      <c r="G11" s="38" t="n">
        <f aca="false">IFERROR(G9/G10,0)</f>
        <v>0.0403610541666667</v>
      </c>
      <c r="H11" s="38" t="n">
        <f aca="false">IFERROR(H9/H10,0)</f>
        <v>0.0494116767083333</v>
      </c>
      <c r="I11" s="38" t="n">
        <f aca="false">IFERROR(I9/I10,0)</f>
        <v>0.0534522347404167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B2:I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4"/>
  </cols>
  <sheetData>
    <row r="2" customFormat="false" ht="22.05" hidden="false" customHeight="false" outlineLevel="0" collapsed="false">
      <c r="B2" s="26" t="s">
        <v>143</v>
      </c>
    </row>
    <row r="3" customFormat="false" ht="15" hidden="false" customHeight="false" outlineLevel="0" collapsed="false">
      <c r="B3" s="5" t="s">
        <v>101</v>
      </c>
      <c r="C3" s="36" t="s">
        <v>114</v>
      </c>
      <c r="D3" s="36" t="s">
        <v>115</v>
      </c>
      <c r="E3" s="36" t="s">
        <v>116</v>
      </c>
      <c r="F3" s="36" t="s">
        <v>117</v>
      </c>
      <c r="G3" s="36" t="s">
        <v>118</v>
      </c>
      <c r="H3" s="36" t="s">
        <v>119</v>
      </c>
      <c r="I3" s="36" t="s">
        <v>120</v>
      </c>
    </row>
    <row r="4" customFormat="false" ht="15" hidden="false" customHeight="false" outlineLevel="0" collapsed="false">
      <c r="B4" s="28" t="s">
        <v>144</v>
      </c>
      <c r="C4" s="29"/>
      <c r="D4" s="29"/>
      <c r="E4" s="29"/>
      <c r="F4" s="29"/>
      <c r="G4" s="29"/>
      <c r="H4" s="29"/>
      <c r="I4" s="29"/>
    </row>
    <row r="5" customFormat="false" ht="15" hidden="false" customHeight="false" outlineLevel="0" collapsed="false">
      <c r="B5" s="35" t="s">
        <v>145</v>
      </c>
      <c r="C5" s="30" t="n">
        <f aca="false">Loan_Portfolio!C5*Cash_Coupon_Rate</f>
        <v>0</v>
      </c>
      <c r="D5" s="30" t="n">
        <f aca="false">Loan_Portfolio!D5*Cash_Coupon_Rate</f>
        <v>8625000</v>
      </c>
      <c r="E5" s="30" t="n">
        <f aca="false">Loan_Portfolio!E5*Cash_Coupon_Rate</f>
        <v>18716250</v>
      </c>
      <c r="F5" s="30" t="n">
        <f aca="false">Loan_Portfolio!F5*Cash_Coupon_Rate</f>
        <v>26779762.5</v>
      </c>
      <c r="G5" s="30" t="n">
        <f aca="false">Loan_Portfolio!G5*Cash_Coupon_Rate</f>
        <v>29426369.625</v>
      </c>
      <c r="H5" s="30" t="n">
        <f aca="false">Loan_Portfolio!H5*Cash_Coupon_Rate</f>
        <v>18734788.66125</v>
      </c>
      <c r="I5" s="30" t="n">
        <f aca="false">Loan_Portfolio!I5*Cash_Coupon_Rate</f>
        <v>8363955.1264125</v>
      </c>
    </row>
    <row r="6" customFormat="false" ht="15" hidden="false" customHeight="false" outlineLevel="0" collapsed="false">
      <c r="B6" s="35" t="s">
        <v>146</v>
      </c>
      <c r="C6" s="30" t="n">
        <f aca="false">Loan_Portfolio!C7</f>
        <v>0</v>
      </c>
      <c r="D6" s="30" t="n">
        <f aca="false">Loan_Portfolio!D7</f>
        <v>2625000</v>
      </c>
      <c r="E6" s="30" t="n">
        <f aca="false">Loan_Portfolio!E7</f>
        <v>5696250</v>
      </c>
      <c r="F6" s="30" t="n">
        <f aca="false">Loan_Portfolio!F7</f>
        <v>8150362.5</v>
      </c>
      <c r="G6" s="30" t="n">
        <f aca="false">Loan_Portfolio!G7</f>
        <v>8955851.625</v>
      </c>
      <c r="H6" s="30" t="n">
        <f aca="false">Loan_Portfolio!H7</f>
        <v>5701892.20125</v>
      </c>
      <c r="I6" s="30" t="n">
        <f aca="false">Loan_Portfolio!I7</f>
        <v>2545551.5602125</v>
      </c>
    </row>
    <row r="7" customFormat="false" ht="15" hidden="false" customHeight="false" outlineLevel="0" collapsed="false">
      <c r="B7" s="35" t="s">
        <v>147</v>
      </c>
      <c r="C7" s="30" t="n">
        <f aca="false">Loan_Portfolio!C6*OID_Rate</f>
        <v>1500000</v>
      </c>
      <c r="D7" s="30" t="n">
        <f aca="false">Loan_Portfolio!D6*OID_Rate</f>
        <v>1800000</v>
      </c>
      <c r="E7" s="30" t="n">
        <f aca="false">Loan_Portfolio!E6*OID_Rate</f>
        <v>1500000</v>
      </c>
      <c r="F7" s="30" t="n">
        <f aca="false">Loan_Portfolio!F6*OID_Rate</f>
        <v>600000</v>
      </c>
      <c r="G7" s="30" t="n">
        <f aca="false">Loan_Portfolio!G6*OID_Rate</f>
        <v>0</v>
      </c>
      <c r="H7" s="30" t="n">
        <f aca="false">Loan_Portfolio!H6*OID_Rate</f>
        <v>0</v>
      </c>
      <c r="I7" s="30" t="n">
        <f aca="false">Loan_Portfolio!I6*OID_Rate</f>
        <v>0</v>
      </c>
    </row>
    <row r="8" customFormat="false" ht="15" hidden="false" customHeight="false" outlineLevel="0" collapsed="false">
      <c r="B8" s="35" t="s">
        <v>148</v>
      </c>
      <c r="C8" s="30" t="n">
        <f aca="false">ABS(Loan_Portfolio!C9)*Prepay_Fee_Rate</f>
        <v>0</v>
      </c>
      <c r="D8" s="30" t="n">
        <f aca="false">ABS(Loan_Portfolio!D9)*Prepay_Fee_Rate</f>
        <v>56250</v>
      </c>
      <c r="E8" s="30" t="n">
        <f aca="false">ABS(Loan_Portfolio!E9)*Prepay_Fee_Rate</f>
        <v>122062.5</v>
      </c>
      <c r="F8" s="30" t="n">
        <f aca="false">ABS(Loan_Portfolio!F9)*Prepay_Fee_Rate</f>
        <v>174650.625</v>
      </c>
      <c r="G8" s="30" t="n">
        <f aca="false">ABS(Loan_Portfolio!G9)*Prepay_Fee_Rate</f>
        <v>191911.10625</v>
      </c>
      <c r="H8" s="30" t="n">
        <f aca="false">ABS(Loan_Portfolio!H9)*Prepay_Fee_Rate</f>
        <v>122183.4043125</v>
      </c>
      <c r="I8" s="30" t="n">
        <f aca="false">ABS(Loan_Portfolio!I9)*Prepay_Fee_Rate</f>
        <v>54547.533433125</v>
      </c>
    </row>
    <row r="9" customFormat="false" ht="15" hidden="false" customHeight="false" outlineLevel="0" collapsed="false">
      <c r="B9" s="6" t="s">
        <v>149</v>
      </c>
      <c r="C9" s="30" t="n">
        <f aca="false">Unfunded_Commit_Base*Commitment_Fee_Rate</f>
        <v>150000</v>
      </c>
      <c r="D9" s="30" t="n">
        <f aca="false">Unfunded_Commit_Base*Commitment_Fee_Rate</f>
        <v>150000</v>
      </c>
      <c r="E9" s="30" t="n">
        <f aca="false">Unfunded_Commit_Base*Commitment_Fee_Rate</f>
        <v>150000</v>
      </c>
      <c r="F9" s="30" t="n">
        <f aca="false">0</f>
        <v>0</v>
      </c>
      <c r="G9" s="30" t="n">
        <f aca="false">0</f>
        <v>0</v>
      </c>
      <c r="H9" s="30" t="n">
        <f aca="false">0</f>
        <v>0</v>
      </c>
      <c r="I9" s="30" t="n">
        <f aca="false">0</f>
        <v>0</v>
      </c>
    </row>
    <row r="10" customFormat="false" ht="15" hidden="false" customHeight="false" outlineLevel="0" collapsed="false">
      <c r="B10" s="33" t="s">
        <v>150</v>
      </c>
      <c r="C10" s="34" t="n">
        <f aca="false">C5+C6+C7+C8+C9</f>
        <v>1650000</v>
      </c>
      <c r="D10" s="34" t="n">
        <f aca="false">D5+D6+D7+D8+D9</f>
        <v>13256250</v>
      </c>
      <c r="E10" s="34" t="n">
        <f aca="false">E5+E6+E7+E8+E9</f>
        <v>26184562.5</v>
      </c>
      <c r="F10" s="34" t="n">
        <f aca="false">F5+F6+F7+F8+F9</f>
        <v>35704775.625</v>
      </c>
      <c r="G10" s="34" t="n">
        <f aca="false">G5+G6+G7+G8+G9</f>
        <v>38574132.35625</v>
      </c>
      <c r="H10" s="34" t="n">
        <f aca="false">H5+H6+H7+H8+H9</f>
        <v>24558864.2668125</v>
      </c>
      <c r="I10" s="34" t="n">
        <f aca="false">I5+I6+I7+I8+I9</f>
        <v>10964054.2200581</v>
      </c>
    </row>
    <row r="11" customFormat="false" ht="15" hidden="false" customHeight="false" outlineLevel="0" collapsed="false">
      <c r="B11" s="31" t="s">
        <v>151</v>
      </c>
      <c r="C11" s="32" t="n">
        <f aca="false">IF(Capital_Calls!C3&lt;=Inv_Period_End_Yr,-Fund_Size*Mgmt_Fee_Inv,-Loan_Portfolio!C16*Mgmt_Fee_Harvest)</f>
        <v>-4500000</v>
      </c>
      <c r="D11" s="32" t="n">
        <f aca="false">IF(Capital_Calls!D3&lt;=Inv_Period_End_Yr,-Fund_Size*Mgmt_Fee_Inv,-Loan_Portfolio!D16*Mgmt_Fee_Harvest)</f>
        <v>-4500000</v>
      </c>
      <c r="E11" s="32" t="n">
        <f aca="false">IF(Capital_Calls!E3&lt;=Inv_Period_End_Yr,-Fund_Size*Mgmt_Fee_Inv,-Loan_Portfolio!E16*Mgmt_Fee_Harvest)</f>
        <v>-4500000</v>
      </c>
      <c r="F11" s="32" t="n">
        <f aca="false">IF(Capital_Calls!F3&lt;=Inv_Period_End_Yr,-Fund_Size*Mgmt_Fee_Inv,-Loan_Portfolio!F16*Mgmt_Fee_Harvest)</f>
        <v>-4500000</v>
      </c>
      <c r="G11" s="32" t="n">
        <f aca="false">IF(Capital_Calls!G3&lt;=Inv_Period_End_Yr,-Fund_Size*Mgmt_Fee_Inv,-Loan_Portfolio!G16*Mgmt_Fee_Harvest)</f>
        <v>-1847061.75</v>
      </c>
      <c r="H11" s="32" t="n">
        <f aca="false">IF(Capital_Calls!H3&lt;=Inv_Period_End_Yr,-Fund_Size*Mgmt_Fee_Inv,-Loan_Portfolio!H16*Mgmt_Fee_Harvest)</f>
        <v>-994123.5</v>
      </c>
      <c r="I11" s="32" t="n">
        <f aca="false">IF(Capital_Calls!I3&lt;=Inv_Period_End_Yr,-Fund_Size*Mgmt_Fee_Inv,-Loan_Portfolio!I16*Mgmt_Fee_Harvest)</f>
        <v>-266823.054225</v>
      </c>
    </row>
    <row r="12" customFormat="false" ht="15" hidden="false" customHeight="false" outlineLevel="0" collapsed="false">
      <c r="B12" s="35" t="s">
        <v>152</v>
      </c>
      <c r="C12" s="30" t="n">
        <f aca="false">-Loan_Portfolio!C11*Expense_Rate</f>
        <v>-187500</v>
      </c>
      <c r="D12" s="30" t="n">
        <f aca="false">-Loan_Portfolio!D11*Expense_Rate</f>
        <v>-406875</v>
      </c>
      <c r="E12" s="30" t="n">
        <f aca="false">-Loan_Portfolio!E11*Expense_Rate</f>
        <v>-582168.75</v>
      </c>
      <c r="F12" s="30" t="n">
        <f aca="false">-Loan_Portfolio!F11*Expense_Rate</f>
        <v>-639703.6875</v>
      </c>
      <c r="G12" s="30" t="n">
        <f aca="false">-Loan_Portfolio!G11*Expense_Rate</f>
        <v>-407278.014375</v>
      </c>
      <c r="H12" s="30" t="n">
        <f aca="false">-Loan_Portfolio!H11*Expense_Rate</f>
        <v>-181825.11144375</v>
      </c>
      <c r="I12" s="30" t="n">
        <f aca="false">-Loan_Portfolio!I11*Expense_Rate</f>
        <v>-0</v>
      </c>
    </row>
    <row r="13" customFormat="false" ht="15" hidden="false" customHeight="false" outlineLevel="0" collapsed="false">
      <c r="B13" s="35" t="s">
        <v>153</v>
      </c>
      <c r="C13" s="30" t="n">
        <f aca="false">-Credit_Losses!C8</f>
        <v>-0</v>
      </c>
      <c r="D13" s="30" t="n">
        <f aca="false">-Credit_Losses!D8</f>
        <v>-1125000</v>
      </c>
      <c r="E13" s="30" t="n">
        <f aca="false">-Credit_Losses!E8</f>
        <v>-2441250</v>
      </c>
      <c r="F13" s="30" t="n">
        <f aca="false">-Credit_Losses!F8</f>
        <v>-3493012.5</v>
      </c>
      <c r="G13" s="30" t="n">
        <f aca="false">-Credit_Losses!G8</f>
        <v>-3838222.125</v>
      </c>
      <c r="H13" s="30" t="n">
        <f aca="false">-Credit_Losses!H8</f>
        <v>-2443668.08625</v>
      </c>
      <c r="I13" s="30" t="n">
        <f aca="false">-Credit_Losses!I8</f>
        <v>-1090950.6686625</v>
      </c>
    </row>
    <row r="14" customFormat="false" ht="15" hidden="false" customHeight="false" outlineLevel="0" collapsed="false">
      <c r="B14" s="33" t="s">
        <v>154</v>
      </c>
      <c r="C14" s="34" t="n">
        <f aca="false">C11+C12+C13</f>
        <v>-4687500</v>
      </c>
      <c r="D14" s="34" t="n">
        <f aca="false">D11+D12+D13</f>
        <v>-6031875</v>
      </c>
      <c r="E14" s="34" t="n">
        <f aca="false">E11+E12+E13</f>
        <v>-7523418.75</v>
      </c>
      <c r="F14" s="34" t="n">
        <f aca="false">F11+F12+F13</f>
        <v>-8632716.1875</v>
      </c>
      <c r="G14" s="34" t="n">
        <f aca="false">G11+G12+G13</f>
        <v>-6092561.889375</v>
      </c>
      <c r="H14" s="34" t="n">
        <f aca="false">H11+H12+H13</f>
        <v>-3619616.69769375</v>
      </c>
      <c r="I14" s="34" t="n">
        <f aca="false">I11+I12+I13</f>
        <v>-1357773.7228875</v>
      </c>
    </row>
    <row r="15" customFormat="false" ht="15" hidden="false" customHeight="false" outlineLevel="0" collapsed="false">
      <c r="B15" s="39" t="s">
        <v>155</v>
      </c>
      <c r="C15" s="40" t="n">
        <f aca="false">C10+C14</f>
        <v>-3037500</v>
      </c>
      <c r="D15" s="40" t="n">
        <f aca="false">D10+D14</f>
        <v>7224375</v>
      </c>
      <c r="E15" s="40" t="n">
        <f aca="false">E10+E14</f>
        <v>18661143.75</v>
      </c>
      <c r="F15" s="40" t="n">
        <f aca="false">F10+F14</f>
        <v>27072059.4375</v>
      </c>
      <c r="G15" s="40" t="n">
        <f aca="false">G10+G14</f>
        <v>32481570.466875</v>
      </c>
      <c r="H15" s="40" t="n">
        <f aca="false">H10+H14</f>
        <v>20939247.5691188</v>
      </c>
      <c r="I15" s="40" t="n">
        <f aca="false">I10+I14</f>
        <v>9606280.49717062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B2:I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4"/>
  </cols>
  <sheetData>
    <row r="2" customFormat="false" ht="22.05" hidden="false" customHeight="false" outlineLevel="0" collapsed="false">
      <c r="B2" s="26" t="s">
        <v>156</v>
      </c>
    </row>
    <row r="3" customFormat="false" ht="15" hidden="false" customHeight="false" outlineLevel="0" collapsed="false">
      <c r="B3" s="5" t="s">
        <v>101</v>
      </c>
      <c r="C3" s="36" t="s">
        <v>114</v>
      </c>
      <c r="D3" s="36" t="s">
        <v>115</v>
      </c>
      <c r="E3" s="36" t="s">
        <v>116</v>
      </c>
      <c r="F3" s="36" t="s">
        <v>117</v>
      </c>
      <c r="G3" s="36" t="s">
        <v>118</v>
      </c>
      <c r="H3" s="36" t="s">
        <v>119</v>
      </c>
      <c r="I3" s="36" t="s">
        <v>120</v>
      </c>
    </row>
    <row r="4" customFormat="false" ht="15" hidden="false" customHeight="false" outlineLevel="0" collapsed="false">
      <c r="B4" s="28" t="s">
        <v>157</v>
      </c>
      <c r="C4" s="29"/>
      <c r="D4" s="29"/>
      <c r="E4" s="29"/>
      <c r="F4" s="29"/>
      <c r="G4" s="29"/>
      <c r="H4" s="29"/>
      <c r="I4" s="29"/>
    </row>
    <row r="5" customFormat="false" ht="15" hidden="false" customHeight="false" outlineLevel="0" collapsed="false">
      <c r="B5" s="35" t="s">
        <v>155</v>
      </c>
      <c r="C5" s="30" t="n">
        <f aca="false">Income_Statement!C15</f>
        <v>-3037500</v>
      </c>
      <c r="D5" s="30" t="n">
        <f aca="false">Income_Statement!D15</f>
        <v>7224375</v>
      </c>
      <c r="E5" s="30" t="n">
        <f aca="false">Income_Statement!E15</f>
        <v>18661143.75</v>
      </c>
      <c r="F5" s="30" t="n">
        <f aca="false">Income_Statement!F15</f>
        <v>27072059.4375</v>
      </c>
      <c r="G5" s="30" t="n">
        <f aca="false">Income_Statement!G15</f>
        <v>32481570.466875</v>
      </c>
      <c r="H5" s="30" t="n">
        <f aca="false">Income_Statement!H15</f>
        <v>20939247.5691188</v>
      </c>
      <c r="I5" s="30" t="n">
        <f aca="false">Income_Statement!I15</f>
        <v>9606280.49717062</v>
      </c>
    </row>
    <row r="6" customFormat="false" ht="15" hidden="false" customHeight="false" outlineLevel="0" collapsed="false">
      <c r="B6" s="35" t="s">
        <v>158</v>
      </c>
      <c r="C6" s="30" t="n">
        <f aca="false">-Income_Statement!C6</f>
        <v>-0</v>
      </c>
      <c r="D6" s="30" t="n">
        <f aca="false">-Income_Statement!D6</f>
        <v>-2625000</v>
      </c>
      <c r="E6" s="30" t="n">
        <f aca="false">-Income_Statement!E6</f>
        <v>-5696250</v>
      </c>
      <c r="F6" s="30" t="n">
        <f aca="false">-Income_Statement!F6</f>
        <v>-8150362.5</v>
      </c>
      <c r="G6" s="30" t="n">
        <f aca="false">-Income_Statement!G6</f>
        <v>-8955851.625</v>
      </c>
      <c r="H6" s="30" t="n">
        <f aca="false">-Income_Statement!H6</f>
        <v>-5701892.20125</v>
      </c>
      <c r="I6" s="30" t="n">
        <f aca="false">-Income_Statement!I6</f>
        <v>-2545551.5602125</v>
      </c>
    </row>
    <row r="7" customFormat="false" ht="15" hidden="false" customHeight="false" outlineLevel="0" collapsed="false">
      <c r="B7" s="35" t="s">
        <v>159</v>
      </c>
      <c r="C7" s="30" t="n">
        <f aca="false">Loan_Portfolio!C15</f>
        <v>0</v>
      </c>
      <c r="D7" s="30" t="n">
        <f aca="false">Loan_Portfolio!D15</f>
        <v>0</v>
      </c>
      <c r="E7" s="30" t="n">
        <f aca="false">Loan_Portfolio!E15</f>
        <v>0</v>
      </c>
      <c r="F7" s="30" t="n">
        <f aca="false">Loan_Portfolio!F15</f>
        <v>0</v>
      </c>
      <c r="G7" s="30" t="n">
        <f aca="false">Loan_Portfolio!G15</f>
        <v>36176295</v>
      </c>
      <c r="H7" s="30" t="n">
        <f aca="false">Loan_Portfolio!H15</f>
        <v>17582241.15</v>
      </c>
      <c r="I7" s="30" t="n">
        <f aca="false">Loan_Portfolio!I15</f>
        <v>-1361973.25350001</v>
      </c>
    </row>
    <row r="8" customFormat="false" ht="15" hidden="false" customHeight="false" outlineLevel="0" collapsed="false">
      <c r="B8" s="33" t="s">
        <v>160</v>
      </c>
      <c r="C8" s="34" t="n">
        <f aca="false">C5+C6+C7</f>
        <v>-3037500</v>
      </c>
      <c r="D8" s="34" t="n">
        <f aca="false">D5+D6+D7</f>
        <v>4599375</v>
      </c>
      <c r="E8" s="34" t="n">
        <f aca="false">E5+E6+E7</f>
        <v>12964893.75</v>
      </c>
      <c r="F8" s="34" t="n">
        <f aca="false">F5+F6+F7</f>
        <v>18921696.9375</v>
      </c>
      <c r="G8" s="34" t="n">
        <f aca="false">G5+G6+G7</f>
        <v>59702013.841875</v>
      </c>
      <c r="H8" s="34" t="n">
        <f aca="false">H5+H6+H7</f>
        <v>32819596.5178688</v>
      </c>
      <c r="I8" s="34" t="n">
        <f aca="false">I5+I6+I7</f>
        <v>5698755.68345811</v>
      </c>
    </row>
    <row r="9" customFormat="false" ht="15" hidden="false" customHeight="false" outlineLevel="0" collapsed="false">
      <c r="B9" s="31" t="s">
        <v>161</v>
      </c>
      <c r="C9" s="32" t="n">
        <f aca="false">-Loan_Portfolio!C6</f>
        <v>-75000000</v>
      </c>
      <c r="D9" s="32" t="n">
        <f aca="false">-Loan_Portfolio!D6</f>
        <v>-90000000</v>
      </c>
      <c r="E9" s="32" t="n">
        <f aca="false">-Loan_Portfolio!E6</f>
        <v>-75000000</v>
      </c>
      <c r="F9" s="32" t="n">
        <f aca="false">-Loan_Portfolio!F6</f>
        <v>-30000000</v>
      </c>
      <c r="G9" s="32" t="n">
        <f aca="false">-Loan_Portfolio!G6</f>
        <v>-0</v>
      </c>
      <c r="H9" s="32" t="n">
        <f aca="false">-Loan_Portfolio!H6</f>
        <v>-0</v>
      </c>
      <c r="I9" s="32" t="n">
        <f aca="false">-Loan_Portfolio!I6</f>
        <v>-0</v>
      </c>
    </row>
    <row r="10" customFormat="false" ht="15" hidden="false" customHeight="false" outlineLevel="0" collapsed="false">
      <c r="B10" s="35" t="s">
        <v>162</v>
      </c>
      <c r="C10" s="30" t="n">
        <f aca="false">ABS(Loan_Portfolio!C8)</f>
        <v>0</v>
      </c>
      <c r="D10" s="30" t="n">
        <f aca="false">ABS(Loan_Portfolio!D8)</f>
        <v>0</v>
      </c>
      <c r="E10" s="30" t="n">
        <f aca="false">ABS(Loan_Portfolio!E8)</f>
        <v>0</v>
      </c>
      <c r="F10" s="30" t="n">
        <f aca="false">ABS(Loan_Portfolio!F8)</f>
        <v>0</v>
      </c>
      <c r="G10" s="30" t="n">
        <f aca="false">ABS(Loan_Portfolio!G8)</f>
        <v>85293825</v>
      </c>
      <c r="H10" s="30" t="n">
        <f aca="false">ABS(Loan_Portfolio!H8)</f>
        <v>85293825</v>
      </c>
      <c r="I10" s="30" t="n">
        <f aca="false">ABS(Loan_Portfolio!I8)</f>
        <v>72730044.5775</v>
      </c>
    </row>
    <row r="11" customFormat="false" ht="15" hidden="false" customHeight="false" outlineLevel="0" collapsed="false">
      <c r="B11" s="35" t="s">
        <v>163</v>
      </c>
      <c r="C11" s="30" t="n">
        <f aca="false">ABS(Loan_Portfolio!C9)</f>
        <v>0</v>
      </c>
      <c r="D11" s="30" t="n">
        <f aca="false">ABS(Loan_Portfolio!D9)</f>
        <v>3750000</v>
      </c>
      <c r="E11" s="30" t="n">
        <f aca="false">ABS(Loan_Portfolio!E9)</f>
        <v>8137500</v>
      </c>
      <c r="F11" s="30" t="n">
        <f aca="false">ABS(Loan_Portfolio!F9)</f>
        <v>11643375</v>
      </c>
      <c r="G11" s="30" t="n">
        <f aca="false">ABS(Loan_Portfolio!G9)</f>
        <v>12794073.75</v>
      </c>
      <c r="H11" s="30" t="n">
        <f aca="false">ABS(Loan_Portfolio!H9)</f>
        <v>8145560.2875</v>
      </c>
      <c r="I11" s="30" t="n">
        <f aca="false">ABS(Loan_Portfolio!I9)</f>
        <v>3636502.228875</v>
      </c>
    </row>
    <row r="12" customFormat="false" ht="15" hidden="false" customHeight="false" outlineLevel="0" collapsed="false">
      <c r="B12" s="35" t="s">
        <v>131</v>
      </c>
      <c r="C12" s="30" t="n">
        <f aca="false">Loan_Portfolio!C14</f>
        <v>0</v>
      </c>
      <c r="D12" s="30" t="n">
        <f aca="false">Loan_Portfolio!D14</f>
        <v>0</v>
      </c>
      <c r="E12" s="30" t="n">
        <f aca="false">Loan_Portfolio!E14</f>
        <v>0</v>
      </c>
      <c r="F12" s="30" t="n">
        <f aca="false">Loan_Portfolio!F14</f>
        <v>0</v>
      </c>
      <c r="G12" s="30" t="n">
        <f aca="false">Loan_Portfolio!G14</f>
        <v>6480000</v>
      </c>
      <c r="H12" s="30" t="n">
        <f aca="false">Loan_Portfolio!H14</f>
        <v>6480000</v>
      </c>
      <c r="I12" s="30" t="n">
        <f aca="false">Loan_Portfolio!I14</f>
        <v>19440000</v>
      </c>
    </row>
    <row r="13" customFormat="false" ht="15" hidden="false" customHeight="false" outlineLevel="0" collapsed="false">
      <c r="B13" s="39" t="s">
        <v>164</v>
      </c>
      <c r="C13" s="40" t="n">
        <f aca="false">C8+C9+C10+C11+C12</f>
        <v>-78037500</v>
      </c>
      <c r="D13" s="40" t="n">
        <f aca="false">D8+D9+D10+D11+D12</f>
        <v>-81650625</v>
      </c>
      <c r="E13" s="40" t="n">
        <f aca="false">E8+E9+E10+E11+E12</f>
        <v>-53897606.25</v>
      </c>
      <c r="F13" s="40" t="n">
        <f aca="false">F8+F9+F10+F11+F12</f>
        <v>565071.9375</v>
      </c>
      <c r="G13" s="40" t="n">
        <f aca="false">G8+G9+G10+G11+G12</f>
        <v>164269912.591875</v>
      </c>
      <c r="H13" s="40" t="n">
        <f aca="false">H8+H9+H10+H11+H12</f>
        <v>132738981.805369</v>
      </c>
      <c r="I13" s="40" t="n">
        <f aca="false">I8+I9+I10+I11+I12</f>
        <v>101505302.489833</v>
      </c>
    </row>
    <row r="14" customFormat="false" ht="15" hidden="false" customHeight="false" outlineLevel="0" collapsed="false">
      <c r="B14" s="31" t="s">
        <v>165</v>
      </c>
      <c r="C14" s="32" t="n">
        <f aca="false">Capital_Calls!C11+Capital_Calls!C12</f>
        <v>75000000</v>
      </c>
      <c r="D14" s="32" t="n">
        <f aca="false">Capital_Calls!D11+Capital_Calls!D12</f>
        <v>90000000</v>
      </c>
      <c r="E14" s="32" t="n">
        <f aca="false">Capital_Calls!E11+Capital_Calls!E12</f>
        <v>75000000</v>
      </c>
      <c r="F14" s="32" t="n">
        <f aca="false">Capital_Calls!F11+Capital_Calls!F12</f>
        <v>30000000</v>
      </c>
      <c r="G14" s="32" t="n">
        <f aca="false">Capital_Calls!G11+Capital_Calls!G12</f>
        <v>0</v>
      </c>
      <c r="H14" s="32" t="n">
        <f aca="false">Capital_Calls!H11+Capital_Calls!H12</f>
        <v>0</v>
      </c>
      <c r="I14" s="32" t="n">
        <f aca="false">Capital_Calls!I11+Capital_Calls!I12</f>
        <v>0</v>
      </c>
    </row>
    <row r="15" customFormat="false" ht="15" hidden="false" customHeight="false" outlineLevel="0" collapsed="false">
      <c r="B15" s="39" t="s">
        <v>166</v>
      </c>
      <c r="C15" s="40" t="n">
        <f aca="false">C13+C14</f>
        <v>-3037500</v>
      </c>
      <c r="D15" s="40" t="n">
        <f aca="false">D13+D14</f>
        <v>8349375</v>
      </c>
      <c r="E15" s="40" t="n">
        <f aca="false">E13+E14</f>
        <v>21102393.75</v>
      </c>
      <c r="F15" s="40" t="n">
        <f aca="false">F13+F14</f>
        <v>30565071.9375</v>
      </c>
      <c r="G15" s="40" t="n">
        <f aca="false">G13+G14</f>
        <v>164269912.591875</v>
      </c>
      <c r="H15" s="40" t="n">
        <f aca="false">H13+H14</f>
        <v>132738981.805369</v>
      </c>
      <c r="I15" s="40" t="n">
        <f aca="false">I13+I14</f>
        <v>101505302.489833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B2: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9" min="3" style="0" width="14"/>
  </cols>
  <sheetData>
    <row r="2" customFormat="false" ht="22.05" hidden="false" customHeight="false" outlineLevel="0" collapsed="false">
      <c r="B2" s="26" t="s">
        <v>167</v>
      </c>
    </row>
    <row r="3" customFormat="false" ht="15" hidden="false" customHeight="false" outlineLevel="0" collapsed="false">
      <c r="B3" s="5" t="s">
        <v>101</v>
      </c>
      <c r="C3" s="36" t="s">
        <v>114</v>
      </c>
      <c r="D3" s="36" t="s">
        <v>115</v>
      </c>
      <c r="E3" s="36" t="s">
        <v>116</v>
      </c>
      <c r="F3" s="36" t="s">
        <v>117</v>
      </c>
      <c r="G3" s="36" t="s">
        <v>118</v>
      </c>
      <c r="H3" s="36" t="s">
        <v>119</v>
      </c>
      <c r="I3" s="36" t="s">
        <v>120</v>
      </c>
    </row>
    <row r="4" customFormat="false" ht="15" hidden="false" customHeight="false" outlineLevel="0" collapsed="false">
      <c r="B4" s="28" t="s">
        <v>168</v>
      </c>
      <c r="C4" s="29"/>
      <c r="D4" s="29"/>
      <c r="E4" s="29"/>
      <c r="F4" s="29"/>
      <c r="G4" s="29"/>
      <c r="H4" s="29"/>
      <c r="I4" s="29"/>
    </row>
    <row r="5" customFormat="false" ht="15" hidden="false" customHeight="false" outlineLevel="0" collapsed="false">
      <c r="B5" s="35" t="s">
        <v>168</v>
      </c>
      <c r="C5" s="30" t="n">
        <f aca="false">MAX(0,Cash_Flow!C13)</f>
        <v>0</v>
      </c>
      <c r="D5" s="30" t="n">
        <f aca="false">MAX(0,Cash_Flow!D13)</f>
        <v>0</v>
      </c>
      <c r="E5" s="30" t="n">
        <f aca="false">MAX(0,Cash_Flow!E13)</f>
        <v>0</v>
      </c>
      <c r="F5" s="30" t="n">
        <f aca="false">MAX(0,Cash_Flow!F13)</f>
        <v>565071.9375</v>
      </c>
      <c r="G5" s="30" t="n">
        <f aca="false">MAX(0,Cash_Flow!G13)</f>
        <v>164269912.591875</v>
      </c>
      <c r="H5" s="30" t="n">
        <f aca="false">MAX(0,Cash_Flow!H13)</f>
        <v>132738981.805369</v>
      </c>
      <c r="I5" s="30" t="n">
        <f aca="false">MAX(0,Cash_Flow!I13)</f>
        <v>101505302.489833</v>
      </c>
    </row>
    <row r="6" customFormat="false" ht="15" hidden="false" customHeight="false" outlineLevel="0" collapsed="false">
      <c r="B6" s="6" t="s">
        <v>169</v>
      </c>
      <c r="C6" s="30" t="n">
        <f aca="false">C5</f>
        <v>0</v>
      </c>
      <c r="D6" s="30" t="n">
        <f aca="false">C6+D5</f>
        <v>0</v>
      </c>
      <c r="E6" s="30" t="n">
        <f aca="false">D6+E5</f>
        <v>0</v>
      </c>
      <c r="F6" s="30" t="n">
        <f aca="false">E6+F5</f>
        <v>565071.9375</v>
      </c>
      <c r="G6" s="30" t="n">
        <f aca="false">F6+G5</f>
        <v>164834984.529375</v>
      </c>
      <c r="H6" s="30" t="n">
        <f aca="false">G6+H5</f>
        <v>297573966.334744</v>
      </c>
      <c r="I6" s="30" t="n">
        <f aca="false">H6+I5</f>
        <v>399079268.824577</v>
      </c>
    </row>
    <row r="7" customFormat="false" ht="15" hidden="false" customHeight="false" outlineLevel="0" collapsed="false">
      <c r="B7" s="31" t="s">
        <v>170</v>
      </c>
      <c r="C7" s="32" t="n">
        <f aca="false">Capital_Calls!$C$6</f>
        <v>294000000</v>
      </c>
      <c r="D7" s="32" t="n">
        <f aca="false">C8</f>
        <v>294000000</v>
      </c>
      <c r="E7" s="32" t="n">
        <f aca="false">D8</f>
        <v>294000000</v>
      </c>
      <c r="F7" s="32" t="n">
        <f aca="false">E8</f>
        <v>294000000</v>
      </c>
      <c r="G7" s="32" t="n">
        <f aca="false">F8</f>
        <v>293434928.0625</v>
      </c>
      <c r="H7" s="32" t="n">
        <f aca="false">G8</f>
        <v>129165015.470625</v>
      </c>
      <c r="I7" s="32" t="n">
        <f aca="false">H8</f>
        <v>29400000</v>
      </c>
    </row>
    <row r="8" customFormat="false" ht="15" hidden="false" customHeight="false" outlineLevel="0" collapsed="false">
      <c r="B8" s="35" t="s">
        <v>171</v>
      </c>
      <c r="C8" s="30" t="n">
        <f aca="false">MAX(0,C7-C12)</f>
        <v>294000000</v>
      </c>
      <c r="D8" s="30" t="n">
        <f aca="false">MAX(0,D7-D12)</f>
        <v>294000000</v>
      </c>
      <c r="E8" s="30" t="n">
        <f aca="false">MAX(0,E7-E12)</f>
        <v>294000000</v>
      </c>
      <c r="F8" s="30" t="n">
        <f aca="false">MAX(0,F7-F12)</f>
        <v>293434928.0625</v>
      </c>
      <c r="G8" s="30" t="n">
        <f aca="false">MAX(0,G7-G12)</f>
        <v>129165015.470625</v>
      </c>
      <c r="H8" s="30" t="n">
        <f aca="false">MAX(0,H7-H12)</f>
        <v>29400000</v>
      </c>
      <c r="I8" s="30" t="n">
        <f aca="false">MAX(0,I7-I12)</f>
        <v>29400000</v>
      </c>
    </row>
    <row r="10" customFormat="false" ht="15" hidden="false" customHeight="false" outlineLevel="0" collapsed="false">
      <c r="B10" s="31" t="s">
        <v>172</v>
      </c>
      <c r="C10" s="32" t="n">
        <f aca="false">Capital_Calls!C13</f>
        <v>73500000</v>
      </c>
      <c r="D10" s="32" t="n">
        <f aca="false">Capital_Calls!D13</f>
        <v>161700000</v>
      </c>
      <c r="E10" s="32" t="n">
        <f aca="false">Capital_Calls!E13</f>
        <v>235200000</v>
      </c>
      <c r="F10" s="32" t="n">
        <f aca="false">Capital_Calls!F13</f>
        <v>264600000</v>
      </c>
      <c r="G10" s="32" t="n">
        <f aca="false">Capital_Calls!G13</f>
        <v>264600000</v>
      </c>
      <c r="H10" s="32" t="n">
        <f aca="false">Capital_Calls!H13</f>
        <v>264600000</v>
      </c>
      <c r="I10" s="32" t="n">
        <f aca="false">Capital_Calls!I13</f>
        <v>264600000</v>
      </c>
    </row>
    <row r="11" customFormat="false" ht="15" hidden="false" customHeight="false" outlineLevel="0" collapsed="false">
      <c r="B11" s="35" t="s">
        <v>173</v>
      </c>
      <c r="C11" s="30" t="n">
        <f aca="false">MIN(C6,C10)</f>
        <v>0</v>
      </c>
      <c r="D11" s="30" t="n">
        <f aca="false">MIN(D6,D10)</f>
        <v>0</v>
      </c>
      <c r="E11" s="30" t="n">
        <f aca="false">MIN(E6,E10)</f>
        <v>0</v>
      </c>
      <c r="F11" s="30" t="n">
        <f aca="false">MIN(F6,F10)</f>
        <v>565071.9375</v>
      </c>
      <c r="G11" s="30" t="n">
        <f aca="false">MIN(G6,G10)</f>
        <v>164834984.529375</v>
      </c>
      <c r="H11" s="30" t="n">
        <f aca="false">MIN(H6,H10)</f>
        <v>264600000</v>
      </c>
      <c r="I11" s="30" t="n">
        <f aca="false">MIN(I6,I10)</f>
        <v>264600000</v>
      </c>
    </row>
    <row r="12" customFormat="false" ht="15" hidden="false" customHeight="false" outlineLevel="0" collapsed="false">
      <c r="B12" s="6" t="s">
        <v>174</v>
      </c>
      <c r="C12" s="30" t="n">
        <f aca="false">C11</f>
        <v>0</v>
      </c>
      <c r="D12" s="30" t="n">
        <f aca="false">MAX(0,D11-C11)</f>
        <v>0</v>
      </c>
      <c r="E12" s="30" t="n">
        <f aca="false">MAX(0,E11-D11)</f>
        <v>0</v>
      </c>
      <c r="F12" s="30" t="n">
        <f aca="false">MAX(0,F11-E11)</f>
        <v>565071.9375</v>
      </c>
      <c r="G12" s="30" t="n">
        <f aca="false">MAX(0,G11-F11)</f>
        <v>164269912.591875</v>
      </c>
      <c r="H12" s="30" t="n">
        <f aca="false">MAX(0,H11-G11)</f>
        <v>99765015.470625</v>
      </c>
      <c r="I12" s="30" t="n">
        <f aca="false">MAX(0,I11-H11)</f>
        <v>0</v>
      </c>
    </row>
    <row r="14" customFormat="false" ht="15" hidden="false" customHeight="false" outlineLevel="0" collapsed="false">
      <c r="B14" s="31" t="s">
        <v>175</v>
      </c>
      <c r="C14" s="32" t="n">
        <f aca="false">C7*Pref_Rate</f>
        <v>20580000</v>
      </c>
      <c r="D14" s="32" t="n">
        <f aca="false">D7*Pref_Rate</f>
        <v>20580000</v>
      </c>
      <c r="E14" s="32" t="n">
        <f aca="false">E7*Pref_Rate</f>
        <v>20580000</v>
      </c>
      <c r="F14" s="32" t="n">
        <f aca="false">F7*Pref_Rate</f>
        <v>20580000</v>
      </c>
      <c r="G14" s="32" t="n">
        <f aca="false">G7*Pref_Rate</f>
        <v>20540444.964375</v>
      </c>
      <c r="H14" s="32" t="n">
        <f aca="false">H7*Pref_Rate</f>
        <v>9041551.08294375</v>
      </c>
      <c r="I14" s="32" t="n">
        <f aca="false">I7*Pref_Rate</f>
        <v>2058000</v>
      </c>
    </row>
    <row r="15" customFormat="false" ht="15" hidden="false" customHeight="false" outlineLevel="0" collapsed="false">
      <c r="B15" s="6" t="s">
        <v>176</v>
      </c>
      <c r="C15" s="30" t="n">
        <f aca="false">C14</f>
        <v>20580000</v>
      </c>
      <c r="D15" s="30" t="n">
        <f aca="false">C15+D14</f>
        <v>41160000</v>
      </c>
      <c r="E15" s="30" t="n">
        <f aca="false">D15+E14</f>
        <v>61740000</v>
      </c>
      <c r="F15" s="30" t="n">
        <f aca="false">E15+F14</f>
        <v>82320000</v>
      </c>
      <c r="G15" s="30" t="n">
        <f aca="false">F15+G14</f>
        <v>102860444.964375</v>
      </c>
      <c r="H15" s="30" t="n">
        <f aca="false">G15+H14</f>
        <v>111901996.047319</v>
      </c>
      <c r="I15" s="30" t="n">
        <f aca="false">H15+I14</f>
        <v>113959996.047319</v>
      </c>
    </row>
    <row r="16" customFormat="false" ht="15" hidden="false" customHeight="false" outlineLevel="0" collapsed="false">
      <c r="B16" s="35" t="s">
        <v>177</v>
      </c>
      <c r="C16" s="30" t="n">
        <f aca="false">C10+C15</f>
        <v>94080000</v>
      </c>
      <c r="D16" s="30" t="n">
        <f aca="false">D10+D15</f>
        <v>202860000</v>
      </c>
      <c r="E16" s="30" t="n">
        <f aca="false">E10+E15</f>
        <v>296940000</v>
      </c>
      <c r="F16" s="30" t="n">
        <f aca="false">F10+F15</f>
        <v>346920000</v>
      </c>
      <c r="G16" s="30" t="n">
        <f aca="false">G10+G15</f>
        <v>367460444.964375</v>
      </c>
      <c r="H16" s="30" t="n">
        <f aca="false">H10+H15</f>
        <v>376501996.047319</v>
      </c>
      <c r="I16" s="30" t="n">
        <f aca="false">I10+I15</f>
        <v>378559996.047319</v>
      </c>
    </row>
    <row r="17" customFormat="false" ht="15" hidden="false" customHeight="false" outlineLevel="0" collapsed="false">
      <c r="B17" s="35" t="s">
        <v>178</v>
      </c>
      <c r="C17" s="30" t="n">
        <f aca="false">MAX(0,MIN(C6,C16)-C11)</f>
        <v>0</v>
      </c>
      <c r="D17" s="30" t="n">
        <f aca="false">MAX(0,MIN(D6,D16)-D11)</f>
        <v>0</v>
      </c>
      <c r="E17" s="30" t="n">
        <f aca="false">MAX(0,MIN(E6,E16)-E11)</f>
        <v>0</v>
      </c>
      <c r="F17" s="30" t="n">
        <f aca="false">MAX(0,MIN(F6,F16)-F11)</f>
        <v>0</v>
      </c>
      <c r="G17" s="30" t="n">
        <f aca="false">MAX(0,MIN(G6,G16)-G11)</f>
        <v>0</v>
      </c>
      <c r="H17" s="30" t="n">
        <f aca="false">MAX(0,MIN(H6,H16)-H11)</f>
        <v>32973966.3347437</v>
      </c>
      <c r="I17" s="30" t="n">
        <f aca="false">MAX(0,MIN(I6,I16)-I11)</f>
        <v>113959996.047319</v>
      </c>
    </row>
    <row r="18" customFormat="false" ht="15" hidden="false" customHeight="false" outlineLevel="0" collapsed="false">
      <c r="B18" s="6" t="s">
        <v>179</v>
      </c>
      <c r="C18" s="30" t="n">
        <f aca="false">C17</f>
        <v>0</v>
      </c>
      <c r="D18" s="30" t="n">
        <f aca="false">MAX(0,D17-C17)</f>
        <v>0</v>
      </c>
      <c r="E18" s="30" t="n">
        <f aca="false">MAX(0,E17-D17)</f>
        <v>0</v>
      </c>
      <c r="F18" s="30" t="n">
        <f aca="false">MAX(0,F17-E17)</f>
        <v>0</v>
      </c>
      <c r="G18" s="30" t="n">
        <f aca="false">MAX(0,G17-F17)</f>
        <v>0</v>
      </c>
      <c r="H18" s="30" t="n">
        <f aca="false">MAX(0,H17-G17)</f>
        <v>32973966.3347437</v>
      </c>
      <c r="I18" s="30" t="n">
        <f aca="false">MAX(0,I17-H17)</f>
        <v>80986029.712575</v>
      </c>
    </row>
    <row r="20" customFormat="false" ht="15" hidden="false" customHeight="false" outlineLevel="0" collapsed="false">
      <c r="B20" s="31" t="s">
        <v>180</v>
      </c>
      <c r="C20" s="32" t="n">
        <f aca="false">C16+(C15*Catchup_Rate*Carry_Rate/(1-Carry_Rate))</f>
        <v>97711764.7058824</v>
      </c>
      <c r="D20" s="32" t="n">
        <f aca="false">D16+(D15*Catchup_Rate*Carry_Rate/(1-Carry_Rate))</f>
        <v>210123529.411765</v>
      </c>
      <c r="E20" s="32" t="n">
        <f aca="false">E16+(E15*Catchup_Rate*Carry_Rate/(1-Carry_Rate))</f>
        <v>307835294.117647</v>
      </c>
      <c r="F20" s="32" t="n">
        <f aca="false">F16+(F15*Catchup_Rate*Carry_Rate/(1-Carry_Rate))</f>
        <v>361447058.823529</v>
      </c>
      <c r="G20" s="32" t="n">
        <f aca="false">G16+(G15*Catchup_Rate*Carry_Rate/(1-Carry_Rate))</f>
        <v>385612288.193382</v>
      </c>
      <c r="H20" s="32" t="n">
        <f aca="false">H16+(H15*Catchup_Rate*Carry_Rate/(1-Carry_Rate))</f>
        <v>396249407.114493</v>
      </c>
      <c r="I20" s="32" t="n">
        <f aca="false">I16+(I15*Catchup_Rate*Carry_Rate/(1-Carry_Rate))</f>
        <v>398670583.585081</v>
      </c>
    </row>
    <row r="21" customFormat="false" ht="15" hidden="false" customHeight="false" outlineLevel="0" collapsed="false">
      <c r="B21" s="35" t="s">
        <v>181</v>
      </c>
      <c r="C21" s="30" t="n">
        <f aca="false">MAX(0,MIN(C6,C20)-C11-C17)</f>
        <v>0</v>
      </c>
      <c r="D21" s="30" t="n">
        <f aca="false">MAX(0,MIN(D6,D20)-D11-D17)</f>
        <v>0</v>
      </c>
      <c r="E21" s="30" t="n">
        <f aca="false">MAX(0,MIN(E6,E20)-E11-E17)</f>
        <v>0</v>
      </c>
      <c r="F21" s="30" t="n">
        <f aca="false">MAX(0,MIN(F6,F20)-F11-F17)</f>
        <v>0</v>
      </c>
      <c r="G21" s="30" t="n">
        <f aca="false">MAX(0,MIN(G6,G20)-G11-G17)</f>
        <v>0</v>
      </c>
      <c r="H21" s="30" t="n">
        <f aca="false">MAX(0,MIN(H6,H20)-H11-H17)</f>
        <v>0</v>
      </c>
      <c r="I21" s="30" t="n">
        <f aca="false">MAX(0,MIN(I6,I20)-I11-I17)</f>
        <v>20110587.5377622</v>
      </c>
    </row>
    <row r="22" customFormat="false" ht="15" hidden="false" customHeight="false" outlineLevel="0" collapsed="false">
      <c r="B22" s="6" t="s">
        <v>182</v>
      </c>
      <c r="C22" s="30" t="n">
        <f aca="false">C21</f>
        <v>0</v>
      </c>
      <c r="D22" s="30" t="n">
        <f aca="false">MAX(0,D21-C21)</f>
        <v>0</v>
      </c>
      <c r="E22" s="30" t="n">
        <f aca="false">MAX(0,E21-D21)</f>
        <v>0</v>
      </c>
      <c r="F22" s="30" t="n">
        <f aca="false">MAX(0,F21-E21)</f>
        <v>0</v>
      </c>
      <c r="G22" s="30" t="n">
        <f aca="false">MAX(0,G21-F21)</f>
        <v>0</v>
      </c>
      <c r="H22" s="30" t="n">
        <f aca="false">MAX(0,H21-G21)</f>
        <v>0</v>
      </c>
      <c r="I22" s="30" t="n">
        <f aca="false">MAX(0,I21-H21)</f>
        <v>20110587.5377622</v>
      </c>
    </row>
    <row r="24" customFormat="false" ht="15" hidden="false" customHeight="false" outlineLevel="0" collapsed="false">
      <c r="B24" s="31" t="s">
        <v>183</v>
      </c>
      <c r="C24" s="32" t="n">
        <f aca="false">MAX(0,C6-C11-C17-C21)</f>
        <v>0</v>
      </c>
      <c r="D24" s="32" t="n">
        <f aca="false">MAX(0,D6-D11-D17-D21)</f>
        <v>0</v>
      </c>
      <c r="E24" s="32" t="n">
        <f aca="false">MAX(0,E6-E11-E17-E21)</f>
        <v>0</v>
      </c>
      <c r="F24" s="32" t="n">
        <f aca="false">MAX(0,F6-F11-F17-F21)</f>
        <v>0</v>
      </c>
      <c r="G24" s="32" t="n">
        <f aca="false">MAX(0,G6-G11-G17-G21)</f>
        <v>0</v>
      </c>
      <c r="H24" s="32" t="n">
        <f aca="false">MAX(0,H6-H11-H17-H21)</f>
        <v>0</v>
      </c>
      <c r="I24" s="32" t="n">
        <f aca="false">MAX(0,I6-I11-I17-I21)</f>
        <v>408685.239495933</v>
      </c>
    </row>
    <row r="25" customFormat="false" ht="15" hidden="false" customHeight="false" outlineLevel="0" collapsed="false">
      <c r="B25" s="6" t="s">
        <v>184</v>
      </c>
      <c r="C25" s="30" t="n">
        <f aca="false">C24</f>
        <v>0</v>
      </c>
      <c r="D25" s="30" t="n">
        <f aca="false">MAX(0,D24-C24)</f>
        <v>0</v>
      </c>
      <c r="E25" s="30" t="n">
        <f aca="false">MAX(0,E24-D24)</f>
        <v>0</v>
      </c>
      <c r="F25" s="30" t="n">
        <f aca="false">MAX(0,F24-E24)</f>
        <v>0</v>
      </c>
      <c r="G25" s="30" t="n">
        <f aca="false">MAX(0,G24-F24)</f>
        <v>0</v>
      </c>
      <c r="H25" s="30" t="n">
        <f aca="false">MAX(0,H24-G24)</f>
        <v>0</v>
      </c>
      <c r="I25" s="30" t="n">
        <f aca="false">MAX(0,I24-H24)</f>
        <v>408685.239495933</v>
      </c>
    </row>
    <row r="27" customFormat="false" ht="15" hidden="false" customHeight="false" outlineLevel="0" collapsed="false">
      <c r="B27" s="41" t="s">
        <v>185</v>
      </c>
      <c r="C27" s="42" t="n">
        <f aca="false">C12+C18+(1-Carry_Rate)*C25</f>
        <v>0</v>
      </c>
      <c r="D27" s="42" t="n">
        <f aca="false">D12+D18+(1-Carry_Rate)*D25</f>
        <v>0</v>
      </c>
      <c r="E27" s="42" t="n">
        <f aca="false">E12+E18+(1-Carry_Rate)*E25</f>
        <v>0</v>
      </c>
      <c r="F27" s="42" t="n">
        <f aca="false">F12+F18+(1-Carry_Rate)*F25</f>
        <v>565071.9375</v>
      </c>
      <c r="G27" s="42" t="n">
        <f aca="false">G12+G18+(1-Carry_Rate)*G25</f>
        <v>164269912.591875</v>
      </c>
      <c r="H27" s="42" t="n">
        <f aca="false">H12+H18+(1-Carry_Rate)*H25</f>
        <v>132738981.805369</v>
      </c>
      <c r="I27" s="42" t="n">
        <f aca="false">I12+I18+(1-Carry_Rate)*I25</f>
        <v>81333412.1661466</v>
      </c>
    </row>
    <row r="28" customFormat="false" ht="15" hidden="false" customHeight="false" outlineLevel="0" collapsed="false">
      <c r="B28" s="43" t="s">
        <v>186</v>
      </c>
      <c r="C28" s="44" t="n">
        <f aca="false">C22+Carry_Rate*C25</f>
        <v>0</v>
      </c>
      <c r="D28" s="44" t="n">
        <f aca="false">D22+Carry_Rate*D25</f>
        <v>0</v>
      </c>
      <c r="E28" s="44" t="n">
        <f aca="false">E22+Carry_Rate*E25</f>
        <v>0</v>
      </c>
      <c r="F28" s="44" t="n">
        <f aca="false">F22+Carry_Rate*F25</f>
        <v>0</v>
      </c>
      <c r="G28" s="44" t="n">
        <f aca="false">G22+Carry_Rate*G25</f>
        <v>0</v>
      </c>
      <c r="H28" s="44" t="n">
        <f aca="false">H22+Carry_Rate*H25</f>
        <v>0</v>
      </c>
      <c r="I28" s="44" t="n">
        <f aca="false">I22+Carry_Rate*I25</f>
        <v>20171890.3236866</v>
      </c>
    </row>
    <row r="29" customFormat="false" ht="15" hidden="false" customHeight="false" outlineLevel="0" collapsed="false">
      <c r="B29" s="35" t="s">
        <v>187</v>
      </c>
      <c r="C29" s="30" t="n">
        <f aca="false">C27+C28</f>
        <v>0</v>
      </c>
      <c r="D29" s="30" t="n">
        <f aca="false">D27+D28</f>
        <v>0</v>
      </c>
      <c r="E29" s="30" t="n">
        <f aca="false">E27+E28</f>
        <v>0</v>
      </c>
      <c r="F29" s="30" t="n">
        <f aca="false">F27+F28</f>
        <v>565071.9375</v>
      </c>
      <c r="G29" s="30" t="n">
        <f aca="false">G27+G28</f>
        <v>164269912.591875</v>
      </c>
      <c r="H29" s="30" t="n">
        <f aca="false">H27+H28</f>
        <v>132738981.805369</v>
      </c>
      <c r="I29" s="30" t="n">
        <f aca="false">I27+I28</f>
        <v>101505302.489833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2026-05-15T18:53:29Z</dcterms:created>
  <dc:creator>openpyxl</dc:creator>
  <dc:description/>
  <dc:language>en-GB</dc:language>
  <cp:lastModifiedBy/>
  <dcterms:modified xsi:type="dcterms:W3CDTF">2026-05-15T18:53:29Z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