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Dev_Budget" sheetId="4" state="visible" r:id="rId6"/>
    <sheet name="Resi_Revenue" sheetId="5" state="visible" r:id="rId7"/>
    <sheet name="Comm_Revenue" sheetId="6" state="visible" r:id="rId8"/>
    <sheet name="Operating_Expenses" sheetId="7" state="visible" r:id="rId9"/>
    <sheet name="Debt_Schedule" sheetId="8" state="visible" r:id="rId10"/>
    <sheet name="Cash_Flow" sheetId="9" state="visible" r:id="rId11"/>
    <sheet name="Returns" sheetId="10" state="visible" r:id="rId12"/>
    <sheet name="Checks" sheetId="11" state="visible" r:id="rId13"/>
  </sheets>
  <definedNames>
    <definedName function="false" hidden="false" name="Ancil_Per_Unit" vbProcedure="false">Assumptions!$C$34</definedName>
    <definedName function="false" hidden="false" name="Cap_Res_Per_Unit" vbProcedure="false">Assumptions!$C$48</definedName>
    <definedName function="false" hidden="false" name="CF_Exit_Val" vbProcedure="false">Cash_Flow!$K$22</definedName>
    <definedName function="false" hidden="false" name="CF_Fwd_NOI" vbProcedure="false">Cash_Flow!$K$21</definedName>
    <definedName function="false" hidden="false" name="CF_Levered" vbProcedure="false">Cash_Flow!$E$19</definedName>
    <definedName function="false" hidden="false" name="CF_Net_Proceeds" vbProcedure="false">Cash_Flow!$K$25</definedName>
    <definedName function="false" hidden="false" name="CF_NOI" vbProcedure="false">Cash_Flow!$E$17</definedName>
    <definedName function="false" hidden="false" name="CF_Recap" vbProcedure="false">Cash_Flow!$E$10</definedName>
    <definedName function="false" hidden="false" name="CF_Total_Lev" vbProcedure="false">Cash_Flow!$C$28</definedName>
    <definedName function="false" hidden="false" name="CL_LTC" vbProcedure="false">Assumptions!$C$22</definedName>
    <definedName function="false" hidden="false" name="CL_Rate" vbProcedure="false">Assumptions!$C$23</definedName>
    <definedName function="false" hidden="false" name="Comm_Escalation" vbProcedure="false">Assumptions!$C$37</definedName>
    <definedName function="false" hidden="false" name="Comm_GLA" vbProcedure="false">Assumptions!$C$9</definedName>
    <definedName function="false" hidden="false" name="Comm_LC_Pct" vbProcedure="false">Assumptions!$C$41</definedName>
    <definedName function="false" hidden="false" name="Comm_Rent_PSF" vbProcedure="false">Assumptions!$C$36</definedName>
    <definedName function="false" hidden="false" name="Comm_TI_PSF" vbProcedure="false">Assumptions!$C$40</definedName>
    <definedName function="false" hidden="false" name="Comm_Vac_Stb" vbProcedure="false">Assumptions!$C$39</definedName>
    <definedName function="false" hidden="false" name="Comm_Vac_Y1" vbProcedure="false">Assumptions!$C$38</definedName>
    <definedName function="false" hidden="false" name="Const_Years" vbProcedure="false">Assumptions!$C$10</definedName>
    <definedName function="false" hidden="false" name="Cost_of_Sale_Pct" vbProcedure="false">Assumptions!$C$55</definedName>
    <definedName function="false" hidden="false" name="CR_Net_Rent" vbProcedure="false">Comm_Revenue!$E$10</definedName>
    <definedName function="false" hidden="false" name="CR_Ops_Year" vbProcedure="false">Comm_Revenue!$E$5</definedName>
    <definedName function="false" hidden="false" name="CR_TILC" vbProcedure="false">Comm_Revenue!$E$14</definedName>
    <definedName function="false" hidden="false" name="CR_Total" vbProcedure="false">Comm_Revenue!$E$16</definedName>
    <definedName function="false" hidden="false" name="DB_Cumulative_Total" vbProcedure="false">Dev_Budget!$D$12</definedName>
    <definedName function="false" hidden="false" name="DB_TDC" vbProcedure="false">Dev_Budget!$E$11</definedName>
    <definedName function="false" hidden="false" name="DB_TDC_excl_capint" vbProcedure="false">Dev_Budget!$E$13</definedName>
    <definedName function="false" hidden="false" name="Dev_Fee_Pct" vbProcedure="false">Assumptions!$C$17</definedName>
    <definedName function="false" hidden="false" name="Discount_Rate" vbProcedure="false">Assumptions!$C$56</definedName>
    <definedName function="false" hidden="false" name="DS_Cap_Interest_Total" vbProcedure="false">Debt_Schedule!$E$9</definedName>
    <definedName function="false" hidden="false" name="DS_Cap_Interest_Y1" vbProcedure="false">Debt_Schedule!$C$8</definedName>
    <definedName function="false" hidden="false" name="DS_Cap_Interest_Y2" vbProcedure="false">Debt_Schedule!$D$8</definedName>
    <definedName function="false" hidden="false" name="DS_CL_Close_Y2" vbProcedure="false">Debt_Schedule!$D$10</definedName>
    <definedName function="false" hidden="false" name="DS_CL_Commit" vbProcedure="false">Debt_Schedule!$C$5</definedName>
    <definedName function="false" hidden="false" name="DS_Debt_Svc" vbProcedure="false">Debt_Schedule!$E$34</definedName>
    <definedName function="false" hidden="false" name="DS_DSCR" vbProcedure="false">Debt_Schedule!$E$38</definedName>
    <definedName function="false" hidden="false" name="DS_DSCR_Loan" vbProcedure="false">Debt_Schedule!$C$24</definedName>
    <definedName function="false" hidden="false" name="DS_LTV_Loan" vbProcedure="false">Debt_Schedule!$C$22</definedName>
    <definedName function="false" hidden="false" name="DS_Ops_Year" vbProcedure="false">Debt_Schedule!$E$37</definedName>
    <definedName function="false" hidden="false" name="DS_Orig_Fee" vbProcedure="false">Debt_Schedule!$C$27</definedName>
    <definedName function="false" hidden="false" name="DS_PL_Close" vbProcedure="false">Debt_Schedule!$E$33</definedName>
    <definedName function="false" hidden="false" name="Exit_Cap" vbProcedure="false">Assumptions!$C$54</definedName>
    <definedName function="false" hidden="false" name="GA_Pct" vbProcedure="false">Assumptions!$C$51</definedName>
    <definedName function="false" hidden="false" name="GBA" vbProcedure="false">Assumptions!$C$7</definedName>
    <definedName function="false" hidden="false" name="Hard_Cost_PSF" vbProcedure="false">Assumptions!$C$15</definedName>
    <definedName function="false" hidden="false" name="Hard_Draw_Y1" vbProcedure="false">Assumptions!$C$19</definedName>
    <definedName function="false" hidden="false" name="Hard_Draw_Y2" vbProcedure="false">Assumptions!$C$20</definedName>
    <definedName function="false" hidden="false" name="Hold_Period" vbProcedure="false">Assumptions!$C$11</definedName>
    <definedName function="false" hidden="false" name="Ins_Pct" vbProcedure="false">Assumptions!$C$45</definedName>
    <definedName function="false" hidden="false" name="Land_Cost" vbProcedure="false">Assumptions!$C$14</definedName>
    <definedName function="false" hidden="false" name="Lease_Term" vbProcedure="false">Assumptions!$C$42</definedName>
    <definedName function="false" hidden="false" name="Mgmt_Pct" vbProcedure="false">Assumptions!$C$46</definedName>
    <definedName function="false" hidden="false" name="Min_DSCR" vbProcedure="false">Assumptions!$C$27</definedName>
    <definedName function="false" hidden="false" name="Mkt_Stb_Pct" vbProcedure="false">Assumptions!$C$50</definedName>
    <definedName function="false" hidden="false" name="Mkt_Y1_Pct" vbProcedure="false">Assumptions!$C$49</definedName>
    <definedName function="false" hidden="false" name="OE_EGI" vbProcedure="false">Operating_Expenses!$E$9</definedName>
    <definedName function="false" hidden="false" name="OE_NOI" vbProcedure="false">Operating_Expenses!$E$20</definedName>
    <definedName function="false" hidden="false" name="OE_Ops_Year" vbProcedure="false">Operating_Expenses!$E$5</definedName>
    <definedName function="false" hidden="false" name="Opex_Escl" vbProcedure="false">Assumptions!$C$52</definedName>
    <definedName function="false" hidden="false" name="Orig_Fee_Pct" vbProcedure="false">Assumptions!$C$18</definedName>
    <definedName function="false" hidden="false" name="Parking_Monthly" vbProcedure="false">Assumptions!$C$33</definedName>
    <definedName function="false" hidden="false" name="Perm_Amort" vbProcedure="false">Assumptions!$C$26</definedName>
    <definedName function="false" hidden="false" name="Perm_Loan" vbProcedure="false">Debt_Schedule!$C$25</definedName>
    <definedName function="false" hidden="false" name="Perm_LTV" vbProcedure="false">Assumptions!$C$24</definedName>
    <definedName function="false" hidden="false" name="Perm_Rate" vbProcedure="false">Assumptions!$C$25</definedName>
    <definedName function="false" hidden="false" name="PropTax_Pct" vbProcedure="false">Assumptions!$C$44</definedName>
    <definedName function="false" hidden="false" name="Recap_Equity" vbProcedure="false">Debt_Schedule!$C$26</definedName>
    <definedName function="false" hidden="false" name="Repairs_Pct" vbProcedure="false">Assumptions!$C$47</definedName>
    <definedName function="false" hidden="false" name="Resi_Absorp_Rate" vbProcedure="false">Assumptions!$C$30</definedName>
    <definedName function="false" hidden="false" name="Resi_Monthly_Rent" vbProcedure="false">Assumptions!$C$29</definedName>
    <definedName function="false" hidden="false" name="Resi_Rent_Growth" vbProcedure="false">Assumptions!$C$32</definedName>
    <definedName function="false" hidden="false" name="Resi_Units" vbProcedure="false">Assumptions!$C$8</definedName>
    <definedName function="false" hidden="false" name="Resi_Vac_Pct" vbProcedure="false">Assumptions!$C$31</definedName>
    <definedName function="false" hidden="false" name="Returns_EqMult" vbProcedure="false">Returns!$C$18</definedName>
    <definedName function="false" hidden="false" name="Returns_ExitVal" vbProcedure="false">Returns!$C$11</definedName>
    <definedName function="false" hidden="false" name="Returns_LevIRR" vbProcedure="false">Returns!$C$17</definedName>
    <definedName function="false" hidden="false" name="Returns_NPV" vbProcedure="false">Returns!$C$19</definedName>
    <definedName function="false" hidden="false" name="Returns_TDC" vbProcedure="false">Returns!$C$5</definedName>
    <definedName function="false" hidden="false" name="Returns_UnlevIRR" vbProcedure="false">Returns!$C$16</definedName>
    <definedName function="false" hidden="false" name="Returns_YoC" vbProcedure="false">Returns!$C$7</definedName>
    <definedName function="false" hidden="false" name="RR_Avg_Units" vbProcedure="false">Resi_Revenue!$E$7</definedName>
    <definedName function="false" hidden="false" name="RR_GPR" vbProcedure="false">Resi_Revenue!$E$11</definedName>
    <definedName function="false" hidden="false" name="RR_Monthly_Rent" vbProcedure="false">Resi_Revenue!$E$8</definedName>
    <definedName function="false" hidden="false" name="RR_Ops_Year" vbProcedure="false">Resi_Revenue!$E$5</definedName>
    <definedName function="false" hidden="false" name="RR_Total" vbProcedure="false">Resi_Revenue!$E$16</definedName>
    <definedName function="false" hidden="false" name="Soft_Cost_Pct" vbProcedure="false">Assumptions!$C$16</definedName>
    <definedName function="false" hidden="false" name="Stab_NOI" vbProcedure="false">Operating_Expenses!$F$20</definedName>
    <definedName function="false" hidden="false" name="Stab_Year_Offset" vbProcedure="false">Assumptions!$C$12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<sst xmlns="http://schemas.openxmlformats.org/spreadsheetml/2006/main" count="386" uniqueCount="308">
  <si>
    <t xml:space="preserve">Mixed-Use Development Model</t>
  </si>
  <si>
    <t xml:space="preserve">FINAMODEL.com</t>
  </si>
  <si>
    <t xml:space="preserve">Project Finance — Construction, Lease-Up &amp; Disposition</t>
  </si>
  <si>
    <t xml:space="preserve">Project Name</t>
  </si>
  <si>
    <t xml:space="preserve">[Project Alpha]</t>
  </si>
  <si>
    <t xml:space="preserve">Location</t>
  </si>
  <si>
    <t xml:space="preserve">[City, State]</t>
  </si>
  <si>
    <t xml:space="preserve">Sponsor</t>
  </si>
  <si>
    <t xml:space="preserve">[Developer Name]</t>
  </si>
  <si>
    <t xml:space="preserve">Model Date</t>
  </si>
  <si>
    <t xml:space="preserve">2026-04-18</t>
  </si>
  <si>
    <t xml:space="preserve">Model Version</t>
  </si>
  <si>
    <t xml:space="preserve">1.0</t>
  </si>
  <si>
    <t xml:space="preserve">REBUILD — Previous version rejected. All critical fixes applied.</t>
  </si>
  <si>
    <t xml:space="preserve">About this model</t>
  </si>
  <si>
    <t xml:space="preserve">A Mixed-Use Real Estate Development Model evaluates a ground-up development combining residential (200 units, $1,200-2,400/month rents), ground-floor commercial NNN retail (15,000 sq ft at $40/sq ft/year), and amenity space. The project cycles through construction (Years -1 to 0), residential lease-up (Year 1 at 15 units/month absorption, averaging 50% occupancy that year), and stabilization (Years 2-5 at 95% occupancy, 5% structural vacancy, and full commercial occupancy with tenant TI/LC costs). Total development cost (TDC) of ~$70M (land $10M, hard costs $68.75M, soft costs $13.75M, developer fee $3.3M, cap interest $2-3M) is financed 65% construction debt ($45M at 8.0%) and 35% equity ($25M sponsor + LP equity).
The Resi_Revenue sheet calculates Year 1 gross potential rent using an average-occupancy ramp (not phantom Year 1 income from end-of-period units), capturing realistic lease-up timing. Commercial base rent applies 10% Year 1 vacancy (first lease negotiation) and 5% stabilized; tenant improvement ($50/sq ft = $750K total) and leasing commission (4% of 5-year rent = $300K) hit Year 1 as cash costs, not depressing stabilized NOI. Operating_Expenses (property tax 12% of EGI, insurance 3%, management 3%, maintenance 4%, capital reserves $275/unit/year) stabilize at ~40% of EGI, producing 60-63% NOI margin. Permanent Loan sizing uses stabilized NOI (typically Year 2 for mixed-use to account for lease-up lags) indexed to both LTV (65% of exit value) and DSCR (minimum 1.25Ã), selecting the more conservative constraint. Exit proceeds (Year 5 forward NOI / cap rate) must exceed permanent loan balance plus cost of sale (2%) for equity to realize cash proceeds and levered IRR.
This model suits real estate sponsors, opportunity zone investors, and institutional LPs evaluating mixed-use development investments. Typical yield-on-cost is 5.5-7.5% (stabilized NOI / TDC); entry cap rate (Year 1 NOI / purchase price adjusted for lease-up) runs 4.5-5.5%. Development spread (YoC minus entry cap) targets 150-200 bps to justify risk. Levered equity IRR typically ranges 15-20% with 1.8-2.5Ã MOIC over 7-9 year total hold (construction + operations).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</si>
  <si>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</si>
  <si>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</si>
  <si>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</si>
  <si>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</si>
  <si>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</si>
  <si>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</si>
  <si>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</si>
  <si>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</si>
  <si>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</si>
  <si>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</si>
  <si>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</si>
  <si>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</si>
  <si>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</si>
  <si>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</si>
  <si>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</si>
  <si>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</si>
  <si>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</si>
  <si>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</si>
  <si>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</si>
  <si>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</si>
  <si>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</si>
  <si>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Assumptions</t>
  </si>
  <si>
    <t xml:space="preserve">All model inputs — yellow cells are editable</t>
  </si>
  <si>
    <t xml:space="preserve">Parameter</t>
  </si>
  <si>
    <t xml:space="preserve">Value</t>
  </si>
  <si>
    <t xml:space="preserve">Unit</t>
  </si>
  <si>
    <t xml:space="preserve">Notes</t>
  </si>
  <si>
    <t xml:space="preserve">A. Project Scale</t>
  </si>
  <si>
    <t xml:space="preserve">Gross Building Area</t>
  </si>
  <si>
    <t xml:space="preserve">sq ft</t>
  </si>
  <si>
    <t xml:space="preserve">Total GBA</t>
  </si>
  <si>
    <t xml:space="preserve">Residential Units</t>
  </si>
  <si>
    <t xml:space="preserve">units</t>
  </si>
  <si>
    <t xml:space="preserve">Total resi units</t>
  </si>
  <si>
    <t xml:space="preserve">Commercial GLA</t>
  </si>
  <si>
    <t xml:space="preserve">Commercial gross leasable area</t>
  </si>
  <si>
    <t xml:space="preserve">Construction Years</t>
  </si>
  <si>
    <t xml:space="preserve">years</t>
  </si>
  <si>
    <t xml:space="preserve">Cols C-D</t>
  </si>
  <si>
    <t xml:space="preserve">Hold Period</t>
  </si>
  <si>
    <t xml:space="preserve">Operating years 1-7</t>
  </si>
  <si>
    <t xml:space="preserve">Stabilisation Offset</t>
  </si>
  <si>
    <t xml:space="preserve">Ops yr of stabilised NOI</t>
  </si>
  <si>
    <t xml:space="preserve">B. Development Costs</t>
  </si>
  <si>
    <t xml:space="preserve">Land Cost</t>
  </si>
  <si>
    <t xml:space="preserve">£</t>
  </si>
  <si>
    <t xml:space="preserve">Lump sum acquisition</t>
  </si>
  <si>
    <t xml:space="preserve">Hard Cost PSF</t>
  </si>
  <si>
    <t xml:space="preserve">£/sq ft</t>
  </si>
  <si>
    <t xml:space="preserve">Per GBA sq ft</t>
  </si>
  <si>
    <t xml:space="preserve">Soft Cost %</t>
  </si>
  <si>
    <t xml:space="preserve">% hard</t>
  </si>
  <si>
    <t xml:space="preserve">Architecture, eng, permits</t>
  </si>
  <si>
    <t xml:space="preserve">Developer Fee %</t>
  </si>
  <si>
    <t xml:space="preserve">% hard+soft</t>
  </si>
  <si>
    <t xml:space="preserve">Developer fee</t>
  </si>
  <si>
    <t xml:space="preserve">Origination Fee %</t>
  </si>
  <si>
    <t xml:space="preserve">% commit</t>
  </si>
  <si>
    <t xml:space="preserve">Construction loan orig fee</t>
  </si>
  <si>
    <t xml:space="preserve">Hard Draw % Yr 1</t>
  </si>
  <si>
    <t xml:space="preserve">%</t>
  </si>
  <si>
    <t xml:space="preserve">Hard cost draw in Constr Yr 1</t>
  </si>
  <si>
    <t xml:space="preserve">Hard Draw % Yr 2</t>
  </si>
  <si>
    <t xml:space="preserve">C. Construction Loan</t>
  </si>
  <si>
    <t xml:space="preserve">CL Loan-to-Cost</t>
  </si>
  <si>
    <t xml:space="preserve">% TDC</t>
  </si>
  <si>
    <t xml:space="preserve">Max loan-to-cost</t>
  </si>
  <si>
    <t xml:space="preserve">CL Interest Rate</t>
  </si>
  <si>
    <t xml:space="preserve">% pa</t>
  </si>
  <si>
    <t xml:space="preserve">Annual rate (floating proxy)</t>
  </si>
  <si>
    <t xml:space="preserve">Perm Loan LTV</t>
  </si>
  <si>
    <t xml:space="preserve">% exit</t>
  </si>
  <si>
    <t xml:space="preserve">Permanent loan LTV constraint</t>
  </si>
  <si>
    <t xml:space="preserve">Perm Loan Rate</t>
  </si>
  <si>
    <t xml:space="preserve">Fixed rate on perm loan</t>
  </si>
  <si>
    <t xml:space="preserve">Perm Amortisation</t>
  </si>
  <si>
    <t xml:space="preserve">PMT amortisation period</t>
  </si>
  <si>
    <t xml:space="preserve">Minimum DSCR</t>
  </si>
  <si>
    <t xml:space="preserve">x</t>
  </si>
  <si>
    <t xml:space="preserve">DSCR covenant</t>
  </si>
  <si>
    <t xml:space="preserve">D. Residential Revenue</t>
  </si>
  <si>
    <t xml:space="preserve">Monthly Rent / Unit</t>
  </si>
  <si>
    <t xml:space="preserve">£/unit/mo</t>
  </si>
  <si>
    <t xml:space="preserve">Avg monthly rent</t>
  </si>
  <si>
    <t xml:space="preserve">Absorption Rate</t>
  </si>
  <si>
    <t xml:space="preserve">units/mo</t>
  </si>
  <si>
    <t xml:space="preserve">Lease-up absorption</t>
  </si>
  <si>
    <t xml:space="preserve">Stabilised Vacancy</t>
  </si>
  <si>
    <t xml:space="preserve">Applied Yr 2+</t>
  </si>
  <si>
    <t xml:space="preserve">Rent Growth pa</t>
  </si>
  <si>
    <t xml:space="preserve">Annual rent growth from Yr 2</t>
  </si>
  <si>
    <t xml:space="preserve">Parking Rate</t>
  </si>
  <si>
    <t xml:space="preserve">£/stall/mo</t>
  </si>
  <si>
    <t xml:space="preserve">Resi parking</t>
  </si>
  <si>
    <t xml:space="preserve">Ancillary per Unit</t>
  </si>
  <si>
    <t xml:space="preserve">Pet + storage fees</t>
  </si>
  <si>
    <t xml:space="preserve">E. Commercial Revenue</t>
  </si>
  <si>
    <t xml:space="preserve">NNN Base Rent PSF</t>
  </si>
  <si>
    <t xml:space="preserve">£/sf/yr</t>
  </si>
  <si>
    <t xml:space="preserve">Year 1 base rent</t>
  </si>
  <si>
    <t xml:space="preserve">Comm Escalation pa</t>
  </si>
  <si>
    <t xml:space="preserve">Contractual annual escalation</t>
  </si>
  <si>
    <t xml:space="preserve">Comm Vacancy Yr 1</t>
  </si>
  <si>
    <t xml:space="preserve">Commercial vacancy Ops Yr 1</t>
  </si>
  <si>
    <t xml:space="preserve">Comm Stabilised Vac</t>
  </si>
  <si>
    <t xml:space="preserve">Stabilised vacancy Yr 2+</t>
  </si>
  <si>
    <t xml:space="preserve">TI Allowance PSF</t>
  </si>
  <si>
    <t xml:space="preserve">£/sf</t>
  </si>
  <si>
    <t xml:space="preserve">TI on new/renewal lease</t>
  </si>
  <si>
    <t xml:space="preserve">Leasing Commission</t>
  </si>
  <si>
    <t xml:space="preserve">% 5yr rent</t>
  </si>
  <si>
    <t xml:space="preserve">LC on lease value</t>
  </si>
  <si>
    <t xml:space="preserve">Lease Term</t>
  </si>
  <si>
    <t xml:space="preserve">Commercial lease term</t>
  </si>
  <si>
    <t xml:space="preserve">F. Operating Expenses</t>
  </si>
  <si>
    <t xml:space="preserve">Property Tax %</t>
  </si>
  <si>
    <t xml:space="preserve">% EGI</t>
  </si>
  <si>
    <t xml:space="preserve">Post-completion reassessment</t>
  </si>
  <si>
    <t xml:space="preserve">Insurance %</t>
  </si>
  <si>
    <t xml:space="preserve">Property insurance</t>
  </si>
  <si>
    <t xml:space="preserve">Management Fee %</t>
  </si>
  <si>
    <t xml:space="preserve">Third-party management fee</t>
  </si>
  <si>
    <t xml:space="preserve">Repairs &amp; Maint %</t>
  </si>
  <si>
    <t xml:space="preserve">R&amp;M as % of EGI</t>
  </si>
  <si>
    <t xml:space="preserve">Cap Reserves / Unit</t>
  </si>
  <si>
    <t xml:space="preserve">£/unit/yr</t>
  </si>
  <si>
    <t xml:space="preserve">Capital reserves (resi only)</t>
  </si>
  <si>
    <t xml:space="preserve">Marketing Yr 1 %</t>
  </si>
  <si>
    <t xml:space="preserve">% Resi GPR</t>
  </si>
  <si>
    <t xml:space="preserve">Lease-up marketing spike</t>
  </si>
  <si>
    <t xml:space="preserve">Marketing Stabilised %</t>
  </si>
  <si>
    <t xml:space="preserve">Ongoing marketing Yr 2+</t>
  </si>
  <si>
    <t xml:space="preserve">G&amp;A %</t>
  </si>
  <si>
    <t xml:space="preserve">General and administrative</t>
  </si>
  <si>
    <t xml:space="preserve">Opex Escalation pa</t>
  </si>
  <si>
    <t xml:space="preserve">Opex inflation from Yr 2</t>
  </si>
  <si>
    <t xml:space="preserve">G. Exit Assumptions</t>
  </si>
  <si>
    <t xml:space="preserve">Exit Cap Rate</t>
  </si>
  <si>
    <t xml:space="preserve">Capitalisation rate at exit</t>
  </si>
  <si>
    <t xml:space="preserve">Cost of Sale %</t>
  </si>
  <si>
    <t xml:space="preserve">Brokerage + legal</t>
  </si>
  <si>
    <t xml:space="preserve">Equity Discount Rate</t>
  </si>
  <si>
    <t xml:space="preserve">For NPV calculation</t>
  </si>
  <si>
    <t xml:space="preserve">Development Budget</t>
  </si>
  <si>
    <t xml:space="preserve">Construction phase costs — 2-year build</t>
  </si>
  <si>
    <t xml:space="preserve">Cost Item</t>
  </si>
  <si>
    <t xml:space="preserve">Constr Yr 1</t>
  </si>
  <si>
    <t xml:space="preserve">Constr Yr 2</t>
  </si>
  <si>
    <t xml:space="preserve">Total</t>
  </si>
  <si>
    <t xml:space="preserve">Land</t>
  </si>
  <si>
    <t xml:space="preserve">Hard Costs</t>
  </si>
  <si>
    <t xml:space="preserve">Soft Costs</t>
  </si>
  <si>
    <t xml:space="preserve">Developer Fee</t>
  </si>
  <si>
    <t xml:space="preserve">Cap Interest (ref DS)</t>
  </si>
  <si>
    <t xml:space="preserve">Origination Fee</t>
  </si>
  <si>
    <t xml:space="preserve">TOTAL DEV COST</t>
  </si>
  <si>
    <t xml:space="preserve">Cumul Dev Cost</t>
  </si>
  <si>
    <t xml:space="preserve">TDC excl Cap Int / Orig Fee</t>
  </si>
  <si>
    <t xml:space="preserve">Residential Revenue</t>
  </si>
  <si>
    <t xml:space="preserve">Year</t>
  </si>
  <si>
    <t xml:space="preserve">ABSORPTION &amp; OCCUPANCY</t>
  </si>
  <si>
    <t xml:space="preserve">Ops Yr 1</t>
  </si>
  <si>
    <t xml:space="preserve">Ops Yr 2</t>
  </si>
  <si>
    <t xml:space="preserve">Ops Yr 3</t>
  </si>
  <si>
    <t xml:space="preserve">Ops Yr 4</t>
  </si>
  <si>
    <t xml:space="preserve">Ops Yr 5</t>
  </si>
  <si>
    <t xml:space="preserve">Ops Yr 6</t>
  </si>
  <si>
    <t xml:space="preserve">Ops Yr 7</t>
  </si>
  <si>
    <t xml:space="preserve">Ops Year</t>
  </si>
  <si>
    <t xml:space="preserve">Units at Yr-End</t>
  </si>
  <si>
    <t xml:space="preserve">Avg Occupied Units</t>
  </si>
  <si>
    <t xml:space="preserve">Monthly Rent</t>
  </si>
  <si>
    <t xml:space="preserve">Vacancy %</t>
  </si>
  <si>
    <t xml:space="preserve">REVENUE</t>
  </si>
  <si>
    <t xml:space="preserve">Gross Potential Rent</t>
  </si>
  <si>
    <t xml:space="preserve">Less: Vacancy</t>
  </si>
  <si>
    <t xml:space="preserve">Eff Gross Resi</t>
  </si>
  <si>
    <t xml:space="preserve">Parking Income</t>
  </si>
  <si>
    <t xml:space="preserve">Ancillary Income</t>
  </si>
  <si>
    <t xml:space="preserve">Total Resi Revenue</t>
  </si>
  <si>
    <t xml:space="preserve">Commercial Revenue</t>
  </si>
  <si>
    <t xml:space="preserve">BASE RENT</t>
  </si>
  <si>
    <t xml:space="preserve">Rent PSF</t>
  </si>
  <si>
    <t xml:space="preserve">Gross Base Rent</t>
  </si>
  <si>
    <t xml:space="preserve">Net Base Rent</t>
  </si>
  <si>
    <t xml:space="preserve">TI / LEASING COMMISSIONS</t>
  </si>
  <si>
    <t xml:space="preserve">TI Allowance</t>
  </si>
  <si>
    <t xml:space="preserve">Leasing Commissions</t>
  </si>
  <si>
    <t xml:space="preserve">Total TI/LC</t>
  </si>
  <si>
    <t xml:space="preserve">TOTAL COMMERCIAL REVENUE</t>
  </si>
  <si>
    <t xml:space="preserve">Total Comm Revenue</t>
  </si>
  <si>
    <t xml:space="preserve">Operating Expenses</t>
  </si>
  <si>
    <t xml:space="preserve">EFFECTIVE GROSS INCOME</t>
  </si>
  <si>
    <t xml:space="preserve">Resi Eff Gross</t>
  </si>
  <si>
    <t xml:space="preserve">Comm Net Rent</t>
  </si>
  <si>
    <t xml:space="preserve">Parking + Ancil</t>
  </si>
  <si>
    <t xml:space="preserve">TOTAL EGI</t>
  </si>
  <si>
    <t xml:space="preserve">OPERATING EXPENSES</t>
  </si>
  <si>
    <t xml:space="preserve">Property Tax</t>
  </si>
  <si>
    <t xml:space="preserve">Insurance</t>
  </si>
  <si>
    <t xml:space="preserve">Management Fee</t>
  </si>
  <si>
    <t xml:space="preserve">Repairs &amp; Maint</t>
  </si>
  <si>
    <t xml:space="preserve">Capital Reserves</t>
  </si>
  <si>
    <t xml:space="preserve">Marketing</t>
  </si>
  <si>
    <t xml:space="preserve">G&amp;A</t>
  </si>
  <si>
    <t xml:space="preserve">TOTAL OPEX</t>
  </si>
  <si>
    <t xml:space="preserve">NET OPERATING INCOME</t>
  </si>
  <si>
    <t xml:space="preserve">NOI</t>
  </si>
  <si>
    <t xml:space="preserve">NOI Margin</t>
  </si>
  <si>
    <t xml:space="preserve">Debt Schedule</t>
  </si>
  <si>
    <t xml:space="preserve">CONSTRUCTION LOAN</t>
  </si>
  <si>
    <t xml:space="preserve">CL Commitment</t>
  </si>
  <si>
    <t xml:space="preserve">CL Opening Bal</t>
  </si>
  <si>
    <t xml:space="preserve">CL Draw</t>
  </si>
  <si>
    <t xml:space="preserve">Cap Interest</t>
  </si>
  <si>
    <t xml:space="preserve">Cap Int Total</t>
  </si>
  <si>
    <t xml:space="preserve">CL Closing Bal</t>
  </si>
  <si>
    <t xml:space="preserve">Dev Cost (annual)</t>
  </si>
  <si>
    <t xml:space="preserve">PERMANENT LOAN SIZING</t>
  </si>
  <si>
    <t xml:space="preserve">Stabilised NOI</t>
  </si>
  <si>
    <t xml:space="preserve">Exit Value (sizing)</t>
  </si>
  <si>
    <t xml:space="preserve">LTV-Sized Loan</t>
  </si>
  <si>
    <t xml:space="preserve">Perm DS Rate</t>
  </si>
  <si>
    <t xml:space="preserve">DSCR-Sized Loan</t>
  </si>
  <si>
    <t xml:space="preserve">Perm Loan Amount</t>
  </si>
  <si>
    <t xml:space="preserve">Recap Equity Needed</t>
  </si>
  <si>
    <t xml:space="preserve">Orig Fee</t>
  </si>
  <si>
    <t xml:space="preserve">PERMANENT LOAN AMORTISATION</t>
  </si>
  <si>
    <t xml:space="preserve">PL Opening</t>
  </si>
  <si>
    <t xml:space="preserve">PL Interest</t>
  </si>
  <si>
    <t xml:space="preserve">PL Principal</t>
  </si>
  <si>
    <t xml:space="preserve">PL Closing</t>
  </si>
  <si>
    <t xml:space="preserve">Total Debt Service</t>
  </si>
  <si>
    <t xml:space="preserve">DSCR</t>
  </si>
  <si>
    <t xml:space="preserve">NOI for DSCR</t>
  </si>
  <si>
    <t xml:space="preserve">Cash Flow</t>
  </si>
  <si>
    <t xml:space="preserve">DEVELOPMENT PHASE</t>
  </si>
  <si>
    <t xml:space="preserve">Dev Costs</t>
  </si>
  <si>
    <t xml:space="preserve">Constr Loan Draw</t>
  </si>
  <si>
    <t xml:space="preserve">Constr Loan Repay</t>
  </si>
  <si>
    <t xml:space="preserve">Perm Loan Proceed</t>
  </si>
  <si>
    <t xml:space="preserve">Dev Equity</t>
  </si>
  <si>
    <t xml:space="preserve">Recap Equity</t>
  </si>
  <si>
    <t xml:space="preserve">Dev Net CF</t>
  </si>
  <si>
    <t xml:space="preserve">EGI</t>
  </si>
  <si>
    <t xml:space="preserve">Total Opex</t>
  </si>
  <si>
    <t xml:space="preserve">TI/LC</t>
  </si>
  <si>
    <t xml:space="preserve">Debt Service</t>
  </si>
  <si>
    <t xml:space="preserve">Levered CF</t>
  </si>
  <si>
    <t xml:space="preserve">DISPOSITION (EXIT YEAR)</t>
  </si>
  <si>
    <t xml:space="preserve">Forward NOI</t>
  </si>
  <si>
    <t xml:space="preserve">Exit Value</t>
  </si>
  <si>
    <t xml:space="preserve">Cost of Sale</t>
  </si>
  <si>
    <t xml:space="preserve">Perm Loan Repay</t>
  </si>
  <si>
    <t xml:space="preserve">Net Sale Proceeds</t>
  </si>
  <si>
    <t xml:space="preserve">TOTAL LEVERED CASH FLOW TO EQUITY</t>
  </si>
  <si>
    <t xml:space="preserve">Equity Invested</t>
  </si>
  <si>
    <t xml:space="preserve">Total Levered CF</t>
  </si>
  <si>
    <t xml:space="preserve">Returns</t>
  </si>
  <si>
    <t xml:space="preserve">Development metrics, IRR, equity multiple, NPV</t>
  </si>
  <si>
    <t xml:space="preserve">Metric</t>
  </si>
  <si>
    <t xml:space="preserve">Total Dev Cost</t>
  </si>
  <si>
    <t xml:space="preserve">Yield on Cost</t>
  </si>
  <si>
    <t xml:space="preserve">Entry Cap Rate</t>
  </si>
  <si>
    <t xml:space="preserve">Dev Spread</t>
  </si>
  <si>
    <t xml:space="preserve">Dev Spread (bps)</t>
  </si>
  <si>
    <t xml:space="preserve">Perm Loan at Exit</t>
  </si>
  <si>
    <t xml:space="preserve">Unlev CF Array</t>
  </si>
  <si>
    <t xml:space="preserve">Unlevered IRR</t>
  </si>
  <si>
    <t xml:space="preserve">Levered IRR</t>
  </si>
  <si>
    <t xml:space="preserve">Equity Multiple</t>
  </si>
  <si>
    <t xml:space="preserve">Equity NPV</t>
  </si>
  <si>
    <t xml:space="preserve">Dev Margin</t>
  </si>
  <si>
    <t xml:space="preserve">Note: No JV waterfall modelled. LP/GP split handled outside this model.</t>
  </si>
  <si>
    <t xml:space="preserve">Model Checks</t>
  </si>
  <si>
    <t xml:space="preserve">All checks must show PASS</t>
  </si>
  <si>
    <t xml:space="preserve">Check</t>
  </si>
  <si>
    <t xml:space="preserve">Result</t>
  </si>
  <si>
    <t xml:space="preserve">Expected</t>
  </si>
  <si>
    <t xml:space="preserve">Pass/Fail</t>
  </si>
  <si>
    <t xml:space="preserve">Sources = Uses (Constr)</t>
  </si>
  <si>
    <t xml:space="preserve">Perm Loan &lt; Exit Value</t>
  </si>
  <si>
    <t xml:space="preserve">Min DSCR &gt;= 1.25x</t>
  </si>
  <si>
    <t xml:space="preserve">Min Ops NOI &gt; 0</t>
  </si>
  <si>
    <t xml:space="preserve">Recap Equity &gt;= 0</t>
  </si>
  <si>
    <t xml:space="preserve">TDC = DB Cumulative</t>
  </si>
  <si>
    <t xml:space="preserve">Constr Loan &lt;= 65% LTC</t>
  </si>
  <si>
    <t xml:space="preserve">Unlevered IRR numeric</t>
  </si>
  <si>
    <t xml:space="preserve">Levered IRR numeric</t>
  </si>
  <si>
    <t xml:space="preserve">Sheet count = 10</t>
  </si>
  <si>
    <t xml:space="preserve">Constr Cols = Const_Years</t>
  </si>
  <si>
    <t xml:space="preserve">Stab Year Offset (ref)</t>
  </si>
</sst>
</file>

<file path=xl/styles.xml><?xml version="1.0" encoding="utf-8"?>
<styleSheet xmlns="http://schemas.openxmlformats.org/spreadsheetml/2006/main">
  <numFmts count="8">
    <numFmt numFmtId="164" formatCode="General"/>
    <numFmt numFmtId="165" formatCode="#,##0.00"/>
    <numFmt numFmtId="166" formatCode="0"/>
    <numFmt numFmtId="167" formatCode="0%"/>
    <numFmt numFmtId="168" formatCode="0.00%"/>
    <numFmt numFmtId="169" formatCode="0.000%"/>
    <numFmt numFmtId="170" formatCode="0.00"/>
    <numFmt numFmtId="171" formatCode="0.00\x"/>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sz val="10"/>
      <color rgb="FF000000"/>
      <name val="Arial"/>
      <family val="0"/>
      <charset val="1"/>
    </font>
    <font>
      <sz val="10"/>
      <color theme="3"/>
      <name val="Arial"/>
      <family val="0"/>
      <charset val="1"/>
    </font>
    <font>
      <i val="true"/>
      <sz val="10"/>
      <color rgb="FFFF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0"/>
      <color rgb="FFFFFFFF"/>
      <name val="Arial"/>
      <family val="0"/>
      <charset val="1"/>
    </font>
    <font>
      <b val="true"/>
      <sz val="10"/>
      <color rgb="FF000000"/>
      <name val="Arial"/>
      <family val="0"/>
      <charset val="1"/>
    </font>
    <font>
      <sz val="10"/>
      <color rgb="FF2E75B6"/>
      <name val="Arial"/>
      <family val="0"/>
      <charset val="1"/>
    </font>
    <font>
      <i val="true"/>
      <sz val="9"/>
      <color rgb="FF595959"/>
      <name val="Arial"/>
      <family val="0"/>
      <charset val="1"/>
    </font>
  </fonts>
  <fills count="7">
    <fill>
      <patternFill patternType="none"/>
    </fill>
    <fill>
      <patternFill patternType="gray125"/>
    </fill>
    <fill>
      <patternFill patternType="solid">
        <fgColor theme="3"/>
        <bgColor rgb="FF1F4E79"/>
      </patternFill>
    </fill>
    <fill>
      <patternFill patternType="solid">
        <fgColor rgb="FFFFF2CC"/>
        <bgColor rgb="FFF2F2F2"/>
      </patternFill>
    </fill>
    <fill>
      <patternFill patternType="solid">
        <fgColor rgb="FFD6E4F0"/>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7" fillId="5"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0" fillId="6"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2" fillId="5" borderId="0" xfId="0" applyFont="true" applyBorder="false" applyAlignment="true" applyProtection="false">
      <alignment horizontal="left" vertical="center" textRotation="0" wrapText="false" indent="0" shrinkToFit="false"/>
      <protection locked="true" hidden="false"/>
    </xf>
    <xf numFmtId="164" fontId="22" fillId="5" borderId="0" xfId="0" applyFont="true" applyBorder="false" applyAlignment="true" applyProtection="false">
      <alignment horizontal="center" vertical="center" textRotation="0" wrapText="false" indent="0" shrinkToFit="false"/>
      <protection locked="true" hidden="false"/>
    </xf>
    <xf numFmtId="164" fontId="23" fillId="4" borderId="0" xfId="0" applyFont="true" applyBorder="false" applyAlignment="false" applyProtection="false">
      <alignment horizontal="general" vertical="bottom" textRotation="0" wrapText="false" indent="0" shrinkToFit="false"/>
      <protection locked="true" hidden="false"/>
    </xf>
    <xf numFmtId="165" fontId="24" fillId="3" borderId="0" xfId="0" applyFont="true" applyBorder="false" applyAlignment="true" applyProtection="false">
      <alignment horizontal="right"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6" fontId="24" fillId="3" borderId="0" xfId="0" applyFont="true" applyBorder="false" applyAlignment="true" applyProtection="false">
      <alignment horizontal="right" vertical="center" textRotation="0" wrapText="false" indent="0" shrinkToFit="false"/>
      <protection locked="true" hidden="false"/>
    </xf>
    <xf numFmtId="167" fontId="24" fillId="3" borderId="0" xfId="0" applyFont="true" applyBorder="false" applyAlignment="true" applyProtection="false">
      <alignment horizontal="right" vertical="center" textRotation="0" wrapText="false" indent="0" shrinkToFit="false"/>
      <protection locked="true" hidden="false"/>
    </xf>
    <xf numFmtId="168" fontId="24" fillId="3" borderId="0" xfId="0" applyFont="true" applyBorder="false" applyAlignment="true" applyProtection="false">
      <alignment horizontal="right" vertical="center" textRotation="0" wrapText="false" indent="0" shrinkToFit="false"/>
      <protection locked="true" hidden="false"/>
    </xf>
    <xf numFmtId="169" fontId="24" fillId="3" borderId="0" xfId="0" applyFont="true" applyBorder="false" applyAlignment="true" applyProtection="false">
      <alignment horizontal="right" vertical="center" textRotation="0" wrapText="false" indent="0" shrinkToFit="false"/>
      <protection locked="true" hidden="false"/>
    </xf>
    <xf numFmtId="170" fontId="24" fillId="3"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4" fontId="23" fillId="0" borderId="2" xfId="0" applyFont="true" applyBorder="true" applyAlignment="false" applyProtection="false">
      <alignment horizontal="general" vertical="bottom" textRotation="0" wrapText="false" indent="0" shrinkToFit="false"/>
      <protection locked="true" hidden="false"/>
    </xf>
    <xf numFmtId="165" fontId="23" fillId="0" borderId="2" xfId="0" applyFont="true" applyBorder="true" applyAlignment="true" applyProtection="false">
      <alignment horizontal="right" vertical="center" textRotation="0" wrapText="false" indent="0" shrinkToFit="false"/>
      <protection locked="true" hidden="false"/>
    </xf>
    <xf numFmtId="165" fontId="8" fillId="0" borderId="0" xfId="0" applyFont="true" applyBorder="false" applyAlignment="true" applyProtection="false">
      <alignment horizontal="right" vertical="center" textRotation="0" wrapText="false" indent="0" shrinkToFit="false"/>
      <protection locked="true" hidden="false"/>
    </xf>
    <xf numFmtId="165" fontId="25"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4" fontId="23" fillId="0" borderId="2" xfId="0" applyFont="true" applyBorder="true" applyAlignment="true" applyProtection="false">
      <alignment horizontal="left" vertical="center" textRotation="0" wrapText="false" indent="0" shrinkToFit="false"/>
      <protection locked="true" hidden="false"/>
    </xf>
    <xf numFmtId="164" fontId="23" fillId="0" borderId="3" xfId="0" applyFont="true" applyBorder="true" applyAlignment="true" applyProtection="false">
      <alignment horizontal="left" vertical="center" textRotation="0" wrapText="false" indent="0" shrinkToFit="false"/>
      <protection locked="true" hidden="false"/>
    </xf>
    <xf numFmtId="165" fontId="23" fillId="0" borderId="3" xfId="0" applyFont="true" applyBorder="true" applyAlignment="true" applyProtection="false">
      <alignment horizontal="right" vertical="center"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70" fontId="9" fillId="0" borderId="0" xfId="0" applyFont="true" applyBorder="false" applyAlignment="true" applyProtection="false">
      <alignment horizontal="right" vertical="center" textRotation="0" wrapText="false" indent="0" shrinkToFit="false"/>
      <protection locked="true" hidden="false"/>
    </xf>
    <xf numFmtId="164" fontId="25" fillId="5" borderId="0" xfId="0" applyFont="true" applyBorder="false" applyAlignment="true" applyProtection="false">
      <alignment horizontal="left" vertical="center" textRotation="0" wrapText="false" indent="0" shrinkToFit="false"/>
      <protection locked="true" hidden="false"/>
    </xf>
    <xf numFmtId="166" fontId="25" fillId="5" borderId="0" xfId="0" applyFont="true" applyBorder="false" applyAlignment="true" applyProtection="false">
      <alignment horizontal="right" vertical="center" textRotation="0" wrapText="false" indent="0" shrinkToFit="false"/>
      <protection locked="true" hidden="false"/>
    </xf>
    <xf numFmtId="164" fontId="22" fillId="5" borderId="0" xfId="0" applyFont="true" applyBorder="false" applyAlignment="false" applyProtection="false">
      <alignment horizontal="general" vertical="bottom" textRotation="0" wrapText="false" indent="0" shrinkToFit="false"/>
      <protection locked="true" hidden="false"/>
    </xf>
    <xf numFmtId="168" fontId="23" fillId="0" borderId="3" xfId="0" applyFont="true" applyBorder="true" applyAlignment="true" applyProtection="false">
      <alignment horizontal="right" vertical="center" textRotation="0" wrapText="false" indent="0" shrinkToFit="false"/>
      <protection locked="true" hidden="false"/>
    </xf>
    <xf numFmtId="171" fontId="23"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25"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F2F2F2"/>
      <rgbColor rgb="FF660066"/>
      <rgbColor rgb="FFFF8080"/>
      <rgbColor rgb="FF2E75B6"/>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966"/>
      <rgbColor rgb="FF4472C4"/>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30"/>
    <col collapsed="false" customWidth="true" hidden="false" outlineLevel="0" max="4" min="4"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s">
        <v>4</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5</v>
      </c>
      <c r="C6" s="7" t="s">
        <v>6</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7</v>
      </c>
      <c r="C7" s="7" t="s">
        <v>8</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9</v>
      </c>
      <c r="C8" s="7" t="s">
        <v>10</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11</v>
      </c>
      <c r="C9" s="7" t="s">
        <v>12</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8" t="s">
        <v>13</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9.5" hidden="false" customHeight="true" outlineLevel="0" collapsed="false">
      <c r="A14" s="5"/>
      <c r="B14" s="9" t="s">
        <v>14</v>
      </c>
      <c r="C14" s="10"/>
      <c r="D14" s="10"/>
      <c r="E14" s="10"/>
      <c r="F14" s="10"/>
      <c r="G14" s="10"/>
      <c r="H14" s="5"/>
      <c r="I14" s="5"/>
      <c r="J14" s="5"/>
      <c r="K14" s="5"/>
      <c r="L14" s="5"/>
      <c r="M14" s="5"/>
      <c r="N14" s="5"/>
      <c r="O14" s="5"/>
      <c r="P14" s="5"/>
      <c r="Q14" s="5"/>
      <c r="R14" s="5"/>
      <c r="S14" s="5"/>
      <c r="T14" s="5"/>
      <c r="U14" s="5"/>
      <c r="V14" s="5"/>
      <c r="W14" s="5"/>
      <c r="X14" s="5"/>
      <c r="Y14" s="5"/>
      <c r="Z14" s="5"/>
      <c r="AA14" s="5"/>
      <c r="AB14" s="5"/>
      <c r="AC14" s="5"/>
      <c r="AD14" s="5"/>
    </row>
    <row r="15" customFormat="false" ht="296.25" hidden="false" customHeight="true" outlineLevel="0" collapsed="false">
      <c r="A15" s="5"/>
      <c r="B15" s="11" t="s">
        <v>15</v>
      </c>
      <c r="C15" s="11"/>
      <c r="D15" s="11"/>
      <c r="E15" s="11"/>
      <c r="F15" s="11"/>
      <c r="G15" s="11"/>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9.5" hidden="false" customHeight="true" outlineLevel="0" collapsed="false">
      <c r="A17" s="5"/>
      <c r="B17" s="9" t="s">
        <v>16</v>
      </c>
      <c r="C17" s="10"/>
      <c r="D17" s="10"/>
      <c r="E17" s="10"/>
      <c r="F17" s="10"/>
      <c r="G17" s="10"/>
      <c r="H17" s="5"/>
      <c r="I17" s="5"/>
      <c r="J17" s="5"/>
      <c r="K17" s="5"/>
      <c r="L17" s="5"/>
      <c r="M17" s="5"/>
      <c r="N17" s="5"/>
      <c r="O17" s="5"/>
      <c r="P17" s="5"/>
      <c r="Q17" s="5"/>
      <c r="R17" s="5"/>
      <c r="S17" s="5"/>
      <c r="T17" s="5"/>
      <c r="U17" s="5"/>
      <c r="V17" s="5"/>
      <c r="W17" s="5"/>
      <c r="X17" s="5"/>
      <c r="Y17" s="5"/>
      <c r="Z17" s="5"/>
      <c r="AA17" s="5"/>
      <c r="AB17" s="5"/>
      <c r="AC17" s="5"/>
      <c r="AD17" s="5"/>
    </row>
    <row r="18" customFormat="false" ht="57" hidden="false" customHeight="true" outlineLevel="0" collapsed="false">
      <c r="A18" s="5"/>
      <c r="B18" s="11" t="s">
        <v>17</v>
      </c>
      <c r="C18" s="11"/>
      <c r="D18" s="11"/>
      <c r="E18" s="11"/>
      <c r="F18" s="11"/>
      <c r="G18" s="11"/>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12" t="s">
        <v>18</v>
      </c>
      <c r="C19" s="12"/>
      <c r="D19" s="12"/>
      <c r="E19" s="12"/>
      <c r="F19" s="12"/>
      <c r="G19" s="12"/>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3" t="s">
        <v>19</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sheetData>
  <mergeCells count="3">
    <mergeCell ref="B15:G15"/>
    <mergeCell ref="B18:G18"/>
    <mergeCell ref="B19:G1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K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 min="3" style="0" width="18"/>
    <col collapsed="false" customWidth="true" hidden="false" outlineLevel="0" max="4" min="4" style="0" width="14"/>
    <col collapsed="false" customWidth="true" hidden="false" outlineLevel="0" max="5" min="5" style="0" width="40"/>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22" t="s">
        <v>274</v>
      </c>
      <c r="C2" s="5"/>
      <c r="D2" s="5"/>
      <c r="E2" s="5"/>
      <c r="F2" s="5"/>
      <c r="G2" s="5"/>
      <c r="H2" s="5"/>
      <c r="I2" s="5"/>
      <c r="J2" s="5"/>
      <c r="K2" s="5"/>
    </row>
    <row r="3" customFormat="false" ht="15" hidden="false" customHeight="false" outlineLevel="0" collapsed="false">
      <c r="A3" s="5"/>
      <c r="B3" s="23" t="s">
        <v>275</v>
      </c>
      <c r="C3" s="5"/>
      <c r="D3" s="5"/>
      <c r="E3" s="5"/>
      <c r="F3" s="5"/>
      <c r="G3" s="5"/>
      <c r="H3" s="5"/>
      <c r="I3" s="5"/>
      <c r="J3" s="5"/>
      <c r="K3" s="5"/>
    </row>
    <row r="4" customFormat="false" ht="15" hidden="false" customHeight="false" outlineLevel="0" collapsed="false">
      <c r="A4" s="5"/>
      <c r="B4" s="56" t="s">
        <v>276</v>
      </c>
      <c r="C4" s="25" t="s">
        <v>40</v>
      </c>
      <c r="D4" s="5"/>
      <c r="E4" s="5"/>
      <c r="F4" s="5"/>
      <c r="G4" s="5"/>
      <c r="H4" s="5"/>
      <c r="I4" s="5"/>
      <c r="J4" s="5"/>
      <c r="K4" s="5"/>
    </row>
    <row r="5" customFormat="false" ht="15" hidden="false" customHeight="false" outlineLevel="0" collapsed="false">
      <c r="A5" s="5"/>
      <c r="B5" s="50" t="s">
        <v>277</v>
      </c>
      <c r="C5" s="48" t="n">
        <f aca="false">DB_TDC</f>
        <v>101479820</v>
      </c>
      <c r="D5" s="5"/>
      <c r="E5" s="5"/>
      <c r="F5" s="5"/>
      <c r="G5" s="5"/>
      <c r="H5" s="5"/>
      <c r="I5" s="5"/>
      <c r="J5" s="5"/>
      <c r="K5" s="5"/>
    </row>
    <row r="6" customFormat="false" ht="15" hidden="false" customHeight="false" outlineLevel="0" collapsed="false">
      <c r="A6" s="5"/>
      <c r="B6" s="6" t="s">
        <v>235</v>
      </c>
      <c r="C6" s="35" t="n">
        <f aca="false">Stab_NOI</f>
        <v>6602876.96</v>
      </c>
      <c r="D6" s="5"/>
      <c r="E6" s="5"/>
      <c r="F6" s="5"/>
      <c r="G6" s="5"/>
      <c r="H6" s="5"/>
      <c r="I6" s="5"/>
      <c r="J6" s="5"/>
      <c r="K6" s="5"/>
    </row>
    <row r="7" customFormat="false" ht="15" hidden="false" customHeight="false" outlineLevel="0" collapsed="false">
      <c r="A7" s="5"/>
      <c r="B7" s="6" t="s">
        <v>278</v>
      </c>
      <c r="C7" s="41" t="n">
        <f aca="false">C6/C5</f>
        <v>0.0650659112324007</v>
      </c>
      <c r="D7" s="5"/>
      <c r="E7" s="5"/>
      <c r="F7" s="5"/>
      <c r="G7" s="5"/>
      <c r="H7" s="5"/>
      <c r="I7" s="5"/>
      <c r="J7" s="5"/>
      <c r="K7" s="5"/>
    </row>
    <row r="8" customFormat="false" ht="15" hidden="false" customHeight="false" outlineLevel="0" collapsed="false">
      <c r="A8" s="5"/>
      <c r="B8" s="6" t="s">
        <v>279</v>
      </c>
      <c r="C8" s="41" t="n">
        <f aca="false">Exit_Cap</f>
        <v>0.055</v>
      </c>
      <c r="D8" s="5"/>
      <c r="E8" s="5"/>
      <c r="F8" s="5"/>
      <c r="G8" s="5"/>
      <c r="H8" s="5"/>
      <c r="I8" s="5"/>
      <c r="J8" s="5"/>
      <c r="K8" s="5"/>
    </row>
    <row r="9" customFormat="false" ht="15" hidden="false" customHeight="false" outlineLevel="0" collapsed="false">
      <c r="A9" s="5"/>
      <c r="B9" s="6" t="s">
        <v>280</v>
      </c>
      <c r="C9" s="41" t="n">
        <f aca="false">C7-C8</f>
        <v>0.0100659112324007</v>
      </c>
      <c r="D9" s="5"/>
      <c r="E9" s="5"/>
      <c r="F9" s="5"/>
      <c r="G9" s="5"/>
      <c r="H9" s="5"/>
      <c r="I9" s="5"/>
      <c r="J9" s="5"/>
      <c r="K9" s="5"/>
    </row>
    <row r="10" customFormat="false" ht="15" hidden="false" customHeight="false" outlineLevel="0" collapsed="false">
      <c r="A10" s="5"/>
      <c r="B10" s="6" t="s">
        <v>281</v>
      </c>
      <c r="C10" s="40" t="n">
        <f aca="false">C9*10000</f>
        <v>100.659112324007</v>
      </c>
      <c r="D10" s="5"/>
      <c r="E10" s="5"/>
      <c r="F10" s="5"/>
      <c r="G10" s="5"/>
      <c r="H10" s="5"/>
      <c r="I10" s="5"/>
      <c r="J10" s="5"/>
      <c r="K10" s="5"/>
    </row>
    <row r="11" customFormat="false" ht="15" hidden="false" customHeight="false" outlineLevel="0" collapsed="false">
      <c r="A11" s="5"/>
      <c r="B11" s="6" t="s">
        <v>267</v>
      </c>
      <c r="C11" s="35" t="n">
        <f aca="false">CF_Exit_Val</f>
        <v>150925109.032966</v>
      </c>
      <c r="D11" s="5"/>
      <c r="E11" s="5"/>
      <c r="F11" s="5"/>
      <c r="G11" s="5"/>
      <c r="H11" s="5"/>
      <c r="I11" s="5"/>
      <c r="J11" s="5"/>
      <c r="K11" s="5"/>
    </row>
    <row r="12" customFormat="false" ht="15" hidden="false" customHeight="false" outlineLevel="0" collapsed="false">
      <c r="A12" s="5"/>
      <c r="B12" s="6" t="s">
        <v>282</v>
      </c>
      <c r="C12" s="35" t="n">
        <f aca="false">INDEX(Debt_Schedule!$E$33:$K$33,1,Hold_Period)</f>
        <v>56091761.4325976</v>
      </c>
      <c r="D12" s="5"/>
      <c r="E12" s="5"/>
      <c r="F12" s="5"/>
      <c r="G12" s="5"/>
      <c r="H12" s="5"/>
      <c r="I12" s="5"/>
      <c r="J12" s="5"/>
      <c r="K12" s="5"/>
    </row>
    <row r="13" customFormat="false" ht="15" hidden="false" customHeight="false" outlineLevel="0" collapsed="false">
      <c r="A13" s="5"/>
      <c r="B13" s="6" t="s">
        <v>270</v>
      </c>
      <c r="C13" s="35" t="n">
        <f aca="false">CF_Net_Proceeds</f>
        <v>100115726.416522</v>
      </c>
      <c r="D13" s="5"/>
      <c r="E13" s="5"/>
      <c r="F13" s="5"/>
      <c r="G13" s="5"/>
      <c r="H13" s="5"/>
      <c r="I13" s="5"/>
      <c r="J13" s="5"/>
      <c r="K13" s="5"/>
    </row>
    <row r="14" customFormat="false" ht="15" hidden="false" customHeight="false" outlineLevel="0" collapsed="false">
      <c r="A14" s="5"/>
      <c r="B14" s="5"/>
      <c r="C14" s="5"/>
      <c r="D14" s="5"/>
      <c r="E14" s="5"/>
      <c r="F14" s="5"/>
      <c r="G14" s="5"/>
      <c r="H14" s="5"/>
      <c r="I14" s="5"/>
      <c r="J14" s="5"/>
      <c r="K14" s="5"/>
    </row>
    <row r="15" customFormat="false" ht="15" hidden="false" customHeight="false" outlineLevel="0" collapsed="false">
      <c r="A15" s="5"/>
      <c r="B15" s="29" t="s">
        <v>283</v>
      </c>
      <c r="C15" s="39" t="n">
        <f aca="false">-INDEX(Dev_Budget!$C$11:$D$11,1,1)</f>
        <v>-33330700</v>
      </c>
      <c r="D15" s="39" t="n">
        <f aca="false">-INDEX(Dev_Budget!$C$11:$D$11,1,2)</f>
        <v>-68149120</v>
      </c>
      <c r="E15" s="39" t="n">
        <f aca="false">INDEX(Operating_Expenses!$E$20:$K$20,1,1)</f>
        <v>3066740</v>
      </c>
      <c r="F15" s="39" t="n">
        <f aca="false">INDEX(Operating_Expenses!$E$20:$K$20,1,2)</f>
        <v>6602876.96</v>
      </c>
      <c r="G15" s="39" t="n">
        <f aca="false">INDEX(Operating_Expenses!$E$20:$K$20,1,3)</f>
        <v>7162723.0816</v>
      </c>
      <c r="H15" s="39" t="n">
        <f aca="false">INDEX(Operating_Expenses!$E$20:$K$20,1,4)</f>
        <v>7377049.63358982</v>
      </c>
      <c r="I15" s="39" t="n">
        <f aca="false">INDEX(Operating_Expenses!$E$20:$K$20,1,5)</f>
        <v>7597762.44959185</v>
      </c>
      <c r="J15" s="39" t="n">
        <f aca="false">INDEX(Operating_Expenses!$E$20:$K$20,1,6)</f>
        <v>7825050.37600024</v>
      </c>
      <c r="K15" s="39" t="n">
        <f aca="false">INDEX(Operating_Expenses!$E$20:$K$20,1,7)+Cash_Flow!K21/Exit_Cap+(-Cash_Flow!K21/Exit_Cap*Cost_of_Sale_Pct)</f>
        <v>155965714.616203</v>
      </c>
    </row>
    <row r="16" customFormat="false" ht="15" hidden="false" customHeight="false" outlineLevel="0" collapsed="false">
      <c r="A16" s="5"/>
      <c r="B16" s="52" t="s">
        <v>284</v>
      </c>
      <c r="C16" s="57" t="n">
        <f aca="false">IRR(C15:K15,0.1)</f>
        <v>0.104844707376213</v>
      </c>
      <c r="D16" s="5"/>
      <c r="E16" s="5"/>
      <c r="F16" s="5"/>
      <c r="G16" s="5"/>
      <c r="H16" s="5"/>
      <c r="I16" s="5"/>
      <c r="J16" s="5"/>
      <c r="K16" s="5"/>
    </row>
    <row r="17" customFormat="false" ht="15" hidden="false" customHeight="false" outlineLevel="0" collapsed="false">
      <c r="A17" s="5"/>
      <c r="B17" s="52" t="s">
        <v>285</v>
      </c>
      <c r="C17" s="57" t="n">
        <f aca="false">IRR(Cash_Flow!$C$28:$K$28,0.1)</f>
        <v>0.158187512040931</v>
      </c>
      <c r="D17" s="5"/>
      <c r="E17" s="5"/>
      <c r="F17" s="5"/>
      <c r="G17" s="5"/>
      <c r="H17" s="5"/>
      <c r="I17" s="5"/>
      <c r="J17" s="5"/>
      <c r="K17" s="5"/>
    </row>
    <row r="18" customFormat="false" ht="15" hidden="false" customHeight="false" outlineLevel="0" collapsed="false">
      <c r="A18" s="5"/>
      <c r="B18" s="52" t="s">
        <v>286</v>
      </c>
      <c r="C18" s="58" t="n">
        <f aca="false">IFERROR(SUMIF(Cash_Flow!$C$28:$K$28,"&gt;0",Cash_Flow!$C$28:$K$28)/ABS(SUMIF(Cash_Flow!$C$28:$K$28,"&lt;0",Cash_Flow!$C$28:$K$28)),0)</f>
        <v>2.58042262016559</v>
      </c>
      <c r="D18" s="5"/>
      <c r="E18" s="5"/>
      <c r="F18" s="5"/>
      <c r="G18" s="5"/>
      <c r="H18" s="5"/>
      <c r="I18" s="5"/>
      <c r="J18" s="5"/>
      <c r="K18" s="5"/>
    </row>
    <row r="19" customFormat="false" ht="15" hidden="false" customHeight="false" outlineLevel="0" collapsed="false">
      <c r="A19" s="5"/>
      <c r="B19" s="52" t="s">
        <v>287</v>
      </c>
      <c r="C19" s="45" t="n">
        <f aca="false">NPV(Discount_Rate,Cash_Flow!$E$28:$K$28)+Cash_Flow!$C$28+Cash_Flow!$D$28</f>
        <v>26146634.5698558</v>
      </c>
      <c r="D19" s="5"/>
      <c r="E19" s="5"/>
      <c r="F19" s="5"/>
      <c r="G19" s="5"/>
      <c r="H19" s="5"/>
      <c r="I19" s="5"/>
      <c r="J19" s="5"/>
      <c r="K19" s="5"/>
    </row>
    <row r="20" customFormat="false" ht="15" hidden="false" customHeight="false" outlineLevel="0" collapsed="false">
      <c r="A20" s="5"/>
      <c r="B20" s="6" t="s">
        <v>288</v>
      </c>
      <c r="C20" s="41" t="n">
        <f aca="false">(CF_Exit_Val-DB_TDC)/DB_TDC</f>
        <v>0.487242577223392</v>
      </c>
      <c r="D20" s="5"/>
      <c r="E20" s="5"/>
      <c r="F20" s="5"/>
      <c r="G20" s="5"/>
      <c r="H20" s="5"/>
      <c r="I20" s="5"/>
      <c r="J20" s="5"/>
      <c r="K20" s="5"/>
    </row>
    <row r="21" customFormat="false" ht="15" hidden="false" customHeight="false" outlineLevel="0" collapsed="false">
      <c r="A21" s="5"/>
      <c r="B21" s="5"/>
      <c r="C21" s="5"/>
      <c r="D21" s="5"/>
      <c r="E21" s="5"/>
      <c r="F21" s="5"/>
      <c r="G21" s="5"/>
      <c r="H21" s="5"/>
      <c r="I21" s="5"/>
      <c r="J21" s="5"/>
      <c r="K21" s="5"/>
    </row>
    <row r="22" customFormat="false" ht="15" hidden="false" customHeight="false" outlineLevel="0" collapsed="false">
      <c r="A22" s="5"/>
      <c r="B22" s="29" t="s">
        <v>289</v>
      </c>
      <c r="C22" s="5"/>
      <c r="D22" s="5"/>
      <c r="E22" s="5"/>
      <c r="F22" s="5"/>
      <c r="G22" s="5"/>
      <c r="H22" s="5"/>
      <c r="I22" s="5"/>
      <c r="J22" s="5"/>
      <c r="K2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E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5" min="3" style="0" width="10"/>
  </cols>
  <sheetData>
    <row r="1" customFormat="false" ht="15" hidden="false" customHeight="false" outlineLevel="0" collapsed="false">
      <c r="A1" s="5"/>
      <c r="B1" s="5"/>
      <c r="C1" s="5"/>
      <c r="D1" s="5"/>
      <c r="E1" s="5"/>
    </row>
    <row r="2" customFormat="false" ht="22.05" hidden="false" customHeight="false" outlineLevel="0" collapsed="false">
      <c r="A2" s="5"/>
      <c r="B2" s="22" t="s">
        <v>290</v>
      </c>
      <c r="C2" s="5"/>
      <c r="D2" s="5"/>
      <c r="E2" s="5"/>
    </row>
    <row r="3" customFormat="false" ht="15" hidden="false" customHeight="false" outlineLevel="0" collapsed="false">
      <c r="A3" s="5"/>
      <c r="B3" s="23" t="s">
        <v>291</v>
      </c>
      <c r="C3" s="5"/>
      <c r="D3" s="5"/>
      <c r="E3" s="5"/>
    </row>
    <row r="4" customFormat="false" ht="15" hidden="false" customHeight="false" outlineLevel="0" collapsed="false">
      <c r="A4" s="5"/>
      <c r="B4" s="24" t="s">
        <v>292</v>
      </c>
      <c r="C4" s="25" t="s">
        <v>293</v>
      </c>
      <c r="D4" s="25" t="s">
        <v>294</v>
      </c>
      <c r="E4" s="25" t="s">
        <v>295</v>
      </c>
    </row>
    <row r="5" customFormat="false" ht="15" hidden="false" customHeight="false" outlineLevel="0" collapsed="false">
      <c r="A5" s="5"/>
      <c r="B5" s="6" t="s">
        <v>296</v>
      </c>
      <c r="C5" s="59" t="b">
        <f aca="false">AND(ABS(Cash_Flow!C11)&lt;1,ABS(Cash_Flow!D11)&lt;1)</f>
        <v>1</v>
      </c>
      <c r="D5" s="59" t="b">
        <f aca="false">TRUE()</f>
        <v>1</v>
      </c>
      <c r="E5" s="60" t="str">
        <f aca="false">IF(C5=D5,"PASS","FAIL")</f>
        <v>PASS</v>
      </c>
    </row>
    <row r="6" customFormat="false" ht="15" hidden="false" customHeight="false" outlineLevel="0" collapsed="false">
      <c r="A6" s="5"/>
      <c r="B6" s="6" t="s">
        <v>297</v>
      </c>
      <c r="C6" s="59" t="b">
        <f aca="false">Perm_Loan&lt;CF_Exit_Val</f>
        <v>1</v>
      </c>
      <c r="D6" s="59" t="b">
        <f aca="false">TRUE()</f>
        <v>1</v>
      </c>
      <c r="E6" s="60" t="str">
        <f aca="false">IF(C6=D6,"PASS","FAIL")</f>
        <v>PASS</v>
      </c>
    </row>
    <row r="7" customFormat="false" ht="15" hidden="false" customHeight="false" outlineLevel="0" collapsed="false">
      <c r="A7" s="5"/>
      <c r="B7" s="6" t="s">
        <v>298</v>
      </c>
      <c r="C7" s="59" t="b">
        <f aca="false">_xlfn.MINIFS(Debt_Schedule!$E$38:$K$38,Debt_Schedule!$E$37:$K$37,"&gt;0")&gt;=Min_DSCR</f>
        <v>0</v>
      </c>
      <c r="D7" s="59" t="b">
        <f aca="false">TRUE()</f>
        <v>1</v>
      </c>
      <c r="E7" s="60" t="str">
        <f aca="false">IF(C7=D7,"PASS","FAIL")</f>
        <v>FAIL</v>
      </c>
    </row>
    <row r="8" customFormat="false" ht="15" hidden="false" customHeight="false" outlineLevel="0" collapsed="false">
      <c r="A8" s="5"/>
      <c r="B8" s="6" t="s">
        <v>299</v>
      </c>
      <c r="C8" s="59" t="b">
        <f aca="false">_xlfn.MINIFS(Operating_Expenses!$E$20:$K$20,Operating_Expenses!$E$5:$K$5,"&gt;0")&gt;0</f>
        <v>1</v>
      </c>
      <c r="D8" s="59" t="b">
        <f aca="false">TRUE()</f>
        <v>1</v>
      </c>
      <c r="E8" s="60" t="str">
        <f aca="false">IF(C8=D8,"PASS","FAIL")</f>
        <v>PASS</v>
      </c>
    </row>
    <row r="9" customFormat="false" ht="15" hidden="false" customHeight="false" outlineLevel="0" collapsed="false">
      <c r="A9" s="5"/>
      <c r="B9" s="6" t="s">
        <v>300</v>
      </c>
      <c r="C9" s="59" t="b">
        <f aca="false">Recap_Equity&gt;=0</f>
        <v>1</v>
      </c>
      <c r="D9" s="59" t="b">
        <f aca="false">TRUE()</f>
        <v>1</v>
      </c>
      <c r="E9" s="60" t="str">
        <f aca="false">IF(C9=D9,"PASS","FAIL")</f>
        <v>PASS</v>
      </c>
    </row>
    <row r="10" customFormat="false" ht="15" hidden="false" customHeight="false" outlineLevel="0" collapsed="false">
      <c r="A10" s="5"/>
      <c r="B10" s="6" t="s">
        <v>301</v>
      </c>
      <c r="C10" s="59" t="b">
        <f aca="false">ABS(DB_TDC-DB_Cumulative_Total)&lt;1</f>
        <v>1</v>
      </c>
      <c r="D10" s="59" t="b">
        <f aca="false">TRUE()</f>
        <v>1</v>
      </c>
      <c r="E10" s="60" t="str">
        <f aca="false">IF(C10=D10,"PASS","FAIL")</f>
        <v>PASS</v>
      </c>
    </row>
    <row r="11" customFormat="false" ht="15" hidden="false" customHeight="false" outlineLevel="0" collapsed="false">
      <c r="A11" s="5"/>
      <c r="B11" s="6" t="s">
        <v>302</v>
      </c>
      <c r="C11" s="59" t="b">
        <f aca="false">DS_CL_Commit&lt;=CL_LTC*DB_TDC</f>
        <v>1</v>
      </c>
      <c r="D11" s="59" t="b">
        <f aca="false">TRUE()</f>
        <v>1</v>
      </c>
      <c r="E11" s="60" t="str">
        <f aca="false">IF(C11=D11,"PASS","FAIL")</f>
        <v>PASS</v>
      </c>
    </row>
    <row r="12" customFormat="false" ht="15" hidden="false" customHeight="false" outlineLevel="0" collapsed="false">
      <c r="A12" s="5"/>
      <c r="B12" s="6" t="s">
        <v>300</v>
      </c>
      <c r="C12" s="59" t="b">
        <f aca="false">Recap_Equity&gt;=0</f>
        <v>1</v>
      </c>
      <c r="D12" s="59" t="b">
        <f aca="false">TRUE()</f>
        <v>1</v>
      </c>
      <c r="E12" s="60" t="str">
        <f aca="false">IF(C12=D12,"PASS","FAIL")</f>
        <v>PASS</v>
      </c>
    </row>
    <row r="13" customFormat="false" ht="15" hidden="false" customHeight="false" outlineLevel="0" collapsed="false">
      <c r="A13" s="5"/>
      <c r="B13" s="6" t="s">
        <v>303</v>
      </c>
      <c r="C13" s="59" t="b">
        <f aca="false">ISNUMBER(Returns_UnlevIRR)</f>
        <v>1</v>
      </c>
      <c r="D13" s="59" t="b">
        <f aca="false">TRUE()</f>
        <v>1</v>
      </c>
      <c r="E13" s="60" t="str">
        <f aca="false">IF(C13=D13,"PASS","FAIL")</f>
        <v>PASS</v>
      </c>
    </row>
    <row r="14" customFormat="false" ht="15" hidden="false" customHeight="false" outlineLevel="0" collapsed="false">
      <c r="A14" s="5"/>
      <c r="B14" s="6" t="s">
        <v>304</v>
      </c>
      <c r="C14" s="59" t="b">
        <f aca="false">ISNUMBER(Returns_LevIRR)</f>
        <v>1</v>
      </c>
      <c r="D14" s="59" t="b">
        <f aca="false">TRUE()</f>
        <v>1</v>
      </c>
      <c r="E14" s="60" t="str">
        <f aca="false">IF(C14=D14,"PASS","FAIL")</f>
        <v>PASS</v>
      </c>
    </row>
    <row r="15" customFormat="false" ht="15" hidden="false" customHeight="false" outlineLevel="0" collapsed="false">
      <c r="A15" s="5"/>
      <c r="B15" s="6" t="s">
        <v>305</v>
      </c>
      <c r="C15" s="61" t="e">
        <f aca="false">sheets()</f>
        <v>#NAME?</v>
      </c>
      <c r="D15" s="61" t="n">
        <v>10</v>
      </c>
      <c r="E15" s="60" t="e">
        <f aca="false">IF(C15=D15,"PASS","FAIL")</f>
        <v>#NAME?</v>
      </c>
    </row>
    <row r="16" customFormat="false" ht="15" hidden="false" customHeight="false" outlineLevel="0" collapsed="false">
      <c r="A16" s="5"/>
      <c r="B16" s="5"/>
      <c r="C16" s="5"/>
      <c r="D16" s="5"/>
      <c r="E16" s="5"/>
    </row>
    <row r="17" customFormat="false" ht="15" hidden="false" customHeight="false" outlineLevel="0" collapsed="false">
      <c r="A17" s="5"/>
      <c r="B17" s="29" t="s">
        <v>306</v>
      </c>
      <c r="C17" s="62" t="n">
        <f aca="false">Const_Years</f>
        <v>2</v>
      </c>
      <c r="D17" s="28" t="n">
        <v>2</v>
      </c>
      <c r="E17" s="5"/>
    </row>
    <row r="18" customFormat="false" ht="15" hidden="false" customHeight="false" outlineLevel="0" collapsed="false">
      <c r="A18" s="5"/>
      <c r="B18" s="29" t="s">
        <v>307</v>
      </c>
      <c r="C18" s="62" t="n">
        <f aca="false">Stab_Year_Offset</f>
        <v>2</v>
      </c>
      <c r="D18" s="28" t="n">
        <v>2</v>
      </c>
      <c r="E1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14" t="s">
        <v>20</v>
      </c>
    </row>
    <row r="3" customFormat="false" ht="3.75" hidden="false" customHeight="true" outlineLevel="0" collapsed="false">
      <c r="A3" s="5"/>
      <c r="B3" s="15"/>
    </row>
    <row r="4" customFormat="false" ht="15" hidden="false" customHeight="false" outlineLevel="0" collapsed="false">
      <c r="A4" s="5"/>
      <c r="B4" s="5"/>
    </row>
    <row r="5" customFormat="false" ht="19.5" hidden="false" customHeight="true" outlineLevel="0" collapsed="false">
      <c r="A5" s="5"/>
      <c r="B5" s="16" t="s">
        <v>21</v>
      </c>
    </row>
    <row r="6" customFormat="false" ht="48" hidden="false" customHeight="true" outlineLevel="0" collapsed="false">
      <c r="A6" s="5"/>
      <c r="B6" s="17" t="s">
        <v>22</v>
      </c>
    </row>
    <row r="7" customFormat="false" ht="15" hidden="false" customHeight="false" outlineLevel="0" collapsed="false">
      <c r="A7" s="5"/>
      <c r="B7" s="5"/>
    </row>
    <row r="8" customFormat="false" ht="19.5" hidden="false" customHeight="true" outlineLevel="0" collapsed="false">
      <c r="A8" s="5"/>
      <c r="B8" s="16" t="s">
        <v>23</v>
      </c>
    </row>
    <row r="9" customFormat="false" ht="61.5" hidden="false" customHeight="true" outlineLevel="0" collapsed="false">
      <c r="A9" s="5"/>
      <c r="B9" s="17" t="s">
        <v>24</v>
      </c>
    </row>
    <row r="10" customFormat="false" ht="15" hidden="false" customHeight="false" outlineLevel="0" collapsed="false">
      <c r="A10" s="5"/>
      <c r="B10" s="5"/>
    </row>
    <row r="11" customFormat="false" ht="19.5" hidden="false" customHeight="true" outlineLevel="0" collapsed="false">
      <c r="A11" s="5"/>
      <c r="B11" s="16" t="s">
        <v>25</v>
      </c>
    </row>
    <row r="12" customFormat="false" ht="75.75" hidden="false" customHeight="true" outlineLevel="0" collapsed="false">
      <c r="A12" s="5"/>
      <c r="B12" s="17" t="s">
        <v>26</v>
      </c>
    </row>
    <row r="13" customFormat="false" ht="15" hidden="false" customHeight="false" outlineLevel="0" collapsed="false">
      <c r="A13" s="5"/>
      <c r="B13" s="5"/>
    </row>
    <row r="14" customFormat="false" ht="19.5" hidden="false" customHeight="true" outlineLevel="0" collapsed="false">
      <c r="A14" s="5"/>
      <c r="B14" s="16" t="s">
        <v>27</v>
      </c>
    </row>
    <row r="15" customFormat="false" ht="61.5" hidden="false" customHeight="true" outlineLevel="0" collapsed="false">
      <c r="A15" s="5"/>
      <c r="B15" s="17" t="s">
        <v>28</v>
      </c>
    </row>
    <row r="16" customFormat="false" ht="15" hidden="false" customHeight="false" outlineLevel="0" collapsed="false">
      <c r="A16" s="5"/>
      <c r="B16" s="5"/>
    </row>
    <row r="17" customFormat="false" ht="19.5" hidden="false" customHeight="true" outlineLevel="0" collapsed="false">
      <c r="A17" s="5"/>
      <c r="B17" s="16" t="s">
        <v>29</v>
      </c>
    </row>
    <row r="18" customFormat="false" ht="33.75" hidden="false" customHeight="true" outlineLevel="0" collapsed="false">
      <c r="A18" s="5"/>
      <c r="B18" s="17" t="s">
        <v>30</v>
      </c>
    </row>
    <row r="19" customFormat="false" ht="15" hidden="false" customHeight="false" outlineLevel="0" collapsed="false">
      <c r="A19" s="5"/>
      <c r="B19" s="5"/>
    </row>
    <row r="20" customFormat="false" ht="19.5" hidden="false" customHeight="true" outlineLevel="0" collapsed="false">
      <c r="A20" s="5"/>
      <c r="B20" s="16" t="s">
        <v>31</v>
      </c>
    </row>
    <row r="21" customFormat="false" ht="33.75" hidden="false" customHeight="true" outlineLevel="0" collapsed="false">
      <c r="A21" s="5"/>
      <c r="B21" s="17" t="s">
        <v>32</v>
      </c>
    </row>
    <row r="22" customFormat="false" ht="15" hidden="false" customHeight="false" outlineLevel="0" collapsed="false">
      <c r="A22" s="5"/>
      <c r="B22" s="5"/>
    </row>
    <row r="23" customFormat="false" ht="21.75" hidden="false" customHeight="true" outlineLevel="0" collapsed="false">
      <c r="A23" s="5"/>
      <c r="B23" s="18" t="s">
        <v>33</v>
      </c>
    </row>
    <row r="24" customFormat="false" ht="15" hidden="false" customHeight="false" outlineLevel="0" collapsed="false">
      <c r="A24" s="5"/>
      <c r="B24" s="5"/>
    </row>
    <row r="25" customFormat="false" ht="18" hidden="false" customHeight="true" outlineLevel="0" collapsed="false">
      <c r="A25" s="5"/>
      <c r="B25" s="19" t="s">
        <v>34</v>
      </c>
    </row>
    <row r="26" customFormat="false" ht="201.75" hidden="false" customHeight="true" outlineLevel="0" collapsed="false">
      <c r="A26" s="5"/>
      <c r="B26" s="20" t="s">
        <v>35</v>
      </c>
    </row>
    <row r="27" customFormat="false" ht="15" hidden="false" customHeight="false" outlineLevel="0" collapsed="false">
      <c r="A27" s="5"/>
      <c r="B27" s="5"/>
    </row>
    <row r="28" customFormat="false" ht="18" hidden="false" customHeight="true" outlineLevel="0" collapsed="false">
      <c r="A28" s="5"/>
      <c r="B28" s="21" t="s">
        <v>36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D966"/>
    <pageSetUpPr fitToPage="false"/>
  </sheetPr>
  <dimension ref="A1:E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4" min="3" style="0" width="16"/>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2" t="s">
        <v>37</v>
      </c>
      <c r="C2" s="5"/>
      <c r="D2" s="5"/>
      <c r="E2" s="5"/>
    </row>
    <row r="3" customFormat="false" ht="15" hidden="false" customHeight="false" outlineLevel="0" collapsed="false">
      <c r="A3" s="5"/>
      <c r="B3" s="23" t="s">
        <v>38</v>
      </c>
      <c r="C3" s="5"/>
      <c r="D3" s="5"/>
      <c r="E3" s="5"/>
    </row>
    <row r="4" customFormat="false" ht="15" hidden="false" customHeight="false" outlineLevel="0" collapsed="false">
      <c r="A4" s="5"/>
      <c r="B4" s="24" t="s">
        <v>39</v>
      </c>
      <c r="C4" s="25" t="s">
        <v>40</v>
      </c>
      <c r="D4" s="25" t="s">
        <v>41</v>
      </c>
      <c r="E4" s="25" t="s">
        <v>42</v>
      </c>
    </row>
    <row r="5" customFormat="false" ht="15" hidden="false" customHeight="false" outlineLevel="0" collapsed="false">
      <c r="A5" s="5"/>
      <c r="B5" s="5"/>
      <c r="C5" s="5"/>
      <c r="D5" s="5"/>
      <c r="E5" s="5"/>
    </row>
    <row r="6" customFormat="false" ht="15" hidden="false" customHeight="false" outlineLevel="0" collapsed="false">
      <c r="A6" s="5"/>
      <c r="B6" s="26" t="s">
        <v>43</v>
      </c>
      <c r="C6" s="10"/>
      <c r="D6" s="10"/>
      <c r="E6" s="10"/>
    </row>
    <row r="7" customFormat="false" ht="15" hidden="false" customHeight="false" outlineLevel="0" collapsed="false">
      <c r="A7" s="5"/>
      <c r="B7" s="6" t="s">
        <v>44</v>
      </c>
      <c r="C7" s="27" t="n">
        <v>250000</v>
      </c>
      <c r="D7" s="28" t="s">
        <v>45</v>
      </c>
      <c r="E7" s="29" t="s">
        <v>46</v>
      </c>
    </row>
    <row r="8" customFormat="false" ht="15" hidden="false" customHeight="false" outlineLevel="0" collapsed="false">
      <c r="A8" s="5"/>
      <c r="B8" s="6" t="s">
        <v>47</v>
      </c>
      <c r="C8" s="27" t="n">
        <v>200</v>
      </c>
      <c r="D8" s="28" t="s">
        <v>48</v>
      </c>
      <c r="E8" s="29" t="s">
        <v>49</v>
      </c>
    </row>
    <row r="9" customFormat="false" ht="15" hidden="false" customHeight="false" outlineLevel="0" collapsed="false">
      <c r="A9" s="5"/>
      <c r="B9" s="6" t="s">
        <v>50</v>
      </c>
      <c r="C9" s="27" t="n">
        <v>25000</v>
      </c>
      <c r="D9" s="28" t="s">
        <v>45</v>
      </c>
      <c r="E9" s="29" t="s">
        <v>51</v>
      </c>
    </row>
    <row r="10" customFormat="false" ht="15" hidden="false" customHeight="false" outlineLevel="0" collapsed="false">
      <c r="A10" s="5"/>
      <c r="B10" s="6" t="s">
        <v>52</v>
      </c>
      <c r="C10" s="30" t="n">
        <v>2</v>
      </c>
      <c r="D10" s="28" t="s">
        <v>53</v>
      </c>
      <c r="E10" s="29" t="s">
        <v>54</v>
      </c>
    </row>
    <row r="11" customFormat="false" ht="15" hidden="false" customHeight="false" outlineLevel="0" collapsed="false">
      <c r="A11" s="5"/>
      <c r="B11" s="6" t="s">
        <v>55</v>
      </c>
      <c r="C11" s="30" t="n">
        <v>7</v>
      </c>
      <c r="D11" s="28" t="s">
        <v>53</v>
      </c>
      <c r="E11" s="29" t="s">
        <v>56</v>
      </c>
    </row>
    <row r="12" customFormat="false" ht="15" hidden="false" customHeight="false" outlineLevel="0" collapsed="false">
      <c r="A12" s="5"/>
      <c r="B12" s="6" t="s">
        <v>57</v>
      </c>
      <c r="C12" s="30" t="n">
        <v>2</v>
      </c>
      <c r="D12" s="28" t="s">
        <v>53</v>
      </c>
      <c r="E12" s="29" t="s">
        <v>58</v>
      </c>
    </row>
    <row r="13" customFormat="false" ht="15" hidden="false" customHeight="false" outlineLevel="0" collapsed="false">
      <c r="A13" s="5"/>
      <c r="B13" s="26" t="s">
        <v>59</v>
      </c>
      <c r="C13" s="10"/>
      <c r="D13" s="10"/>
      <c r="E13" s="10"/>
    </row>
    <row r="14" customFormat="false" ht="15" hidden="false" customHeight="false" outlineLevel="0" collapsed="false">
      <c r="A14" s="5"/>
      <c r="B14" s="6" t="s">
        <v>60</v>
      </c>
      <c r="C14" s="27" t="n">
        <v>10000000</v>
      </c>
      <c r="D14" s="28" t="s">
        <v>61</v>
      </c>
      <c r="E14" s="29" t="s">
        <v>62</v>
      </c>
    </row>
    <row r="15" customFormat="false" ht="15" hidden="false" customHeight="false" outlineLevel="0" collapsed="false">
      <c r="A15" s="5"/>
      <c r="B15" s="6" t="s">
        <v>63</v>
      </c>
      <c r="C15" s="27" t="n">
        <v>275</v>
      </c>
      <c r="D15" s="28" t="s">
        <v>64</v>
      </c>
      <c r="E15" s="29" t="s">
        <v>65</v>
      </c>
    </row>
    <row r="16" customFormat="false" ht="15" hidden="false" customHeight="false" outlineLevel="0" collapsed="false">
      <c r="A16" s="5"/>
      <c r="B16" s="6" t="s">
        <v>66</v>
      </c>
      <c r="C16" s="31" t="n">
        <v>0.2</v>
      </c>
      <c r="D16" s="28" t="s">
        <v>67</v>
      </c>
      <c r="E16" s="29" t="s">
        <v>68</v>
      </c>
    </row>
    <row r="17" customFormat="false" ht="15" hidden="false" customHeight="false" outlineLevel="0" collapsed="false">
      <c r="A17" s="5"/>
      <c r="B17" s="6" t="s">
        <v>69</v>
      </c>
      <c r="C17" s="31" t="n">
        <v>0.04</v>
      </c>
      <c r="D17" s="28" t="s">
        <v>70</v>
      </c>
      <c r="E17" s="29" t="s">
        <v>71</v>
      </c>
    </row>
    <row r="18" customFormat="false" ht="15" hidden="false" customHeight="false" outlineLevel="0" collapsed="false">
      <c r="A18" s="5"/>
      <c r="B18" s="6" t="s">
        <v>72</v>
      </c>
      <c r="C18" s="32" t="n">
        <v>0.01</v>
      </c>
      <c r="D18" s="28" t="s">
        <v>73</v>
      </c>
      <c r="E18" s="29" t="s">
        <v>74</v>
      </c>
    </row>
    <row r="19" customFormat="false" ht="15" hidden="false" customHeight="false" outlineLevel="0" collapsed="false">
      <c r="A19" s="5"/>
      <c r="B19" s="6" t="s">
        <v>75</v>
      </c>
      <c r="C19" s="31" t="n">
        <v>0.25</v>
      </c>
      <c r="D19" s="28" t="s">
        <v>76</v>
      </c>
      <c r="E19" s="29" t="s">
        <v>77</v>
      </c>
    </row>
    <row r="20" customFormat="false" ht="15" hidden="false" customHeight="false" outlineLevel="0" collapsed="false">
      <c r="A20" s="5"/>
      <c r="B20" s="6" t="s">
        <v>78</v>
      </c>
      <c r="C20" s="31" t="n">
        <v>0.75</v>
      </c>
      <c r="D20" s="28" t="s">
        <v>76</v>
      </c>
      <c r="E20" s="29" t="e">
        <f aca="false">1 − Yr 1 draw</f>
        <v>#N/A</v>
      </c>
    </row>
    <row r="21" customFormat="false" ht="15" hidden="false" customHeight="false" outlineLevel="0" collapsed="false">
      <c r="A21" s="5"/>
      <c r="B21" s="26" t="s">
        <v>79</v>
      </c>
      <c r="C21" s="10"/>
      <c r="D21" s="10"/>
      <c r="E21" s="10"/>
    </row>
    <row r="22" customFormat="false" ht="15" hidden="false" customHeight="false" outlineLevel="0" collapsed="false">
      <c r="A22" s="5"/>
      <c r="B22" s="6" t="s">
        <v>80</v>
      </c>
      <c r="C22" s="31" t="n">
        <v>0.65</v>
      </c>
      <c r="D22" s="28" t="s">
        <v>81</v>
      </c>
      <c r="E22" s="29" t="s">
        <v>82</v>
      </c>
    </row>
    <row r="23" customFormat="false" ht="15" hidden="false" customHeight="false" outlineLevel="0" collapsed="false">
      <c r="A23" s="5"/>
      <c r="B23" s="6" t="s">
        <v>83</v>
      </c>
      <c r="C23" s="32" t="n">
        <v>0.08</v>
      </c>
      <c r="D23" s="28" t="s">
        <v>84</v>
      </c>
      <c r="E23" s="29" t="s">
        <v>85</v>
      </c>
    </row>
    <row r="24" customFormat="false" ht="15" hidden="false" customHeight="false" outlineLevel="0" collapsed="false">
      <c r="A24" s="5"/>
      <c r="B24" s="6" t="s">
        <v>86</v>
      </c>
      <c r="C24" s="31" t="n">
        <v>0.65</v>
      </c>
      <c r="D24" s="28" t="s">
        <v>87</v>
      </c>
      <c r="E24" s="29" t="s">
        <v>88</v>
      </c>
    </row>
    <row r="25" customFormat="false" ht="15" hidden="false" customHeight="false" outlineLevel="0" collapsed="false">
      <c r="A25" s="5"/>
      <c r="B25" s="6" t="s">
        <v>89</v>
      </c>
      <c r="C25" s="33" t="n">
        <v>0.0675</v>
      </c>
      <c r="D25" s="28" t="s">
        <v>84</v>
      </c>
      <c r="E25" s="29" t="s">
        <v>90</v>
      </c>
    </row>
    <row r="26" customFormat="false" ht="15" hidden="false" customHeight="false" outlineLevel="0" collapsed="false">
      <c r="A26" s="5"/>
      <c r="B26" s="6" t="s">
        <v>91</v>
      </c>
      <c r="C26" s="30" t="n">
        <v>25</v>
      </c>
      <c r="D26" s="28" t="s">
        <v>53</v>
      </c>
      <c r="E26" s="29" t="s">
        <v>92</v>
      </c>
    </row>
    <row r="27" customFormat="false" ht="15" hidden="false" customHeight="false" outlineLevel="0" collapsed="false">
      <c r="A27" s="5"/>
      <c r="B27" s="6" t="s">
        <v>93</v>
      </c>
      <c r="C27" s="34" t="n">
        <v>1.25</v>
      </c>
      <c r="D27" s="28" t="s">
        <v>94</v>
      </c>
      <c r="E27" s="29" t="s">
        <v>95</v>
      </c>
    </row>
    <row r="28" customFormat="false" ht="15" hidden="false" customHeight="false" outlineLevel="0" collapsed="false">
      <c r="A28" s="5"/>
      <c r="B28" s="26" t="s">
        <v>96</v>
      </c>
      <c r="C28" s="10"/>
      <c r="D28" s="10"/>
      <c r="E28" s="10"/>
    </row>
    <row r="29" customFormat="false" ht="15" hidden="false" customHeight="false" outlineLevel="0" collapsed="false">
      <c r="A29" s="5"/>
      <c r="B29" s="6" t="s">
        <v>97</v>
      </c>
      <c r="C29" s="27" t="n">
        <v>2800</v>
      </c>
      <c r="D29" s="28" t="s">
        <v>98</v>
      </c>
      <c r="E29" s="29" t="s">
        <v>99</v>
      </c>
    </row>
    <row r="30" customFormat="false" ht="15" hidden="false" customHeight="false" outlineLevel="0" collapsed="false">
      <c r="A30" s="5"/>
      <c r="B30" s="6" t="s">
        <v>100</v>
      </c>
      <c r="C30" s="30" t="n">
        <v>15</v>
      </c>
      <c r="D30" s="28" t="s">
        <v>101</v>
      </c>
      <c r="E30" s="29" t="s">
        <v>102</v>
      </c>
    </row>
    <row r="31" customFormat="false" ht="15" hidden="false" customHeight="false" outlineLevel="0" collapsed="false">
      <c r="A31" s="5"/>
      <c r="B31" s="6" t="s">
        <v>103</v>
      </c>
      <c r="C31" s="31" t="n">
        <v>0.05</v>
      </c>
      <c r="D31" s="28" t="s">
        <v>76</v>
      </c>
      <c r="E31" s="29" t="s">
        <v>104</v>
      </c>
    </row>
    <row r="32" customFormat="false" ht="15" hidden="false" customHeight="false" outlineLevel="0" collapsed="false">
      <c r="A32" s="5"/>
      <c r="B32" s="6" t="s">
        <v>105</v>
      </c>
      <c r="C32" s="32" t="n">
        <v>0.03</v>
      </c>
      <c r="D32" s="28" t="s">
        <v>84</v>
      </c>
      <c r="E32" s="29" t="s">
        <v>106</v>
      </c>
    </row>
    <row r="33" customFormat="false" ht="15" hidden="false" customHeight="false" outlineLevel="0" collapsed="false">
      <c r="A33" s="5"/>
      <c r="B33" s="6" t="s">
        <v>107</v>
      </c>
      <c r="C33" s="27" t="n">
        <v>150</v>
      </c>
      <c r="D33" s="28" t="s">
        <v>108</v>
      </c>
      <c r="E33" s="29" t="s">
        <v>109</v>
      </c>
    </row>
    <row r="34" customFormat="false" ht="15" hidden="false" customHeight="false" outlineLevel="0" collapsed="false">
      <c r="A34" s="5"/>
      <c r="B34" s="6" t="s">
        <v>110</v>
      </c>
      <c r="C34" s="27" t="n">
        <v>50</v>
      </c>
      <c r="D34" s="28" t="s">
        <v>98</v>
      </c>
      <c r="E34" s="29" t="s">
        <v>111</v>
      </c>
    </row>
    <row r="35" customFormat="false" ht="15" hidden="false" customHeight="false" outlineLevel="0" collapsed="false">
      <c r="A35" s="5"/>
      <c r="B35" s="26" t="s">
        <v>112</v>
      </c>
      <c r="C35" s="10"/>
      <c r="D35" s="10"/>
      <c r="E35" s="10"/>
    </row>
    <row r="36" customFormat="false" ht="15" hidden="false" customHeight="false" outlineLevel="0" collapsed="false">
      <c r="A36" s="5"/>
      <c r="B36" s="6" t="s">
        <v>113</v>
      </c>
      <c r="C36" s="27" t="n">
        <v>40</v>
      </c>
      <c r="D36" s="28" t="s">
        <v>114</v>
      </c>
      <c r="E36" s="29" t="s">
        <v>115</v>
      </c>
    </row>
    <row r="37" customFormat="false" ht="15" hidden="false" customHeight="false" outlineLevel="0" collapsed="false">
      <c r="A37" s="5"/>
      <c r="B37" s="6" t="s">
        <v>116</v>
      </c>
      <c r="C37" s="32" t="n">
        <v>0.025</v>
      </c>
      <c r="D37" s="28" t="s">
        <v>84</v>
      </c>
      <c r="E37" s="29" t="s">
        <v>117</v>
      </c>
    </row>
    <row r="38" customFormat="false" ht="15" hidden="false" customHeight="false" outlineLevel="0" collapsed="false">
      <c r="A38" s="5"/>
      <c r="B38" s="6" t="s">
        <v>118</v>
      </c>
      <c r="C38" s="31" t="n">
        <v>0.1</v>
      </c>
      <c r="D38" s="28" t="s">
        <v>76</v>
      </c>
      <c r="E38" s="29" t="s">
        <v>119</v>
      </c>
    </row>
    <row r="39" customFormat="false" ht="15" hidden="false" customHeight="false" outlineLevel="0" collapsed="false">
      <c r="A39" s="5"/>
      <c r="B39" s="6" t="s">
        <v>120</v>
      </c>
      <c r="C39" s="31" t="n">
        <v>0.05</v>
      </c>
      <c r="D39" s="28" t="s">
        <v>76</v>
      </c>
      <c r="E39" s="29" t="s">
        <v>121</v>
      </c>
    </row>
    <row r="40" customFormat="false" ht="15" hidden="false" customHeight="false" outlineLevel="0" collapsed="false">
      <c r="A40" s="5"/>
      <c r="B40" s="6" t="s">
        <v>122</v>
      </c>
      <c r="C40" s="27" t="n">
        <v>50</v>
      </c>
      <c r="D40" s="28" t="s">
        <v>123</v>
      </c>
      <c r="E40" s="29" t="s">
        <v>124</v>
      </c>
    </row>
    <row r="41" customFormat="false" ht="15" hidden="false" customHeight="false" outlineLevel="0" collapsed="false">
      <c r="A41" s="5"/>
      <c r="B41" s="6" t="s">
        <v>125</v>
      </c>
      <c r="C41" s="31" t="n">
        <v>0.04</v>
      </c>
      <c r="D41" s="28" t="s">
        <v>126</v>
      </c>
      <c r="E41" s="29" t="s">
        <v>127</v>
      </c>
    </row>
    <row r="42" customFormat="false" ht="15" hidden="false" customHeight="false" outlineLevel="0" collapsed="false">
      <c r="A42" s="5"/>
      <c r="B42" s="6" t="s">
        <v>128</v>
      </c>
      <c r="C42" s="30" t="n">
        <v>5</v>
      </c>
      <c r="D42" s="28" t="s">
        <v>53</v>
      </c>
      <c r="E42" s="29" t="s">
        <v>129</v>
      </c>
    </row>
    <row r="43" customFormat="false" ht="15" hidden="false" customHeight="false" outlineLevel="0" collapsed="false">
      <c r="A43" s="5"/>
      <c r="B43" s="26" t="s">
        <v>130</v>
      </c>
      <c r="C43" s="10"/>
      <c r="D43" s="10"/>
      <c r="E43" s="10"/>
    </row>
    <row r="44" customFormat="false" ht="15" hidden="false" customHeight="false" outlineLevel="0" collapsed="false">
      <c r="A44" s="5"/>
      <c r="B44" s="6" t="s">
        <v>131</v>
      </c>
      <c r="C44" s="31" t="n">
        <v>0.12</v>
      </c>
      <c r="D44" s="28" t="s">
        <v>132</v>
      </c>
      <c r="E44" s="29" t="s">
        <v>133</v>
      </c>
    </row>
    <row r="45" customFormat="false" ht="15" hidden="false" customHeight="false" outlineLevel="0" collapsed="false">
      <c r="A45" s="5"/>
      <c r="B45" s="6" t="s">
        <v>134</v>
      </c>
      <c r="C45" s="31" t="n">
        <v>0.03</v>
      </c>
      <c r="D45" s="28" t="s">
        <v>132</v>
      </c>
      <c r="E45" s="29" t="s">
        <v>135</v>
      </c>
    </row>
    <row r="46" customFormat="false" ht="15" hidden="false" customHeight="false" outlineLevel="0" collapsed="false">
      <c r="A46" s="5"/>
      <c r="B46" s="6" t="s">
        <v>136</v>
      </c>
      <c r="C46" s="31" t="n">
        <v>0.03</v>
      </c>
      <c r="D46" s="28" t="s">
        <v>132</v>
      </c>
      <c r="E46" s="29" t="s">
        <v>137</v>
      </c>
    </row>
    <row r="47" customFormat="false" ht="15" hidden="false" customHeight="false" outlineLevel="0" collapsed="false">
      <c r="A47" s="5"/>
      <c r="B47" s="6" t="s">
        <v>138</v>
      </c>
      <c r="C47" s="31" t="n">
        <v>0.04</v>
      </c>
      <c r="D47" s="28" t="s">
        <v>132</v>
      </c>
      <c r="E47" s="29" t="s">
        <v>139</v>
      </c>
    </row>
    <row r="48" customFormat="false" ht="15" hidden="false" customHeight="false" outlineLevel="0" collapsed="false">
      <c r="A48" s="5"/>
      <c r="B48" s="6" t="s">
        <v>140</v>
      </c>
      <c r="C48" s="27" t="n">
        <v>275</v>
      </c>
      <c r="D48" s="28" t="s">
        <v>141</v>
      </c>
      <c r="E48" s="29" t="s">
        <v>142</v>
      </c>
    </row>
    <row r="49" customFormat="false" ht="15" hidden="false" customHeight="false" outlineLevel="0" collapsed="false">
      <c r="A49" s="5"/>
      <c r="B49" s="6" t="s">
        <v>143</v>
      </c>
      <c r="C49" s="32" t="n">
        <v>0.015</v>
      </c>
      <c r="D49" s="28" t="s">
        <v>144</v>
      </c>
      <c r="E49" s="29" t="s">
        <v>145</v>
      </c>
    </row>
    <row r="50" customFormat="false" ht="15" hidden="false" customHeight="false" outlineLevel="0" collapsed="false">
      <c r="A50" s="5"/>
      <c r="B50" s="6" t="s">
        <v>146</v>
      </c>
      <c r="C50" s="32" t="n">
        <v>0.005</v>
      </c>
      <c r="D50" s="28" t="s">
        <v>144</v>
      </c>
      <c r="E50" s="29" t="s">
        <v>147</v>
      </c>
    </row>
    <row r="51" customFormat="false" ht="15" hidden="false" customHeight="false" outlineLevel="0" collapsed="false">
      <c r="A51" s="5"/>
      <c r="B51" s="6" t="s">
        <v>148</v>
      </c>
      <c r="C51" s="32" t="n">
        <v>0.015</v>
      </c>
      <c r="D51" s="28" t="s">
        <v>132</v>
      </c>
      <c r="E51" s="29" t="s">
        <v>149</v>
      </c>
    </row>
    <row r="52" customFormat="false" ht="15" hidden="false" customHeight="false" outlineLevel="0" collapsed="false">
      <c r="A52" s="5"/>
      <c r="B52" s="6" t="s">
        <v>150</v>
      </c>
      <c r="C52" s="32" t="n">
        <v>0.025</v>
      </c>
      <c r="D52" s="28" t="s">
        <v>84</v>
      </c>
      <c r="E52" s="29" t="s">
        <v>151</v>
      </c>
    </row>
    <row r="53" customFormat="false" ht="15" hidden="false" customHeight="false" outlineLevel="0" collapsed="false">
      <c r="A53" s="5"/>
      <c r="B53" s="26" t="s">
        <v>152</v>
      </c>
      <c r="C53" s="10"/>
      <c r="D53" s="10"/>
      <c r="E53" s="10"/>
    </row>
    <row r="54" customFormat="false" ht="15" hidden="false" customHeight="false" outlineLevel="0" collapsed="false">
      <c r="A54" s="5"/>
      <c r="B54" s="6" t="s">
        <v>153</v>
      </c>
      <c r="C54" s="32" t="n">
        <v>0.055</v>
      </c>
      <c r="D54" s="28" t="s">
        <v>76</v>
      </c>
      <c r="E54" s="29" t="s">
        <v>154</v>
      </c>
    </row>
    <row r="55" customFormat="false" ht="15" hidden="false" customHeight="false" outlineLevel="0" collapsed="false">
      <c r="A55" s="5"/>
      <c r="B55" s="6" t="s">
        <v>155</v>
      </c>
      <c r="C55" s="32" t="n">
        <v>0.02</v>
      </c>
      <c r="D55" s="28" t="s">
        <v>87</v>
      </c>
      <c r="E55" s="29" t="s">
        <v>156</v>
      </c>
    </row>
    <row r="56" customFormat="false" ht="15" hidden="false" customHeight="false" outlineLevel="0" collapsed="false">
      <c r="A56" s="5"/>
      <c r="B56" s="6" t="s">
        <v>157</v>
      </c>
      <c r="C56" s="32" t="n">
        <v>0.08</v>
      </c>
      <c r="D56" s="28" t="s">
        <v>76</v>
      </c>
      <c r="E56" s="29" t="s">
        <v>158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E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5" min="3" style="0" width="18"/>
  </cols>
  <sheetData>
    <row r="1" customFormat="false" ht="15" hidden="false" customHeight="false" outlineLevel="0" collapsed="false">
      <c r="A1" s="5"/>
      <c r="B1" s="5"/>
      <c r="C1" s="5"/>
      <c r="D1" s="5"/>
      <c r="E1" s="5"/>
    </row>
    <row r="2" customFormat="false" ht="22.05" hidden="false" customHeight="false" outlineLevel="0" collapsed="false">
      <c r="A2" s="5"/>
      <c r="B2" s="22" t="s">
        <v>159</v>
      </c>
      <c r="C2" s="5"/>
      <c r="D2" s="5"/>
      <c r="E2" s="5"/>
    </row>
    <row r="3" customFormat="false" ht="15" hidden="false" customHeight="false" outlineLevel="0" collapsed="false">
      <c r="A3" s="5"/>
      <c r="B3" s="23" t="s">
        <v>160</v>
      </c>
      <c r="C3" s="5"/>
      <c r="D3" s="5"/>
      <c r="E3" s="5"/>
    </row>
    <row r="4" customFormat="false" ht="15" hidden="false" customHeight="false" outlineLevel="0" collapsed="false">
      <c r="A4" s="5"/>
      <c r="B4" s="24" t="s">
        <v>161</v>
      </c>
      <c r="C4" s="25" t="s">
        <v>162</v>
      </c>
      <c r="D4" s="25" t="s">
        <v>163</v>
      </c>
      <c r="E4" s="25" t="s">
        <v>164</v>
      </c>
    </row>
    <row r="5" customFormat="false" ht="15" hidden="false" customHeight="false" outlineLevel="0" collapsed="false">
      <c r="A5" s="5"/>
      <c r="B5" s="6" t="s">
        <v>165</v>
      </c>
      <c r="C5" s="35" t="n">
        <f aca="false">Land_Cost</f>
        <v>10000000</v>
      </c>
      <c r="D5" s="35" t="n">
        <f aca="false">0</f>
        <v>0</v>
      </c>
      <c r="E5" s="35" t="n">
        <f aca="false">SUM(C5:D5)</f>
        <v>10000000</v>
      </c>
    </row>
    <row r="6" customFormat="false" ht="15" hidden="false" customHeight="false" outlineLevel="0" collapsed="false">
      <c r="A6" s="5"/>
      <c r="B6" s="6" t="s">
        <v>166</v>
      </c>
      <c r="C6" s="35" t="n">
        <f aca="false">GBA*Hard_Cost_PSF*Hard_Draw_Y1</f>
        <v>17187500</v>
      </c>
      <c r="D6" s="35" t="n">
        <f aca="false">GBA*Hard_Cost_PSF*Hard_Draw_Y2</f>
        <v>51562500</v>
      </c>
      <c r="E6" s="35" t="n">
        <f aca="false">SUM(C6:D6)</f>
        <v>68750000</v>
      </c>
    </row>
    <row r="7" customFormat="false" ht="15" hidden="false" customHeight="false" outlineLevel="0" collapsed="false">
      <c r="A7" s="5"/>
      <c r="B7" s="6" t="s">
        <v>167</v>
      </c>
      <c r="C7" s="35" t="n">
        <f aca="false">C6*Soft_Cost_Pct</f>
        <v>3437500</v>
      </c>
      <c r="D7" s="35" t="n">
        <f aca="false">D6*Soft_Cost_Pct</f>
        <v>10312500</v>
      </c>
      <c r="E7" s="35" t="n">
        <f aca="false">SUM(C7:D7)</f>
        <v>13750000</v>
      </c>
    </row>
    <row r="8" customFormat="false" ht="15" hidden="false" customHeight="false" outlineLevel="0" collapsed="false">
      <c r="A8" s="5"/>
      <c r="B8" s="6" t="s">
        <v>168</v>
      </c>
      <c r="C8" s="35" t="n">
        <f aca="false">(C6+C7)*Dev_Fee_Pct</f>
        <v>825000</v>
      </c>
      <c r="D8" s="35" t="n">
        <f aca="false">(D6+D7)*Dev_Fee_Pct</f>
        <v>2475000</v>
      </c>
      <c r="E8" s="35" t="n">
        <f aca="false">SUM(C8:D8)</f>
        <v>3300000</v>
      </c>
    </row>
    <row r="9" customFormat="false" ht="15" hidden="false" customHeight="false" outlineLevel="0" collapsed="false">
      <c r="A9" s="5"/>
      <c r="B9" s="6" t="s">
        <v>169</v>
      </c>
      <c r="C9" s="35" t="n">
        <f aca="false">DS_Cap_Interest_Y1</f>
        <v>1258000</v>
      </c>
      <c r="D9" s="35" t="n">
        <f aca="false">DS_Cap_Interest_Y2</f>
        <v>3799120</v>
      </c>
      <c r="E9" s="35" t="n">
        <f aca="false">SUM(C9:D9)</f>
        <v>5057120</v>
      </c>
    </row>
    <row r="10" customFormat="false" ht="15" hidden="false" customHeight="false" outlineLevel="0" collapsed="false">
      <c r="A10" s="5"/>
      <c r="B10" s="6" t="s">
        <v>170</v>
      </c>
      <c r="C10" s="35" t="n">
        <f aca="false">DS_Orig_Fee</f>
        <v>622700</v>
      </c>
      <c r="D10" s="35" t="n">
        <f aca="false">0</f>
        <v>0</v>
      </c>
      <c r="E10" s="35" t="n">
        <f aca="false">C10</f>
        <v>622700</v>
      </c>
    </row>
    <row r="11" customFormat="false" ht="15" hidden="false" customHeight="false" outlineLevel="0" collapsed="false">
      <c r="A11" s="5"/>
      <c r="B11" s="36" t="s">
        <v>171</v>
      </c>
      <c r="C11" s="37" t="n">
        <f aca="false">SUM(C5:C10)</f>
        <v>33330700</v>
      </c>
      <c r="D11" s="37" t="n">
        <f aca="false">SUM(D5:D10)</f>
        <v>68149120</v>
      </c>
      <c r="E11" s="37" t="n">
        <f aca="false">SUM(E5:E10)</f>
        <v>101479820</v>
      </c>
    </row>
    <row r="12" customFormat="false" ht="15" hidden="false" customHeight="false" outlineLevel="0" collapsed="false">
      <c r="A12" s="5"/>
      <c r="B12" s="6" t="s">
        <v>172</v>
      </c>
      <c r="C12" s="38" t="n">
        <f aca="false">C11</f>
        <v>33330700</v>
      </c>
      <c r="D12" s="38" t="n">
        <f aca="false">C12+D11</f>
        <v>101479820</v>
      </c>
      <c r="E12" s="5"/>
    </row>
    <row r="13" customFormat="false" ht="15" hidden="false" customHeight="false" outlineLevel="0" collapsed="false">
      <c r="A13" s="5"/>
      <c r="B13" s="29" t="s">
        <v>173</v>
      </c>
      <c r="C13" s="5"/>
      <c r="D13" s="5"/>
      <c r="E13" s="39" t="n">
        <f aca="false">SUM(E5:E8)</f>
        <v>95800000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K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11" min="3" style="0" width="14"/>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22" t="s">
        <v>174</v>
      </c>
      <c r="C2" s="5"/>
      <c r="D2" s="5"/>
      <c r="E2" s="5"/>
      <c r="F2" s="5"/>
      <c r="G2" s="5"/>
      <c r="H2" s="5"/>
      <c r="I2" s="5"/>
      <c r="J2" s="5"/>
      <c r="K2" s="5"/>
    </row>
    <row r="3" customFormat="false" ht="15" hidden="false" customHeight="false" outlineLevel="0" collapsed="false">
      <c r="A3" s="5"/>
      <c r="B3" s="29" t="s">
        <v>175</v>
      </c>
      <c r="C3" s="28" t="n">
        <v>-1</v>
      </c>
      <c r="D3" s="28" t="n">
        <v>0</v>
      </c>
      <c r="E3" s="28" t="n">
        <v>1</v>
      </c>
      <c r="F3" s="28" t="n">
        <v>2</v>
      </c>
      <c r="G3" s="28" t="n">
        <v>3</v>
      </c>
      <c r="H3" s="28" t="n">
        <v>4</v>
      </c>
      <c r="I3" s="28" t="n">
        <v>5</v>
      </c>
      <c r="J3" s="28" t="n">
        <v>6</v>
      </c>
      <c r="K3" s="28" t="n">
        <v>7</v>
      </c>
    </row>
    <row r="4" customFormat="false" ht="15" hidden="false" customHeight="false" outlineLevel="0" collapsed="false">
      <c r="A4" s="5"/>
      <c r="B4" s="24" t="s">
        <v>176</v>
      </c>
      <c r="C4" s="25" t="s">
        <v>162</v>
      </c>
      <c r="D4" s="25" t="s">
        <v>163</v>
      </c>
      <c r="E4" s="25" t="s">
        <v>177</v>
      </c>
      <c r="F4" s="25" t="s">
        <v>178</v>
      </c>
      <c r="G4" s="25" t="s">
        <v>179</v>
      </c>
      <c r="H4" s="25" t="s">
        <v>180</v>
      </c>
      <c r="I4" s="25" t="s">
        <v>181</v>
      </c>
      <c r="J4" s="25" t="s">
        <v>182</v>
      </c>
      <c r="K4" s="25" t="s">
        <v>183</v>
      </c>
    </row>
    <row r="5" customFormat="false" ht="15" hidden="false" customHeight="false" outlineLevel="0" collapsed="false">
      <c r="A5" s="5"/>
      <c r="B5" s="6" t="s">
        <v>184</v>
      </c>
      <c r="C5" s="40" t="n">
        <v>0</v>
      </c>
      <c r="D5" s="40" t="n">
        <v>0</v>
      </c>
      <c r="E5" s="40" t="n">
        <f aca="false">1</f>
        <v>1</v>
      </c>
      <c r="F5" s="40" t="n">
        <f aca="false">E5+1</f>
        <v>2</v>
      </c>
      <c r="G5" s="40" t="n">
        <f aca="false">F5+1</f>
        <v>3</v>
      </c>
      <c r="H5" s="40" t="n">
        <f aca="false">G5+1</f>
        <v>4</v>
      </c>
      <c r="I5" s="40" t="n">
        <f aca="false">H5+1</f>
        <v>5</v>
      </c>
      <c r="J5" s="40" t="n">
        <f aca="false">I5+1</f>
        <v>6</v>
      </c>
      <c r="K5" s="40" t="n">
        <f aca="false">J5+1</f>
        <v>7</v>
      </c>
    </row>
    <row r="6" customFormat="false" ht="15" hidden="false" customHeight="false" outlineLevel="0" collapsed="false">
      <c r="A6" s="5"/>
      <c r="B6" s="6" t="s">
        <v>185</v>
      </c>
      <c r="C6" s="40" t="n">
        <f aca="false">0</f>
        <v>0</v>
      </c>
      <c r="D6" s="40" t="n">
        <f aca="false">0</f>
        <v>0</v>
      </c>
      <c r="E6" s="40" t="n">
        <f aca="false">MIN(Resi_Units,Resi_Absorp_Rate*12*E5)</f>
        <v>180</v>
      </c>
      <c r="F6" s="40" t="n">
        <f aca="false">MIN(Resi_Units,Resi_Absorp_Rate*12*F5)</f>
        <v>200</v>
      </c>
      <c r="G6" s="40" t="n">
        <f aca="false">MIN(Resi_Units,Resi_Absorp_Rate*12*G5)</f>
        <v>200</v>
      </c>
      <c r="H6" s="40" t="n">
        <f aca="false">MIN(Resi_Units,Resi_Absorp_Rate*12*H5)</f>
        <v>200</v>
      </c>
      <c r="I6" s="40" t="n">
        <f aca="false">MIN(Resi_Units,Resi_Absorp_Rate*12*I5)</f>
        <v>200</v>
      </c>
      <c r="J6" s="40" t="n">
        <f aca="false">MIN(Resi_Units,Resi_Absorp_Rate*12*J5)</f>
        <v>200</v>
      </c>
      <c r="K6" s="40" t="n">
        <f aca="false">MIN(Resi_Units,Resi_Absorp_Rate*12*K5)</f>
        <v>200</v>
      </c>
    </row>
    <row r="7" customFormat="false" ht="15" hidden="false" customHeight="false" outlineLevel="0" collapsed="false">
      <c r="A7" s="5"/>
      <c r="B7" s="6" t="s">
        <v>186</v>
      </c>
      <c r="C7" s="40" t="n">
        <f aca="false">0</f>
        <v>0</v>
      </c>
      <c r="D7" s="40" t="n">
        <f aca="false">0</f>
        <v>0</v>
      </c>
      <c r="E7" s="40" t="n">
        <f aca="false">(0+E6)/2</f>
        <v>90</v>
      </c>
      <c r="F7" s="40" t="n">
        <f aca="false">(E6+F6)/2</f>
        <v>190</v>
      </c>
      <c r="G7" s="40" t="n">
        <f aca="false">(F6+G6)/2</f>
        <v>200</v>
      </c>
      <c r="H7" s="40" t="n">
        <f aca="false">(G6+H6)/2</f>
        <v>200</v>
      </c>
      <c r="I7" s="40" t="n">
        <f aca="false">(H6+I6)/2</f>
        <v>200</v>
      </c>
      <c r="J7" s="40" t="n">
        <f aca="false">(I6+J6)/2</f>
        <v>200</v>
      </c>
      <c r="K7" s="40" t="n">
        <f aca="false">(J6+K6)/2</f>
        <v>200</v>
      </c>
    </row>
    <row r="8" customFormat="false" ht="15" hidden="false" customHeight="false" outlineLevel="0" collapsed="false">
      <c r="A8" s="5"/>
      <c r="B8" s="6" t="s">
        <v>187</v>
      </c>
      <c r="C8" s="35" t="n">
        <f aca="false">Resi_Monthly_Rent</f>
        <v>2800</v>
      </c>
      <c r="D8" s="35" t="n">
        <f aca="false">Resi_Monthly_Rent</f>
        <v>2800</v>
      </c>
      <c r="E8" s="35" t="n">
        <f aca="false">Resi_Monthly_Rent</f>
        <v>2800</v>
      </c>
      <c r="F8" s="35" t="n">
        <f aca="false">E8*(1+Resi_Rent_Growth)</f>
        <v>2884</v>
      </c>
      <c r="G8" s="35" t="n">
        <f aca="false">F8*(1+Resi_Rent_Growth)</f>
        <v>2970.52</v>
      </c>
      <c r="H8" s="35" t="n">
        <f aca="false">G8*(1+Resi_Rent_Growth)</f>
        <v>3059.6356</v>
      </c>
      <c r="I8" s="35" t="n">
        <f aca="false">H8*(1+Resi_Rent_Growth)</f>
        <v>3151.424668</v>
      </c>
      <c r="J8" s="35" t="n">
        <f aca="false">I8*(1+Resi_Rent_Growth)</f>
        <v>3245.96740804</v>
      </c>
      <c r="K8" s="35" t="n">
        <f aca="false">J8*(1+Resi_Rent_Growth)</f>
        <v>3343.3464302812</v>
      </c>
    </row>
    <row r="9" customFormat="false" ht="15" hidden="false" customHeight="false" outlineLevel="0" collapsed="false">
      <c r="A9" s="5"/>
      <c r="B9" s="6" t="s">
        <v>188</v>
      </c>
      <c r="C9" s="41" t="n">
        <f aca="false">0</f>
        <v>0</v>
      </c>
      <c r="D9" s="41" t="n">
        <f aca="false">0</f>
        <v>0</v>
      </c>
      <c r="E9" s="41" t="n">
        <f aca="false">0</f>
        <v>0</v>
      </c>
      <c r="F9" s="41" t="n">
        <f aca="false">Resi_Vac_Pct</f>
        <v>0.05</v>
      </c>
      <c r="G9" s="41" t="n">
        <f aca="false">Resi_Vac_Pct</f>
        <v>0.05</v>
      </c>
      <c r="H9" s="41" t="n">
        <f aca="false">Resi_Vac_Pct</f>
        <v>0.05</v>
      </c>
      <c r="I9" s="41" t="n">
        <f aca="false">Resi_Vac_Pct</f>
        <v>0.05</v>
      </c>
      <c r="J9" s="41" t="n">
        <f aca="false">Resi_Vac_Pct</f>
        <v>0.05</v>
      </c>
      <c r="K9" s="41" t="n">
        <f aca="false">Resi_Vac_Pct</f>
        <v>0.05</v>
      </c>
    </row>
    <row r="10" customFormat="false" ht="15" hidden="false" customHeight="false" outlineLevel="0" collapsed="false">
      <c r="A10" s="5"/>
      <c r="B10" s="24" t="s">
        <v>189</v>
      </c>
      <c r="C10" s="42"/>
      <c r="D10" s="42"/>
      <c r="E10" s="42"/>
      <c r="F10" s="42"/>
      <c r="G10" s="42"/>
      <c r="H10" s="42"/>
      <c r="I10" s="42"/>
      <c r="J10" s="42"/>
      <c r="K10" s="42"/>
    </row>
    <row r="11" customFormat="false" ht="15" hidden="false" customHeight="false" outlineLevel="0" collapsed="false">
      <c r="A11" s="5"/>
      <c r="B11" s="43" t="s">
        <v>190</v>
      </c>
      <c r="C11" s="35" t="n">
        <f aca="false">0</f>
        <v>0</v>
      </c>
      <c r="D11" s="35" t="n">
        <f aca="false">0</f>
        <v>0</v>
      </c>
      <c r="E11" s="35" t="n">
        <f aca="false">E7*E8*12</f>
        <v>3024000</v>
      </c>
      <c r="F11" s="35" t="n">
        <f aca="false">F7*F8*12</f>
        <v>6575520</v>
      </c>
      <c r="G11" s="35" t="n">
        <f aca="false">G7*G8*12</f>
        <v>7129248</v>
      </c>
      <c r="H11" s="35" t="n">
        <f aca="false">H7*H8*12</f>
        <v>7343125.44</v>
      </c>
      <c r="I11" s="35" t="n">
        <f aca="false">I7*I8*12</f>
        <v>7563419.2032</v>
      </c>
      <c r="J11" s="35" t="n">
        <f aca="false">J7*J8*12</f>
        <v>7790321.779296</v>
      </c>
      <c r="K11" s="35" t="n">
        <f aca="false">K7*K8*12</f>
        <v>8024031.43267488</v>
      </c>
    </row>
    <row r="12" customFormat="false" ht="15" hidden="false" customHeight="false" outlineLevel="0" collapsed="false">
      <c r="A12" s="5"/>
      <c r="B12" s="43" t="s">
        <v>191</v>
      </c>
      <c r="C12" s="35" t="n">
        <f aca="false">0</f>
        <v>0</v>
      </c>
      <c r="D12" s="35" t="n">
        <f aca="false">0</f>
        <v>0</v>
      </c>
      <c r="E12" s="35" t="n">
        <f aca="false">0</f>
        <v>0</v>
      </c>
      <c r="F12" s="35" t="n">
        <f aca="false">-F11*F9</f>
        <v>-328776</v>
      </c>
      <c r="G12" s="35" t="n">
        <f aca="false">-G11*G9</f>
        <v>-356462.4</v>
      </c>
      <c r="H12" s="35" t="n">
        <f aca="false">-H11*H9</f>
        <v>-367156.272</v>
      </c>
      <c r="I12" s="35" t="n">
        <f aca="false">-I11*I9</f>
        <v>-378170.96016</v>
      </c>
      <c r="J12" s="35" t="n">
        <f aca="false">-J11*J9</f>
        <v>-389516.0889648</v>
      </c>
      <c r="K12" s="35" t="n">
        <f aca="false">-K11*K9</f>
        <v>-401201.571633744</v>
      </c>
    </row>
    <row r="13" customFormat="false" ht="15" hidden="false" customHeight="false" outlineLevel="0" collapsed="false">
      <c r="A13" s="5"/>
      <c r="B13" s="44" t="s">
        <v>192</v>
      </c>
      <c r="C13" s="45" t="n">
        <f aca="false">0</f>
        <v>0</v>
      </c>
      <c r="D13" s="45" t="n">
        <f aca="false">0</f>
        <v>0</v>
      </c>
      <c r="E13" s="45" t="n">
        <f aca="false">E11+E12</f>
        <v>3024000</v>
      </c>
      <c r="F13" s="45" t="n">
        <f aca="false">F11+F12</f>
        <v>6246744</v>
      </c>
      <c r="G13" s="45" t="n">
        <f aca="false">G11+G12</f>
        <v>6772785.6</v>
      </c>
      <c r="H13" s="45" t="n">
        <f aca="false">H11+H12</f>
        <v>6975969.168</v>
      </c>
      <c r="I13" s="45" t="n">
        <f aca="false">I11+I12</f>
        <v>7185248.24304</v>
      </c>
      <c r="J13" s="45" t="n">
        <f aca="false">J11+J12</f>
        <v>7400805.6903312</v>
      </c>
      <c r="K13" s="45" t="n">
        <f aca="false">K11+K12</f>
        <v>7622829.86104114</v>
      </c>
    </row>
    <row r="14" customFormat="false" ht="15" hidden="false" customHeight="false" outlineLevel="0" collapsed="false">
      <c r="A14" s="5"/>
      <c r="B14" s="43" t="s">
        <v>193</v>
      </c>
      <c r="C14" s="35" t="n">
        <f aca="false">0</f>
        <v>0</v>
      </c>
      <c r="D14" s="35" t="n">
        <f aca="false">0</f>
        <v>0</v>
      </c>
      <c r="E14" s="35" t="n">
        <f aca="false">E7*Parking_Monthly*12*(1+Resi_Rent_Growth)^(E5-1)</f>
        <v>162000</v>
      </c>
      <c r="F14" s="35" t="n">
        <f aca="false">F7*Parking_Monthly*12*(1+Resi_Rent_Growth)^(F5-1)</f>
        <v>352260</v>
      </c>
      <c r="G14" s="35" t="n">
        <f aca="false">G7*Parking_Monthly*12*(1+Resi_Rent_Growth)^(G5-1)</f>
        <v>381924</v>
      </c>
      <c r="H14" s="35" t="n">
        <f aca="false">H7*Parking_Monthly*12*(1+Resi_Rent_Growth)^(H5-1)</f>
        <v>393381.72</v>
      </c>
      <c r="I14" s="35" t="n">
        <f aca="false">I7*Parking_Monthly*12*(1+Resi_Rent_Growth)^(I5-1)</f>
        <v>405183.1716</v>
      </c>
      <c r="J14" s="35" t="n">
        <f aca="false">J7*Parking_Monthly*12*(1+Resi_Rent_Growth)^(J5-1)</f>
        <v>417338.666748</v>
      </c>
      <c r="K14" s="35" t="n">
        <f aca="false">K7*Parking_Monthly*12*(1+Resi_Rent_Growth)^(K5-1)</f>
        <v>429858.82675044</v>
      </c>
    </row>
    <row r="15" customFormat="false" ht="15" hidden="false" customHeight="false" outlineLevel="0" collapsed="false">
      <c r="A15" s="5"/>
      <c r="B15" s="43" t="s">
        <v>194</v>
      </c>
      <c r="C15" s="35" t="n">
        <f aca="false">0</f>
        <v>0</v>
      </c>
      <c r="D15" s="35" t="n">
        <f aca="false">0</f>
        <v>0</v>
      </c>
      <c r="E15" s="35" t="n">
        <f aca="false">E7*Ancil_Per_Unit*12*(1+Resi_Rent_Growth)^(E5-1)</f>
        <v>54000</v>
      </c>
      <c r="F15" s="35" t="n">
        <f aca="false">F7*Ancil_Per_Unit*12*(1+Resi_Rent_Growth)^(F5-1)</f>
        <v>117420</v>
      </c>
      <c r="G15" s="35" t="n">
        <f aca="false">G7*Ancil_Per_Unit*12*(1+Resi_Rent_Growth)^(G5-1)</f>
        <v>127308</v>
      </c>
      <c r="H15" s="35" t="n">
        <f aca="false">H7*Ancil_Per_Unit*12*(1+Resi_Rent_Growth)^(H5-1)</f>
        <v>131127.24</v>
      </c>
      <c r="I15" s="35" t="n">
        <f aca="false">I7*Ancil_Per_Unit*12*(1+Resi_Rent_Growth)^(I5-1)</f>
        <v>135061.0572</v>
      </c>
      <c r="J15" s="35" t="n">
        <f aca="false">J7*Ancil_Per_Unit*12*(1+Resi_Rent_Growth)^(J5-1)</f>
        <v>139112.888916</v>
      </c>
      <c r="K15" s="35" t="n">
        <f aca="false">K7*Ancil_Per_Unit*12*(1+Resi_Rent_Growth)^(K5-1)</f>
        <v>143286.27558348</v>
      </c>
    </row>
    <row r="16" customFormat="false" ht="15" hidden="false" customHeight="false" outlineLevel="0" collapsed="false">
      <c r="A16" s="5"/>
      <c r="B16" s="46" t="s">
        <v>195</v>
      </c>
      <c r="C16" s="37" t="n">
        <f aca="false">0</f>
        <v>0</v>
      </c>
      <c r="D16" s="37" t="n">
        <f aca="false">0</f>
        <v>0</v>
      </c>
      <c r="E16" s="37" t="n">
        <f aca="false">E13+E14+E15</f>
        <v>3240000</v>
      </c>
      <c r="F16" s="37" t="n">
        <f aca="false">F13+F14+F15</f>
        <v>6716424</v>
      </c>
      <c r="G16" s="37" t="n">
        <f aca="false">G13+G14+G15</f>
        <v>7282017.6</v>
      </c>
      <c r="H16" s="37" t="n">
        <f aca="false">H13+H14+H15</f>
        <v>7500478.128</v>
      </c>
      <c r="I16" s="37" t="n">
        <f aca="false">I13+I14+I15</f>
        <v>7725492.47184</v>
      </c>
      <c r="J16" s="37" t="n">
        <f aca="false">J13+J14+J15</f>
        <v>7957257.2459952</v>
      </c>
      <c r="K16" s="37" t="n">
        <f aca="false">K13+K14+K15</f>
        <v>8195974.96337505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K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11" min="3" style="0" width="14"/>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22" t="s">
        <v>196</v>
      </c>
      <c r="C2" s="5"/>
      <c r="D2" s="5"/>
      <c r="E2" s="5"/>
      <c r="F2" s="5"/>
      <c r="G2" s="5"/>
      <c r="H2" s="5"/>
      <c r="I2" s="5"/>
      <c r="J2" s="5"/>
      <c r="K2" s="5"/>
    </row>
    <row r="3" customFormat="false" ht="15" hidden="false" customHeight="false" outlineLevel="0" collapsed="false">
      <c r="A3" s="5"/>
      <c r="B3" s="29" t="s">
        <v>175</v>
      </c>
      <c r="C3" s="28" t="n">
        <v>-1</v>
      </c>
      <c r="D3" s="28" t="n">
        <v>0</v>
      </c>
      <c r="E3" s="28" t="n">
        <v>1</v>
      </c>
      <c r="F3" s="28" t="n">
        <v>2</v>
      </c>
      <c r="G3" s="28" t="n">
        <v>3</v>
      </c>
      <c r="H3" s="28" t="n">
        <v>4</v>
      </c>
      <c r="I3" s="28" t="n">
        <v>5</v>
      </c>
      <c r="J3" s="28" t="n">
        <v>6</v>
      </c>
      <c r="K3" s="28" t="n">
        <v>7</v>
      </c>
    </row>
    <row r="4" customFormat="false" ht="15" hidden="false" customHeight="false" outlineLevel="0" collapsed="false">
      <c r="A4" s="5"/>
      <c r="B4" s="24" t="s">
        <v>197</v>
      </c>
      <c r="C4" s="25" t="s">
        <v>162</v>
      </c>
      <c r="D4" s="25" t="s">
        <v>163</v>
      </c>
      <c r="E4" s="25" t="s">
        <v>177</v>
      </c>
      <c r="F4" s="25" t="s">
        <v>178</v>
      </c>
      <c r="G4" s="25" t="s">
        <v>179</v>
      </c>
      <c r="H4" s="25" t="s">
        <v>180</v>
      </c>
      <c r="I4" s="25" t="s">
        <v>181</v>
      </c>
      <c r="J4" s="25" t="s">
        <v>182</v>
      </c>
      <c r="K4" s="25" t="s">
        <v>183</v>
      </c>
    </row>
    <row r="5" customFormat="false" ht="15" hidden="false" customHeight="false" outlineLevel="0" collapsed="false">
      <c r="A5" s="5"/>
      <c r="B5" s="6" t="s">
        <v>184</v>
      </c>
      <c r="C5" s="40" t="n">
        <v>0</v>
      </c>
      <c r="D5" s="40" t="n">
        <v>0</v>
      </c>
      <c r="E5" s="40" t="n">
        <f aca="false">1</f>
        <v>1</v>
      </c>
      <c r="F5" s="40" t="n">
        <f aca="false">E5+1</f>
        <v>2</v>
      </c>
      <c r="G5" s="40" t="n">
        <f aca="false">F5+1</f>
        <v>3</v>
      </c>
      <c r="H5" s="40" t="n">
        <f aca="false">G5+1</f>
        <v>4</v>
      </c>
      <c r="I5" s="40" t="n">
        <f aca="false">H5+1</f>
        <v>5</v>
      </c>
      <c r="J5" s="40" t="n">
        <f aca="false">I5+1</f>
        <v>6</v>
      </c>
      <c r="K5" s="40" t="n">
        <f aca="false">J5+1</f>
        <v>7</v>
      </c>
    </row>
    <row r="6" customFormat="false" ht="15" hidden="false" customHeight="false" outlineLevel="0" collapsed="false">
      <c r="A6" s="5"/>
      <c r="B6" s="6" t="s">
        <v>198</v>
      </c>
      <c r="C6" s="35" t="n">
        <f aca="false">Comm_Rent_PSF</f>
        <v>40</v>
      </c>
      <c r="D6" s="35" t="n">
        <f aca="false">Comm_Rent_PSF</f>
        <v>40</v>
      </c>
      <c r="E6" s="35" t="n">
        <f aca="false">Comm_Rent_PSF</f>
        <v>40</v>
      </c>
      <c r="F6" s="35" t="n">
        <f aca="false">E6*(1+Comm_Escalation)</f>
        <v>41</v>
      </c>
      <c r="G6" s="35" t="n">
        <f aca="false">F6*(1+Comm_Escalation)</f>
        <v>42.025</v>
      </c>
      <c r="H6" s="35" t="n">
        <f aca="false">G6*(1+Comm_Escalation)</f>
        <v>43.075625</v>
      </c>
      <c r="I6" s="35" t="n">
        <f aca="false">H6*(1+Comm_Escalation)</f>
        <v>44.152515625</v>
      </c>
      <c r="J6" s="35" t="n">
        <f aca="false">I6*(1+Comm_Escalation)</f>
        <v>45.256328515625</v>
      </c>
      <c r="K6" s="35" t="n">
        <f aca="false">J6*(1+Comm_Escalation)</f>
        <v>46.3877367285156</v>
      </c>
    </row>
    <row r="7" customFormat="false" ht="15" hidden="false" customHeight="false" outlineLevel="0" collapsed="false">
      <c r="A7" s="5"/>
      <c r="B7" s="6" t="s">
        <v>188</v>
      </c>
      <c r="C7" s="41" t="n">
        <f aca="false">Comm_Vac_Y1</f>
        <v>0.1</v>
      </c>
      <c r="D7" s="41" t="n">
        <f aca="false">Comm_Vac_Y1</f>
        <v>0.1</v>
      </c>
      <c r="E7" s="41" t="n">
        <f aca="false">Comm_Vac_Y1</f>
        <v>0.1</v>
      </c>
      <c r="F7" s="41" t="n">
        <f aca="false">Comm_Vac_Stb</f>
        <v>0.05</v>
      </c>
      <c r="G7" s="41" t="n">
        <f aca="false">Comm_Vac_Stb</f>
        <v>0.05</v>
      </c>
      <c r="H7" s="41" t="n">
        <f aca="false">Comm_Vac_Stb</f>
        <v>0.05</v>
      </c>
      <c r="I7" s="41" t="n">
        <f aca="false">Comm_Vac_Stb</f>
        <v>0.05</v>
      </c>
      <c r="J7" s="41" t="n">
        <f aca="false">Comm_Vac_Stb</f>
        <v>0.05</v>
      </c>
      <c r="K7" s="41" t="n">
        <f aca="false">Comm_Vac_Stb</f>
        <v>0.05</v>
      </c>
    </row>
    <row r="8" customFormat="false" ht="15" hidden="false" customHeight="false" outlineLevel="0" collapsed="false">
      <c r="A8" s="5"/>
      <c r="B8" s="43" t="s">
        <v>199</v>
      </c>
      <c r="C8" s="35" t="n">
        <f aca="false">0</f>
        <v>0</v>
      </c>
      <c r="D8" s="35" t="n">
        <f aca="false">0</f>
        <v>0</v>
      </c>
      <c r="E8" s="35" t="n">
        <f aca="false">Comm_GLA*E6</f>
        <v>1000000</v>
      </c>
      <c r="F8" s="35" t="n">
        <f aca="false">Comm_GLA*F6</f>
        <v>1025000</v>
      </c>
      <c r="G8" s="35" t="n">
        <f aca="false">Comm_GLA*G6</f>
        <v>1050625</v>
      </c>
      <c r="H8" s="35" t="n">
        <f aca="false">Comm_GLA*H6</f>
        <v>1076890.625</v>
      </c>
      <c r="I8" s="35" t="n">
        <f aca="false">Comm_GLA*I6</f>
        <v>1103812.890625</v>
      </c>
      <c r="J8" s="35" t="n">
        <f aca="false">Comm_GLA*J6</f>
        <v>1131408.21289062</v>
      </c>
      <c r="K8" s="35" t="n">
        <f aca="false">Comm_GLA*K6</f>
        <v>1159693.41821289</v>
      </c>
    </row>
    <row r="9" customFormat="false" ht="15" hidden="false" customHeight="false" outlineLevel="0" collapsed="false">
      <c r="A9" s="5"/>
      <c r="B9" s="43" t="s">
        <v>191</v>
      </c>
      <c r="C9" s="35" t="n">
        <f aca="false">0</f>
        <v>0</v>
      </c>
      <c r="D9" s="35" t="n">
        <f aca="false">0</f>
        <v>0</v>
      </c>
      <c r="E9" s="35" t="n">
        <f aca="false">-E8*E7</f>
        <v>-100000</v>
      </c>
      <c r="F9" s="35" t="n">
        <f aca="false">-F8*F7</f>
        <v>-51250</v>
      </c>
      <c r="G9" s="35" t="n">
        <f aca="false">-G8*G7</f>
        <v>-52531.25</v>
      </c>
      <c r="H9" s="35" t="n">
        <f aca="false">-H8*H7</f>
        <v>-53844.53125</v>
      </c>
      <c r="I9" s="35" t="n">
        <f aca="false">-I8*I7</f>
        <v>-55190.64453125</v>
      </c>
      <c r="J9" s="35" t="n">
        <f aca="false">-J8*J7</f>
        <v>-56570.4106445312</v>
      </c>
      <c r="K9" s="35" t="n">
        <f aca="false">-K8*K7</f>
        <v>-57984.6709106445</v>
      </c>
    </row>
    <row r="10" customFormat="false" ht="15" hidden="false" customHeight="false" outlineLevel="0" collapsed="false">
      <c r="A10" s="5"/>
      <c r="B10" s="47" t="s">
        <v>200</v>
      </c>
      <c r="C10" s="48" t="n">
        <f aca="false">0</f>
        <v>0</v>
      </c>
      <c r="D10" s="48" t="n">
        <f aca="false">0</f>
        <v>0</v>
      </c>
      <c r="E10" s="48" t="n">
        <f aca="false">E8+E9</f>
        <v>900000</v>
      </c>
      <c r="F10" s="48" t="n">
        <f aca="false">F8+F9</f>
        <v>973750</v>
      </c>
      <c r="G10" s="48" t="n">
        <f aca="false">G8+G9</f>
        <v>998093.75</v>
      </c>
      <c r="H10" s="48" t="n">
        <f aca="false">H8+H9</f>
        <v>1023046.09375</v>
      </c>
      <c r="I10" s="48" t="n">
        <f aca="false">I8+I9</f>
        <v>1048622.24609375</v>
      </c>
      <c r="J10" s="48" t="n">
        <f aca="false">J8+J9</f>
        <v>1074837.80224609</v>
      </c>
      <c r="K10" s="48" t="n">
        <f aca="false">K8+K9</f>
        <v>1101708.74730225</v>
      </c>
    </row>
    <row r="11" customFormat="false" ht="15" hidden="false" customHeight="false" outlineLevel="0" collapsed="false">
      <c r="A11" s="5"/>
      <c r="B11" s="24" t="s">
        <v>201</v>
      </c>
      <c r="C11" s="42"/>
      <c r="D11" s="42"/>
      <c r="E11" s="42"/>
      <c r="F11" s="42"/>
      <c r="G11" s="42"/>
      <c r="H11" s="42"/>
      <c r="I11" s="42"/>
      <c r="J11" s="42"/>
      <c r="K11" s="42"/>
    </row>
    <row r="12" customFormat="false" ht="15" hidden="false" customHeight="false" outlineLevel="0" collapsed="false">
      <c r="A12" s="5"/>
      <c r="B12" s="6" t="s">
        <v>202</v>
      </c>
      <c r="C12" s="35" t="n">
        <f aca="false">0</f>
        <v>0</v>
      </c>
      <c r="D12" s="35" t="n">
        <f aca="false">0</f>
        <v>0</v>
      </c>
      <c r="E12" s="35" t="n">
        <f aca="false">-Comm_GLA*Comm_TI_PSF</f>
        <v>-1250000</v>
      </c>
      <c r="F12" s="35" t="n">
        <f aca="false">IF(F5=Hold_Period,0,IF(MOD(F5-1,Lease_Term)=0,-Comm_GLA*Comm_TI_PSF,0))</f>
        <v>0</v>
      </c>
      <c r="G12" s="35" t="n">
        <f aca="false">IF(G5=Hold_Period,0,IF(MOD(G5-1,Lease_Term)=0,-Comm_GLA*Comm_TI_PSF,0))</f>
        <v>0</v>
      </c>
      <c r="H12" s="35" t="n">
        <f aca="false">IF(H5=Hold_Period,0,IF(MOD(H5-1,Lease_Term)=0,-Comm_GLA*Comm_TI_PSF,0))</f>
        <v>0</v>
      </c>
      <c r="I12" s="35" t="n">
        <f aca="false">IF(I5=Hold_Period,0,IF(MOD(I5-1,Lease_Term)=0,-Comm_GLA*Comm_TI_PSF,0))</f>
        <v>0</v>
      </c>
      <c r="J12" s="35" t="n">
        <f aca="false">IF(J5=Hold_Period,0,IF(MOD(J5-1,Lease_Term)=0,-Comm_GLA*Comm_TI_PSF,0))</f>
        <v>-1250000</v>
      </c>
      <c r="K12" s="35" t="n">
        <f aca="false">IF(K5=Hold_Period,0,IF(MOD(K5-1,Lease_Term)=0,-Comm_GLA*Comm_TI_PSF,0))</f>
        <v>0</v>
      </c>
    </row>
    <row r="13" customFormat="false" ht="15" hidden="false" customHeight="false" outlineLevel="0" collapsed="false">
      <c r="A13" s="5"/>
      <c r="B13" s="6" t="s">
        <v>203</v>
      </c>
      <c r="C13" s="35" t="n">
        <f aca="false">0</f>
        <v>0</v>
      </c>
      <c r="D13" s="35" t="n">
        <f aca="false">0</f>
        <v>0</v>
      </c>
      <c r="E13" s="35" t="n">
        <f aca="false">-Comm_GLA*E6*Lease_Term*Comm_LC_Pct</f>
        <v>-200000</v>
      </c>
      <c r="F13" s="35" t="n">
        <f aca="false">IF(F5=Hold_Period,0,IF(MOD(F5-1,Lease_Term)=0,-Comm_GLA*F6*Lease_Term*Comm_LC_Pct,0))</f>
        <v>0</v>
      </c>
      <c r="G13" s="35" t="n">
        <f aca="false">IF(G5=Hold_Period,0,IF(MOD(G5-1,Lease_Term)=0,-Comm_GLA*G6*Lease_Term*Comm_LC_Pct,0))</f>
        <v>0</v>
      </c>
      <c r="H13" s="35" t="n">
        <f aca="false">IF(H5=Hold_Period,0,IF(MOD(H5-1,Lease_Term)=0,-Comm_GLA*H6*Lease_Term*Comm_LC_Pct,0))</f>
        <v>0</v>
      </c>
      <c r="I13" s="35" t="n">
        <f aca="false">IF(I5=Hold_Period,0,IF(MOD(I5-1,Lease_Term)=0,-Comm_GLA*I6*Lease_Term*Comm_LC_Pct,0))</f>
        <v>0</v>
      </c>
      <c r="J13" s="35" t="n">
        <f aca="false">IF(J5=Hold_Period,0,IF(MOD(J5-1,Lease_Term)=0,-Comm_GLA*J6*Lease_Term*Comm_LC_Pct,0))</f>
        <v>-226281.642578125</v>
      </c>
      <c r="K13" s="35" t="n">
        <f aca="false">IF(K5=Hold_Period,0,IF(MOD(K5-1,Lease_Term)=0,-Comm_GLA*K6*Lease_Term*Comm_LC_Pct,0))</f>
        <v>0</v>
      </c>
    </row>
    <row r="14" customFormat="false" ht="15" hidden="false" customHeight="false" outlineLevel="0" collapsed="false">
      <c r="A14" s="5"/>
      <c r="B14" s="44" t="s">
        <v>204</v>
      </c>
      <c r="C14" s="45" t="n">
        <f aca="false">0</f>
        <v>0</v>
      </c>
      <c r="D14" s="45" t="n">
        <f aca="false">0</f>
        <v>0</v>
      </c>
      <c r="E14" s="45" t="n">
        <f aca="false">E12+E13</f>
        <v>-1450000</v>
      </c>
      <c r="F14" s="45" t="n">
        <f aca="false">F12+F13</f>
        <v>0</v>
      </c>
      <c r="G14" s="45" t="n">
        <f aca="false">G12+G13</f>
        <v>0</v>
      </c>
      <c r="H14" s="45" t="n">
        <f aca="false">H12+H13</f>
        <v>0</v>
      </c>
      <c r="I14" s="45" t="n">
        <f aca="false">I12+I13</f>
        <v>0</v>
      </c>
      <c r="J14" s="45" t="n">
        <f aca="false">J12+J13</f>
        <v>-1476281.64257813</v>
      </c>
      <c r="K14" s="45" t="n">
        <f aca="false">K12+K13</f>
        <v>0</v>
      </c>
    </row>
    <row r="15" customFormat="false" ht="15" hidden="false" customHeight="false" outlineLevel="0" collapsed="false">
      <c r="A15" s="5"/>
      <c r="B15" s="24" t="s">
        <v>205</v>
      </c>
      <c r="C15" s="42"/>
      <c r="D15" s="42"/>
      <c r="E15" s="42"/>
      <c r="F15" s="42"/>
      <c r="G15" s="42"/>
      <c r="H15" s="42"/>
      <c r="I15" s="42"/>
      <c r="J15" s="42"/>
      <c r="K15" s="42"/>
    </row>
    <row r="16" customFormat="false" ht="15" hidden="false" customHeight="false" outlineLevel="0" collapsed="false">
      <c r="A16" s="5"/>
      <c r="B16" s="46" t="s">
        <v>206</v>
      </c>
      <c r="C16" s="37" t="n">
        <f aca="false">0</f>
        <v>0</v>
      </c>
      <c r="D16" s="37" t="n">
        <f aca="false">0</f>
        <v>0</v>
      </c>
      <c r="E16" s="37" t="n">
        <f aca="false">E10+E14</f>
        <v>-550000</v>
      </c>
      <c r="F16" s="37" t="n">
        <f aca="false">F10+F14</f>
        <v>973750</v>
      </c>
      <c r="G16" s="37" t="n">
        <f aca="false">G10+G14</f>
        <v>998093.75</v>
      </c>
      <c r="H16" s="37" t="n">
        <f aca="false">H10+H14</f>
        <v>1023046.09375</v>
      </c>
      <c r="I16" s="37" t="n">
        <f aca="false">I10+I14</f>
        <v>1048622.24609375</v>
      </c>
      <c r="J16" s="37" t="n">
        <f aca="false">J10+J14</f>
        <v>-401443.840332032</v>
      </c>
      <c r="K16" s="37" t="n">
        <f aca="false">K10+K14</f>
        <v>1101708.74730225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K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11" min="3" style="0" width="14"/>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22" t="s">
        <v>207</v>
      </c>
      <c r="C2" s="5"/>
      <c r="D2" s="5"/>
      <c r="E2" s="5"/>
      <c r="F2" s="5"/>
      <c r="G2" s="5"/>
      <c r="H2" s="5"/>
      <c r="I2" s="5"/>
      <c r="J2" s="5"/>
      <c r="K2" s="5"/>
    </row>
    <row r="3" customFormat="false" ht="15" hidden="false" customHeight="false" outlineLevel="0" collapsed="false">
      <c r="A3" s="5"/>
      <c r="B3" s="29" t="s">
        <v>175</v>
      </c>
      <c r="C3" s="28" t="n">
        <v>-1</v>
      </c>
      <c r="D3" s="28" t="n">
        <v>0</v>
      </c>
      <c r="E3" s="28" t="n">
        <v>1</v>
      </c>
      <c r="F3" s="28" t="n">
        <v>2</v>
      </c>
      <c r="G3" s="28" t="n">
        <v>3</v>
      </c>
      <c r="H3" s="28" t="n">
        <v>4</v>
      </c>
      <c r="I3" s="28" t="n">
        <v>5</v>
      </c>
      <c r="J3" s="28" t="n">
        <v>6</v>
      </c>
      <c r="K3" s="28" t="n">
        <v>7</v>
      </c>
    </row>
    <row r="4" customFormat="false" ht="15" hidden="false" customHeight="false" outlineLevel="0" collapsed="false">
      <c r="A4" s="5"/>
      <c r="B4" s="24" t="s">
        <v>208</v>
      </c>
      <c r="C4" s="25" t="s">
        <v>162</v>
      </c>
      <c r="D4" s="25" t="s">
        <v>163</v>
      </c>
      <c r="E4" s="25" t="s">
        <v>177</v>
      </c>
      <c r="F4" s="25" t="s">
        <v>178</v>
      </c>
      <c r="G4" s="25" t="s">
        <v>179</v>
      </c>
      <c r="H4" s="25" t="s">
        <v>180</v>
      </c>
      <c r="I4" s="25" t="s">
        <v>181</v>
      </c>
      <c r="J4" s="25" t="s">
        <v>182</v>
      </c>
      <c r="K4" s="25" t="s">
        <v>183</v>
      </c>
    </row>
    <row r="5" customFormat="false" ht="15" hidden="false" customHeight="false" outlineLevel="0" collapsed="false">
      <c r="A5" s="5"/>
      <c r="B5" s="6" t="s">
        <v>184</v>
      </c>
      <c r="C5" s="40" t="n">
        <v>0</v>
      </c>
      <c r="D5" s="40" t="n">
        <v>0</v>
      </c>
      <c r="E5" s="40" t="n">
        <f aca="false">1</f>
        <v>1</v>
      </c>
      <c r="F5" s="40" t="n">
        <f aca="false">E5+1</f>
        <v>2</v>
      </c>
      <c r="G5" s="40" t="n">
        <f aca="false">F5+1</f>
        <v>3</v>
      </c>
      <c r="H5" s="40" t="n">
        <f aca="false">G5+1</f>
        <v>4</v>
      </c>
      <c r="I5" s="40" t="n">
        <f aca="false">H5+1</f>
        <v>5</v>
      </c>
      <c r="J5" s="40" t="n">
        <f aca="false">I5+1</f>
        <v>6</v>
      </c>
      <c r="K5" s="40" t="n">
        <f aca="false">J5+1</f>
        <v>7</v>
      </c>
    </row>
    <row r="6" customFormat="false" ht="15" hidden="false" customHeight="false" outlineLevel="0" collapsed="false">
      <c r="A6" s="5"/>
      <c r="B6" s="43" t="s">
        <v>209</v>
      </c>
      <c r="C6" s="35" t="n">
        <f aca="false">0</f>
        <v>0</v>
      </c>
      <c r="D6" s="35" t="n">
        <f aca="false">0</f>
        <v>0</v>
      </c>
      <c r="E6" s="35" t="n">
        <f aca="false">INDEX(Resi_Revenue!$E$13:$K$13,1,E5)</f>
        <v>3024000</v>
      </c>
      <c r="F6" s="35" t="n">
        <f aca="false">INDEX(Resi_Revenue!$E$13:$K$13,1,F5)</f>
        <v>6246744</v>
      </c>
      <c r="G6" s="35" t="n">
        <f aca="false">INDEX(Resi_Revenue!$E$13:$K$13,1,G5)</f>
        <v>6772785.6</v>
      </c>
      <c r="H6" s="35" t="n">
        <f aca="false">INDEX(Resi_Revenue!$E$13:$K$13,1,H5)</f>
        <v>6975969.168</v>
      </c>
      <c r="I6" s="35" t="n">
        <f aca="false">INDEX(Resi_Revenue!$E$13:$K$13,1,I5)</f>
        <v>7185248.24304</v>
      </c>
      <c r="J6" s="35" t="n">
        <f aca="false">INDEX(Resi_Revenue!$E$13:$K$13,1,J5)</f>
        <v>7400805.6903312</v>
      </c>
      <c r="K6" s="35" t="n">
        <f aca="false">INDEX(Resi_Revenue!$E$13:$K$13,1,K5)</f>
        <v>7622829.86104114</v>
      </c>
    </row>
    <row r="7" customFormat="false" ht="15" hidden="false" customHeight="false" outlineLevel="0" collapsed="false">
      <c r="A7" s="5"/>
      <c r="B7" s="43" t="s">
        <v>210</v>
      </c>
      <c r="C7" s="35" t="n">
        <f aca="false">0</f>
        <v>0</v>
      </c>
      <c r="D7" s="35" t="n">
        <f aca="false">0</f>
        <v>0</v>
      </c>
      <c r="E7" s="35" t="n">
        <f aca="false">INDEX(Comm_Revenue!$E$10:$K$10,1,E5)</f>
        <v>900000</v>
      </c>
      <c r="F7" s="35" t="n">
        <f aca="false">INDEX(Comm_Revenue!$E$10:$K$10,1,F5)</f>
        <v>973750</v>
      </c>
      <c r="G7" s="35" t="n">
        <f aca="false">INDEX(Comm_Revenue!$E$10:$K$10,1,G5)</f>
        <v>998093.75</v>
      </c>
      <c r="H7" s="35" t="n">
        <f aca="false">INDEX(Comm_Revenue!$E$10:$K$10,1,H5)</f>
        <v>1023046.09375</v>
      </c>
      <c r="I7" s="35" t="n">
        <f aca="false">INDEX(Comm_Revenue!$E$10:$K$10,1,I5)</f>
        <v>1048622.24609375</v>
      </c>
      <c r="J7" s="35" t="n">
        <f aca="false">INDEX(Comm_Revenue!$E$10:$K$10,1,J5)</f>
        <v>1074837.80224609</v>
      </c>
      <c r="K7" s="35" t="n">
        <f aca="false">INDEX(Comm_Revenue!$E$10:$K$10,1,K5)</f>
        <v>1101708.74730225</v>
      </c>
    </row>
    <row r="8" customFormat="false" ht="15" hidden="false" customHeight="false" outlineLevel="0" collapsed="false">
      <c r="A8" s="5"/>
      <c r="B8" s="43" t="s">
        <v>211</v>
      </c>
      <c r="C8" s="35" t="n">
        <f aca="false">0</f>
        <v>0</v>
      </c>
      <c r="D8" s="35" t="n">
        <f aca="false">0</f>
        <v>0</v>
      </c>
      <c r="E8" s="35" t="n">
        <f aca="false">INDEX(Resi_Revenue!$E$14:$K$14,1,E5)+INDEX(Resi_Revenue!$E$15:$K$15,1,E5)</f>
        <v>216000</v>
      </c>
      <c r="F8" s="35" t="n">
        <f aca="false">INDEX(Resi_Revenue!$E$14:$K$14,1,F5)+INDEX(Resi_Revenue!$E$15:$K$15,1,F5)</f>
        <v>469680</v>
      </c>
      <c r="G8" s="35" t="n">
        <f aca="false">INDEX(Resi_Revenue!$E$14:$K$14,1,G5)+INDEX(Resi_Revenue!$E$15:$K$15,1,G5)</f>
        <v>509232</v>
      </c>
      <c r="H8" s="35" t="n">
        <f aca="false">INDEX(Resi_Revenue!$E$14:$K$14,1,H5)+INDEX(Resi_Revenue!$E$15:$K$15,1,H5)</f>
        <v>524508.96</v>
      </c>
      <c r="I8" s="35" t="n">
        <f aca="false">INDEX(Resi_Revenue!$E$14:$K$14,1,I5)+INDEX(Resi_Revenue!$E$15:$K$15,1,I5)</f>
        <v>540244.2288</v>
      </c>
      <c r="J8" s="35" t="n">
        <f aca="false">INDEX(Resi_Revenue!$E$14:$K$14,1,J5)+INDEX(Resi_Revenue!$E$15:$K$15,1,J5)</f>
        <v>556451.555664</v>
      </c>
      <c r="K8" s="35" t="n">
        <f aca="false">INDEX(Resi_Revenue!$E$14:$K$14,1,K5)+INDEX(Resi_Revenue!$E$15:$K$15,1,K5)</f>
        <v>573145.10233392</v>
      </c>
    </row>
    <row r="9" customFormat="false" ht="15" hidden="false" customHeight="false" outlineLevel="0" collapsed="false">
      <c r="A9" s="5"/>
      <c r="B9" s="46" t="s">
        <v>212</v>
      </c>
      <c r="C9" s="37" t="n">
        <f aca="false">0</f>
        <v>0</v>
      </c>
      <c r="D9" s="37" t="n">
        <f aca="false">0</f>
        <v>0</v>
      </c>
      <c r="E9" s="37" t="n">
        <f aca="false">E6+E7+E8</f>
        <v>4140000</v>
      </c>
      <c r="F9" s="37" t="n">
        <f aca="false">F6+F7+F8</f>
        <v>7690174</v>
      </c>
      <c r="G9" s="37" t="n">
        <f aca="false">G6+G7+G8</f>
        <v>8280111.35</v>
      </c>
      <c r="H9" s="37" t="n">
        <f aca="false">H6+H7+H8</f>
        <v>8523524.22175</v>
      </c>
      <c r="I9" s="37" t="n">
        <f aca="false">I6+I7+I8</f>
        <v>8774114.71793375</v>
      </c>
      <c r="J9" s="37" t="n">
        <f aca="false">J6+J7+J8</f>
        <v>9032095.04824129</v>
      </c>
      <c r="K9" s="37" t="n">
        <f aca="false">K6+K7+K8</f>
        <v>9297683.7106773</v>
      </c>
    </row>
    <row r="10" customFormat="false" ht="15" hidden="false" customHeight="false" outlineLevel="0" collapsed="false">
      <c r="A10" s="5"/>
      <c r="B10" s="24" t="s">
        <v>213</v>
      </c>
      <c r="C10" s="42"/>
      <c r="D10" s="42"/>
      <c r="E10" s="42"/>
      <c r="F10" s="42"/>
      <c r="G10" s="42"/>
      <c r="H10" s="42"/>
      <c r="I10" s="42"/>
      <c r="J10" s="42"/>
      <c r="K10" s="42"/>
    </row>
    <row r="11" customFormat="false" ht="15" hidden="false" customHeight="false" outlineLevel="0" collapsed="false">
      <c r="A11" s="5"/>
      <c r="B11" s="6" t="s">
        <v>214</v>
      </c>
      <c r="C11" s="35" t="n">
        <f aca="false">0</f>
        <v>0</v>
      </c>
      <c r="D11" s="35" t="n">
        <f aca="false">0</f>
        <v>0</v>
      </c>
      <c r="E11" s="35" t="n">
        <f aca="false">-E9*PropTax_Pct</f>
        <v>-496800</v>
      </c>
      <c r="F11" s="35" t="n">
        <f aca="false">E11*(1+Opex_Escl)</f>
        <v>-509220</v>
      </c>
      <c r="G11" s="35" t="n">
        <f aca="false">F11*(1+Opex_Escl)</f>
        <v>-521950.5</v>
      </c>
      <c r="H11" s="35" t="n">
        <f aca="false">G11*(1+Opex_Escl)</f>
        <v>-534999.2625</v>
      </c>
      <c r="I11" s="35" t="n">
        <f aca="false">H11*(1+Opex_Escl)</f>
        <v>-548374.2440625</v>
      </c>
      <c r="J11" s="35" t="n">
        <f aca="false">I11*(1+Opex_Escl)</f>
        <v>-562083.600164062</v>
      </c>
      <c r="K11" s="35" t="n">
        <f aca="false">J11*(1+Opex_Escl)</f>
        <v>-576135.690168164</v>
      </c>
    </row>
    <row r="12" customFormat="false" ht="15" hidden="false" customHeight="false" outlineLevel="0" collapsed="false">
      <c r="A12" s="5"/>
      <c r="B12" s="6" t="s">
        <v>215</v>
      </c>
      <c r="C12" s="35" t="n">
        <f aca="false">0</f>
        <v>0</v>
      </c>
      <c r="D12" s="35" t="n">
        <f aca="false">0</f>
        <v>0</v>
      </c>
      <c r="E12" s="35" t="n">
        <f aca="false">-E9*Ins_Pct</f>
        <v>-124200</v>
      </c>
      <c r="F12" s="35" t="n">
        <f aca="false">E12*(1+Opex_Escl)</f>
        <v>-127305</v>
      </c>
      <c r="G12" s="35" t="n">
        <f aca="false">F12*(1+Opex_Escl)</f>
        <v>-130487.625</v>
      </c>
      <c r="H12" s="35" t="n">
        <f aca="false">G12*(1+Opex_Escl)</f>
        <v>-133749.815625</v>
      </c>
      <c r="I12" s="35" t="n">
        <f aca="false">H12*(1+Opex_Escl)</f>
        <v>-137093.561015625</v>
      </c>
      <c r="J12" s="35" t="n">
        <f aca="false">I12*(1+Opex_Escl)</f>
        <v>-140520.900041016</v>
      </c>
      <c r="K12" s="35" t="n">
        <f aca="false">J12*(1+Opex_Escl)</f>
        <v>-144033.922542041</v>
      </c>
    </row>
    <row r="13" customFormat="false" ht="15" hidden="false" customHeight="false" outlineLevel="0" collapsed="false">
      <c r="A13" s="5"/>
      <c r="B13" s="6" t="s">
        <v>216</v>
      </c>
      <c r="C13" s="35" t="n">
        <f aca="false">0</f>
        <v>0</v>
      </c>
      <c r="D13" s="35" t="n">
        <f aca="false">0</f>
        <v>0</v>
      </c>
      <c r="E13" s="35" t="n">
        <f aca="false">-E9*Mgmt_Pct</f>
        <v>-124200</v>
      </c>
      <c r="F13" s="35" t="n">
        <f aca="false">E13*(1+Opex_Escl)</f>
        <v>-127305</v>
      </c>
      <c r="G13" s="35" t="n">
        <f aca="false">F13*(1+Opex_Escl)</f>
        <v>-130487.625</v>
      </c>
      <c r="H13" s="35" t="n">
        <f aca="false">G13*(1+Opex_Escl)</f>
        <v>-133749.815625</v>
      </c>
      <c r="I13" s="35" t="n">
        <f aca="false">H13*(1+Opex_Escl)</f>
        <v>-137093.561015625</v>
      </c>
      <c r="J13" s="35" t="n">
        <f aca="false">I13*(1+Opex_Escl)</f>
        <v>-140520.900041016</v>
      </c>
      <c r="K13" s="35" t="n">
        <f aca="false">J13*(1+Opex_Escl)</f>
        <v>-144033.922542041</v>
      </c>
    </row>
    <row r="14" customFormat="false" ht="15" hidden="false" customHeight="false" outlineLevel="0" collapsed="false">
      <c r="A14" s="5"/>
      <c r="B14" s="6" t="s">
        <v>217</v>
      </c>
      <c r="C14" s="35" t="n">
        <f aca="false">0</f>
        <v>0</v>
      </c>
      <c r="D14" s="35" t="n">
        <f aca="false">0</f>
        <v>0</v>
      </c>
      <c r="E14" s="35" t="n">
        <f aca="false">-E9*Repairs_Pct</f>
        <v>-165600</v>
      </c>
      <c r="F14" s="35" t="n">
        <f aca="false">E14*(1+Opex_Escl)</f>
        <v>-169740</v>
      </c>
      <c r="G14" s="35" t="n">
        <f aca="false">F14*(1+Opex_Escl)</f>
        <v>-173983.5</v>
      </c>
      <c r="H14" s="35" t="n">
        <f aca="false">G14*(1+Opex_Escl)</f>
        <v>-178333.0875</v>
      </c>
      <c r="I14" s="35" t="n">
        <f aca="false">H14*(1+Opex_Escl)</f>
        <v>-182791.4146875</v>
      </c>
      <c r="J14" s="35" t="n">
        <f aca="false">I14*(1+Opex_Escl)</f>
        <v>-187361.200054687</v>
      </c>
      <c r="K14" s="35" t="n">
        <f aca="false">J14*(1+Opex_Escl)</f>
        <v>-192045.230056055</v>
      </c>
    </row>
    <row r="15" customFormat="false" ht="15" hidden="false" customHeight="false" outlineLevel="0" collapsed="false">
      <c r="A15" s="5"/>
      <c r="B15" s="6" t="s">
        <v>218</v>
      </c>
      <c r="C15" s="35" t="n">
        <f aca="false">0</f>
        <v>0</v>
      </c>
      <c r="D15" s="35" t="n">
        <f aca="false">0</f>
        <v>0</v>
      </c>
      <c r="E15" s="35" t="n">
        <f aca="false">-Resi_Units*Cap_Res_Per_Unit</f>
        <v>-55000</v>
      </c>
      <c r="F15" s="35" t="n">
        <f aca="false">E15*(1+Opex_Escl)</f>
        <v>-56375</v>
      </c>
      <c r="G15" s="35" t="n">
        <f aca="false">F15*(1+Opex_Escl)</f>
        <v>-57784.375</v>
      </c>
      <c r="H15" s="35" t="n">
        <f aca="false">G15*(1+Opex_Escl)</f>
        <v>-59228.984375</v>
      </c>
      <c r="I15" s="35" t="n">
        <f aca="false">H15*(1+Opex_Escl)</f>
        <v>-60709.708984375</v>
      </c>
      <c r="J15" s="35" t="n">
        <f aca="false">I15*(1+Opex_Escl)</f>
        <v>-62227.4517089843</v>
      </c>
      <c r="K15" s="35" t="n">
        <f aca="false">J15*(1+Opex_Escl)</f>
        <v>-63783.138001709</v>
      </c>
    </row>
    <row r="16" customFormat="false" ht="15" hidden="false" customHeight="false" outlineLevel="0" collapsed="false">
      <c r="A16" s="5"/>
      <c r="B16" s="6" t="s">
        <v>219</v>
      </c>
      <c r="C16" s="35" t="n">
        <f aca="false">0</f>
        <v>0</v>
      </c>
      <c r="D16" s="35" t="n">
        <f aca="false">0</f>
        <v>0</v>
      </c>
      <c r="E16" s="35" t="n">
        <f aca="false">-INDEX(Resi_Revenue!$E$11:$K$11,1,1)*Mkt_Y1_Pct</f>
        <v>-45360</v>
      </c>
      <c r="F16" s="35" t="n">
        <f aca="false">-INDEX(Resi_Revenue!$E$11:$K$11,1,F5)*Mkt_Stb_Pct*(1+Opex_Escl)^(F5-1)</f>
        <v>-33699.54</v>
      </c>
      <c r="G16" s="35" t="n">
        <f aca="false">-INDEX(Resi_Revenue!$E$11:$K$11,1,G5)*Mkt_Stb_Pct*(1+Opex_Escl)^(G5-1)</f>
        <v>-37450.8309</v>
      </c>
      <c r="H16" s="35" t="n">
        <f aca="false">-INDEX(Resi_Revenue!$E$11:$K$11,1,H5)*Mkt_Stb_Pct*(1+Opex_Escl)^(H5-1)</f>
        <v>-39538.714722675</v>
      </c>
      <c r="I16" s="35" t="n">
        <f aca="false">-INDEX(Resi_Revenue!$E$11:$K$11,1,I5)*Mkt_Stb_Pct*(1+Opex_Escl)^(I5-1)</f>
        <v>-41742.9980684641</v>
      </c>
      <c r="J16" s="35" t="n">
        <f aca="false">-INDEX(Resi_Revenue!$E$11:$K$11,1,J5)*Mkt_Stb_Pct*(1+Opex_Escl)^(J5-1)</f>
        <v>-44070.170210781</v>
      </c>
      <c r="K16" s="35" t="n">
        <f aca="false">-INDEX(Resi_Revenue!$E$11:$K$11,1,K5)*Mkt_Stb_Pct*(1+Opex_Escl)^(K5-1)</f>
        <v>-46527.082200032</v>
      </c>
    </row>
    <row r="17" customFormat="false" ht="15" hidden="false" customHeight="false" outlineLevel="0" collapsed="false">
      <c r="A17" s="5"/>
      <c r="B17" s="6" t="s">
        <v>220</v>
      </c>
      <c r="C17" s="35" t="n">
        <f aca="false">0</f>
        <v>0</v>
      </c>
      <c r="D17" s="35" t="n">
        <f aca="false">0</f>
        <v>0</v>
      </c>
      <c r="E17" s="35" t="n">
        <f aca="false">-E9*GA_Pct</f>
        <v>-62100</v>
      </c>
      <c r="F17" s="35" t="n">
        <f aca="false">E17*(1+Opex_Escl)</f>
        <v>-63652.5</v>
      </c>
      <c r="G17" s="35" t="n">
        <f aca="false">F17*(1+Opex_Escl)</f>
        <v>-65243.8125</v>
      </c>
      <c r="H17" s="35" t="n">
        <f aca="false">G17*(1+Opex_Escl)</f>
        <v>-66874.9078125</v>
      </c>
      <c r="I17" s="35" t="n">
        <f aca="false">H17*(1+Opex_Escl)</f>
        <v>-68546.7805078125</v>
      </c>
      <c r="J17" s="35" t="n">
        <f aca="false">I17*(1+Opex_Escl)</f>
        <v>-70260.4500205078</v>
      </c>
      <c r="K17" s="35" t="n">
        <f aca="false">J17*(1+Opex_Escl)</f>
        <v>-72016.9612710205</v>
      </c>
    </row>
    <row r="18" customFormat="false" ht="15" hidden="false" customHeight="false" outlineLevel="0" collapsed="false">
      <c r="A18" s="5"/>
      <c r="B18" s="46" t="s">
        <v>221</v>
      </c>
      <c r="C18" s="37" t="n">
        <f aca="false">0</f>
        <v>0</v>
      </c>
      <c r="D18" s="37" t="n">
        <f aca="false">0</f>
        <v>0</v>
      </c>
      <c r="E18" s="37" t="n">
        <f aca="false">SUM(E11:E17)</f>
        <v>-1073260</v>
      </c>
      <c r="F18" s="37" t="n">
        <f aca="false">SUM(F11:F17)</f>
        <v>-1087297.04</v>
      </c>
      <c r="G18" s="37" t="n">
        <f aca="false">SUM(G11:G17)</f>
        <v>-1117388.2684</v>
      </c>
      <c r="H18" s="37" t="n">
        <f aca="false">SUM(H11:H17)</f>
        <v>-1146474.58816017</v>
      </c>
      <c r="I18" s="37" t="n">
        <f aca="false">SUM(I11:I17)</f>
        <v>-1176352.2683419</v>
      </c>
      <c r="J18" s="37" t="n">
        <f aca="false">SUM(J11:J17)</f>
        <v>-1207044.67224105</v>
      </c>
      <c r="K18" s="37" t="n">
        <f aca="false">SUM(K11:K17)</f>
        <v>-1238575.94678106</v>
      </c>
    </row>
    <row r="19" customFormat="false" ht="15" hidden="false" customHeight="false" outlineLevel="0" collapsed="false">
      <c r="A19" s="5"/>
      <c r="B19" s="24" t="s">
        <v>222</v>
      </c>
      <c r="C19" s="42"/>
      <c r="D19" s="42"/>
      <c r="E19" s="42"/>
      <c r="F19" s="42"/>
      <c r="G19" s="42"/>
      <c r="H19" s="42"/>
      <c r="I19" s="42"/>
      <c r="J19" s="42"/>
      <c r="K19" s="42"/>
    </row>
    <row r="20" customFormat="false" ht="15" hidden="false" customHeight="false" outlineLevel="0" collapsed="false">
      <c r="A20" s="5"/>
      <c r="B20" s="47" t="s">
        <v>223</v>
      </c>
      <c r="C20" s="48" t="n">
        <f aca="false">0</f>
        <v>0</v>
      </c>
      <c r="D20" s="48" t="n">
        <f aca="false">0</f>
        <v>0</v>
      </c>
      <c r="E20" s="48" t="n">
        <f aca="false">E9+E18</f>
        <v>3066740</v>
      </c>
      <c r="F20" s="48" t="n">
        <f aca="false">F9+F18</f>
        <v>6602876.96</v>
      </c>
      <c r="G20" s="48" t="n">
        <f aca="false">G9+G18</f>
        <v>7162723.0816</v>
      </c>
      <c r="H20" s="48" t="n">
        <f aca="false">H9+H18</f>
        <v>7377049.63358982</v>
      </c>
      <c r="I20" s="48" t="n">
        <f aca="false">I9+I18</f>
        <v>7597762.44959185</v>
      </c>
      <c r="J20" s="48" t="n">
        <f aca="false">J9+J18</f>
        <v>7825050.37600024</v>
      </c>
      <c r="K20" s="48" t="n">
        <f aca="false">K9+K18</f>
        <v>8059107.76389624</v>
      </c>
    </row>
    <row r="21" customFormat="false" ht="15" hidden="false" customHeight="false" outlineLevel="0" collapsed="false">
      <c r="A21" s="5"/>
      <c r="B21" s="43" t="s">
        <v>224</v>
      </c>
      <c r="C21" s="41" t="n">
        <f aca="false">0</f>
        <v>0</v>
      </c>
      <c r="D21" s="41" t="n">
        <f aca="false">0</f>
        <v>0</v>
      </c>
      <c r="E21" s="41" t="n">
        <f aca="false">IF(E9&gt;0,E20/E9,0)</f>
        <v>0.74075845410628</v>
      </c>
      <c r="F21" s="41" t="n">
        <f aca="false">IF(F9&gt;0,F20/F9,0)</f>
        <v>0.858612166642783</v>
      </c>
      <c r="G21" s="41" t="n">
        <f aca="false">IF(G9&gt;0,G20/G9,0)</f>
        <v>0.865051540834653</v>
      </c>
      <c r="H21" s="41" t="n">
        <f aca="false">IF(H9&gt;0,H20/H9,0)</f>
        <v>0.86549289257199</v>
      </c>
      <c r="I21" s="41" t="n">
        <f aca="false">IF(I9&gt;0,I20/I9,0)</f>
        <v>0.865929235466057</v>
      </c>
      <c r="J21" s="41" t="n">
        <f aca="false">IF(J9&gt;0,J20/J9,0)</f>
        <v>0.866360499331095</v>
      </c>
      <c r="K21" s="41" t="n">
        <f aca="false">IF(K9&gt;0,K20/K9,0)</f>
        <v>0.866786612093644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K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11" min="3" style="0" width="14"/>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22" t="s">
        <v>225</v>
      </c>
      <c r="C2" s="5"/>
      <c r="D2" s="5"/>
      <c r="E2" s="5"/>
      <c r="F2" s="5"/>
      <c r="G2" s="5"/>
      <c r="H2" s="5"/>
      <c r="I2" s="5"/>
      <c r="J2" s="5"/>
      <c r="K2" s="5"/>
    </row>
    <row r="3" customFormat="false" ht="15" hidden="false" customHeight="false" outlineLevel="0" collapsed="false">
      <c r="A3" s="5"/>
      <c r="B3" s="29" t="s">
        <v>175</v>
      </c>
      <c r="C3" s="28" t="n">
        <v>-1</v>
      </c>
      <c r="D3" s="28" t="n">
        <v>0</v>
      </c>
      <c r="E3" s="28" t="n">
        <v>1</v>
      </c>
      <c r="F3" s="28" t="n">
        <v>2</v>
      </c>
      <c r="G3" s="28" t="n">
        <v>3</v>
      </c>
      <c r="H3" s="28" t="n">
        <v>4</v>
      </c>
      <c r="I3" s="28" t="n">
        <v>5</v>
      </c>
      <c r="J3" s="28" t="n">
        <v>6</v>
      </c>
      <c r="K3" s="28" t="n">
        <v>7</v>
      </c>
    </row>
    <row r="4" customFormat="false" ht="15" hidden="false" customHeight="false" outlineLevel="0" collapsed="false">
      <c r="A4" s="5"/>
      <c r="B4" s="24" t="s">
        <v>226</v>
      </c>
      <c r="C4" s="25" t="s">
        <v>162</v>
      </c>
      <c r="D4" s="25" t="s">
        <v>163</v>
      </c>
      <c r="E4" s="25" t="s">
        <v>177</v>
      </c>
      <c r="F4" s="25" t="s">
        <v>178</v>
      </c>
      <c r="G4" s="25" t="s">
        <v>179</v>
      </c>
      <c r="H4" s="25" t="s">
        <v>180</v>
      </c>
      <c r="I4" s="25" t="s">
        <v>181</v>
      </c>
      <c r="J4" s="25" t="s">
        <v>182</v>
      </c>
      <c r="K4" s="25" t="s">
        <v>183</v>
      </c>
    </row>
    <row r="5" customFormat="false" ht="15" hidden="false" customHeight="false" outlineLevel="0" collapsed="false">
      <c r="A5" s="5"/>
      <c r="B5" s="6" t="s">
        <v>227</v>
      </c>
      <c r="C5" s="35" t="n">
        <f aca="false">CL_LTC*DB_TDC_excl_capint</f>
        <v>62270000</v>
      </c>
      <c r="D5" s="35" t="n">
        <f aca="false">C5</f>
        <v>62270000</v>
      </c>
      <c r="E5" s="35" t="n">
        <f aca="false">0</f>
        <v>0</v>
      </c>
      <c r="F5" s="35" t="n">
        <f aca="false">0</f>
        <v>0</v>
      </c>
      <c r="G5" s="35" t="n">
        <f aca="false">0</f>
        <v>0</v>
      </c>
      <c r="H5" s="35" t="n">
        <f aca="false">0</f>
        <v>0</v>
      </c>
      <c r="I5" s="35" t="n">
        <f aca="false">0</f>
        <v>0</v>
      </c>
      <c r="J5" s="35" t="n">
        <f aca="false">0</f>
        <v>0</v>
      </c>
      <c r="K5" s="35" t="n">
        <f aca="false">0</f>
        <v>0</v>
      </c>
    </row>
    <row r="6" customFormat="false" ht="15" hidden="false" customHeight="false" outlineLevel="0" collapsed="false">
      <c r="A6" s="5"/>
      <c r="B6" s="6" t="s">
        <v>228</v>
      </c>
      <c r="C6" s="35" t="n">
        <f aca="false">0</f>
        <v>0</v>
      </c>
      <c r="D6" s="35" t="n">
        <f aca="false">C10</f>
        <v>32708000</v>
      </c>
      <c r="E6" s="35" t="n">
        <f aca="false">0</f>
        <v>0</v>
      </c>
      <c r="F6" s="35" t="n">
        <f aca="false">0</f>
        <v>0</v>
      </c>
      <c r="G6" s="35" t="n">
        <f aca="false">0</f>
        <v>0</v>
      </c>
      <c r="H6" s="35" t="n">
        <f aca="false">0</f>
        <v>0</v>
      </c>
      <c r="I6" s="35" t="n">
        <f aca="false">0</f>
        <v>0</v>
      </c>
      <c r="J6" s="35" t="n">
        <f aca="false">0</f>
        <v>0</v>
      </c>
      <c r="K6" s="35" t="n">
        <f aca="false">0</f>
        <v>0</v>
      </c>
    </row>
    <row r="7" customFormat="false" ht="15" hidden="false" customHeight="false" outlineLevel="0" collapsed="false">
      <c r="A7" s="5"/>
      <c r="B7" s="6" t="s">
        <v>229</v>
      </c>
      <c r="C7" s="35" t="n">
        <f aca="false">MIN(C5-C6,C16)</f>
        <v>31450000</v>
      </c>
      <c r="D7" s="35" t="n">
        <f aca="false">MIN(D5-D6,D16)</f>
        <v>29562000</v>
      </c>
      <c r="E7" s="35" t="n">
        <f aca="false">0</f>
        <v>0</v>
      </c>
      <c r="F7" s="35" t="n">
        <f aca="false">0</f>
        <v>0</v>
      </c>
      <c r="G7" s="35" t="n">
        <f aca="false">0</f>
        <v>0</v>
      </c>
      <c r="H7" s="35" t="n">
        <f aca="false">0</f>
        <v>0</v>
      </c>
      <c r="I7" s="35" t="n">
        <f aca="false">0</f>
        <v>0</v>
      </c>
      <c r="J7" s="35" t="n">
        <f aca="false">0</f>
        <v>0</v>
      </c>
      <c r="K7" s="35" t="n">
        <f aca="false">0</f>
        <v>0</v>
      </c>
    </row>
    <row r="8" customFormat="false" ht="15" hidden="false" customHeight="false" outlineLevel="0" collapsed="false">
      <c r="A8" s="5"/>
      <c r="B8" s="6" t="s">
        <v>230</v>
      </c>
      <c r="C8" s="35" t="n">
        <f aca="false">C6*CL_Rate+C7*CL_Rate/2</f>
        <v>1258000</v>
      </c>
      <c r="D8" s="35" t="n">
        <f aca="false">D6*CL_Rate+D7*CL_Rate/2</f>
        <v>3799120</v>
      </c>
      <c r="E8" s="35" t="n">
        <f aca="false">0</f>
        <v>0</v>
      </c>
      <c r="F8" s="35" t="n">
        <f aca="false">0</f>
        <v>0</v>
      </c>
      <c r="G8" s="35" t="n">
        <f aca="false">0</f>
        <v>0</v>
      </c>
      <c r="H8" s="35" t="n">
        <f aca="false">0</f>
        <v>0</v>
      </c>
      <c r="I8" s="35" t="n">
        <f aca="false">0</f>
        <v>0</v>
      </c>
      <c r="J8" s="35" t="n">
        <f aca="false">0</f>
        <v>0</v>
      </c>
      <c r="K8" s="35" t="n">
        <f aca="false">0</f>
        <v>0</v>
      </c>
    </row>
    <row r="9" customFormat="false" ht="15" hidden="false" customHeight="false" outlineLevel="0" collapsed="false">
      <c r="A9" s="5"/>
      <c r="B9" s="29" t="s">
        <v>231</v>
      </c>
      <c r="C9" s="49" t="n">
        <f aca="false">0</f>
        <v>0</v>
      </c>
      <c r="D9" s="49" t="n">
        <f aca="false">0</f>
        <v>0</v>
      </c>
      <c r="E9" s="39" t="n">
        <f aca="false">C8+D8</f>
        <v>5057120</v>
      </c>
      <c r="F9" s="49" t="n">
        <f aca="false">0</f>
        <v>0</v>
      </c>
      <c r="G9" s="49" t="n">
        <f aca="false">0</f>
        <v>0</v>
      </c>
      <c r="H9" s="49" t="n">
        <f aca="false">0</f>
        <v>0</v>
      </c>
      <c r="I9" s="49" t="n">
        <f aca="false">0</f>
        <v>0</v>
      </c>
      <c r="J9" s="49" t="n">
        <f aca="false">0</f>
        <v>0</v>
      </c>
      <c r="K9" s="49" t="n">
        <f aca="false">0</f>
        <v>0</v>
      </c>
    </row>
    <row r="10" customFormat="false" ht="15" hidden="false" customHeight="false" outlineLevel="0" collapsed="false">
      <c r="A10" s="5"/>
      <c r="B10" s="50" t="s">
        <v>232</v>
      </c>
      <c r="C10" s="48" t="n">
        <f aca="false">C6+C7+C8</f>
        <v>32708000</v>
      </c>
      <c r="D10" s="48" t="n">
        <f aca="false">D6+D7+D8</f>
        <v>66069120</v>
      </c>
      <c r="E10" s="48" t="n">
        <f aca="false">0</f>
        <v>0</v>
      </c>
      <c r="F10" s="48" t="n">
        <f aca="false">0</f>
        <v>0</v>
      </c>
      <c r="G10" s="48" t="n">
        <f aca="false">0</f>
        <v>0</v>
      </c>
      <c r="H10" s="48" t="n">
        <f aca="false">0</f>
        <v>0</v>
      </c>
      <c r="I10" s="48" t="n">
        <f aca="false">0</f>
        <v>0</v>
      </c>
      <c r="J10" s="48" t="n">
        <f aca="false">0</f>
        <v>0</v>
      </c>
      <c r="K10" s="48" t="n">
        <f aca="false">0</f>
        <v>0</v>
      </c>
    </row>
    <row r="11" customFormat="false" ht="15" hidden="false" customHeight="false" outlineLevel="0" collapsed="false">
      <c r="A11" s="5"/>
      <c r="B11" s="5"/>
      <c r="C11" s="5"/>
      <c r="D11" s="5"/>
      <c r="E11" s="5"/>
      <c r="F11" s="5"/>
      <c r="G11" s="5"/>
      <c r="H11" s="5"/>
      <c r="I11" s="5"/>
      <c r="J11" s="5"/>
      <c r="K11" s="5"/>
    </row>
    <row r="12" customFormat="false" ht="15" hidden="false" customHeight="false" outlineLevel="0" collapsed="false">
      <c r="A12" s="5"/>
      <c r="B12" s="5"/>
      <c r="C12" s="5"/>
      <c r="D12" s="5"/>
      <c r="E12" s="5"/>
      <c r="F12" s="5"/>
      <c r="G12" s="5"/>
      <c r="H12" s="5"/>
      <c r="I12" s="5"/>
      <c r="J12" s="5"/>
      <c r="K12" s="5"/>
    </row>
    <row r="13" customFormat="false" ht="15" hidden="false" customHeight="false" outlineLevel="0" collapsed="false">
      <c r="A13" s="5"/>
      <c r="B13" s="5"/>
      <c r="C13" s="5"/>
      <c r="D13" s="5"/>
      <c r="E13" s="5"/>
      <c r="F13" s="5"/>
      <c r="G13" s="5"/>
      <c r="H13" s="5"/>
      <c r="I13" s="5"/>
      <c r="J13" s="5"/>
      <c r="K13" s="5"/>
    </row>
    <row r="14" customFormat="false" ht="15" hidden="false" customHeight="false" outlineLevel="0" collapsed="false">
      <c r="A14" s="5"/>
      <c r="B14" s="5"/>
      <c r="C14" s="5"/>
      <c r="D14" s="5"/>
      <c r="E14" s="5"/>
      <c r="F14" s="5"/>
      <c r="G14" s="5"/>
      <c r="H14" s="5"/>
      <c r="I14" s="5"/>
      <c r="J14" s="5"/>
      <c r="K14" s="5"/>
    </row>
    <row r="15" customFormat="false" ht="15" hidden="false" customHeight="false" outlineLevel="0" collapsed="false">
      <c r="A15" s="5"/>
      <c r="B15" s="5"/>
      <c r="C15" s="5"/>
      <c r="D15" s="5"/>
      <c r="E15" s="5"/>
      <c r="F15" s="5"/>
      <c r="G15" s="5"/>
      <c r="H15" s="5"/>
      <c r="I15" s="5"/>
      <c r="J15" s="5"/>
      <c r="K15" s="5"/>
    </row>
    <row r="16" customFormat="false" ht="15" hidden="false" customHeight="false" outlineLevel="0" collapsed="false">
      <c r="A16" s="5"/>
      <c r="B16" s="29" t="s">
        <v>233</v>
      </c>
      <c r="C16" s="39" t="n">
        <f aca="false">SUM(Dev_Budget!C5:C8)</f>
        <v>31450000</v>
      </c>
      <c r="D16" s="39" t="n">
        <f aca="false">SUM(Dev_Budget!D5:D8)</f>
        <v>64350000</v>
      </c>
      <c r="E16" s="49" t="n">
        <f aca="false">0</f>
        <v>0</v>
      </c>
      <c r="F16" s="49" t="n">
        <f aca="false">0</f>
        <v>0</v>
      </c>
      <c r="G16" s="49" t="n">
        <f aca="false">0</f>
        <v>0</v>
      </c>
      <c r="H16" s="49" t="n">
        <f aca="false">0</f>
        <v>0</v>
      </c>
      <c r="I16" s="49" t="n">
        <f aca="false">0</f>
        <v>0</v>
      </c>
      <c r="J16" s="49" t="n">
        <f aca="false">0</f>
        <v>0</v>
      </c>
      <c r="K16" s="49" t="n">
        <f aca="false">0</f>
        <v>0</v>
      </c>
    </row>
    <row r="17" customFormat="false" ht="15" hidden="false" customHeight="false" outlineLevel="0" collapsed="false">
      <c r="A17" s="5"/>
      <c r="B17" s="5"/>
      <c r="C17" s="5"/>
      <c r="D17" s="5"/>
      <c r="E17" s="5"/>
      <c r="F17" s="5"/>
      <c r="G17" s="5"/>
      <c r="H17" s="5"/>
      <c r="I17" s="5"/>
      <c r="J17" s="5"/>
      <c r="K17" s="5"/>
    </row>
    <row r="18" customFormat="false" ht="15" hidden="false" customHeight="false" outlineLevel="0" collapsed="false">
      <c r="A18" s="5"/>
      <c r="B18" s="5"/>
      <c r="C18" s="5"/>
      <c r="D18" s="5"/>
      <c r="E18" s="5"/>
      <c r="F18" s="5"/>
      <c r="G18" s="5"/>
      <c r="H18" s="5"/>
      <c r="I18" s="5"/>
      <c r="J18" s="5"/>
      <c r="K18" s="5"/>
    </row>
    <row r="19" customFormat="false" ht="15" hidden="false" customHeight="false" outlineLevel="0" collapsed="false">
      <c r="A19" s="5"/>
      <c r="B19" s="24" t="s">
        <v>234</v>
      </c>
      <c r="C19" s="42"/>
      <c r="D19" s="42"/>
      <c r="E19" s="42"/>
      <c r="F19" s="42"/>
      <c r="G19" s="42"/>
      <c r="H19" s="42"/>
      <c r="I19" s="42"/>
      <c r="J19" s="42"/>
      <c r="K19" s="42"/>
    </row>
    <row r="20" customFormat="false" ht="15" hidden="false" customHeight="false" outlineLevel="0" collapsed="false">
      <c r="A20" s="5"/>
      <c r="B20" s="6" t="s">
        <v>235</v>
      </c>
      <c r="C20" s="35" t="n">
        <f aca="false">Stab_NOI</f>
        <v>6602876.96</v>
      </c>
      <c r="D20" s="5"/>
      <c r="E20" s="5"/>
      <c r="F20" s="5"/>
      <c r="G20" s="5"/>
      <c r="H20" s="5"/>
      <c r="I20" s="5"/>
      <c r="J20" s="5"/>
      <c r="K20" s="5"/>
    </row>
    <row r="21" customFormat="false" ht="15" hidden="false" customHeight="false" outlineLevel="0" collapsed="false">
      <c r="A21" s="5"/>
      <c r="B21" s="6" t="s">
        <v>236</v>
      </c>
      <c r="C21" s="35" t="n">
        <f aca="false">C20/Exit_Cap</f>
        <v>120052308.363636</v>
      </c>
      <c r="D21" s="5"/>
      <c r="E21" s="5"/>
      <c r="F21" s="5"/>
      <c r="G21" s="5"/>
      <c r="H21" s="5"/>
      <c r="I21" s="5"/>
      <c r="J21" s="5"/>
      <c r="K21" s="5"/>
    </row>
    <row r="22" customFormat="false" ht="15" hidden="false" customHeight="false" outlineLevel="0" collapsed="false">
      <c r="A22" s="5"/>
      <c r="B22" s="6" t="s">
        <v>237</v>
      </c>
      <c r="C22" s="35" t="n">
        <f aca="false">Perm_LTV*C21</f>
        <v>78034000.4363636</v>
      </c>
      <c r="D22" s="5"/>
      <c r="E22" s="5"/>
      <c r="F22" s="5"/>
      <c r="G22" s="5"/>
      <c r="H22" s="5"/>
      <c r="I22" s="5"/>
      <c r="J22" s="5"/>
      <c r="K22" s="5"/>
    </row>
    <row r="23" customFormat="false" ht="15" hidden="false" customHeight="false" outlineLevel="0" collapsed="false">
      <c r="A23" s="5"/>
      <c r="B23" s="6" t="s">
        <v>238</v>
      </c>
      <c r="C23" s="51" t="n">
        <f aca="false">Perm_Rate</f>
        <v>0.0675</v>
      </c>
      <c r="D23" s="5"/>
      <c r="E23" s="5"/>
      <c r="F23" s="5"/>
      <c r="G23" s="5"/>
      <c r="H23" s="5"/>
      <c r="I23" s="5"/>
      <c r="J23" s="5"/>
      <c r="K23" s="5"/>
    </row>
    <row r="24" customFormat="false" ht="15" hidden="false" customHeight="false" outlineLevel="0" collapsed="false">
      <c r="A24" s="5"/>
      <c r="B24" s="6" t="s">
        <v>239</v>
      </c>
      <c r="C24" s="35" t="n">
        <f aca="false">(C20/Min_DSCR)/(-PMT(Perm_Rate,Perm_Amort,1))</f>
        <v>62969317.3882064</v>
      </c>
      <c r="D24" s="5"/>
      <c r="E24" s="5"/>
      <c r="F24" s="5"/>
      <c r="G24" s="5"/>
      <c r="H24" s="5"/>
      <c r="I24" s="5"/>
      <c r="J24" s="5"/>
      <c r="K24" s="5"/>
    </row>
    <row r="25" customFormat="false" ht="15" hidden="false" customHeight="false" outlineLevel="0" collapsed="false">
      <c r="A25" s="5"/>
      <c r="B25" s="52" t="s">
        <v>240</v>
      </c>
      <c r="C25" s="48" t="n">
        <f aca="false">MIN(C22,C24)</f>
        <v>62969317.3882064</v>
      </c>
      <c r="D25" s="5"/>
      <c r="E25" s="5"/>
      <c r="F25" s="5"/>
      <c r="G25" s="5"/>
      <c r="H25" s="5"/>
      <c r="I25" s="5"/>
      <c r="J25" s="5"/>
      <c r="K25" s="5"/>
    </row>
    <row r="26" customFormat="false" ht="15" hidden="false" customHeight="false" outlineLevel="0" collapsed="false">
      <c r="A26" s="5"/>
      <c r="B26" s="6" t="s">
        <v>241</v>
      </c>
      <c r="C26" s="35" t="n">
        <f aca="false">MAX(0,DS_CL_Close_Y2-C25)</f>
        <v>3099802.61179362</v>
      </c>
      <c r="D26" s="5"/>
      <c r="E26" s="5"/>
      <c r="F26" s="5"/>
      <c r="G26" s="5"/>
      <c r="H26" s="5"/>
      <c r="I26" s="5"/>
      <c r="J26" s="5"/>
      <c r="K26" s="5"/>
    </row>
    <row r="27" customFormat="false" ht="15" hidden="false" customHeight="false" outlineLevel="0" collapsed="false">
      <c r="A27" s="5"/>
      <c r="B27" s="6" t="s">
        <v>242</v>
      </c>
      <c r="C27" s="35" t="n">
        <f aca="false">Orig_Fee_Pct*DS_CL_Commit</f>
        <v>622700</v>
      </c>
      <c r="D27" s="5"/>
      <c r="E27" s="5"/>
      <c r="F27" s="5"/>
      <c r="G27" s="5"/>
      <c r="H27" s="5"/>
      <c r="I27" s="5"/>
      <c r="J27" s="5"/>
      <c r="K27" s="5"/>
    </row>
    <row r="28" customFormat="false" ht="15" hidden="false" customHeight="false" outlineLevel="0" collapsed="false">
      <c r="A28" s="5"/>
      <c r="B28" s="5"/>
      <c r="C28" s="5"/>
      <c r="D28" s="5"/>
      <c r="E28" s="5"/>
      <c r="F28" s="5"/>
      <c r="G28" s="5"/>
      <c r="H28" s="5"/>
      <c r="I28" s="5"/>
      <c r="J28" s="5"/>
      <c r="K28" s="5"/>
    </row>
    <row r="29" customFormat="false" ht="15" hidden="false" customHeight="false" outlineLevel="0" collapsed="false">
      <c r="A29" s="5"/>
      <c r="B29" s="24" t="s">
        <v>243</v>
      </c>
      <c r="C29" s="42"/>
      <c r="D29" s="42"/>
      <c r="E29" s="42"/>
      <c r="F29" s="42"/>
      <c r="G29" s="42"/>
      <c r="H29" s="42"/>
      <c r="I29" s="42"/>
      <c r="J29" s="42"/>
      <c r="K29" s="42"/>
    </row>
    <row r="30" customFormat="false" ht="15" hidden="false" customHeight="false" outlineLevel="0" collapsed="false">
      <c r="A30" s="5"/>
      <c r="B30" s="6" t="s">
        <v>244</v>
      </c>
      <c r="C30" s="35" t="n">
        <f aca="false">0</f>
        <v>0</v>
      </c>
      <c r="D30" s="35" t="n">
        <f aca="false">0</f>
        <v>0</v>
      </c>
      <c r="E30" s="35" t="n">
        <f aca="false">Perm_Loan</f>
        <v>62969317.3882064</v>
      </c>
      <c r="F30" s="35" t="n">
        <f aca="false">E33</f>
        <v>61937444.7439103</v>
      </c>
      <c r="G30" s="35" t="n">
        <f aca="false">F33</f>
        <v>60922481.3055293</v>
      </c>
      <c r="H30" s="35" t="n">
        <f aca="false">G33</f>
        <v>59924149.9833989</v>
      </c>
      <c r="I30" s="35" t="n">
        <f aca="false">H33</f>
        <v>58942178.2284987</v>
      </c>
      <c r="J30" s="35" t="n">
        <f aca="false">I33</f>
        <v>57976297.958045</v>
      </c>
      <c r="K30" s="35" t="n">
        <f aca="false">J33</f>
        <v>57026245.4823027</v>
      </c>
    </row>
    <row r="31" customFormat="false" ht="15" hidden="false" customHeight="false" outlineLevel="0" collapsed="false">
      <c r="A31" s="5"/>
      <c r="B31" s="6" t="s">
        <v>245</v>
      </c>
      <c r="C31" s="35" t="n">
        <f aca="false">0</f>
        <v>0</v>
      </c>
      <c r="D31" s="35" t="n">
        <f aca="false">0</f>
        <v>0</v>
      </c>
      <c r="E31" s="35" t="n">
        <f aca="false">-E30*Perm_Rate</f>
        <v>-4250428.92370393</v>
      </c>
      <c r="F31" s="35" t="n">
        <f aca="false">-F30*Perm_Rate</f>
        <v>-4180777.52021395</v>
      </c>
      <c r="G31" s="35" t="n">
        <f aca="false">-G30*Perm_Rate</f>
        <v>-4112267.48812323</v>
      </c>
      <c r="H31" s="35" t="n">
        <f aca="false">-H30*Perm_Rate</f>
        <v>-4044880.12387943</v>
      </c>
      <c r="I31" s="35" t="n">
        <f aca="false">-I30*Perm_Rate</f>
        <v>-3978597.03042367</v>
      </c>
      <c r="J31" s="35" t="n">
        <f aca="false">-J30*Perm_Rate</f>
        <v>-3913400.11216803</v>
      </c>
      <c r="K31" s="35" t="n">
        <f aca="false">-K30*Perm_Rate</f>
        <v>-3849271.57005543</v>
      </c>
    </row>
    <row r="32" customFormat="false" ht="15" hidden="false" customHeight="false" outlineLevel="0" collapsed="false">
      <c r="A32" s="5"/>
      <c r="B32" s="6" t="s">
        <v>246</v>
      </c>
      <c r="C32" s="35" t="n">
        <f aca="false">0</f>
        <v>0</v>
      </c>
      <c r="D32" s="35" t="n">
        <f aca="false">0</f>
        <v>0</v>
      </c>
      <c r="E32" s="35" t="n">
        <f aca="false">IF(E30&lt;=0,0,PMT(Perm_Rate,Perm_Amort,E30)-E31)</f>
        <v>-1031872.64429607</v>
      </c>
      <c r="F32" s="35" t="n">
        <f aca="false">IF(F30&lt;=0,0,PMT(Perm_Rate,Perm_Amort,F30)-F31)</f>
        <v>-1014963.43838103</v>
      </c>
      <c r="G32" s="35" t="n">
        <f aca="false">IF(G30&lt;=0,0,PMT(Perm_Rate,Perm_Amort,G30)-G31)</f>
        <v>-998331.322130359</v>
      </c>
      <c r="H32" s="35" t="n">
        <f aca="false">IF(H30&lt;=0,0,PMT(Perm_Rate,Perm_Amort,H30)-H31)</f>
        <v>-981971.754900189</v>
      </c>
      <c r="I32" s="35" t="n">
        <f aca="false">IF(I30&lt;=0,0,PMT(Perm_Rate,Perm_Amort,I30)-I31)</f>
        <v>-965880.270453787</v>
      </c>
      <c r="J32" s="35" t="n">
        <f aca="false">IF(J30&lt;=0,0,PMT(Perm_Rate,Perm_Amort,J30)-J31)</f>
        <v>-950052.475742244</v>
      </c>
      <c r="K32" s="35" t="n">
        <f aca="false">IF(K30&lt;=0,0,PMT(Perm_Rate,Perm_Amort,K30)-K31)</f>
        <v>-934484.049705156</v>
      </c>
    </row>
    <row r="33" customFormat="false" ht="15" hidden="false" customHeight="false" outlineLevel="0" collapsed="false">
      <c r="A33" s="5"/>
      <c r="B33" s="50" t="s">
        <v>247</v>
      </c>
      <c r="C33" s="48" t="n">
        <f aca="false">0</f>
        <v>0</v>
      </c>
      <c r="D33" s="48" t="n">
        <f aca="false">0</f>
        <v>0</v>
      </c>
      <c r="E33" s="48" t="n">
        <f aca="false">E30+E32</f>
        <v>61937444.7439103</v>
      </c>
      <c r="F33" s="48" t="n">
        <f aca="false">F30+F32</f>
        <v>60922481.3055293</v>
      </c>
      <c r="G33" s="48" t="n">
        <f aca="false">G30+G32</f>
        <v>59924149.9833989</v>
      </c>
      <c r="H33" s="48" t="n">
        <f aca="false">H30+H32</f>
        <v>58942178.2284987</v>
      </c>
      <c r="I33" s="48" t="n">
        <f aca="false">I30+I32</f>
        <v>57976297.958045</v>
      </c>
      <c r="J33" s="48" t="n">
        <f aca="false">J30+J32</f>
        <v>57026245.4823027</v>
      </c>
      <c r="K33" s="48" t="n">
        <f aca="false">K30+K32</f>
        <v>56091761.4325976</v>
      </c>
    </row>
    <row r="34" customFormat="false" ht="15" hidden="false" customHeight="false" outlineLevel="0" collapsed="false">
      <c r="A34" s="5"/>
      <c r="B34" s="52" t="s">
        <v>248</v>
      </c>
      <c r="C34" s="45" t="n">
        <f aca="false">0</f>
        <v>0</v>
      </c>
      <c r="D34" s="45" t="n">
        <f aca="false">0</f>
        <v>0</v>
      </c>
      <c r="E34" s="45" t="n">
        <f aca="false">E31+E32</f>
        <v>-5282301.568</v>
      </c>
      <c r="F34" s="45" t="n">
        <f aca="false">F31+F32</f>
        <v>-5195740.95859498</v>
      </c>
      <c r="G34" s="45" t="n">
        <f aca="false">G31+G32</f>
        <v>-5110598.81025359</v>
      </c>
      <c r="H34" s="45" t="n">
        <f aca="false">H31+H32</f>
        <v>-5026851.87877962</v>
      </c>
      <c r="I34" s="45" t="n">
        <f aca="false">I31+I32</f>
        <v>-4944477.30087745</v>
      </c>
      <c r="J34" s="45" t="n">
        <f aca="false">J31+J32</f>
        <v>-4863452.58791028</v>
      </c>
      <c r="K34" s="45" t="n">
        <f aca="false">K31+K32</f>
        <v>-4783755.61976059</v>
      </c>
    </row>
    <row r="35" customFormat="false" ht="15" hidden="false" customHeight="false" outlineLevel="0" collapsed="false">
      <c r="A35" s="5"/>
      <c r="B35" s="24" t="s">
        <v>249</v>
      </c>
      <c r="C35" s="42"/>
      <c r="D35" s="42"/>
      <c r="E35" s="42"/>
      <c r="F35" s="42"/>
      <c r="G35" s="42"/>
      <c r="H35" s="42"/>
      <c r="I35" s="42"/>
      <c r="J35" s="42"/>
      <c r="K35" s="42"/>
    </row>
    <row r="36" customFormat="false" ht="15" hidden="false" customHeight="false" outlineLevel="0" collapsed="false">
      <c r="A36" s="5"/>
      <c r="B36" s="6" t="s">
        <v>250</v>
      </c>
      <c r="C36" s="35" t="n">
        <f aca="false">0</f>
        <v>0</v>
      </c>
      <c r="D36" s="35" t="n">
        <f aca="false">0</f>
        <v>0</v>
      </c>
      <c r="E36" s="35" t="n">
        <f aca="false">INDEX(Operating_Expenses!$E$20:$K$20,1,E37)</f>
        <v>3066740</v>
      </c>
      <c r="F36" s="35" t="n">
        <f aca="false">INDEX(Operating_Expenses!$E$20:$K$20,1,F37)</f>
        <v>6602876.96</v>
      </c>
      <c r="G36" s="35" t="n">
        <f aca="false">INDEX(Operating_Expenses!$E$20:$K$20,1,G37)</f>
        <v>7162723.0816</v>
      </c>
      <c r="H36" s="35" t="n">
        <f aca="false">INDEX(Operating_Expenses!$E$20:$K$20,1,H37)</f>
        <v>7377049.63358982</v>
      </c>
      <c r="I36" s="35" t="n">
        <f aca="false">INDEX(Operating_Expenses!$E$20:$K$20,1,I37)</f>
        <v>7597762.44959185</v>
      </c>
      <c r="J36" s="35" t="n">
        <f aca="false">INDEX(Operating_Expenses!$E$20:$K$20,1,J37)</f>
        <v>7825050.37600024</v>
      </c>
      <c r="K36" s="35" t="n">
        <f aca="false">INDEX(Operating_Expenses!$E$20:$K$20,1,K37)</f>
        <v>8059107.76389624</v>
      </c>
    </row>
    <row r="37" customFormat="false" ht="15" hidden="false" customHeight="false" outlineLevel="0" collapsed="false">
      <c r="A37" s="5"/>
      <c r="B37" s="6" t="s">
        <v>184</v>
      </c>
      <c r="C37" s="40" t="n">
        <v>0</v>
      </c>
      <c r="D37" s="40" t="n">
        <v>0</v>
      </c>
      <c r="E37" s="40" t="n">
        <f aca="false">1</f>
        <v>1</v>
      </c>
      <c r="F37" s="40" t="n">
        <f aca="false">E37+1</f>
        <v>2</v>
      </c>
      <c r="G37" s="40" t="n">
        <f aca="false">F37+1</f>
        <v>3</v>
      </c>
      <c r="H37" s="40" t="n">
        <f aca="false">G37+1</f>
        <v>4</v>
      </c>
      <c r="I37" s="40" t="n">
        <f aca="false">H37+1</f>
        <v>5</v>
      </c>
      <c r="J37" s="40" t="n">
        <f aca="false">I37+1</f>
        <v>6</v>
      </c>
      <c r="K37" s="40" t="n">
        <f aca="false">J37+1</f>
        <v>7</v>
      </c>
    </row>
    <row r="38" customFormat="false" ht="15" hidden="false" customHeight="false" outlineLevel="0" collapsed="false">
      <c r="A38" s="5"/>
      <c r="B38" s="6" t="s">
        <v>249</v>
      </c>
      <c r="C38" s="53" t="n">
        <f aca="false">0</f>
        <v>0</v>
      </c>
      <c r="D38" s="53" t="n">
        <f aca="false">0</f>
        <v>0</v>
      </c>
      <c r="E38" s="53" t="n">
        <f aca="false">IF(ABS(E34)&gt;0,E36/ABS(E34),0)</f>
        <v>0.580568897955052</v>
      </c>
      <c r="F38" s="53" t="n">
        <f aca="false">IF(ABS(F34)&gt;0,F36/ABS(F34),0)</f>
        <v>1.27082489535536</v>
      </c>
      <c r="G38" s="53" t="n">
        <f aca="false">IF(ABS(G34)&gt;0,G36/ABS(G34),0)</f>
        <v>1.40154282258063</v>
      </c>
      <c r="H38" s="53" t="n">
        <f aca="false">IF(ABS(H34)&gt;0,H36/ABS(H34),0)</f>
        <v>1.46752874591976</v>
      </c>
      <c r="I38" s="53" t="n">
        <f aca="false">IF(ABS(I34)&gt;0,I36/ABS(I34),0)</f>
        <v>1.53661590240156</v>
      </c>
      <c r="J38" s="53" t="n">
        <f aca="false">IF(ABS(J34)&gt;0,J36/ABS(J34),0)</f>
        <v>1.60894965758523</v>
      </c>
      <c r="K38" s="53" t="n">
        <f aca="false">IF(ABS(K34)&gt;0,K36/ABS(K34),0)</f>
        <v>1.68468216281909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K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11" min="3" style="0" width="14"/>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22" t="s">
        <v>251</v>
      </c>
      <c r="C2" s="5"/>
      <c r="D2" s="5"/>
      <c r="E2" s="5"/>
      <c r="F2" s="5"/>
      <c r="G2" s="5"/>
      <c r="H2" s="5"/>
      <c r="I2" s="5"/>
      <c r="J2" s="5"/>
      <c r="K2" s="5"/>
    </row>
    <row r="3" customFormat="false" ht="15" hidden="false" customHeight="false" outlineLevel="0" collapsed="false">
      <c r="A3" s="5"/>
      <c r="B3" s="29" t="s">
        <v>175</v>
      </c>
      <c r="C3" s="28" t="n">
        <v>-1</v>
      </c>
      <c r="D3" s="28" t="n">
        <v>0</v>
      </c>
      <c r="E3" s="28" t="n">
        <v>1</v>
      </c>
      <c r="F3" s="28" t="n">
        <v>2</v>
      </c>
      <c r="G3" s="28" t="n">
        <v>3</v>
      </c>
      <c r="H3" s="28" t="n">
        <v>4</v>
      </c>
      <c r="I3" s="28" t="n">
        <v>5</v>
      </c>
      <c r="J3" s="28" t="n">
        <v>6</v>
      </c>
      <c r="K3" s="28" t="n">
        <v>7</v>
      </c>
    </row>
    <row r="4" customFormat="false" ht="15" hidden="false" customHeight="false" outlineLevel="0" collapsed="false">
      <c r="A4" s="5"/>
      <c r="B4" s="24" t="s">
        <v>252</v>
      </c>
      <c r="C4" s="25" t="s">
        <v>162</v>
      </c>
      <c r="D4" s="25" t="s">
        <v>163</v>
      </c>
      <c r="E4" s="25" t="s">
        <v>177</v>
      </c>
      <c r="F4" s="25" t="s">
        <v>178</v>
      </c>
      <c r="G4" s="25" t="s">
        <v>179</v>
      </c>
      <c r="H4" s="25" t="s">
        <v>180</v>
      </c>
      <c r="I4" s="25" t="s">
        <v>181</v>
      </c>
      <c r="J4" s="25" t="s">
        <v>182</v>
      </c>
      <c r="K4" s="25" t="s">
        <v>183</v>
      </c>
    </row>
    <row r="5" customFormat="false" ht="15" hidden="false" customHeight="false" outlineLevel="0" collapsed="false">
      <c r="A5" s="5"/>
      <c r="B5" s="43" t="s">
        <v>253</v>
      </c>
      <c r="C5" s="35" t="n">
        <f aca="false">-SUM(Dev_Budget!C5:C10)</f>
        <v>-33330700</v>
      </c>
      <c r="D5" s="35" t="n">
        <f aca="false">-SUM(Dev_Budget!D5:D10)</f>
        <v>-68149120</v>
      </c>
      <c r="E5" s="35" t="n">
        <f aca="false">0</f>
        <v>0</v>
      </c>
      <c r="F5" s="35" t="n">
        <f aca="false">0</f>
        <v>0</v>
      </c>
      <c r="G5" s="35" t="n">
        <f aca="false">0</f>
        <v>0</v>
      </c>
      <c r="H5" s="35" t="n">
        <f aca="false">0</f>
        <v>0</v>
      </c>
      <c r="I5" s="35" t="n">
        <f aca="false">0</f>
        <v>0</v>
      </c>
      <c r="J5" s="35" t="n">
        <f aca="false">0</f>
        <v>0</v>
      </c>
      <c r="K5" s="35" t="n">
        <f aca="false">0</f>
        <v>0</v>
      </c>
    </row>
    <row r="6" customFormat="false" ht="15" hidden="false" customHeight="false" outlineLevel="0" collapsed="false">
      <c r="A6" s="5"/>
      <c r="B6" s="43" t="s">
        <v>254</v>
      </c>
      <c r="C6" s="35" t="n">
        <f aca="false">INDEX(Debt_Schedule!$C$7:$D$7,1,1)</f>
        <v>31450000</v>
      </c>
      <c r="D6" s="35" t="n">
        <f aca="false">INDEX(Debt_Schedule!$C$7:$D$7,1,2)</f>
        <v>29562000</v>
      </c>
      <c r="E6" s="35" t="n">
        <f aca="false">0</f>
        <v>0</v>
      </c>
      <c r="F6" s="35" t="n">
        <f aca="false">0</f>
        <v>0</v>
      </c>
      <c r="G6" s="35" t="n">
        <f aca="false">0</f>
        <v>0</v>
      </c>
      <c r="H6" s="35" t="n">
        <f aca="false">0</f>
        <v>0</v>
      </c>
      <c r="I6" s="35" t="n">
        <f aca="false">0</f>
        <v>0</v>
      </c>
      <c r="J6" s="35" t="n">
        <f aca="false">0</f>
        <v>0</v>
      </c>
      <c r="K6" s="35" t="n">
        <f aca="false">0</f>
        <v>0</v>
      </c>
    </row>
    <row r="7" customFormat="false" ht="15" hidden="false" customHeight="false" outlineLevel="0" collapsed="false">
      <c r="A7" s="5"/>
      <c r="B7" s="43" t="s">
        <v>255</v>
      </c>
      <c r="C7" s="35" t="n">
        <f aca="false">0</f>
        <v>0</v>
      </c>
      <c r="D7" s="35" t="n">
        <f aca="false">0</f>
        <v>0</v>
      </c>
      <c r="E7" s="35" t="n">
        <f aca="false">-DS_CL_Close_Y2</f>
        <v>-66069120</v>
      </c>
      <c r="F7" s="35" t="n">
        <f aca="false">0</f>
        <v>0</v>
      </c>
      <c r="G7" s="35" t="n">
        <f aca="false">0</f>
        <v>0</v>
      </c>
      <c r="H7" s="35" t="n">
        <f aca="false">0</f>
        <v>0</v>
      </c>
      <c r="I7" s="35" t="n">
        <f aca="false">0</f>
        <v>0</v>
      </c>
      <c r="J7" s="35" t="n">
        <f aca="false">0</f>
        <v>0</v>
      </c>
      <c r="K7" s="35" t="n">
        <f aca="false">0</f>
        <v>0</v>
      </c>
    </row>
    <row r="8" customFormat="false" ht="15" hidden="false" customHeight="false" outlineLevel="0" collapsed="false">
      <c r="A8" s="5"/>
      <c r="B8" s="43" t="s">
        <v>256</v>
      </c>
      <c r="C8" s="35" t="n">
        <f aca="false">0</f>
        <v>0</v>
      </c>
      <c r="D8" s="35" t="n">
        <f aca="false">0</f>
        <v>0</v>
      </c>
      <c r="E8" s="35" t="n">
        <f aca="false">Perm_Loan</f>
        <v>62969317.3882064</v>
      </c>
      <c r="F8" s="35" t="n">
        <f aca="false">0</f>
        <v>0</v>
      </c>
      <c r="G8" s="35" t="n">
        <f aca="false">0</f>
        <v>0</v>
      </c>
      <c r="H8" s="35" t="n">
        <f aca="false">0</f>
        <v>0</v>
      </c>
      <c r="I8" s="35" t="n">
        <f aca="false">0</f>
        <v>0</v>
      </c>
      <c r="J8" s="35" t="n">
        <f aca="false">0</f>
        <v>0</v>
      </c>
      <c r="K8" s="35" t="n">
        <f aca="false">0</f>
        <v>0</v>
      </c>
    </row>
    <row r="9" customFormat="false" ht="15" hidden="false" customHeight="false" outlineLevel="0" collapsed="false">
      <c r="A9" s="5"/>
      <c r="B9" s="43" t="s">
        <v>257</v>
      </c>
      <c r="C9" s="35" t="n">
        <f aca="false">-C5-C6</f>
        <v>1880700</v>
      </c>
      <c r="D9" s="35" t="n">
        <f aca="false">-D5-D6</f>
        <v>38587120</v>
      </c>
      <c r="E9" s="35" t="n">
        <f aca="false">0</f>
        <v>0</v>
      </c>
      <c r="F9" s="35" t="n">
        <f aca="false">0</f>
        <v>0</v>
      </c>
      <c r="G9" s="35" t="n">
        <f aca="false">0</f>
        <v>0</v>
      </c>
      <c r="H9" s="35" t="n">
        <f aca="false">0</f>
        <v>0</v>
      </c>
      <c r="I9" s="35" t="n">
        <f aca="false">0</f>
        <v>0</v>
      </c>
      <c r="J9" s="35" t="n">
        <f aca="false">0</f>
        <v>0</v>
      </c>
      <c r="K9" s="35" t="n">
        <f aca="false">0</f>
        <v>0</v>
      </c>
    </row>
    <row r="10" customFormat="false" ht="15" hidden="false" customHeight="false" outlineLevel="0" collapsed="false">
      <c r="A10" s="5"/>
      <c r="B10" s="43" t="s">
        <v>258</v>
      </c>
      <c r="C10" s="35" t="n">
        <f aca="false">0</f>
        <v>0</v>
      </c>
      <c r="D10" s="35" t="n">
        <f aca="false">0</f>
        <v>0</v>
      </c>
      <c r="E10" s="35" t="n">
        <f aca="false">Recap_Equity</f>
        <v>3099802.61179362</v>
      </c>
      <c r="F10" s="35" t="n">
        <f aca="false">0</f>
        <v>0</v>
      </c>
      <c r="G10" s="35" t="n">
        <f aca="false">0</f>
        <v>0</v>
      </c>
      <c r="H10" s="35" t="n">
        <f aca="false">0</f>
        <v>0</v>
      </c>
      <c r="I10" s="35" t="n">
        <f aca="false">0</f>
        <v>0</v>
      </c>
      <c r="J10" s="35" t="n">
        <f aca="false">0</f>
        <v>0</v>
      </c>
      <c r="K10" s="35" t="n">
        <f aca="false">0</f>
        <v>0</v>
      </c>
    </row>
    <row r="11" customFormat="false" ht="15" hidden="false" customHeight="false" outlineLevel="0" collapsed="false">
      <c r="A11" s="5"/>
      <c r="B11" s="47" t="s">
        <v>259</v>
      </c>
      <c r="C11" s="48" t="n">
        <f aca="false">SUM(C5:C10)</f>
        <v>0</v>
      </c>
      <c r="D11" s="48" t="n">
        <f aca="false">SUM(D5:D10)</f>
        <v>0</v>
      </c>
      <c r="E11" s="48" t="n">
        <f aca="false">SUM(E5:E10)</f>
        <v>0</v>
      </c>
      <c r="F11" s="48" t="n">
        <f aca="false">0</f>
        <v>0</v>
      </c>
      <c r="G11" s="48" t="n">
        <f aca="false">0</f>
        <v>0</v>
      </c>
      <c r="H11" s="48" t="n">
        <f aca="false">0</f>
        <v>0</v>
      </c>
      <c r="I11" s="48" t="n">
        <f aca="false">0</f>
        <v>0</v>
      </c>
      <c r="J11" s="48" t="n">
        <f aca="false">0</f>
        <v>0</v>
      </c>
      <c r="K11" s="48" t="n">
        <f aca="false">0</f>
        <v>0</v>
      </c>
    </row>
    <row r="12" customFormat="false" ht="15" hidden="false" customHeight="false" outlineLevel="0" collapsed="false">
      <c r="A12" s="5"/>
      <c r="B12" s="54" t="s">
        <v>184</v>
      </c>
      <c r="C12" s="55" t="n">
        <v>0</v>
      </c>
      <c r="D12" s="55" t="n">
        <v>0</v>
      </c>
      <c r="E12" s="55" t="n">
        <f aca="false">1</f>
        <v>1</v>
      </c>
      <c r="F12" s="55" t="n">
        <f aca="false">E12+1</f>
        <v>2</v>
      </c>
      <c r="G12" s="55" t="n">
        <f aca="false">F12+1</f>
        <v>3</v>
      </c>
      <c r="H12" s="55" t="n">
        <f aca="false">G12+1</f>
        <v>4</v>
      </c>
      <c r="I12" s="55" t="n">
        <f aca="false">H12+1</f>
        <v>5</v>
      </c>
      <c r="J12" s="55" t="n">
        <f aca="false">I12+1</f>
        <v>6</v>
      </c>
      <c r="K12" s="55" t="n">
        <f aca="false">J12+1</f>
        <v>7</v>
      </c>
    </row>
    <row r="13" customFormat="false" ht="15" hidden="false" customHeight="false" outlineLevel="0" collapsed="false">
      <c r="A13" s="5"/>
      <c r="B13" s="43" t="s">
        <v>260</v>
      </c>
      <c r="C13" s="35" t="n">
        <f aca="false">0</f>
        <v>0</v>
      </c>
      <c r="D13" s="35" t="n">
        <f aca="false">0</f>
        <v>0</v>
      </c>
      <c r="E13" s="35" t="n">
        <f aca="false">INDEX(Operating_Expenses!$E$9:$K$9,1,E12)</f>
        <v>4140000</v>
      </c>
      <c r="F13" s="35" t="n">
        <f aca="false">INDEX(Operating_Expenses!$E$9:$K$9,1,F12)</f>
        <v>7690174</v>
      </c>
      <c r="G13" s="35" t="n">
        <f aca="false">INDEX(Operating_Expenses!$E$9:$K$9,1,G12)</f>
        <v>8280111.35</v>
      </c>
      <c r="H13" s="35" t="n">
        <f aca="false">INDEX(Operating_Expenses!$E$9:$K$9,1,H12)</f>
        <v>8523524.22175</v>
      </c>
      <c r="I13" s="35" t="n">
        <f aca="false">INDEX(Operating_Expenses!$E$9:$K$9,1,I12)</f>
        <v>8774114.71793375</v>
      </c>
      <c r="J13" s="35" t="n">
        <f aca="false">INDEX(Operating_Expenses!$E$9:$K$9,1,J12)</f>
        <v>9032095.04824129</v>
      </c>
      <c r="K13" s="35" t="n">
        <f aca="false">INDEX(Operating_Expenses!$E$9:$K$9,1,K12)</f>
        <v>9297683.7106773</v>
      </c>
    </row>
    <row r="14" customFormat="false" ht="15" hidden="false" customHeight="false" outlineLevel="0" collapsed="false">
      <c r="A14" s="5"/>
      <c r="B14" s="43" t="s">
        <v>210</v>
      </c>
      <c r="C14" s="35" t="n">
        <f aca="false">0</f>
        <v>0</v>
      </c>
      <c r="D14" s="35" t="n">
        <f aca="false">0</f>
        <v>0</v>
      </c>
      <c r="E14" s="35" t="n">
        <f aca="false">INDEX(Comm_Revenue!$E$10:$K$10,1,E12)</f>
        <v>900000</v>
      </c>
      <c r="F14" s="35" t="n">
        <f aca="false">INDEX(Comm_Revenue!$E$10:$K$10,1,F12)</f>
        <v>973750</v>
      </c>
      <c r="G14" s="35" t="n">
        <f aca="false">INDEX(Comm_Revenue!$E$10:$K$10,1,G12)</f>
        <v>998093.75</v>
      </c>
      <c r="H14" s="35" t="n">
        <f aca="false">INDEX(Comm_Revenue!$E$10:$K$10,1,H12)</f>
        <v>1023046.09375</v>
      </c>
      <c r="I14" s="35" t="n">
        <f aca="false">INDEX(Comm_Revenue!$E$10:$K$10,1,I12)</f>
        <v>1048622.24609375</v>
      </c>
      <c r="J14" s="35" t="n">
        <f aca="false">INDEX(Comm_Revenue!$E$10:$K$10,1,J12)</f>
        <v>1074837.80224609</v>
      </c>
      <c r="K14" s="35" t="n">
        <f aca="false">INDEX(Comm_Revenue!$E$10:$K$10,1,K12)</f>
        <v>1101708.74730225</v>
      </c>
    </row>
    <row r="15" customFormat="false" ht="15" hidden="false" customHeight="false" outlineLevel="0" collapsed="false">
      <c r="A15" s="5"/>
      <c r="B15" s="43" t="s">
        <v>261</v>
      </c>
      <c r="C15" s="35" t="n">
        <f aca="false">0</f>
        <v>0</v>
      </c>
      <c r="D15" s="35" t="n">
        <f aca="false">0</f>
        <v>0</v>
      </c>
      <c r="E15" s="35" t="n">
        <f aca="false">INDEX(Operating_Expenses!$E$18:$K$18,1,E12)</f>
        <v>-1073260</v>
      </c>
      <c r="F15" s="35" t="n">
        <f aca="false">INDEX(Operating_Expenses!$E$18:$K$18,1,F12)</f>
        <v>-1087297.04</v>
      </c>
      <c r="G15" s="35" t="n">
        <f aca="false">INDEX(Operating_Expenses!$E$18:$K$18,1,G12)</f>
        <v>-1117388.2684</v>
      </c>
      <c r="H15" s="35" t="n">
        <f aca="false">INDEX(Operating_Expenses!$E$18:$K$18,1,H12)</f>
        <v>-1146474.58816017</v>
      </c>
      <c r="I15" s="35" t="n">
        <f aca="false">INDEX(Operating_Expenses!$E$18:$K$18,1,I12)</f>
        <v>-1176352.2683419</v>
      </c>
      <c r="J15" s="35" t="n">
        <f aca="false">INDEX(Operating_Expenses!$E$18:$K$18,1,J12)</f>
        <v>-1207044.67224105</v>
      </c>
      <c r="K15" s="35" t="n">
        <f aca="false">INDEX(Operating_Expenses!$E$18:$K$18,1,K12)</f>
        <v>-1238575.94678106</v>
      </c>
    </row>
    <row r="16" customFormat="false" ht="15" hidden="false" customHeight="false" outlineLevel="0" collapsed="false">
      <c r="A16" s="5"/>
      <c r="B16" s="43" t="s">
        <v>262</v>
      </c>
      <c r="C16" s="35" t="n">
        <f aca="false">0</f>
        <v>0</v>
      </c>
      <c r="D16" s="35" t="n">
        <f aca="false">0</f>
        <v>0</v>
      </c>
      <c r="E16" s="35" t="n">
        <f aca="false">INDEX(Comm_Revenue!$E$14:$K$14,1,E12)</f>
        <v>-1450000</v>
      </c>
      <c r="F16" s="35" t="n">
        <f aca="false">INDEX(Comm_Revenue!$E$14:$K$14,1,F12)</f>
        <v>0</v>
      </c>
      <c r="G16" s="35" t="n">
        <f aca="false">INDEX(Comm_Revenue!$E$14:$K$14,1,G12)</f>
        <v>0</v>
      </c>
      <c r="H16" s="35" t="n">
        <f aca="false">INDEX(Comm_Revenue!$E$14:$K$14,1,H12)</f>
        <v>0</v>
      </c>
      <c r="I16" s="35" t="n">
        <f aca="false">INDEX(Comm_Revenue!$E$14:$K$14,1,I12)</f>
        <v>0</v>
      </c>
      <c r="J16" s="35" t="n">
        <f aca="false">INDEX(Comm_Revenue!$E$14:$K$14,1,J12)</f>
        <v>-1476281.64257813</v>
      </c>
      <c r="K16" s="35" t="n">
        <f aca="false">INDEX(Comm_Revenue!$E$14:$K$14,1,K12)</f>
        <v>0</v>
      </c>
    </row>
    <row r="17" customFormat="false" ht="15" hidden="false" customHeight="false" outlineLevel="0" collapsed="false">
      <c r="A17" s="5"/>
      <c r="B17" s="47" t="s">
        <v>223</v>
      </c>
      <c r="C17" s="48" t="n">
        <f aca="false">0</f>
        <v>0</v>
      </c>
      <c r="D17" s="48" t="n">
        <f aca="false">0</f>
        <v>0</v>
      </c>
      <c r="E17" s="48" t="n">
        <f aca="false">E13+E14+E15+E16</f>
        <v>2516740</v>
      </c>
      <c r="F17" s="48" t="n">
        <f aca="false">F13+F14+F15+F16</f>
        <v>7576626.96</v>
      </c>
      <c r="G17" s="48" t="n">
        <f aca="false">G13+G14+G15+G16</f>
        <v>8160816.8316</v>
      </c>
      <c r="H17" s="48" t="n">
        <f aca="false">H13+H14+H15+H16</f>
        <v>8400095.72733983</v>
      </c>
      <c r="I17" s="48" t="n">
        <f aca="false">I13+I14+I15+I16</f>
        <v>8646384.6956856</v>
      </c>
      <c r="J17" s="48" t="n">
        <f aca="false">J13+J14+J15+J16</f>
        <v>7423606.53566821</v>
      </c>
      <c r="K17" s="48" t="n">
        <f aca="false">K13+K14+K15+K16</f>
        <v>9160816.51119849</v>
      </c>
    </row>
    <row r="18" customFormat="false" ht="15" hidden="false" customHeight="false" outlineLevel="0" collapsed="false">
      <c r="A18" s="5"/>
      <c r="B18" s="43" t="s">
        <v>263</v>
      </c>
      <c r="C18" s="35" t="n">
        <f aca="false">0</f>
        <v>0</v>
      </c>
      <c r="D18" s="35" t="n">
        <f aca="false">0</f>
        <v>0</v>
      </c>
      <c r="E18" s="35" t="n">
        <f aca="false">INDEX(Debt_Schedule!$E$34:$K$34,1,E12)</f>
        <v>-5282301.568</v>
      </c>
      <c r="F18" s="35" t="n">
        <f aca="false">INDEX(Debt_Schedule!$E$34:$K$34,1,F12)</f>
        <v>-5195740.95859498</v>
      </c>
      <c r="G18" s="35" t="n">
        <f aca="false">INDEX(Debt_Schedule!$E$34:$K$34,1,G12)</f>
        <v>-5110598.81025359</v>
      </c>
      <c r="H18" s="35" t="n">
        <f aca="false">INDEX(Debt_Schedule!$E$34:$K$34,1,H12)</f>
        <v>-5026851.87877962</v>
      </c>
      <c r="I18" s="35" t="n">
        <f aca="false">INDEX(Debt_Schedule!$E$34:$K$34,1,I12)</f>
        <v>-4944477.30087745</v>
      </c>
      <c r="J18" s="35" t="n">
        <f aca="false">INDEX(Debt_Schedule!$E$34:$K$34,1,J12)</f>
        <v>-4863452.58791028</v>
      </c>
      <c r="K18" s="35" t="n">
        <f aca="false">INDEX(Debt_Schedule!$E$34:$K$34,1,K12)</f>
        <v>-4783755.61976059</v>
      </c>
    </row>
    <row r="19" customFormat="false" ht="15" hidden="false" customHeight="false" outlineLevel="0" collapsed="false">
      <c r="A19" s="5"/>
      <c r="B19" s="46" t="s">
        <v>264</v>
      </c>
      <c r="C19" s="37" t="n">
        <f aca="false">0</f>
        <v>0</v>
      </c>
      <c r="D19" s="37" t="n">
        <f aca="false">0</f>
        <v>0</v>
      </c>
      <c r="E19" s="37" t="n">
        <f aca="false">E17+E18</f>
        <v>-2765561.568</v>
      </c>
      <c r="F19" s="37" t="n">
        <f aca="false">F17+F18</f>
        <v>2380886.00140502</v>
      </c>
      <c r="G19" s="37" t="n">
        <f aca="false">G17+G18</f>
        <v>3050218.02134641</v>
      </c>
      <c r="H19" s="37" t="n">
        <f aca="false">H17+H18</f>
        <v>3373243.84856021</v>
      </c>
      <c r="I19" s="37" t="n">
        <f aca="false">I17+I18</f>
        <v>3701907.39480815</v>
      </c>
      <c r="J19" s="37" t="n">
        <f aca="false">J17+J18</f>
        <v>2560153.94775793</v>
      </c>
      <c r="K19" s="37" t="n">
        <f aca="false">K17+K18</f>
        <v>4377060.8914379</v>
      </c>
    </row>
    <row r="20" customFormat="false" ht="15" hidden="false" customHeight="false" outlineLevel="0" collapsed="false">
      <c r="A20" s="5"/>
      <c r="B20" s="24" t="s">
        <v>265</v>
      </c>
      <c r="C20" s="42"/>
      <c r="D20" s="42"/>
      <c r="E20" s="42"/>
      <c r="F20" s="42"/>
      <c r="G20" s="42"/>
      <c r="H20" s="42"/>
      <c r="I20" s="42"/>
      <c r="J20" s="42"/>
      <c r="K20" s="42"/>
    </row>
    <row r="21" customFormat="false" ht="15" hidden="false" customHeight="false" outlineLevel="0" collapsed="false">
      <c r="A21" s="5"/>
      <c r="B21" s="6" t="s">
        <v>266</v>
      </c>
      <c r="C21" s="35" t="n">
        <f aca="false">0</f>
        <v>0</v>
      </c>
      <c r="D21" s="35" t="n">
        <f aca="false">0</f>
        <v>0</v>
      </c>
      <c r="E21" s="35" t="n">
        <f aca="false">0</f>
        <v>0</v>
      </c>
      <c r="F21" s="35" t="n">
        <f aca="false">0</f>
        <v>0</v>
      </c>
      <c r="G21" s="35" t="n">
        <f aca="false">0</f>
        <v>0</v>
      </c>
      <c r="H21" s="35" t="n">
        <f aca="false">0</f>
        <v>0</v>
      </c>
      <c r="I21" s="35" t="n">
        <f aca="false">0</f>
        <v>0</v>
      </c>
      <c r="J21" s="35" t="n">
        <f aca="false">0</f>
        <v>0</v>
      </c>
      <c r="K21" s="35" t="n">
        <f aca="false">INDEX(Operating_Expenses!$E$20:$K$20,1,Hold_Period)*(1+Resi_Rent_Growth)</f>
        <v>8300880.99681313</v>
      </c>
    </row>
    <row r="22" customFormat="false" ht="15" hidden="false" customHeight="false" outlineLevel="0" collapsed="false">
      <c r="A22" s="5"/>
      <c r="B22" s="6" t="s">
        <v>267</v>
      </c>
      <c r="C22" s="35" t="n">
        <f aca="false">0</f>
        <v>0</v>
      </c>
      <c r="D22" s="35" t="n">
        <f aca="false">0</f>
        <v>0</v>
      </c>
      <c r="E22" s="35" t="n">
        <f aca="false">0</f>
        <v>0</v>
      </c>
      <c r="F22" s="35" t="n">
        <f aca="false">0</f>
        <v>0</v>
      </c>
      <c r="G22" s="35" t="n">
        <f aca="false">0</f>
        <v>0</v>
      </c>
      <c r="H22" s="35" t="n">
        <f aca="false">0</f>
        <v>0</v>
      </c>
      <c r="I22" s="35" t="n">
        <f aca="false">0</f>
        <v>0</v>
      </c>
      <c r="J22" s="35" t="n">
        <f aca="false">0</f>
        <v>0</v>
      </c>
      <c r="K22" s="35" t="n">
        <f aca="false">K21/Exit_Cap</f>
        <v>150925109.032966</v>
      </c>
    </row>
    <row r="23" customFormat="false" ht="15" hidden="false" customHeight="false" outlineLevel="0" collapsed="false">
      <c r="A23" s="5"/>
      <c r="B23" s="6" t="s">
        <v>268</v>
      </c>
      <c r="C23" s="35" t="n">
        <f aca="false">0</f>
        <v>0</v>
      </c>
      <c r="D23" s="35" t="n">
        <f aca="false">0</f>
        <v>0</v>
      </c>
      <c r="E23" s="35" t="n">
        <f aca="false">0</f>
        <v>0</v>
      </c>
      <c r="F23" s="35" t="n">
        <f aca="false">0</f>
        <v>0</v>
      </c>
      <c r="G23" s="35" t="n">
        <f aca="false">0</f>
        <v>0</v>
      </c>
      <c r="H23" s="35" t="n">
        <f aca="false">0</f>
        <v>0</v>
      </c>
      <c r="I23" s="35" t="n">
        <f aca="false">0</f>
        <v>0</v>
      </c>
      <c r="J23" s="35" t="n">
        <f aca="false">0</f>
        <v>0</v>
      </c>
      <c r="K23" s="35" t="n">
        <f aca="false">-K22*Cost_of_Sale_Pct</f>
        <v>-3018502.18065932</v>
      </c>
    </row>
    <row r="24" customFormat="false" ht="15" hidden="false" customHeight="false" outlineLevel="0" collapsed="false">
      <c r="A24" s="5"/>
      <c r="B24" s="6" t="s">
        <v>269</v>
      </c>
      <c r="C24" s="35" t="n">
        <f aca="false">0</f>
        <v>0</v>
      </c>
      <c r="D24" s="35" t="n">
        <f aca="false">0</f>
        <v>0</v>
      </c>
      <c r="E24" s="35" t="n">
        <f aca="false">0</f>
        <v>0</v>
      </c>
      <c r="F24" s="35" t="n">
        <f aca="false">0</f>
        <v>0</v>
      </c>
      <c r="G24" s="35" t="n">
        <f aca="false">0</f>
        <v>0</v>
      </c>
      <c r="H24" s="35" t="n">
        <f aca="false">0</f>
        <v>0</v>
      </c>
      <c r="I24" s="35" t="n">
        <f aca="false">0</f>
        <v>0</v>
      </c>
      <c r="J24" s="35" t="n">
        <f aca="false">0</f>
        <v>0</v>
      </c>
      <c r="K24" s="35" t="n">
        <f aca="false">-INDEX(Debt_Schedule!$E$33:$K$33,1,Hold_Period)</f>
        <v>-56091761.4325976</v>
      </c>
    </row>
    <row r="25" customFormat="false" ht="15" hidden="false" customHeight="false" outlineLevel="0" collapsed="false">
      <c r="A25" s="5"/>
      <c r="B25" s="46" t="s">
        <v>270</v>
      </c>
      <c r="C25" s="37" t="n">
        <f aca="false">0</f>
        <v>0</v>
      </c>
      <c r="D25" s="37" t="n">
        <f aca="false">0</f>
        <v>0</v>
      </c>
      <c r="E25" s="37" t="n">
        <f aca="false">0</f>
        <v>0</v>
      </c>
      <c r="F25" s="37" t="n">
        <f aca="false">0</f>
        <v>0</v>
      </c>
      <c r="G25" s="37" t="n">
        <f aca="false">0</f>
        <v>0</v>
      </c>
      <c r="H25" s="37" t="n">
        <f aca="false">0</f>
        <v>0</v>
      </c>
      <c r="I25" s="37" t="n">
        <f aca="false">0</f>
        <v>0</v>
      </c>
      <c r="J25" s="37" t="n">
        <f aca="false">0</f>
        <v>0</v>
      </c>
      <c r="K25" s="37" t="n">
        <f aca="false">SUM(K21:K24)</f>
        <v>100115726.416522</v>
      </c>
    </row>
    <row r="26" customFormat="false" ht="15" hidden="false" customHeight="false" outlineLevel="0" collapsed="false">
      <c r="A26" s="5"/>
      <c r="B26" s="24" t="s">
        <v>271</v>
      </c>
      <c r="C26" s="42"/>
      <c r="D26" s="42"/>
      <c r="E26" s="42"/>
      <c r="F26" s="42"/>
      <c r="G26" s="42"/>
      <c r="H26" s="42"/>
      <c r="I26" s="42"/>
      <c r="J26" s="42"/>
      <c r="K26" s="42"/>
    </row>
    <row r="27" customFormat="false" ht="15" hidden="false" customHeight="false" outlineLevel="0" collapsed="false">
      <c r="A27" s="5"/>
      <c r="B27" s="43" t="s">
        <v>272</v>
      </c>
      <c r="C27" s="35" t="n">
        <f aca="false">C9+C10</f>
        <v>1880700</v>
      </c>
      <c r="D27" s="35" t="n">
        <f aca="false">D9+D10</f>
        <v>38587120</v>
      </c>
      <c r="E27" s="35" t="n">
        <f aca="false">E9+E10</f>
        <v>3099802.61179362</v>
      </c>
      <c r="F27" s="35" t="n">
        <f aca="false">0</f>
        <v>0</v>
      </c>
      <c r="G27" s="35" t="n">
        <f aca="false">0</f>
        <v>0</v>
      </c>
      <c r="H27" s="35" t="n">
        <f aca="false">0</f>
        <v>0</v>
      </c>
      <c r="I27" s="35" t="n">
        <f aca="false">0</f>
        <v>0</v>
      </c>
      <c r="J27" s="35" t="n">
        <f aca="false">0</f>
        <v>0</v>
      </c>
      <c r="K27" s="35" t="n">
        <f aca="false">0</f>
        <v>0</v>
      </c>
    </row>
    <row r="28" customFormat="false" ht="15" hidden="false" customHeight="false" outlineLevel="0" collapsed="false">
      <c r="A28" s="5"/>
      <c r="B28" s="46" t="s">
        <v>273</v>
      </c>
      <c r="C28" s="37" t="n">
        <f aca="false">C19+C25-C27</f>
        <v>-1880700</v>
      </c>
      <c r="D28" s="37" t="n">
        <f aca="false">D19+D25-D27</f>
        <v>-38587120</v>
      </c>
      <c r="E28" s="37" t="n">
        <f aca="false">E19+E25-E27</f>
        <v>-5865364.17979361</v>
      </c>
      <c r="F28" s="37" t="n">
        <f aca="false">F19+F25-F27</f>
        <v>2380886.00140502</v>
      </c>
      <c r="G28" s="37" t="n">
        <f aca="false">G19+G25-G27</f>
        <v>3050218.02134641</v>
      </c>
      <c r="H28" s="37" t="n">
        <f aca="false">H19+H25-H27</f>
        <v>3373243.84856021</v>
      </c>
      <c r="I28" s="37" t="n">
        <f aca="false">I19+I25-I27</f>
        <v>3701907.39480815</v>
      </c>
      <c r="J28" s="37" t="n">
        <f aca="false">J19+J25-J27</f>
        <v>2560153.94775793</v>
      </c>
      <c r="K28" s="37" t="n">
        <f aca="false">K19+K25-K27</f>
        <v>104492787.30796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2026-05-15T18:53:30Z</dcterms:created>
  <dc:creator>openpyxl</dc:creator>
  <dc:description/>
  <dc:language>en-GB</dc:language>
  <cp:lastModifiedBy/>
  <dcterms:modified xsi:type="dcterms:W3CDTF">2026-05-15T18:53:31Z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