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Operating_Costs" sheetId="3" state="visible" r:id="rId5"/>
    <sheet name="Allocation_Returns" sheetId="4" state="visible" r:id="rId6"/>
    <sheet name="Portfolio_Summary" sheetId="5" state="visible" r:id="rId7"/>
    <sheet name="Cash_Flow" sheetId="6" state="visible" r:id="rId8"/>
    <sheet name="Returns_Analysis" sheetId="7" state="visible" r:id="rId9"/>
    <sheet name="Checks" sheetId="8" state="visible" r:id="rId10"/>
    <sheet name="Disclaimer" sheetId="9" state="visible" r:id="rId11"/>
  </sheets>
  <definedNames>
    <definedName function="false" hidden="false" name="Alloc_Alt" vbProcedure="false">Assumptions!$C$10</definedName>
    <definedName function="false" hidden="false" name="Alloc_Cash" vbProcedure="false">Assumptions!$C$12</definedName>
    <definedName function="false" hidden="false" name="Alloc_Eq" vbProcedure="false">Assumptions!$C$8</definedName>
    <definedName function="false" hidden="false" name="Alloc_FI" vbProcedure="false">Assumptions!$C$9</definedName>
    <definedName function="false" hidden="false" name="Alloc_RE" vbProcedure="false">Assumptions!$C$11</definedName>
    <definedName function="false" hidden="false" name="AR_Abs_Rebal_Yr1" vbProcedure="false">Allocation_Returns!$C$43</definedName>
    <definedName function="false" hidden="false" name="AR_Abs_Rebal_Yr10" vbProcedure="false">Allocation_Returns!$L$43</definedName>
    <definedName function="false" hidden="false" name="AR_Abs_Rebal_Yr2" vbProcedure="false">Allocation_Returns!$D$43</definedName>
    <definedName function="false" hidden="false" name="AR_Abs_Rebal_Yr3" vbProcedure="false">Allocation_Returns!$E$43</definedName>
    <definedName function="false" hidden="false" name="AR_Abs_Rebal_Yr4" vbProcedure="false">Allocation_Returns!$F$43</definedName>
    <definedName function="false" hidden="false" name="AR_Abs_Rebal_Yr5" vbProcedure="false">Allocation_Returns!$G$43</definedName>
    <definedName function="false" hidden="false" name="AR_Abs_Rebal_Yr6" vbProcedure="false">Allocation_Returns!$H$43</definedName>
    <definedName function="false" hidden="false" name="AR_Abs_Rebal_Yr7" vbProcedure="false">Allocation_Returns!$I$43</definedName>
    <definedName function="false" hidden="false" name="AR_Abs_Rebal_Yr8" vbProcedure="false">Allocation_Returns!$J$43</definedName>
    <definedName function="false" hidden="false" name="AR_Abs_Rebal_Yr9" vbProcedure="false">Allocation_Returns!$K$43</definedName>
    <definedName function="false" hidden="false" name="AR_Alt_Apprec_Yr1" vbProcedure="false">Allocation_Returns!$C$20</definedName>
    <definedName function="false" hidden="false" name="AR_Alt_Apprec_Yr10" vbProcedure="false">Allocation_Returns!$L$20</definedName>
    <definedName function="false" hidden="false" name="AR_Alt_Apprec_Yr2" vbProcedure="false">Allocation_Returns!$D$20</definedName>
    <definedName function="false" hidden="false" name="AR_Alt_Apprec_Yr3" vbProcedure="false">Allocation_Returns!$E$20</definedName>
    <definedName function="false" hidden="false" name="AR_Alt_Apprec_Yr4" vbProcedure="false">Allocation_Returns!$F$20</definedName>
    <definedName function="false" hidden="false" name="AR_Alt_Apprec_Yr5" vbProcedure="false">Allocation_Returns!$G$20</definedName>
    <definedName function="false" hidden="false" name="AR_Alt_Apprec_Yr6" vbProcedure="false">Allocation_Returns!$H$20</definedName>
    <definedName function="false" hidden="false" name="AR_Alt_Apprec_Yr7" vbProcedure="false">Allocation_Returns!$I$20</definedName>
    <definedName function="false" hidden="false" name="AR_Alt_Apprec_Yr8" vbProcedure="false">Allocation_Returns!$J$20</definedName>
    <definedName function="false" hidden="false" name="AR_Alt_Apprec_Yr9" vbProcedure="false">Allocation_Returns!$K$20</definedName>
    <definedName function="false" hidden="false" name="AR_Alt_Begin_Yr1" vbProcedure="false">Allocation_Returns!$C$18</definedName>
    <definedName function="false" hidden="false" name="AR_Alt_Begin_Yr10" vbProcedure="false">Allocation_Returns!$L$18</definedName>
    <definedName function="false" hidden="false" name="AR_Alt_Begin_Yr2" vbProcedure="false">Allocation_Returns!$D$18</definedName>
    <definedName function="false" hidden="false" name="AR_Alt_Begin_Yr3" vbProcedure="false">Allocation_Returns!$E$18</definedName>
    <definedName function="false" hidden="false" name="AR_Alt_Begin_Yr4" vbProcedure="false">Allocation_Returns!$F$18</definedName>
    <definedName function="false" hidden="false" name="AR_Alt_Begin_Yr5" vbProcedure="false">Allocation_Returns!$G$18</definedName>
    <definedName function="false" hidden="false" name="AR_Alt_Begin_Yr6" vbProcedure="false">Allocation_Returns!$H$18</definedName>
    <definedName function="false" hidden="false" name="AR_Alt_Begin_Yr7" vbProcedure="false">Allocation_Returns!$I$18</definedName>
    <definedName function="false" hidden="false" name="AR_Alt_Begin_Yr8" vbProcedure="false">Allocation_Returns!$J$18</definedName>
    <definedName function="false" hidden="false" name="AR_Alt_Begin_Yr9" vbProcedure="false">Allocation_Returns!$K$18</definedName>
    <definedName function="false" hidden="false" name="AR_Alt_End_Yr1" vbProcedure="false">Allocation_Returns!$C$48</definedName>
    <definedName function="false" hidden="false" name="AR_Alt_End_Yr10" vbProcedure="false">Allocation_Returns!$L$48</definedName>
    <definedName function="false" hidden="false" name="AR_Alt_End_Yr2" vbProcedure="false">Allocation_Returns!$D$48</definedName>
    <definedName function="false" hidden="false" name="AR_Alt_End_Yr3" vbProcedure="false">Allocation_Returns!$E$48</definedName>
    <definedName function="false" hidden="false" name="AR_Alt_End_Yr4" vbProcedure="false">Allocation_Returns!$F$48</definedName>
    <definedName function="false" hidden="false" name="AR_Alt_End_Yr5" vbProcedure="false">Allocation_Returns!$G$48</definedName>
    <definedName function="false" hidden="false" name="AR_Alt_End_Yr6" vbProcedure="false">Allocation_Returns!$H$48</definedName>
    <definedName function="false" hidden="false" name="AR_Alt_End_Yr7" vbProcedure="false">Allocation_Returns!$I$48</definedName>
    <definedName function="false" hidden="false" name="AR_Alt_End_Yr8" vbProcedure="false">Allocation_Returns!$J$48</definedName>
    <definedName function="false" hidden="false" name="AR_Alt_End_Yr9" vbProcedure="false">Allocation_Returns!$K$48</definedName>
    <definedName function="false" hidden="false" name="AR_Alt_Income_Yr1" vbProcedure="false">Allocation_Returns!$C$19</definedName>
    <definedName function="false" hidden="false" name="AR_Alt_Income_Yr10" vbProcedure="false">Allocation_Returns!$L$19</definedName>
    <definedName function="false" hidden="false" name="AR_Alt_Income_Yr2" vbProcedure="false">Allocation_Returns!$D$19</definedName>
    <definedName function="false" hidden="false" name="AR_Alt_Income_Yr3" vbProcedure="false">Allocation_Returns!$E$19</definedName>
    <definedName function="false" hidden="false" name="AR_Alt_Income_Yr4" vbProcedure="false">Allocation_Returns!$F$19</definedName>
    <definedName function="false" hidden="false" name="AR_Alt_Income_Yr5" vbProcedure="false">Allocation_Returns!$G$19</definedName>
    <definedName function="false" hidden="false" name="AR_Alt_Income_Yr6" vbProcedure="false">Allocation_Returns!$H$19</definedName>
    <definedName function="false" hidden="false" name="AR_Alt_Income_Yr7" vbProcedure="false">Allocation_Returns!$I$19</definedName>
    <definedName function="false" hidden="false" name="AR_Alt_Income_Yr8" vbProcedure="false">Allocation_Returns!$J$19</definedName>
    <definedName function="false" hidden="false" name="AR_Alt_Income_Yr9" vbProcedure="false">Allocation_Returns!$K$19</definedName>
    <definedName function="false" hidden="false" name="AR_Alt_PreRebal_Yr1" vbProcedure="false">Allocation_Returns!$C$21</definedName>
    <definedName function="false" hidden="false" name="AR_Alt_PreRebal_Yr10" vbProcedure="false">Allocation_Returns!$L$21</definedName>
    <definedName function="false" hidden="false" name="AR_Alt_PreRebal_Yr2" vbProcedure="false">Allocation_Returns!$D$21</definedName>
    <definedName function="false" hidden="false" name="AR_Alt_PreRebal_Yr3" vbProcedure="false">Allocation_Returns!$E$21</definedName>
    <definedName function="false" hidden="false" name="AR_Alt_PreRebal_Yr4" vbProcedure="false">Allocation_Returns!$F$21</definedName>
    <definedName function="false" hidden="false" name="AR_Alt_PreRebal_Yr5" vbProcedure="false">Allocation_Returns!$G$21</definedName>
    <definedName function="false" hidden="false" name="AR_Alt_PreRebal_Yr6" vbProcedure="false">Allocation_Returns!$H$21</definedName>
    <definedName function="false" hidden="false" name="AR_Alt_PreRebal_Yr7" vbProcedure="false">Allocation_Returns!$I$21</definedName>
    <definedName function="false" hidden="false" name="AR_Alt_PreRebal_Yr8" vbProcedure="false">Allocation_Returns!$J$21</definedName>
    <definedName function="false" hidden="false" name="AR_Alt_PreRebal_Yr9" vbProcedure="false">Allocation_Returns!$K$21</definedName>
    <definedName function="false" hidden="false" name="AR_Cash_Apprec_Yr1" vbProcedure="false">Allocation_Returns!$C$32</definedName>
    <definedName function="false" hidden="false" name="AR_Cash_Apprec_Yr10" vbProcedure="false">Allocation_Returns!$L$32</definedName>
    <definedName function="false" hidden="false" name="AR_Cash_Apprec_Yr2" vbProcedure="false">Allocation_Returns!$D$32</definedName>
    <definedName function="false" hidden="false" name="AR_Cash_Apprec_Yr3" vbProcedure="false">Allocation_Returns!$E$32</definedName>
    <definedName function="false" hidden="false" name="AR_Cash_Apprec_Yr4" vbProcedure="false">Allocation_Returns!$F$32</definedName>
    <definedName function="false" hidden="false" name="AR_Cash_Apprec_Yr5" vbProcedure="false">Allocation_Returns!$G$32</definedName>
    <definedName function="false" hidden="false" name="AR_Cash_Apprec_Yr6" vbProcedure="false">Allocation_Returns!$H$32</definedName>
    <definedName function="false" hidden="false" name="AR_Cash_Apprec_Yr7" vbProcedure="false">Allocation_Returns!$I$32</definedName>
    <definedName function="false" hidden="false" name="AR_Cash_Apprec_Yr8" vbProcedure="false">Allocation_Returns!$J$32</definedName>
    <definedName function="false" hidden="false" name="AR_Cash_Apprec_Yr9" vbProcedure="false">Allocation_Returns!$K$32</definedName>
    <definedName function="false" hidden="false" name="AR_Cash_Begin_Yr1" vbProcedure="false">Allocation_Returns!$C$30</definedName>
    <definedName function="false" hidden="false" name="AR_Cash_Begin_Yr10" vbProcedure="false">Allocation_Returns!$L$30</definedName>
    <definedName function="false" hidden="false" name="AR_Cash_Begin_Yr2" vbProcedure="false">Allocation_Returns!$D$30</definedName>
    <definedName function="false" hidden="false" name="AR_Cash_Begin_Yr3" vbProcedure="false">Allocation_Returns!$E$30</definedName>
    <definedName function="false" hidden="false" name="AR_Cash_Begin_Yr4" vbProcedure="false">Allocation_Returns!$F$30</definedName>
    <definedName function="false" hidden="false" name="AR_Cash_Begin_Yr5" vbProcedure="false">Allocation_Returns!$G$30</definedName>
    <definedName function="false" hidden="false" name="AR_Cash_Begin_Yr6" vbProcedure="false">Allocation_Returns!$H$30</definedName>
    <definedName function="false" hidden="false" name="AR_Cash_Begin_Yr7" vbProcedure="false">Allocation_Returns!$I$30</definedName>
    <definedName function="false" hidden="false" name="AR_Cash_Begin_Yr8" vbProcedure="false">Allocation_Returns!$J$30</definedName>
    <definedName function="false" hidden="false" name="AR_Cash_Begin_Yr9" vbProcedure="false">Allocation_Returns!$K$30</definedName>
    <definedName function="false" hidden="false" name="AR_Cash_End_Yr1" vbProcedure="false">Allocation_Returns!$C$50</definedName>
    <definedName function="false" hidden="false" name="AR_Cash_End_Yr10" vbProcedure="false">Allocation_Returns!$L$50</definedName>
    <definedName function="false" hidden="false" name="AR_Cash_End_Yr2" vbProcedure="false">Allocation_Returns!$D$50</definedName>
    <definedName function="false" hidden="false" name="AR_Cash_End_Yr3" vbProcedure="false">Allocation_Returns!$E$50</definedName>
    <definedName function="false" hidden="false" name="AR_Cash_End_Yr4" vbProcedure="false">Allocation_Returns!$F$50</definedName>
    <definedName function="false" hidden="false" name="AR_Cash_End_Yr5" vbProcedure="false">Allocation_Returns!$G$50</definedName>
    <definedName function="false" hidden="false" name="AR_Cash_End_Yr6" vbProcedure="false">Allocation_Returns!$H$50</definedName>
    <definedName function="false" hidden="false" name="AR_Cash_End_Yr7" vbProcedure="false">Allocation_Returns!$I$50</definedName>
    <definedName function="false" hidden="false" name="AR_Cash_End_Yr8" vbProcedure="false">Allocation_Returns!$J$50</definedName>
    <definedName function="false" hidden="false" name="AR_Cash_End_Yr9" vbProcedure="false">Allocation_Returns!$K$50</definedName>
    <definedName function="false" hidden="false" name="AR_Cash_Income_Yr1" vbProcedure="false">Allocation_Returns!$C$31</definedName>
    <definedName function="false" hidden="false" name="AR_Cash_Income_Yr10" vbProcedure="false">Allocation_Returns!$L$31</definedName>
    <definedName function="false" hidden="false" name="AR_Cash_Income_Yr2" vbProcedure="false">Allocation_Returns!$D$31</definedName>
    <definedName function="false" hidden="false" name="AR_Cash_Income_Yr3" vbProcedure="false">Allocation_Returns!$E$31</definedName>
    <definedName function="false" hidden="false" name="AR_Cash_Income_Yr4" vbProcedure="false">Allocation_Returns!$F$31</definedName>
    <definedName function="false" hidden="false" name="AR_Cash_Income_Yr5" vbProcedure="false">Allocation_Returns!$G$31</definedName>
    <definedName function="false" hidden="false" name="AR_Cash_Income_Yr6" vbProcedure="false">Allocation_Returns!$H$31</definedName>
    <definedName function="false" hidden="false" name="AR_Cash_Income_Yr7" vbProcedure="false">Allocation_Returns!$I$31</definedName>
    <definedName function="false" hidden="false" name="AR_Cash_Income_Yr8" vbProcedure="false">Allocation_Returns!$J$31</definedName>
    <definedName function="false" hidden="false" name="AR_Cash_Income_Yr9" vbProcedure="false">Allocation_Returns!$K$31</definedName>
    <definedName function="false" hidden="false" name="AR_Cash_PreRebal_Yr1" vbProcedure="false">Allocation_Returns!$C$33</definedName>
    <definedName function="false" hidden="false" name="AR_Cash_PreRebal_Yr10" vbProcedure="false">Allocation_Returns!$L$33</definedName>
    <definedName function="false" hidden="false" name="AR_Cash_PreRebal_Yr2" vbProcedure="false">Allocation_Returns!$D$33</definedName>
    <definedName function="false" hidden="false" name="AR_Cash_PreRebal_Yr3" vbProcedure="false">Allocation_Returns!$E$33</definedName>
    <definedName function="false" hidden="false" name="AR_Cash_PreRebal_Yr4" vbProcedure="false">Allocation_Returns!$F$33</definedName>
    <definedName function="false" hidden="false" name="AR_Cash_PreRebal_Yr5" vbProcedure="false">Allocation_Returns!$G$33</definedName>
    <definedName function="false" hidden="false" name="AR_Cash_PreRebal_Yr6" vbProcedure="false">Allocation_Returns!$H$33</definedName>
    <definedName function="false" hidden="false" name="AR_Cash_PreRebal_Yr7" vbProcedure="false">Allocation_Returns!$I$33</definedName>
    <definedName function="false" hidden="false" name="AR_Cash_PreRebal_Yr8" vbProcedure="false">Allocation_Returns!$J$33</definedName>
    <definedName function="false" hidden="false" name="AR_Cash_PreRebal_Yr9" vbProcedure="false">Allocation_Returns!$K$33</definedName>
    <definedName function="false" hidden="false" name="AR_Eq_Apprec_Yr1" vbProcedure="false">Allocation_Returns!$C$8</definedName>
    <definedName function="false" hidden="false" name="AR_Eq_Apprec_Yr10" vbProcedure="false">Allocation_Returns!$L$8</definedName>
    <definedName function="false" hidden="false" name="AR_Eq_Apprec_Yr2" vbProcedure="false">Allocation_Returns!$D$8</definedName>
    <definedName function="false" hidden="false" name="AR_Eq_Apprec_Yr3" vbProcedure="false">Allocation_Returns!$E$8</definedName>
    <definedName function="false" hidden="false" name="AR_Eq_Apprec_Yr4" vbProcedure="false">Allocation_Returns!$F$8</definedName>
    <definedName function="false" hidden="false" name="AR_Eq_Apprec_Yr5" vbProcedure="false">Allocation_Returns!$G$8</definedName>
    <definedName function="false" hidden="false" name="AR_Eq_Apprec_Yr6" vbProcedure="false">Allocation_Returns!$H$8</definedName>
    <definedName function="false" hidden="false" name="AR_Eq_Apprec_Yr7" vbProcedure="false">Allocation_Returns!$I$8</definedName>
    <definedName function="false" hidden="false" name="AR_Eq_Apprec_Yr8" vbProcedure="false">Allocation_Returns!$J$8</definedName>
    <definedName function="false" hidden="false" name="AR_Eq_Apprec_Yr9" vbProcedure="false">Allocation_Returns!$K$8</definedName>
    <definedName function="false" hidden="false" name="AR_Eq_Begin_Yr1" vbProcedure="false">Allocation_Returns!$C$6</definedName>
    <definedName function="false" hidden="false" name="AR_Eq_Begin_Yr10" vbProcedure="false">Allocation_Returns!$L$6</definedName>
    <definedName function="false" hidden="false" name="AR_Eq_Begin_Yr2" vbProcedure="false">Allocation_Returns!$D$6</definedName>
    <definedName function="false" hidden="false" name="AR_Eq_Begin_Yr3" vbProcedure="false">Allocation_Returns!$E$6</definedName>
    <definedName function="false" hidden="false" name="AR_Eq_Begin_Yr4" vbProcedure="false">Allocation_Returns!$F$6</definedName>
    <definedName function="false" hidden="false" name="AR_Eq_Begin_Yr5" vbProcedure="false">Allocation_Returns!$G$6</definedName>
    <definedName function="false" hidden="false" name="AR_Eq_Begin_Yr6" vbProcedure="false">Allocation_Returns!$H$6</definedName>
    <definedName function="false" hidden="false" name="AR_Eq_Begin_Yr7" vbProcedure="false">Allocation_Returns!$I$6</definedName>
    <definedName function="false" hidden="false" name="AR_Eq_Begin_Yr8" vbProcedure="false">Allocation_Returns!$J$6</definedName>
    <definedName function="false" hidden="false" name="AR_Eq_Begin_Yr9" vbProcedure="false">Allocation_Returns!$K$6</definedName>
    <definedName function="false" hidden="false" name="AR_Eq_End_Yr1" vbProcedure="false">Allocation_Returns!$C$46</definedName>
    <definedName function="false" hidden="false" name="AR_Eq_End_Yr10" vbProcedure="false">Allocation_Returns!$L$46</definedName>
    <definedName function="false" hidden="false" name="AR_Eq_End_Yr2" vbProcedure="false">Allocation_Returns!$D$46</definedName>
    <definedName function="false" hidden="false" name="AR_Eq_End_Yr3" vbProcedure="false">Allocation_Returns!$E$46</definedName>
    <definedName function="false" hidden="false" name="AR_Eq_End_Yr4" vbProcedure="false">Allocation_Returns!$F$46</definedName>
    <definedName function="false" hidden="false" name="AR_Eq_End_Yr5" vbProcedure="false">Allocation_Returns!$G$46</definedName>
    <definedName function="false" hidden="false" name="AR_Eq_End_Yr6" vbProcedure="false">Allocation_Returns!$H$46</definedName>
    <definedName function="false" hidden="false" name="AR_Eq_End_Yr7" vbProcedure="false">Allocation_Returns!$I$46</definedName>
    <definedName function="false" hidden="false" name="AR_Eq_End_Yr8" vbProcedure="false">Allocation_Returns!$J$46</definedName>
    <definedName function="false" hidden="false" name="AR_Eq_End_Yr9" vbProcedure="false">Allocation_Returns!$K$46</definedName>
    <definedName function="false" hidden="false" name="AR_Eq_Income_Yr1" vbProcedure="false">Allocation_Returns!$C$7</definedName>
    <definedName function="false" hidden="false" name="AR_Eq_Income_Yr10" vbProcedure="false">Allocation_Returns!$L$7</definedName>
    <definedName function="false" hidden="false" name="AR_Eq_Income_Yr2" vbProcedure="false">Allocation_Returns!$D$7</definedName>
    <definedName function="false" hidden="false" name="AR_Eq_Income_Yr3" vbProcedure="false">Allocation_Returns!$E$7</definedName>
    <definedName function="false" hidden="false" name="AR_Eq_Income_Yr4" vbProcedure="false">Allocation_Returns!$F$7</definedName>
    <definedName function="false" hidden="false" name="AR_Eq_Income_Yr5" vbProcedure="false">Allocation_Returns!$G$7</definedName>
    <definedName function="false" hidden="false" name="AR_Eq_Income_Yr6" vbProcedure="false">Allocation_Returns!$H$7</definedName>
    <definedName function="false" hidden="false" name="AR_Eq_Income_Yr7" vbProcedure="false">Allocation_Returns!$I$7</definedName>
    <definedName function="false" hidden="false" name="AR_Eq_Income_Yr8" vbProcedure="false">Allocation_Returns!$J$7</definedName>
    <definedName function="false" hidden="false" name="AR_Eq_Income_Yr9" vbProcedure="false">Allocation_Returns!$K$7</definedName>
    <definedName function="false" hidden="false" name="AR_Eq_PreRebal_Yr1" vbProcedure="false">Allocation_Returns!$C$9</definedName>
    <definedName function="false" hidden="false" name="AR_Eq_PreRebal_Yr10" vbProcedure="false">Allocation_Returns!$L$9</definedName>
    <definedName function="false" hidden="false" name="AR_Eq_PreRebal_Yr2" vbProcedure="false">Allocation_Returns!$D$9</definedName>
    <definedName function="false" hidden="false" name="AR_Eq_PreRebal_Yr3" vbProcedure="false">Allocation_Returns!$E$9</definedName>
    <definedName function="false" hidden="false" name="AR_Eq_PreRebal_Yr4" vbProcedure="false">Allocation_Returns!$F$9</definedName>
    <definedName function="false" hidden="false" name="AR_Eq_PreRebal_Yr5" vbProcedure="false">Allocation_Returns!$G$9</definedName>
    <definedName function="false" hidden="false" name="AR_Eq_PreRebal_Yr6" vbProcedure="false">Allocation_Returns!$H$9</definedName>
    <definedName function="false" hidden="false" name="AR_Eq_PreRebal_Yr7" vbProcedure="false">Allocation_Returns!$I$9</definedName>
    <definedName function="false" hidden="false" name="AR_Eq_PreRebal_Yr8" vbProcedure="false">Allocation_Returns!$J$9</definedName>
    <definedName function="false" hidden="false" name="AR_Eq_PreRebal_Yr9" vbProcedure="false">Allocation_Returns!$K$9</definedName>
    <definedName function="false" hidden="false" name="AR_FI_Apprec_Yr1" vbProcedure="false">Allocation_Returns!$C$14</definedName>
    <definedName function="false" hidden="false" name="AR_FI_Apprec_Yr10" vbProcedure="false">Allocation_Returns!$L$14</definedName>
    <definedName function="false" hidden="false" name="AR_FI_Apprec_Yr2" vbProcedure="false">Allocation_Returns!$D$14</definedName>
    <definedName function="false" hidden="false" name="AR_FI_Apprec_Yr3" vbProcedure="false">Allocation_Returns!$E$14</definedName>
    <definedName function="false" hidden="false" name="AR_FI_Apprec_Yr4" vbProcedure="false">Allocation_Returns!$F$14</definedName>
    <definedName function="false" hidden="false" name="AR_FI_Apprec_Yr5" vbProcedure="false">Allocation_Returns!$G$14</definedName>
    <definedName function="false" hidden="false" name="AR_FI_Apprec_Yr6" vbProcedure="false">Allocation_Returns!$H$14</definedName>
    <definedName function="false" hidden="false" name="AR_FI_Apprec_Yr7" vbProcedure="false">Allocation_Returns!$I$14</definedName>
    <definedName function="false" hidden="false" name="AR_FI_Apprec_Yr8" vbProcedure="false">Allocation_Returns!$J$14</definedName>
    <definedName function="false" hidden="false" name="AR_FI_Apprec_Yr9" vbProcedure="false">Allocation_Returns!$K$14</definedName>
    <definedName function="false" hidden="false" name="AR_FI_Begin_Yr1" vbProcedure="false">Allocation_Returns!$C$12</definedName>
    <definedName function="false" hidden="false" name="AR_FI_Begin_Yr10" vbProcedure="false">Allocation_Returns!$L$12</definedName>
    <definedName function="false" hidden="false" name="AR_FI_Begin_Yr2" vbProcedure="false">Allocation_Returns!$D$12</definedName>
    <definedName function="false" hidden="false" name="AR_FI_Begin_Yr3" vbProcedure="false">Allocation_Returns!$E$12</definedName>
    <definedName function="false" hidden="false" name="AR_FI_Begin_Yr4" vbProcedure="false">Allocation_Returns!$F$12</definedName>
    <definedName function="false" hidden="false" name="AR_FI_Begin_Yr5" vbProcedure="false">Allocation_Returns!$G$12</definedName>
    <definedName function="false" hidden="false" name="AR_FI_Begin_Yr6" vbProcedure="false">Allocation_Returns!$H$12</definedName>
    <definedName function="false" hidden="false" name="AR_FI_Begin_Yr7" vbProcedure="false">Allocation_Returns!$I$12</definedName>
    <definedName function="false" hidden="false" name="AR_FI_Begin_Yr8" vbProcedure="false">Allocation_Returns!$J$12</definedName>
    <definedName function="false" hidden="false" name="AR_FI_Begin_Yr9" vbProcedure="false">Allocation_Returns!$K$12</definedName>
    <definedName function="false" hidden="false" name="AR_FI_End_Yr1" vbProcedure="false">Allocation_Returns!$C$47</definedName>
    <definedName function="false" hidden="false" name="AR_FI_End_Yr10" vbProcedure="false">Allocation_Returns!$L$47</definedName>
    <definedName function="false" hidden="false" name="AR_FI_End_Yr2" vbProcedure="false">Allocation_Returns!$D$47</definedName>
    <definedName function="false" hidden="false" name="AR_FI_End_Yr3" vbProcedure="false">Allocation_Returns!$E$47</definedName>
    <definedName function="false" hidden="false" name="AR_FI_End_Yr4" vbProcedure="false">Allocation_Returns!$F$47</definedName>
    <definedName function="false" hidden="false" name="AR_FI_End_Yr5" vbProcedure="false">Allocation_Returns!$G$47</definedName>
    <definedName function="false" hidden="false" name="AR_FI_End_Yr6" vbProcedure="false">Allocation_Returns!$H$47</definedName>
    <definedName function="false" hidden="false" name="AR_FI_End_Yr7" vbProcedure="false">Allocation_Returns!$I$47</definedName>
    <definedName function="false" hidden="false" name="AR_FI_End_Yr8" vbProcedure="false">Allocation_Returns!$J$47</definedName>
    <definedName function="false" hidden="false" name="AR_FI_End_Yr9" vbProcedure="false">Allocation_Returns!$K$47</definedName>
    <definedName function="false" hidden="false" name="AR_FI_Income_Yr1" vbProcedure="false">Allocation_Returns!$C$13</definedName>
    <definedName function="false" hidden="false" name="AR_FI_Income_Yr10" vbProcedure="false">Allocation_Returns!$L$13</definedName>
    <definedName function="false" hidden="false" name="AR_FI_Income_Yr2" vbProcedure="false">Allocation_Returns!$D$13</definedName>
    <definedName function="false" hidden="false" name="AR_FI_Income_Yr3" vbProcedure="false">Allocation_Returns!$E$13</definedName>
    <definedName function="false" hidden="false" name="AR_FI_Income_Yr4" vbProcedure="false">Allocation_Returns!$F$13</definedName>
    <definedName function="false" hidden="false" name="AR_FI_Income_Yr5" vbProcedure="false">Allocation_Returns!$G$13</definedName>
    <definedName function="false" hidden="false" name="AR_FI_Income_Yr6" vbProcedure="false">Allocation_Returns!$H$13</definedName>
    <definedName function="false" hidden="false" name="AR_FI_Income_Yr7" vbProcedure="false">Allocation_Returns!$I$13</definedName>
    <definedName function="false" hidden="false" name="AR_FI_Income_Yr8" vbProcedure="false">Allocation_Returns!$J$13</definedName>
    <definedName function="false" hidden="false" name="AR_FI_Income_Yr9" vbProcedure="false">Allocation_Returns!$K$13</definedName>
    <definedName function="false" hidden="false" name="AR_FI_PreRebal_Yr1" vbProcedure="false">Allocation_Returns!$C$15</definedName>
    <definedName function="false" hidden="false" name="AR_FI_PreRebal_Yr10" vbProcedure="false">Allocation_Returns!$L$15</definedName>
    <definedName function="false" hidden="false" name="AR_FI_PreRebal_Yr2" vbProcedure="false">Allocation_Returns!$D$15</definedName>
    <definedName function="false" hidden="false" name="AR_FI_PreRebal_Yr3" vbProcedure="false">Allocation_Returns!$E$15</definedName>
    <definedName function="false" hidden="false" name="AR_FI_PreRebal_Yr4" vbProcedure="false">Allocation_Returns!$F$15</definedName>
    <definedName function="false" hidden="false" name="AR_FI_PreRebal_Yr5" vbProcedure="false">Allocation_Returns!$G$15</definedName>
    <definedName function="false" hidden="false" name="AR_FI_PreRebal_Yr6" vbProcedure="false">Allocation_Returns!$H$15</definedName>
    <definedName function="false" hidden="false" name="AR_FI_PreRebal_Yr7" vbProcedure="false">Allocation_Returns!$I$15</definedName>
    <definedName function="false" hidden="false" name="AR_FI_PreRebal_Yr8" vbProcedure="false">Allocation_Returns!$J$15</definedName>
    <definedName function="false" hidden="false" name="AR_FI_PreRebal_Yr9" vbProcedure="false">Allocation_Returns!$K$15</definedName>
    <definedName function="false" hidden="false" name="AR_PC_Rebal_Alt_Yr1" vbProcedure="false">Allocation_Returns!$C$40</definedName>
    <definedName function="false" hidden="false" name="AR_PC_Rebal_Alt_Yr10" vbProcedure="false">Allocation_Returns!$L$40</definedName>
    <definedName function="false" hidden="false" name="AR_PC_Rebal_Alt_Yr2" vbProcedure="false">Allocation_Returns!$D$40</definedName>
    <definedName function="false" hidden="false" name="AR_PC_Rebal_Alt_Yr3" vbProcedure="false">Allocation_Returns!$E$40</definedName>
    <definedName function="false" hidden="false" name="AR_PC_Rebal_Alt_Yr4" vbProcedure="false">Allocation_Returns!$F$40</definedName>
    <definedName function="false" hidden="false" name="AR_PC_Rebal_Alt_Yr5" vbProcedure="false">Allocation_Returns!$G$40</definedName>
    <definedName function="false" hidden="false" name="AR_PC_Rebal_Alt_Yr6" vbProcedure="false">Allocation_Returns!$H$40</definedName>
    <definedName function="false" hidden="false" name="AR_PC_Rebal_Alt_Yr7" vbProcedure="false">Allocation_Returns!$I$40</definedName>
    <definedName function="false" hidden="false" name="AR_PC_Rebal_Alt_Yr8" vbProcedure="false">Allocation_Returns!$J$40</definedName>
    <definedName function="false" hidden="false" name="AR_PC_Rebal_Alt_Yr9" vbProcedure="false">Allocation_Returns!$K$40</definedName>
    <definedName function="false" hidden="false" name="AR_PC_Rebal_Cash_Yr1" vbProcedure="false">Allocation_Returns!$C$42</definedName>
    <definedName function="false" hidden="false" name="AR_PC_Rebal_Cash_Yr10" vbProcedure="false">Allocation_Returns!$L$42</definedName>
    <definedName function="false" hidden="false" name="AR_PC_Rebal_Cash_Yr2" vbProcedure="false">Allocation_Returns!$D$42</definedName>
    <definedName function="false" hidden="false" name="AR_PC_Rebal_Cash_Yr3" vbProcedure="false">Allocation_Returns!$E$42</definedName>
    <definedName function="false" hidden="false" name="AR_PC_Rebal_Cash_Yr4" vbProcedure="false">Allocation_Returns!$F$42</definedName>
    <definedName function="false" hidden="false" name="AR_PC_Rebal_Cash_Yr5" vbProcedure="false">Allocation_Returns!$G$42</definedName>
    <definedName function="false" hidden="false" name="AR_PC_Rebal_Cash_Yr6" vbProcedure="false">Allocation_Returns!$H$42</definedName>
    <definedName function="false" hidden="false" name="AR_PC_Rebal_Cash_Yr7" vbProcedure="false">Allocation_Returns!$I$42</definedName>
    <definedName function="false" hidden="false" name="AR_PC_Rebal_Cash_Yr8" vbProcedure="false">Allocation_Returns!$J$42</definedName>
    <definedName function="false" hidden="false" name="AR_PC_Rebal_Cash_Yr9" vbProcedure="false">Allocation_Returns!$K$42</definedName>
    <definedName function="false" hidden="false" name="AR_PC_Rebal_Eq_Yr1" vbProcedure="false">Allocation_Returns!$C$38</definedName>
    <definedName function="false" hidden="false" name="AR_PC_Rebal_Eq_Yr10" vbProcedure="false">Allocation_Returns!$L$38</definedName>
    <definedName function="false" hidden="false" name="AR_PC_Rebal_Eq_Yr2" vbProcedure="false">Allocation_Returns!$D$38</definedName>
    <definedName function="false" hidden="false" name="AR_PC_Rebal_Eq_Yr3" vbProcedure="false">Allocation_Returns!$E$38</definedName>
    <definedName function="false" hidden="false" name="AR_PC_Rebal_Eq_Yr4" vbProcedure="false">Allocation_Returns!$F$38</definedName>
    <definedName function="false" hidden="false" name="AR_PC_Rebal_Eq_Yr5" vbProcedure="false">Allocation_Returns!$G$38</definedName>
    <definedName function="false" hidden="false" name="AR_PC_Rebal_Eq_Yr6" vbProcedure="false">Allocation_Returns!$H$38</definedName>
    <definedName function="false" hidden="false" name="AR_PC_Rebal_Eq_Yr7" vbProcedure="false">Allocation_Returns!$I$38</definedName>
    <definedName function="false" hidden="false" name="AR_PC_Rebal_Eq_Yr8" vbProcedure="false">Allocation_Returns!$J$38</definedName>
    <definedName function="false" hidden="false" name="AR_PC_Rebal_Eq_Yr9" vbProcedure="false">Allocation_Returns!$K$38</definedName>
    <definedName function="false" hidden="false" name="AR_PC_Rebal_FI_Yr1" vbProcedure="false">Allocation_Returns!$C$39</definedName>
    <definedName function="false" hidden="false" name="AR_PC_Rebal_FI_Yr10" vbProcedure="false">Allocation_Returns!$L$39</definedName>
    <definedName function="false" hidden="false" name="AR_PC_Rebal_FI_Yr2" vbProcedure="false">Allocation_Returns!$D$39</definedName>
    <definedName function="false" hidden="false" name="AR_PC_Rebal_FI_Yr3" vbProcedure="false">Allocation_Returns!$E$39</definedName>
    <definedName function="false" hidden="false" name="AR_PC_Rebal_FI_Yr4" vbProcedure="false">Allocation_Returns!$F$39</definedName>
    <definedName function="false" hidden="false" name="AR_PC_Rebal_FI_Yr5" vbProcedure="false">Allocation_Returns!$G$39</definedName>
    <definedName function="false" hidden="false" name="AR_PC_Rebal_FI_Yr6" vbProcedure="false">Allocation_Returns!$H$39</definedName>
    <definedName function="false" hidden="false" name="AR_PC_Rebal_FI_Yr7" vbProcedure="false">Allocation_Returns!$I$39</definedName>
    <definedName function="false" hidden="false" name="AR_PC_Rebal_FI_Yr8" vbProcedure="false">Allocation_Returns!$J$39</definedName>
    <definedName function="false" hidden="false" name="AR_PC_Rebal_FI_Yr9" vbProcedure="false">Allocation_Returns!$K$39</definedName>
    <definedName function="false" hidden="false" name="AR_PC_Rebal_RE_Yr1" vbProcedure="false">Allocation_Returns!$C$41</definedName>
    <definedName function="false" hidden="false" name="AR_PC_Rebal_RE_Yr10" vbProcedure="false">Allocation_Returns!$L$41</definedName>
    <definedName function="false" hidden="false" name="AR_PC_Rebal_RE_Yr2" vbProcedure="false">Allocation_Returns!$D$41</definedName>
    <definedName function="false" hidden="false" name="AR_PC_Rebal_RE_Yr3" vbProcedure="false">Allocation_Returns!$E$41</definedName>
    <definedName function="false" hidden="false" name="AR_PC_Rebal_RE_Yr4" vbProcedure="false">Allocation_Returns!$F$41</definedName>
    <definedName function="false" hidden="false" name="AR_PC_Rebal_RE_Yr5" vbProcedure="false">Allocation_Returns!$G$41</definedName>
    <definedName function="false" hidden="false" name="AR_PC_Rebal_RE_Yr6" vbProcedure="false">Allocation_Returns!$H$41</definedName>
    <definedName function="false" hidden="false" name="AR_PC_Rebal_RE_Yr7" vbProcedure="false">Allocation_Returns!$I$41</definedName>
    <definedName function="false" hidden="false" name="AR_PC_Rebal_RE_Yr8" vbProcedure="false">Allocation_Returns!$J$41</definedName>
    <definedName function="false" hidden="false" name="AR_PC_Rebal_RE_Yr9" vbProcedure="false">Allocation_Returns!$K$41</definedName>
    <definedName function="false" hidden="false" name="AR_RE_Apprec_Yr1" vbProcedure="false">Allocation_Returns!$C$26</definedName>
    <definedName function="false" hidden="false" name="AR_RE_Apprec_Yr10" vbProcedure="false">Allocation_Returns!$L$26</definedName>
    <definedName function="false" hidden="false" name="AR_RE_Apprec_Yr2" vbProcedure="false">Allocation_Returns!$D$26</definedName>
    <definedName function="false" hidden="false" name="AR_RE_Apprec_Yr3" vbProcedure="false">Allocation_Returns!$E$26</definedName>
    <definedName function="false" hidden="false" name="AR_RE_Apprec_Yr4" vbProcedure="false">Allocation_Returns!$F$26</definedName>
    <definedName function="false" hidden="false" name="AR_RE_Apprec_Yr5" vbProcedure="false">Allocation_Returns!$G$26</definedName>
    <definedName function="false" hidden="false" name="AR_RE_Apprec_Yr6" vbProcedure="false">Allocation_Returns!$H$26</definedName>
    <definedName function="false" hidden="false" name="AR_RE_Apprec_Yr7" vbProcedure="false">Allocation_Returns!$I$26</definedName>
    <definedName function="false" hidden="false" name="AR_RE_Apprec_Yr8" vbProcedure="false">Allocation_Returns!$J$26</definedName>
    <definedName function="false" hidden="false" name="AR_RE_Apprec_Yr9" vbProcedure="false">Allocation_Returns!$K$26</definedName>
    <definedName function="false" hidden="false" name="AR_RE_Begin_Yr1" vbProcedure="false">Allocation_Returns!$C$24</definedName>
    <definedName function="false" hidden="false" name="AR_RE_Begin_Yr10" vbProcedure="false">Allocation_Returns!$L$24</definedName>
    <definedName function="false" hidden="false" name="AR_RE_Begin_Yr2" vbProcedure="false">Allocation_Returns!$D$24</definedName>
    <definedName function="false" hidden="false" name="AR_RE_Begin_Yr3" vbProcedure="false">Allocation_Returns!$E$24</definedName>
    <definedName function="false" hidden="false" name="AR_RE_Begin_Yr4" vbProcedure="false">Allocation_Returns!$F$24</definedName>
    <definedName function="false" hidden="false" name="AR_RE_Begin_Yr5" vbProcedure="false">Allocation_Returns!$G$24</definedName>
    <definedName function="false" hidden="false" name="AR_RE_Begin_Yr6" vbProcedure="false">Allocation_Returns!$H$24</definedName>
    <definedName function="false" hidden="false" name="AR_RE_Begin_Yr7" vbProcedure="false">Allocation_Returns!$I$24</definedName>
    <definedName function="false" hidden="false" name="AR_RE_Begin_Yr8" vbProcedure="false">Allocation_Returns!$J$24</definedName>
    <definedName function="false" hidden="false" name="AR_RE_Begin_Yr9" vbProcedure="false">Allocation_Returns!$K$24</definedName>
    <definedName function="false" hidden="false" name="AR_RE_End_Yr1" vbProcedure="false">Allocation_Returns!$C$49</definedName>
    <definedName function="false" hidden="false" name="AR_RE_End_Yr10" vbProcedure="false">Allocation_Returns!$L$49</definedName>
    <definedName function="false" hidden="false" name="AR_RE_End_Yr2" vbProcedure="false">Allocation_Returns!$D$49</definedName>
    <definedName function="false" hidden="false" name="AR_RE_End_Yr3" vbProcedure="false">Allocation_Returns!$E$49</definedName>
    <definedName function="false" hidden="false" name="AR_RE_End_Yr4" vbProcedure="false">Allocation_Returns!$F$49</definedName>
    <definedName function="false" hidden="false" name="AR_RE_End_Yr5" vbProcedure="false">Allocation_Returns!$G$49</definedName>
    <definedName function="false" hidden="false" name="AR_RE_End_Yr6" vbProcedure="false">Allocation_Returns!$H$49</definedName>
    <definedName function="false" hidden="false" name="AR_RE_End_Yr7" vbProcedure="false">Allocation_Returns!$I$49</definedName>
    <definedName function="false" hidden="false" name="AR_RE_End_Yr8" vbProcedure="false">Allocation_Returns!$J$49</definedName>
    <definedName function="false" hidden="false" name="AR_RE_End_Yr9" vbProcedure="false">Allocation_Returns!$K$49</definedName>
    <definedName function="false" hidden="false" name="AR_RE_Income_Yr1" vbProcedure="false">Allocation_Returns!$C$25</definedName>
    <definedName function="false" hidden="false" name="AR_RE_Income_Yr10" vbProcedure="false">Allocation_Returns!$L$25</definedName>
    <definedName function="false" hidden="false" name="AR_RE_Income_Yr2" vbProcedure="false">Allocation_Returns!$D$25</definedName>
    <definedName function="false" hidden="false" name="AR_RE_Income_Yr3" vbProcedure="false">Allocation_Returns!$E$25</definedName>
    <definedName function="false" hidden="false" name="AR_RE_Income_Yr4" vbProcedure="false">Allocation_Returns!$F$25</definedName>
    <definedName function="false" hidden="false" name="AR_RE_Income_Yr5" vbProcedure="false">Allocation_Returns!$G$25</definedName>
    <definedName function="false" hidden="false" name="AR_RE_Income_Yr6" vbProcedure="false">Allocation_Returns!$H$25</definedName>
    <definedName function="false" hidden="false" name="AR_RE_Income_Yr7" vbProcedure="false">Allocation_Returns!$I$25</definedName>
    <definedName function="false" hidden="false" name="AR_RE_Income_Yr8" vbProcedure="false">Allocation_Returns!$J$25</definedName>
    <definedName function="false" hidden="false" name="AR_RE_Income_Yr9" vbProcedure="false">Allocation_Returns!$K$25</definedName>
    <definedName function="false" hidden="false" name="AR_RE_PreRebal_Yr1" vbProcedure="false">Allocation_Returns!$C$27</definedName>
    <definedName function="false" hidden="false" name="AR_RE_PreRebal_Yr10" vbProcedure="false">Allocation_Returns!$L$27</definedName>
    <definedName function="false" hidden="false" name="AR_RE_PreRebal_Yr2" vbProcedure="false">Allocation_Returns!$D$27</definedName>
    <definedName function="false" hidden="false" name="AR_RE_PreRebal_Yr3" vbProcedure="false">Allocation_Returns!$E$27</definedName>
    <definedName function="false" hidden="false" name="AR_RE_PreRebal_Yr4" vbProcedure="false">Allocation_Returns!$F$27</definedName>
    <definedName function="false" hidden="false" name="AR_RE_PreRebal_Yr5" vbProcedure="false">Allocation_Returns!$G$27</definedName>
    <definedName function="false" hidden="false" name="AR_RE_PreRebal_Yr6" vbProcedure="false">Allocation_Returns!$H$27</definedName>
    <definedName function="false" hidden="false" name="AR_RE_PreRebal_Yr7" vbProcedure="false">Allocation_Returns!$I$27</definedName>
    <definedName function="false" hidden="false" name="AR_RE_PreRebal_Yr8" vbProcedure="false">Allocation_Returns!$J$27</definedName>
    <definedName function="false" hidden="false" name="AR_RE_PreRebal_Yr9" vbProcedure="false">Allocation_Returns!$K$27</definedName>
    <definedName function="false" hidden="false" name="AR_Total_End_Yr1" vbProcedure="false">Allocation_Returns!$C$51</definedName>
    <definedName function="false" hidden="false" name="AR_Total_End_Yr10" vbProcedure="false">Allocation_Returns!$L$51</definedName>
    <definedName function="false" hidden="false" name="AR_Total_End_Yr2" vbProcedure="false">Allocation_Returns!$D$51</definedName>
    <definedName function="false" hidden="false" name="AR_Total_End_Yr3" vbProcedure="false">Allocation_Returns!$E$51</definedName>
    <definedName function="false" hidden="false" name="AR_Total_End_Yr4" vbProcedure="false">Allocation_Returns!$F$51</definedName>
    <definedName function="false" hidden="false" name="AR_Total_End_Yr5" vbProcedure="false">Allocation_Returns!$G$51</definedName>
    <definedName function="false" hidden="false" name="AR_Total_End_Yr6" vbProcedure="false">Allocation_Returns!$H$51</definedName>
    <definedName function="false" hidden="false" name="AR_Total_End_Yr7" vbProcedure="false">Allocation_Returns!$I$51</definedName>
    <definedName function="false" hidden="false" name="AR_Total_End_Yr8" vbProcedure="false">Allocation_Returns!$J$51</definedName>
    <definedName function="false" hidden="false" name="AR_Total_End_Yr9" vbProcedure="false">Allocation_Returns!$K$51</definedName>
    <definedName function="false" hidden="false" name="AR_Total_PreRebal_Yr1" vbProcedure="false">Allocation_Returns!$C$35</definedName>
    <definedName function="false" hidden="false" name="AR_Total_PreRebal_Yr10" vbProcedure="false">Allocation_Returns!$L$35</definedName>
    <definedName function="false" hidden="false" name="AR_Total_PreRebal_Yr2" vbProcedure="false">Allocation_Returns!$D$35</definedName>
    <definedName function="false" hidden="false" name="AR_Total_PreRebal_Yr3" vbProcedure="false">Allocation_Returns!$E$35</definedName>
    <definedName function="false" hidden="false" name="AR_Total_PreRebal_Yr4" vbProcedure="false">Allocation_Returns!$F$35</definedName>
    <definedName function="false" hidden="false" name="AR_Total_PreRebal_Yr5" vbProcedure="false">Allocation_Returns!$G$35</definedName>
    <definedName function="false" hidden="false" name="AR_Total_PreRebal_Yr6" vbProcedure="false">Allocation_Returns!$H$35</definedName>
    <definedName function="false" hidden="false" name="AR_Total_PreRebal_Yr7" vbProcedure="false">Allocation_Returns!$I$35</definedName>
    <definedName function="false" hidden="false" name="AR_Total_PreRebal_Yr8" vbProcedure="false">Allocation_Returns!$J$35</definedName>
    <definedName function="false" hidden="false" name="AR_Total_PreRebal_Yr9" vbProcedure="false">Allocation_Returns!$K$35</definedName>
    <definedName function="false" hidden="false" name="Capgains_Tax_Rate" vbProcedure="false">Assumptions!$C$36</definedName>
    <definedName function="false" hidden="false" name="CF_Alt_Dist_Yr1" vbProcedure="false">Cash_Flow!$C$8</definedName>
    <definedName function="false" hidden="false" name="CF_Alt_Dist_Yr10" vbProcedure="false">Cash_Flow!$L$8</definedName>
    <definedName function="false" hidden="false" name="CF_Alt_Dist_Yr2" vbProcedure="false">Cash_Flow!$D$8</definedName>
    <definedName function="false" hidden="false" name="CF_Alt_Dist_Yr3" vbProcedure="false">Cash_Flow!$E$8</definedName>
    <definedName function="false" hidden="false" name="CF_Alt_Dist_Yr4" vbProcedure="false">Cash_Flow!$F$8</definedName>
    <definedName function="false" hidden="false" name="CF_Alt_Dist_Yr5" vbProcedure="false">Cash_Flow!$G$8</definedName>
    <definedName function="false" hidden="false" name="CF_Alt_Dist_Yr6" vbProcedure="false">Cash_Flow!$H$8</definedName>
    <definedName function="false" hidden="false" name="CF_Alt_Dist_Yr7" vbProcedure="false">Cash_Flow!$I$8</definedName>
    <definedName function="false" hidden="false" name="CF_Alt_Dist_Yr8" vbProcedure="false">Cash_Flow!$J$8</definedName>
    <definedName function="false" hidden="false" name="CF_Alt_Dist_Yr9" vbProcedure="false">Cash_Flow!$K$8</definedName>
    <definedName function="false" hidden="false" name="CF_Buffer_Cov_Yr1" vbProcedure="false">Cash_Flow!$C$29</definedName>
    <definedName function="false" hidden="false" name="CF_Buffer_Cov_Yr10" vbProcedure="false">Cash_Flow!$L$29</definedName>
    <definedName function="false" hidden="false" name="CF_Buffer_Cov_Yr2" vbProcedure="false">Cash_Flow!$D$29</definedName>
    <definedName function="false" hidden="false" name="CF_Buffer_Cov_Yr3" vbProcedure="false">Cash_Flow!$E$29</definedName>
    <definedName function="false" hidden="false" name="CF_Buffer_Cov_Yr4" vbProcedure="false">Cash_Flow!$F$29</definedName>
    <definedName function="false" hidden="false" name="CF_Buffer_Cov_Yr5" vbProcedure="false">Cash_Flow!$G$29</definedName>
    <definedName function="false" hidden="false" name="CF_Buffer_Cov_Yr6" vbProcedure="false">Cash_Flow!$H$29</definedName>
    <definedName function="false" hidden="false" name="CF_Buffer_Cov_Yr7" vbProcedure="false">Cash_Flow!$I$29</definedName>
    <definedName function="false" hidden="false" name="CF_Buffer_Cov_Yr8" vbProcedure="false">Cash_Flow!$J$29</definedName>
    <definedName function="false" hidden="false" name="CF_Buffer_Cov_Yr9" vbProcedure="false">Cash_Flow!$K$29</definedName>
    <definedName function="false" hidden="false" name="CF_CapGains_Tax_Yr1" vbProcedure="false">Cash_Flow!$C$21</definedName>
    <definedName function="false" hidden="false" name="CF_CapGains_Tax_Yr10" vbProcedure="false">Cash_Flow!$L$21</definedName>
    <definedName function="false" hidden="false" name="CF_CapGains_Tax_Yr2" vbProcedure="false">Cash_Flow!$D$21</definedName>
    <definedName function="false" hidden="false" name="CF_CapGains_Tax_Yr3" vbProcedure="false">Cash_Flow!$E$21</definedName>
    <definedName function="false" hidden="false" name="CF_CapGains_Tax_Yr4" vbProcedure="false">Cash_Flow!$F$21</definedName>
    <definedName function="false" hidden="false" name="CF_CapGains_Tax_Yr5" vbProcedure="false">Cash_Flow!$G$21</definedName>
    <definedName function="false" hidden="false" name="CF_CapGains_Tax_Yr6" vbProcedure="false">Cash_Flow!$H$21</definedName>
    <definedName function="false" hidden="false" name="CF_CapGains_Tax_Yr7" vbProcedure="false">Cash_Flow!$I$21</definedName>
    <definedName function="false" hidden="false" name="CF_CapGains_Tax_Yr8" vbProcedure="false">Cash_Flow!$J$21</definedName>
    <definedName function="false" hidden="false" name="CF_CapGains_Tax_Yr9" vbProcedure="false">Cash_Flow!$K$21</definedName>
    <definedName function="false" hidden="false" name="CF_Cash_Alloc_Yr1" vbProcedure="false">Cash_Flow!$C$27</definedName>
    <definedName function="false" hidden="false" name="CF_Cash_Alloc_Yr10" vbProcedure="false">Cash_Flow!$L$27</definedName>
    <definedName function="false" hidden="false" name="CF_Cash_Alloc_Yr2" vbProcedure="false">Cash_Flow!$D$27</definedName>
    <definedName function="false" hidden="false" name="CF_Cash_Alloc_Yr3" vbProcedure="false">Cash_Flow!$E$27</definedName>
    <definedName function="false" hidden="false" name="CF_Cash_Alloc_Yr4" vbProcedure="false">Cash_Flow!$F$27</definedName>
    <definedName function="false" hidden="false" name="CF_Cash_Alloc_Yr5" vbProcedure="false">Cash_Flow!$G$27</definedName>
    <definedName function="false" hidden="false" name="CF_Cash_Alloc_Yr6" vbProcedure="false">Cash_Flow!$H$27</definedName>
    <definedName function="false" hidden="false" name="CF_Cash_Alloc_Yr7" vbProcedure="false">Cash_Flow!$I$27</definedName>
    <definedName function="false" hidden="false" name="CF_Cash_Alloc_Yr8" vbProcedure="false">Cash_Flow!$J$27</definedName>
    <definedName function="false" hidden="false" name="CF_Cash_Alloc_Yr9" vbProcedure="false">Cash_Flow!$K$27</definedName>
    <definedName function="false" hidden="false" name="CF_Cash_Yld_Yr1" vbProcedure="false">Cash_Flow!$C$10</definedName>
    <definedName function="false" hidden="false" name="CF_Cash_Yld_Yr10" vbProcedure="false">Cash_Flow!$L$10</definedName>
    <definedName function="false" hidden="false" name="CF_Cash_Yld_Yr2" vbProcedure="false">Cash_Flow!$D$10</definedName>
    <definedName function="false" hidden="false" name="CF_Cash_Yld_Yr3" vbProcedure="false">Cash_Flow!$E$10</definedName>
    <definedName function="false" hidden="false" name="CF_Cash_Yld_Yr4" vbProcedure="false">Cash_Flow!$F$10</definedName>
    <definedName function="false" hidden="false" name="CF_Cash_Yld_Yr5" vbProcedure="false">Cash_Flow!$G$10</definedName>
    <definedName function="false" hidden="false" name="CF_Cash_Yld_Yr6" vbProcedure="false">Cash_Flow!$H$10</definedName>
    <definedName function="false" hidden="false" name="CF_Cash_Yld_Yr7" vbProcedure="false">Cash_Flow!$I$10</definedName>
    <definedName function="false" hidden="false" name="CF_Cash_Yld_Yr8" vbProcedure="false">Cash_Flow!$J$10</definedName>
    <definedName function="false" hidden="false" name="CF_Cash_Yld_Yr9" vbProcedure="false">Cash_Flow!$K$10</definedName>
    <definedName function="false" hidden="false" name="CF_Custody_Yr1" vbProcedure="false">Cash_Flow!$C$17</definedName>
    <definedName function="false" hidden="false" name="CF_Custody_Yr10" vbProcedure="false">Cash_Flow!$L$17</definedName>
    <definedName function="false" hidden="false" name="CF_Custody_Yr2" vbProcedure="false">Cash_Flow!$D$17</definedName>
    <definedName function="false" hidden="false" name="CF_Custody_Yr3" vbProcedure="false">Cash_Flow!$E$17</definedName>
    <definedName function="false" hidden="false" name="CF_Custody_Yr4" vbProcedure="false">Cash_Flow!$F$17</definedName>
    <definedName function="false" hidden="false" name="CF_Custody_Yr5" vbProcedure="false">Cash_Flow!$G$17</definedName>
    <definedName function="false" hidden="false" name="CF_Custody_Yr6" vbProcedure="false">Cash_Flow!$H$17</definedName>
    <definedName function="false" hidden="false" name="CF_Custody_Yr7" vbProcedure="false">Cash_Flow!$I$17</definedName>
    <definedName function="false" hidden="false" name="CF_Custody_Yr8" vbProcedure="false">Cash_Flow!$J$17</definedName>
    <definedName function="false" hidden="false" name="CF_Custody_Yr9" vbProcedure="false">Cash_Flow!$K$17</definedName>
    <definedName function="false" hidden="false" name="CF_Distributions_Yr1" vbProcedure="false">Cash_Flow!$C$14</definedName>
    <definedName function="false" hidden="false" name="CF_Distributions_Yr10" vbProcedure="false">Cash_Flow!$L$14</definedName>
    <definedName function="false" hidden="false" name="CF_Distributions_Yr2" vbProcedure="false">Cash_Flow!$D$14</definedName>
    <definedName function="false" hidden="false" name="CF_Distributions_Yr3" vbProcedure="false">Cash_Flow!$E$14</definedName>
    <definedName function="false" hidden="false" name="CF_Distributions_Yr4" vbProcedure="false">Cash_Flow!$F$14</definedName>
    <definedName function="false" hidden="false" name="CF_Distributions_Yr5" vbProcedure="false">Cash_Flow!$G$14</definedName>
    <definedName function="false" hidden="false" name="CF_Distributions_Yr6" vbProcedure="false">Cash_Flow!$H$14</definedName>
    <definedName function="false" hidden="false" name="CF_Distributions_Yr7" vbProcedure="false">Cash_Flow!$I$14</definedName>
    <definedName function="false" hidden="false" name="CF_Distributions_Yr8" vbProcedure="false">Cash_Flow!$J$14</definedName>
    <definedName function="false" hidden="false" name="CF_Distributions_Yr9" vbProcedure="false">Cash_Flow!$K$14</definedName>
    <definedName function="false" hidden="false" name="CF_Eq_Div_Yr1" vbProcedure="false">Cash_Flow!$C$6</definedName>
    <definedName function="false" hidden="false" name="CF_Eq_Div_Yr10" vbProcedure="false">Cash_Flow!$L$6</definedName>
    <definedName function="false" hidden="false" name="CF_Eq_Div_Yr2" vbProcedure="false">Cash_Flow!$D$6</definedName>
    <definedName function="false" hidden="false" name="CF_Eq_Div_Yr3" vbProcedure="false">Cash_Flow!$E$6</definedName>
    <definedName function="false" hidden="false" name="CF_Eq_Div_Yr4" vbProcedure="false">Cash_Flow!$F$6</definedName>
    <definedName function="false" hidden="false" name="CF_Eq_Div_Yr5" vbProcedure="false">Cash_Flow!$G$6</definedName>
    <definedName function="false" hidden="false" name="CF_Eq_Div_Yr6" vbProcedure="false">Cash_Flow!$H$6</definedName>
    <definedName function="false" hidden="false" name="CF_Eq_Div_Yr7" vbProcedure="false">Cash_Flow!$I$6</definedName>
    <definedName function="false" hidden="false" name="CF_Eq_Div_Yr8" vbProcedure="false">Cash_Flow!$J$6</definedName>
    <definedName function="false" hidden="false" name="CF_Eq_Div_Yr9" vbProcedure="false">Cash_Flow!$K$6</definedName>
    <definedName function="false" hidden="false" name="CF_FI_Coupon_Yr1" vbProcedure="false">Cash_Flow!$C$7</definedName>
    <definedName function="false" hidden="false" name="CF_FI_Coupon_Yr10" vbProcedure="false">Cash_Flow!$L$7</definedName>
    <definedName function="false" hidden="false" name="CF_FI_Coupon_Yr2" vbProcedure="false">Cash_Flow!$D$7</definedName>
    <definedName function="false" hidden="false" name="CF_FI_Coupon_Yr3" vbProcedure="false">Cash_Flow!$E$7</definedName>
    <definedName function="false" hidden="false" name="CF_FI_Coupon_Yr4" vbProcedure="false">Cash_Flow!$F$7</definedName>
    <definedName function="false" hidden="false" name="CF_FI_Coupon_Yr5" vbProcedure="false">Cash_Flow!$G$7</definedName>
    <definedName function="false" hidden="false" name="CF_FI_Coupon_Yr6" vbProcedure="false">Cash_Flow!$H$7</definedName>
    <definedName function="false" hidden="false" name="CF_FI_Coupon_Yr7" vbProcedure="false">Cash_Flow!$I$7</definedName>
    <definedName function="false" hidden="false" name="CF_FI_Coupon_Yr8" vbProcedure="false">Cash_Flow!$J$7</definedName>
    <definedName function="false" hidden="false" name="CF_FI_Coupon_Yr9" vbProcedure="false">Cash_Flow!$K$7</definedName>
    <definedName function="false" hidden="false" name="CF_Inc_Tax_Yr1" vbProcedure="false">Cash_Flow!$C$20</definedName>
    <definedName function="false" hidden="false" name="CF_Inc_Tax_Yr10" vbProcedure="false">Cash_Flow!$L$20</definedName>
    <definedName function="false" hidden="false" name="CF_Inc_Tax_Yr2" vbProcedure="false">Cash_Flow!$D$20</definedName>
    <definedName function="false" hidden="false" name="CF_Inc_Tax_Yr3" vbProcedure="false">Cash_Flow!$E$20</definedName>
    <definedName function="false" hidden="false" name="CF_Inc_Tax_Yr4" vbProcedure="false">Cash_Flow!$F$20</definedName>
    <definedName function="false" hidden="false" name="CF_Inc_Tax_Yr5" vbProcedure="false">Cash_Flow!$G$20</definedName>
    <definedName function="false" hidden="false" name="CF_Inc_Tax_Yr6" vbProcedure="false">Cash_Flow!$H$20</definedName>
    <definedName function="false" hidden="false" name="CF_Inc_Tax_Yr7" vbProcedure="false">Cash_Flow!$I$20</definedName>
    <definedName function="false" hidden="false" name="CF_Inc_Tax_Yr8" vbProcedure="false">Cash_Flow!$J$20</definedName>
    <definedName function="false" hidden="false" name="CF_Inc_Tax_Yr9" vbProcedure="false">Cash_Flow!$K$20</definedName>
    <definedName function="false" hidden="false" name="CF_Mgmt_Fee_Yr1" vbProcedure="false">Cash_Flow!$C$15</definedName>
    <definedName function="false" hidden="false" name="CF_Mgmt_Fee_Yr10" vbProcedure="false">Cash_Flow!$L$15</definedName>
    <definedName function="false" hidden="false" name="CF_Mgmt_Fee_Yr2" vbProcedure="false">Cash_Flow!$D$15</definedName>
    <definedName function="false" hidden="false" name="CF_Mgmt_Fee_Yr3" vbProcedure="false">Cash_Flow!$E$15</definedName>
    <definedName function="false" hidden="false" name="CF_Mgmt_Fee_Yr4" vbProcedure="false">Cash_Flow!$F$15</definedName>
    <definedName function="false" hidden="false" name="CF_Mgmt_Fee_Yr5" vbProcedure="false">Cash_Flow!$G$15</definedName>
    <definedName function="false" hidden="false" name="CF_Mgmt_Fee_Yr6" vbProcedure="false">Cash_Flow!$H$15</definedName>
    <definedName function="false" hidden="false" name="CF_Mgmt_Fee_Yr7" vbProcedure="false">Cash_Flow!$I$15</definedName>
    <definedName function="false" hidden="false" name="CF_Mgmt_Fee_Yr8" vbProcedure="false">Cash_Flow!$J$15</definedName>
    <definedName function="false" hidden="false" name="CF_Mgmt_Fee_Yr9" vbProcedure="false">Cash_Flow!$K$15</definedName>
    <definedName function="false" hidden="false" name="CF_Min_Buffer_Yr1" vbProcedure="false">Cash_Flow!$C$28</definedName>
    <definedName function="false" hidden="false" name="CF_Min_Buffer_Yr10" vbProcedure="false">Cash_Flow!$L$28</definedName>
    <definedName function="false" hidden="false" name="CF_Min_Buffer_Yr2" vbProcedure="false">Cash_Flow!$D$28</definedName>
    <definedName function="false" hidden="false" name="CF_Min_Buffer_Yr3" vbProcedure="false">Cash_Flow!$E$28</definedName>
    <definedName function="false" hidden="false" name="CF_Min_Buffer_Yr4" vbProcedure="false">Cash_Flow!$F$28</definedName>
    <definedName function="false" hidden="false" name="CF_Min_Buffer_Yr5" vbProcedure="false">Cash_Flow!$G$28</definedName>
    <definedName function="false" hidden="false" name="CF_Min_Buffer_Yr6" vbProcedure="false">Cash_Flow!$H$28</definedName>
    <definedName function="false" hidden="false" name="CF_Min_Buffer_Yr7" vbProcedure="false">Cash_Flow!$I$28</definedName>
    <definedName function="false" hidden="false" name="CF_Min_Buffer_Yr8" vbProcedure="false">Cash_Flow!$J$28</definedName>
    <definedName function="false" hidden="false" name="CF_Min_Buffer_Yr9" vbProcedure="false">Cash_Flow!$K$28</definedName>
    <definedName function="false" hidden="false" name="CF_Net_Yr1" vbProcedure="false">Cash_Flow!$C$24</definedName>
    <definedName function="false" hidden="false" name="CF_Net_Yr10" vbProcedure="false">Cash_Flow!$L$24</definedName>
    <definedName function="false" hidden="false" name="CF_Net_Yr2" vbProcedure="false">Cash_Flow!$D$24</definedName>
    <definedName function="false" hidden="false" name="CF_Net_Yr3" vbProcedure="false">Cash_Flow!$E$24</definedName>
    <definedName function="false" hidden="false" name="CF_Net_Yr4" vbProcedure="false">Cash_Flow!$F$24</definedName>
    <definedName function="false" hidden="false" name="CF_Net_Yr5" vbProcedure="false">Cash_Flow!$G$24</definedName>
    <definedName function="false" hidden="false" name="CF_Net_Yr6" vbProcedure="false">Cash_Flow!$H$24</definedName>
    <definedName function="false" hidden="false" name="CF_Net_Yr7" vbProcedure="false">Cash_Flow!$I$24</definedName>
    <definedName function="false" hidden="false" name="CF_Net_Yr8" vbProcedure="false">Cash_Flow!$J$24</definedName>
    <definedName function="false" hidden="false" name="CF_Net_Yr9" vbProcedure="false">Cash_Flow!$K$24</definedName>
    <definedName function="false" hidden="false" name="CF_OpEx_Yr1" vbProcedure="false">Cash_Flow!$C$19</definedName>
    <definedName function="false" hidden="false" name="CF_OpEx_Yr10" vbProcedure="false">Cash_Flow!$L$19</definedName>
    <definedName function="false" hidden="false" name="CF_OpEx_Yr2" vbProcedure="false">Cash_Flow!$D$19</definedName>
    <definedName function="false" hidden="false" name="CF_OpEx_Yr3" vbProcedure="false">Cash_Flow!$E$19</definedName>
    <definedName function="false" hidden="false" name="CF_OpEx_Yr4" vbProcedure="false">Cash_Flow!$F$19</definedName>
    <definedName function="false" hidden="false" name="CF_OpEx_Yr5" vbProcedure="false">Cash_Flow!$G$19</definedName>
    <definedName function="false" hidden="false" name="CF_OpEx_Yr6" vbProcedure="false">Cash_Flow!$H$19</definedName>
    <definedName function="false" hidden="false" name="CF_OpEx_Yr7" vbProcedure="false">Cash_Flow!$I$19</definedName>
    <definedName function="false" hidden="false" name="CF_OpEx_Yr8" vbProcedure="false">Cash_Flow!$J$19</definedName>
    <definedName function="false" hidden="false" name="CF_OpEx_Yr9" vbProcedure="false">Cash_Flow!$K$19</definedName>
    <definedName function="false" hidden="false" name="CF_Perf_Fee_Yr1" vbProcedure="false">Cash_Flow!$C$16</definedName>
    <definedName function="false" hidden="false" name="CF_Perf_Fee_Yr10" vbProcedure="false">Cash_Flow!$L$16</definedName>
    <definedName function="false" hidden="false" name="CF_Perf_Fee_Yr2" vbProcedure="false">Cash_Flow!$D$16</definedName>
    <definedName function="false" hidden="false" name="CF_Perf_Fee_Yr3" vbProcedure="false">Cash_Flow!$E$16</definedName>
    <definedName function="false" hidden="false" name="CF_Perf_Fee_Yr4" vbProcedure="false">Cash_Flow!$F$16</definedName>
    <definedName function="false" hidden="false" name="CF_Perf_Fee_Yr5" vbProcedure="false">Cash_Flow!$G$16</definedName>
    <definedName function="false" hidden="false" name="CF_Perf_Fee_Yr6" vbProcedure="false">Cash_Flow!$H$16</definedName>
    <definedName function="false" hidden="false" name="CF_Perf_Fee_Yr7" vbProcedure="false">Cash_Flow!$I$16</definedName>
    <definedName function="false" hidden="false" name="CF_Perf_Fee_Yr8" vbProcedure="false">Cash_Flow!$J$16</definedName>
    <definedName function="false" hidden="false" name="CF_Perf_Fee_Yr9" vbProcedure="false">Cash_Flow!$K$16</definedName>
    <definedName function="false" hidden="false" name="CF_RE_Rental_Yr1" vbProcedure="false">Cash_Flow!$C$9</definedName>
    <definedName function="false" hidden="false" name="CF_RE_Rental_Yr10" vbProcedure="false">Cash_Flow!$L$9</definedName>
    <definedName function="false" hidden="false" name="CF_RE_Rental_Yr2" vbProcedure="false">Cash_Flow!$D$9</definedName>
    <definedName function="false" hidden="false" name="CF_RE_Rental_Yr3" vbProcedure="false">Cash_Flow!$E$9</definedName>
    <definedName function="false" hidden="false" name="CF_RE_Rental_Yr4" vbProcedure="false">Cash_Flow!$F$9</definedName>
    <definedName function="false" hidden="false" name="CF_RE_Rental_Yr5" vbProcedure="false">Cash_Flow!$G$9</definedName>
    <definedName function="false" hidden="false" name="CF_RE_Rental_Yr6" vbProcedure="false">Cash_Flow!$H$9</definedName>
    <definedName function="false" hidden="false" name="CF_RE_Rental_Yr7" vbProcedure="false">Cash_Flow!$I$9</definedName>
    <definedName function="false" hidden="false" name="CF_RE_Rental_Yr8" vbProcedure="false">Cash_Flow!$J$9</definedName>
    <definedName function="false" hidden="false" name="CF_RE_Rental_Yr9" vbProcedure="false">Cash_Flow!$K$9</definedName>
    <definedName function="false" hidden="false" name="CF_Total_Sources_Yr1" vbProcedure="false">Cash_Flow!$C$11</definedName>
    <definedName function="false" hidden="false" name="CF_Total_Sources_Yr10" vbProcedure="false">Cash_Flow!$L$11</definedName>
    <definedName function="false" hidden="false" name="CF_Total_Sources_Yr2" vbProcedure="false">Cash_Flow!$D$11</definedName>
    <definedName function="false" hidden="false" name="CF_Total_Sources_Yr3" vbProcedure="false">Cash_Flow!$E$11</definedName>
    <definedName function="false" hidden="false" name="CF_Total_Sources_Yr4" vbProcedure="false">Cash_Flow!$F$11</definedName>
    <definedName function="false" hidden="false" name="CF_Total_Sources_Yr5" vbProcedure="false">Cash_Flow!$G$11</definedName>
    <definedName function="false" hidden="false" name="CF_Total_Sources_Yr6" vbProcedure="false">Cash_Flow!$H$11</definedName>
    <definedName function="false" hidden="false" name="CF_Total_Sources_Yr7" vbProcedure="false">Cash_Flow!$I$11</definedName>
    <definedName function="false" hidden="false" name="CF_Total_Sources_Yr8" vbProcedure="false">Cash_Flow!$J$11</definedName>
    <definedName function="false" hidden="false" name="CF_Total_Sources_Yr9" vbProcedure="false">Cash_Flow!$K$11</definedName>
    <definedName function="false" hidden="false" name="CF_Total_Uses_Yr1" vbProcedure="false">Cash_Flow!$C$22</definedName>
    <definedName function="false" hidden="false" name="CF_Total_Uses_Yr10" vbProcedure="false">Cash_Flow!$L$22</definedName>
    <definedName function="false" hidden="false" name="CF_Total_Uses_Yr2" vbProcedure="false">Cash_Flow!$D$22</definedName>
    <definedName function="false" hidden="false" name="CF_Total_Uses_Yr3" vbProcedure="false">Cash_Flow!$E$22</definedName>
    <definedName function="false" hidden="false" name="CF_Total_Uses_Yr4" vbProcedure="false">Cash_Flow!$F$22</definedName>
    <definedName function="false" hidden="false" name="CF_Total_Uses_Yr5" vbProcedure="false">Cash_Flow!$G$22</definedName>
    <definedName function="false" hidden="false" name="CF_Total_Uses_Yr6" vbProcedure="false">Cash_Flow!$H$22</definedName>
    <definedName function="false" hidden="false" name="CF_Total_Uses_Yr7" vbProcedure="false">Cash_Flow!$I$22</definedName>
    <definedName function="false" hidden="false" name="CF_Total_Uses_Yr8" vbProcedure="false">Cash_Flow!$J$22</definedName>
    <definedName function="false" hidden="false" name="CF_Total_Uses_Yr9" vbProcedure="false">Cash_Flow!$K$22</definedName>
    <definedName function="false" hidden="false" name="CF_Tx_Cost_Yr1" vbProcedure="false">Cash_Flow!$C$18</definedName>
    <definedName function="false" hidden="false" name="CF_Tx_Cost_Yr10" vbProcedure="false">Cash_Flow!$L$18</definedName>
    <definedName function="false" hidden="false" name="CF_Tx_Cost_Yr2" vbProcedure="false">Cash_Flow!$D$18</definedName>
    <definedName function="false" hidden="false" name="CF_Tx_Cost_Yr3" vbProcedure="false">Cash_Flow!$E$18</definedName>
    <definedName function="false" hidden="false" name="CF_Tx_Cost_Yr4" vbProcedure="false">Cash_Flow!$F$18</definedName>
    <definedName function="false" hidden="false" name="CF_Tx_Cost_Yr5" vbProcedure="false">Cash_Flow!$G$18</definedName>
    <definedName function="false" hidden="false" name="CF_Tx_Cost_Yr6" vbProcedure="false">Cash_Flow!$H$18</definedName>
    <definedName function="false" hidden="false" name="CF_Tx_Cost_Yr7" vbProcedure="false">Cash_Flow!$I$18</definedName>
    <definedName function="false" hidden="false" name="CF_Tx_Cost_Yr8" vbProcedure="false">Cash_Flow!$J$18</definedName>
    <definedName function="false" hidden="false" name="CF_Tx_Cost_Yr9" vbProcedure="false">Cash_Flow!$K$18</definedName>
    <definedName function="false" hidden="false" name="Custody_Rate" vbProcedure="false">Assumptions!$C$30</definedName>
    <definedName function="false" hidden="false" name="Distribution_Rate" vbProcedure="false">Assumptions!$C$34</definedName>
    <definedName function="false" hidden="false" name="Income_Tax_Rate" vbProcedure="false">Assumptions!$C$35</definedName>
    <definedName function="false" hidden="false" name="Inflation_Rate" vbProcedure="false">Assumptions!$C$37</definedName>
    <definedName function="false" hidden="false" name="Mgmt_Fee_Rate" vbProcedure="false">Assumptions!$C$28</definedName>
    <definedName function="false" hidden="false" name="Min_Cash_Buffer" vbProcedure="false">Assumptions!$C$13</definedName>
    <definedName function="false" hidden="false" name="OC_Insurance_Yr1" vbProcedure="false">Operating_Costs!$C$9</definedName>
    <definedName function="false" hidden="false" name="OC_Insurance_Yr10" vbProcedure="false">Operating_Costs!$L$9</definedName>
    <definedName function="false" hidden="false" name="OC_Insurance_Yr2" vbProcedure="false">Operating_Costs!$D$9</definedName>
    <definedName function="false" hidden="false" name="OC_Insurance_Yr3" vbProcedure="false">Operating_Costs!$E$9</definedName>
    <definedName function="false" hidden="false" name="OC_Insurance_Yr4" vbProcedure="false">Operating_Costs!$F$9</definedName>
    <definedName function="false" hidden="false" name="OC_Insurance_Yr5" vbProcedure="false">Operating_Costs!$G$9</definedName>
    <definedName function="false" hidden="false" name="OC_Insurance_Yr6" vbProcedure="false">Operating_Costs!$H$9</definedName>
    <definedName function="false" hidden="false" name="OC_Insurance_Yr7" vbProcedure="false">Operating_Costs!$I$9</definedName>
    <definedName function="false" hidden="false" name="OC_Insurance_Yr8" vbProcedure="false">Operating_Costs!$J$9</definedName>
    <definedName function="false" hidden="false" name="OC_Insurance_Yr9" vbProcedure="false">Operating_Costs!$K$9</definedName>
    <definedName function="false" hidden="false" name="OC_Office_Yr1" vbProcedure="false">Operating_Costs!$C$8</definedName>
    <definedName function="false" hidden="false" name="OC_Office_Yr10" vbProcedure="false">Operating_Costs!$L$8</definedName>
    <definedName function="false" hidden="false" name="OC_Office_Yr2" vbProcedure="false">Operating_Costs!$D$8</definedName>
    <definedName function="false" hidden="false" name="OC_Office_Yr3" vbProcedure="false">Operating_Costs!$E$8</definedName>
    <definedName function="false" hidden="false" name="OC_Office_Yr4" vbProcedure="false">Operating_Costs!$F$8</definedName>
    <definedName function="false" hidden="false" name="OC_Office_Yr5" vbProcedure="false">Operating_Costs!$G$8</definedName>
    <definedName function="false" hidden="false" name="OC_Office_Yr6" vbProcedure="false">Operating_Costs!$H$8</definedName>
    <definedName function="false" hidden="false" name="OC_Office_Yr7" vbProcedure="false">Operating_Costs!$I$8</definedName>
    <definedName function="false" hidden="false" name="OC_Office_Yr8" vbProcedure="false">Operating_Costs!$J$8</definedName>
    <definedName function="false" hidden="false" name="OC_Office_Yr9" vbProcedure="false">Operating_Costs!$K$8</definedName>
    <definedName function="false" hidden="false" name="OC_ProfFees_Yr1" vbProcedure="false">Operating_Costs!$C$7</definedName>
    <definedName function="false" hidden="false" name="OC_ProfFees_Yr10" vbProcedure="false">Operating_Costs!$L$7</definedName>
    <definedName function="false" hidden="false" name="OC_ProfFees_Yr2" vbProcedure="false">Operating_Costs!$D$7</definedName>
    <definedName function="false" hidden="false" name="OC_ProfFees_Yr3" vbProcedure="false">Operating_Costs!$E$7</definedName>
    <definedName function="false" hidden="false" name="OC_ProfFees_Yr4" vbProcedure="false">Operating_Costs!$F$7</definedName>
    <definedName function="false" hidden="false" name="OC_ProfFees_Yr5" vbProcedure="false">Operating_Costs!$G$7</definedName>
    <definedName function="false" hidden="false" name="OC_ProfFees_Yr6" vbProcedure="false">Operating_Costs!$H$7</definedName>
    <definedName function="false" hidden="false" name="OC_ProfFees_Yr7" vbProcedure="false">Operating_Costs!$I$7</definedName>
    <definedName function="false" hidden="false" name="OC_ProfFees_Yr8" vbProcedure="false">Operating_Costs!$J$7</definedName>
    <definedName function="false" hidden="false" name="OC_ProfFees_Yr9" vbProcedure="false">Operating_Costs!$K$7</definedName>
    <definedName function="false" hidden="false" name="OC_Staff_Yr1" vbProcedure="false">Operating_Costs!$C$5</definedName>
    <definedName function="false" hidden="false" name="OC_Staff_Yr10" vbProcedure="false">Operating_Costs!$L$5</definedName>
    <definedName function="false" hidden="false" name="OC_Staff_Yr2" vbProcedure="false">Operating_Costs!$D$5</definedName>
    <definedName function="false" hidden="false" name="OC_Staff_Yr3" vbProcedure="false">Operating_Costs!$E$5</definedName>
    <definedName function="false" hidden="false" name="OC_Staff_Yr4" vbProcedure="false">Operating_Costs!$F$5</definedName>
    <definedName function="false" hidden="false" name="OC_Staff_Yr5" vbProcedure="false">Operating_Costs!$G$5</definedName>
    <definedName function="false" hidden="false" name="OC_Staff_Yr6" vbProcedure="false">Operating_Costs!$H$5</definedName>
    <definedName function="false" hidden="false" name="OC_Staff_Yr7" vbProcedure="false">Operating_Costs!$I$5</definedName>
    <definedName function="false" hidden="false" name="OC_Staff_Yr8" vbProcedure="false">Operating_Costs!$J$5</definedName>
    <definedName function="false" hidden="false" name="OC_Staff_Yr9" vbProcedure="false">Operating_Costs!$K$5</definedName>
    <definedName function="false" hidden="false" name="OC_Tech_Yr1" vbProcedure="false">Operating_Costs!$C$6</definedName>
    <definedName function="false" hidden="false" name="OC_Tech_Yr10" vbProcedure="false">Operating_Costs!$L$6</definedName>
    <definedName function="false" hidden="false" name="OC_Tech_Yr2" vbProcedure="false">Operating_Costs!$D$6</definedName>
    <definedName function="false" hidden="false" name="OC_Tech_Yr3" vbProcedure="false">Operating_Costs!$E$6</definedName>
    <definedName function="false" hidden="false" name="OC_Tech_Yr4" vbProcedure="false">Operating_Costs!$F$6</definedName>
    <definedName function="false" hidden="false" name="OC_Tech_Yr5" vbProcedure="false">Operating_Costs!$G$6</definedName>
    <definedName function="false" hidden="false" name="OC_Tech_Yr6" vbProcedure="false">Operating_Costs!$H$6</definedName>
    <definedName function="false" hidden="false" name="OC_Tech_Yr7" vbProcedure="false">Operating_Costs!$I$6</definedName>
    <definedName function="false" hidden="false" name="OC_Tech_Yr8" vbProcedure="false">Operating_Costs!$J$6</definedName>
    <definedName function="false" hidden="false" name="OC_Tech_Yr9" vbProcedure="false">Operating_Costs!$K$6</definedName>
    <definedName function="false" hidden="false" name="OC_Total_Yr1" vbProcedure="false">Operating_Costs!$C$11</definedName>
    <definedName function="false" hidden="false" name="OC_Total_Yr10" vbProcedure="false">Operating_Costs!$L$11</definedName>
    <definedName function="false" hidden="false" name="OC_Total_Yr2" vbProcedure="false">Operating_Costs!$D$11</definedName>
    <definedName function="false" hidden="false" name="OC_Total_Yr3" vbProcedure="false">Operating_Costs!$E$11</definedName>
    <definedName function="false" hidden="false" name="OC_Total_Yr4" vbProcedure="false">Operating_Costs!$F$11</definedName>
    <definedName function="false" hidden="false" name="OC_Total_Yr5" vbProcedure="false">Operating_Costs!$G$11</definedName>
    <definedName function="false" hidden="false" name="OC_Total_Yr6" vbProcedure="false">Operating_Costs!$H$11</definedName>
    <definedName function="false" hidden="false" name="OC_Total_Yr7" vbProcedure="false">Operating_Costs!$I$11</definedName>
    <definedName function="false" hidden="false" name="OC_Total_Yr8" vbProcedure="false">Operating_Costs!$J$11</definedName>
    <definedName function="false" hidden="false" name="OC_Total_Yr9" vbProcedure="false">Operating_Costs!$K$11</definedName>
    <definedName function="false" hidden="false" name="OpEx_Avg_Comp" vbProcedure="false">Assumptions!$C$41</definedName>
    <definedName function="false" hidden="false" name="OpEx_Headcount" vbProcedure="false">Assumptions!$C$40</definedName>
    <definedName function="false" hidden="false" name="OpEx_Insurance" vbProcedure="false">Assumptions!$C$45</definedName>
    <definedName function="false" hidden="false" name="OpEx_Office" vbProcedure="false">Assumptions!$C$44</definedName>
    <definedName function="false" hidden="false" name="OpEx_Prof_Fees" vbProcedure="false">Assumptions!$C$43</definedName>
    <definedName function="false" hidden="false" name="OpEx_Technology" vbProcedure="false">Assumptions!$C$42</definedName>
    <definedName function="false" hidden="false" name="Perf_Fee_Rate" vbProcedure="false">Assumptions!$C$29</definedName>
    <definedName function="false" hidden="false" name="PS_Begin_AUM_Yr1" vbProcedure="false">Portfolio_Summary!$C$5</definedName>
    <definedName function="false" hidden="false" name="PS_Begin_AUM_Yr10" vbProcedure="false">Portfolio_Summary!$L$5</definedName>
    <definedName function="false" hidden="false" name="PS_Begin_AUM_Yr2" vbProcedure="false">Portfolio_Summary!$D$5</definedName>
    <definedName function="false" hidden="false" name="PS_Begin_AUM_Yr3" vbProcedure="false">Portfolio_Summary!$E$5</definedName>
    <definedName function="false" hidden="false" name="PS_Begin_AUM_Yr4" vbProcedure="false">Portfolio_Summary!$F$5</definedName>
    <definedName function="false" hidden="false" name="PS_Begin_AUM_Yr5" vbProcedure="false">Portfolio_Summary!$G$5</definedName>
    <definedName function="false" hidden="false" name="PS_Begin_AUM_Yr6" vbProcedure="false">Portfolio_Summary!$H$5</definedName>
    <definedName function="false" hidden="false" name="PS_Begin_AUM_Yr7" vbProcedure="false">Portfolio_Summary!$I$5</definedName>
    <definedName function="false" hidden="false" name="PS_Begin_AUM_Yr8" vbProcedure="false">Portfolio_Summary!$J$5</definedName>
    <definedName function="false" hidden="false" name="PS_Begin_AUM_Yr9" vbProcedure="false">Portfolio_Summary!$K$5</definedName>
    <definedName function="false" hidden="false" name="PS_CapGains_Tax_Yr1" vbProcedure="false">Portfolio_Summary!$C$21</definedName>
    <definedName function="false" hidden="false" name="PS_CapGains_Tax_Yr10" vbProcedure="false">Portfolio_Summary!$L$21</definedName>
    <definedName function="false" hidden="false" name="PS_CapGains_Tax_Yr2" vbProcedure="false">Portfolio_Summary!$D$21</definedName>
    <definedName function="false" hidden="false" name="PS_CapGains_Tax_Yr3" vbProcedure="false">Portfolio_Summary!$E$21</definedName>
    <definedName function="false" hidden="false" name="PS_CapGains_Tax_Yr4" vbProcedure="false">Portfolio_Summary!$F$21</definedName>
    <definedName function="false" hidden="false" name="PS_CapGains_Tax_Yr5" vbProcedure="false">Portfolio_Summary!$G$21</definedName>
    <definedName function="false" hidden="false" name="PS_CapGains_Tax_Yr6" vbProcedure="false">Portfolio_Summary!$H$21</definedName>
    <definedName function="false" hidden="false" name="PS_CapGains_Tax_Yr7" vbProcedure="false">Portfolio_Summary!$I$21</definedName>
    <definedName function="false" hidden="false" name="PS_CapGains_Tax_Yr8" vbProcedure="false">Portfolio_Summary!$J$21</definedName>
    <definedName function="false" hidden="false" name="PS_CapGains_Tax_Yr9" vbProcedure="false">Portfolio_Summary!$K$21</definedName>
    <definedName function="false" hidden="false" name="PS_Custody_Yr1" vbProcedure="false">Portfolio_Summary!$C$10</definedName>
    <definedName function="false" hidden="false" name="PS_Custody_Yr10" vbProcedure="false">Portfolio_Summary!$L$10</definedName>
    <definedName function="false" hidden="false" name="PS_Custody_Yr2" vbProcedure="false">Portfolio_Summary!$D$10</definedName>
    <definedName function="false" hidden="false" name="PS_Custody_Yr3" vbProcedure="false">Portfolio_Summary!$E$10</definedName>
    <definedName function="false" hidden="false" name="PS_Custody_Yr4" vbProcedure="false">Portfolio_Summary!$F$10</definedName>
    <definedName function="false" hidden="false" name="PS_Custody_Yr5" vbProcedure="false">Portfolio_Summary!$G$10</definedName>
    <definedName function="false" hidden="false" name="PS_Custody_Yr6" vbProcedure="false">Portfolio_Summary!$H$10</definedName>
    <definedName function="false" hidden="false" name="PS_Custody_Yr7" vbProcedure="false">Portfolio_Summary!$I$10</definedName>
    <definedName function="false" hidden="false" name="PS_Custody_Yr8" vbProcedure="false">Portfolio_Summary!$J$10</definedName>
    <definedName function="false" hidden="false" name="PS_Custody_Yr9" vbProcedure="false">Portfolio_Summary!$K$10</definedName>
    <definedName function="false" hidden="false" name="PS_Distributions_Yr1" vbProcedure="false">Portfolio_Summary!$C$16</definedName>
    <definedName function="false" hidden="false" name="PS_Distributions_Yr10" vbProcedure="false">Portfolio_Summary!$L$16</definedName>
    <definedName function="false" hidden="false" name="PS_Distributions_Yr2" vbProcedure="false">Portfolio_Summary!$D$16</definedName>
    <definedName function="false" hidden="false" name="PS_Distributions_Yr3" vbProcedure="false">Portfolio_Summary!$E$16</definedName>
    <definedName function="false" hidden="false" name="PS_Distributions_Yr4" vbProcedure="false">Portfolio_Summary!$F$16</definedName>
    <definedName function="false" hidden="false" name="PS_Distributions_Yr5" vbProcedure="false">Portfolio_Summary!$G$16</definedName>
    <definedName function="false" hidden="false" name="PS_Distributions_Yr6" vbProcedure="false">Portfolio_Summary!$H$16</definedName>
    <definedName function="false" hidden="false" name="PS_Distributions_Yr7" vbProcedure="false">Portfolio_Summary!$I$16</definedName>
    <definedName function="false" hidden="false" name="PS_Distributions_Yr8" vbProcedure="false">Portfolio_Summary!$J$16</definedName>
    <definedName function="false" hidden="false" name="PS_Distributions_Yr9" vbProcedure="false">Portfolio_Summary!$K$16</definedName>
    <definedName function="false" hidden="false" name="PS_End_AUM_Yr1" vbProcedure="false">Portfolio_Summary!$C$24</definedName>
    <definedName function="false" hidden="false" name="PS_End_AUM_Yr10" vbProcedure="false">Portfolio_Summary!$L$24</definedName>
    <definedName function="false" hidden="false" name="PS_End_AUM_Yr2" vbProcedure="false">Portfolio_Summary!$D$24</definedName>
    <definedName function="false" hidden="false" name="PS_End_AUM_Yr3" vbProcedure="false">Portfolio_Summary!$E$24</definedName>
    <definedName function="false" hidden="false" name="PS_End_AUM_Yr4" vbProcedure="false">Portfolio_Summary!$F$24</definedName>
    <definedName function="false" hidden="false" name="PS_End_AUM_Yr5" vbProcedure="false">Portfolio_Summary!$G$24</definedName>
    <definedName function="false" hidden="false" name="PS_End_AUM_Yr6" vbProcedure="false">Portfolio_Summary!$H$24</definedName>
    <definedName function="false" hidden="false" name="PS_End_AUM_Yr7" vbProcedure="false">Portfolio_Summary!$I$24</definedName>
    <definedName function="false" hidden="false" name="PS_End_AUM_Yr8" vbProcedure="false">Portfolio_Summary!$J$24</definedName>
    <definedName function="false" hidden="false" name="PS_End_AUM_Yr9" vbProcedure="false">Portfolio_Summary!$K$24</definedName>
    <definedName function="false" hidden="false" name="PS_Gross_Return_Yr1" vbProcedure="false">Portfolio_Summary!$C$6</definedName>
    <definedName function="false" hidden="false" name="PS_Gross_Return_Yr10" vbProcedure="false">Portfolio_Summary!$L$6</definedName>
    <definedName function="false" hidden="false" name="PS_Gross_Return_Yr2" vbProcedure="false">Portfolio_Summary!$D$6</definedName>
    <definedName function="false" hidden="false" name="PS_Gross_Return_Yr3" vbProcedure="false">Portfolio_Summary!$E$6</definedName>
    <definedName function="false" hidden="false" name="PS_Gross_Return_Yr4" vbProcedure="false">Portfolio_Summary!$F$6</definedName>
    <definedName function="false" hidden="false" name="PS_Gross_Return_Yr5" vbProcedure="false">Portfolio_Summary!$G$6</definedName>
    <definedName function="false" hidden="false" name="PS_Gross_Return_Yr6" vbProcedure="false">Portfolio_Summary!$H$6</definedName>
    <definedName function="false" hidden="false" name="PS_Gross_Return_Yr7" vbProcedure="false">Portfolio_Summary!$I$6</definedName>
    <definedName function="false" hidden="false" name="PS_Gross_Return_Yr8" vbProcedure="false">Portfolio_Summary!$J$6</definedName>
    <definedName function="false" hidden="false" name="PS_Gross_Return_Yr9" vbProcedure="false">Portfolio_Summary!$K$6</definedName>
    <definedName function="false" hidden="false" name="PS_Gross_Ret_Pct_Yr1" vbProcedure="false">Portfolio_Summary!$C$35</definedName>
    <definedName function="false" hidden="false" name="PS_Gross_Ret_Pct_Yr10" vbProcedure="false">Portfolio_Summary!$L$35</definedName>
    <definedName function="false" hidden="false" name="PS_Gross_Ret_Pct_Yr2" vbProcedure="false">Portfolio_Summary!$D$35</definedName>
    <definedName function="false" hidden="false" name="PS_Gross_Ret_Pct_Yr3" vbProcedure="false">Portfolio_Summary!$E$35</definedName>
    <definedName function="false" hidden="false" name="PS_Gross_Ret_Pct_Yr4" vbProcedure="false">Portfolio_Summary!$F$35</definedName>
    <definedName function="false" hidden="false" name="PS_Gross_Ret_Pct_Yr5" vbProcedure="false">Portfolio_Summary!$G$35</definedName>
    <definedName function="false" hidden="false" name="PS_Gross_Ret_Pct_Yr6" vbProcedure="false">Portfolio_Summary!$H$35</definedName>
    <definedName function="false" hidden="false" name="PS_Gross_Ret_Pct_Yr7" vbProcedure="false">Portfolio_Summary!$I$35</definedName>
    <definedName function="false" hidden="false" name="PS_Gross_Ret_Pct_Yr8" vbProcedure="false">Portfolio_Summary!$J$35</definedName>
    <definedName function="false" hidden="false" name="PS_Gross_Ret_Pct_Yr9" vbProcedure="false">Portfolio_Summary!$K$35</definedName>
    <definedName function="false" hidden="false" name="PS_Inc_Tax_Yr1" vbProcedure="false">Portfolio_Summary!$C$20</definedName>
    <definedName function="false" hidden="false" name="PS_Inc_Tax_Yr10" vbProcedure="false">Portfolio_Summary!$L$20</definedName>
    <definedName function="false" hidden="false" name="PS_Inc_Tax_Yr2" vbProcedure="false">Portfolio_Summary!$D$20</definedName>
    <definedName function="false" hidden="false" name="PS_Inc_Tax_Yr3" vbProcedure="false">Portfolio_Summary!$E$20</definedName>
    <definedName function="false" hidden="false" name="PS_Inc_Tax_Yr4" vbProcedure="false">Portfolio_Summary!$F$20</definedName>
    <definedName function="false" hidden="false" name="PS_Inc_Tax_Yr5" vbProcedure="false">Portfolio_Summary!$G$20</definedName>
    <definedName function="false" hidden="false" name="PS_Inc_Tax_Yr6" vbProcedure="false">Portfolio_Summary!$H$20</definedName>
    <definedName function="false" hidden="false" name="PS_Inc_Tax_Yr7" vbProcedure="false">Portfolio_Summary!$I$20</definedName>
    <definedName function="false" hidden="false" name="PS_Inc_Tax_Yr8" vbProcedure="false">Portfolio_Summary!$J$20</definedName>
    <definedName function="false" hidden="false" name="PS_Inc_Tax_Yr9" vbProcedure="false">Portfolio_Summary!$K$20</definedName>
    <definedName function="false" hidden="false" name="PS_Mgmt_Fee_Yr1" vbProcedure="false">Portfolio_Summary!$C$8</definedName>
    <definedName function="false" hidden="false" name="PS_Mgmt_Fee_Yr10" vbProcedure="false">Portfolio_Summary!$L$8</definedName>
    <definedName function="false" hidden="false" name="PS_Mgmt_Fee_Yr2" vbProcedure="false">Portfolio_Summary!$D$8</definedName>
    <definedName function="false" hidden="false" name="PS_Mgmt_Fee_Yr3" vbProcedure="false">Portfolio_Summary!$E$8</definedName>
    <definedName function="false" hidden="false" name="PS_Mgmt_Fee_Yr4" vbProcedure="false">Portfolio_Summary!$F$8</definedName>
    <definedName function="false" hidden="false" name="PS_Mgmt_Fee_Yr5" vbProcedure="false">Portfolio_Summary!$G$8</definedName>
    <definedName function="false" hidden="false" name="PS_Mgmt_Fee_Yr6" vbProcedure="false">Portfolio_Summary!$H$8</definedName>
    <definedName function="false" hidden="false" name="PS_Mgmt_Fee_Yr7" vbProcedure="false">Portfolio_Summary!$I$8</definedName>
    <definedName function="false" hidden="false" name="PS_Mgmt_Fee_Yr8" vbProcedure="false">Portfolio_Summary!$J$8</definedName>
    <definedName function="false" hidden="false" name="PS_Mgmt_Fee_Yr9" vbProcedure="false">Portfolio_Summary!$K$8</definedName>
    <definedName function="false" hidden="false" name="PS_Net_Ret_Pct_Yr1" vbProcedure="false">Portfolio_Summary!$C$36</definedName>
    <definedName function="false" hidden="false" name="PS_Net_Ret_Pct_Yr10" vbProcedure="false">Portfolio_Summary!$L$36</definedName>
    <definedName function="false" hidden="false" name="PS_Net_Ret_Pct_Yr2" vbProcedure="false">Portfolio_Summary!$D$36</definedName>
    <definedName function="false" hidden="false" name="PS_Net_Ret_Pct_Yr3" vbProcedure="false">Portfolio_Summary!$E$36</definedName>
    <definedName function="false" hidden="false" name="PS_Net_Ret_Pct_Yr4" vbProcedure="false">Portfolio_Summary!$F$36</definedName>
    <definedName function="false" hidden="false" name="PS_Net_Ret_Pct_Yr5" vbProcedure="false">Portfolio_Summary!$G$36</definedName>
    <definedName function="false" hidden="false" name="PS_Net_Ret_Pct_Yr6" vbProcedure="false">Portfolio_Summary!$H$36</definedName>
    <definedName function="false" hidden="false" name="PS_Net_Ret_Pct_Yr7" vbProcedure="false">Portfolio_Summary!$I$36</definedName>
    <definedName function="false" hidden="false" name="PS_Net_Ret_Pct_Yr8" vbProcedure="false">Portfolio_Summary!$J$36</definedName>
    <definedName function="false" hidden="false" name="PS_Net_Ret_Pct_Yr9" vbProcedure="false">Portfolio_Summary!$K$36</definedName>
    <definedName function="false" hidden="false" name="PS_OpEx_Yr1" vbProcedure="false">Portfolio_Summary!$C$14</definedName>
    <definedName function="false" hidden="false" name="PS_OpEx_Yr10" vbProcedure="false">Portfolio_Summary!$L$14</definedName>
    <definedName function="false" hidden="false" name="PS_OpEx_Yr2" vbProcedure="false">Portfolio_Summary!$D$14</definedName>
    <definedName function="false" hidden="false" name="PS_OpEx_Yr3" vbProcedure="false">Portfolio_Summary!$E$14</definedName>
    <definedName function="false" hidden="false" name="PS_OpEx_Yr4" vbProcedure="false">Portfolio_Summary!$F$14</definedName>
    <definedName function="false" hidden="false" name="PS_OpEx_Yr5" vbProcedure="false">Portfolio_Summary!$G$14</definedName>
    <definedName function="false" hidden="false" name="PS_OpEx_Yr6" vbProcedure="false">Portfolio_Summary!$H$14</definedName>
    <definedName function="false" hidden="false" name="PS_OpEx_Yr7" vbProcedure="false">Portfolio_Summary!$I$14</definedName>
    <definedName function="false" hidden="false" name="PS_OpEx_Yr8" vbProcedure="false">Portfolio_Summary!$J$14</definedName>
    <definedName function="false" hidden="false" name="PS_OpEx_Yr9" vbProcedure="false">Portfolio_Summary!$K$14</definedName>
    <definedName function="false" hidden="false" name="PS_Perf_Fee_Yr1" vbProcedure="false">Portfolio_Summary!$C$9</definedName>
    <definedName function="false" hidden="false" name="PS_Perf_Fee_Yr10" vbProcedure="false">Portfolio_Summary!$L$9</definedName>
    <definedName function="false" hidden="false" name="PS_Perf_Fee_Yr2" vbProcedure="false">Portfolio_Summary!$D$9</definedName>
    <definedName function="false" hidden="false" name="PS_Perf_Fee_Yr3" vbProcedure="false">Portfolio_Summary!$E$9</definedName>
    <definedName function="false" hidden="false" name="PS_Perf_Fee_Yr4" vbProcedure="false">Portfolio_Summary!$F$9</definedName>
    <definedName function="false" hidden="false" name="PS_Perf_Fee_Yr5" vbProcedure="false">Portfolio_Summary!$G$9</definedName>
    <definedName function="false" hidden="false" name="PS_Perf_Fee_Yr6" vbProcedure="false">Portfolio_Summary!$H$9</definedName>
    <definedName function="false" hidden="false" name="PS_Perf_Fee_Yr7" vbProcedure="false">Portfolio_Summary!$I$9</definedName>
    <definedName function="false" hidden="false" name="PS_Perf_Fee_Yr8" vbProcedure="false">Portfolio_Summary!$J$9</definedName>
    <definedName function="false" hidden="false" name="PS_Perf_Fee_Yr9" vbProcedure="false">Portfolio_Summary!$K$9</definedName>
    <definedName function="false" hidden="false" name="PS_Total_Apprec_Yr1" vbProcedure="false">Portfolio_Summary!$C$19</definedName>
    <definedName function="false" hidden="false" name="PS_Total_Apprec_Yr10" vbProcedure="false">Portfolio_Summary!$L$19</definedName>
    <definedName function="false" hidden="false" name="PS_Total_Apprec_Yr2" vbProcedure="false">Portfolio_Summary!$D$19</definedName>
    <definedName function="false" hidden="false" name="PS_Total_Apprec_Yr3" vbProcedure="false">Portfolio_Summary!$E$19</definedName>
    <definedName function="false" hidden="false" name="PS_Total_Apprec_Yr4" vbProcedure="false">Portfolio_Summary!$F$19</definedName>
    <definedName function="false" hidden="false" name="PS_Total_Apprec_Yr5" vbProcedure="false">Portfolio_Summary!$G$19</definedName>
    <definedName function="false" hidden="false" name="PS_Total_Apprec_Yr6" vbProcedure="false">Portfolio_Summary!$H$19</definedName>
    <definedName function="false" hidden="false" name="PS_Total_Apprec_Yr7" vbProcedure="false">Portfolio_Summary!$I$19</definedName>
    <definedName function="false" hidden="false" name="PS_Total_Apprec_Yr8" vbProcedure="false">Portfolio_Summary!$J$19</definedName>
    <definedName function="false" hidden="false" name="PS_Total_Apprec_Yr9" vbProcedure="false">Portfolio_Summary!$K$19</definedName>
    <definedName function="false" hidden="false" name="PS_Total_Income_Yr1" vbProcedure="false">Portfolio_Summary!$C$18</definedName>
    <definedName function="false" hidden="false" name="PS_Total_Income_Yr10" vbProcedure="false">Portfolio_Summary!$L$18</definedName>
    <definedName function="false" hidden="false" name="PS_Total_Income_Yr2" vbProcedure="false">Portfolio_Summary!$D$18</definedName>
    <definedName function="false" hidden="false" name="PS_Total_Income_Yr3" vbProcedure="false">Portfolio_Summary!$E$18</definedName>
    <definedName function="false" hidden="false" name="PS_Total_Income_Yr4" vbProcedure="false">Portfolio_Summary!$F$18</definedName>
    <definedName function="false" hidden="false" name="PS_Total_Income_Yr5" vbProcedure="false">Portfolio_Summary!$G$18</definedName>
    <definedName function="false" hidden="false" name="PS_Total_Income_Yr6" vbProcedure="false">Portfolio_Summary!$H$18</definedName>
    <definedName function="false" hidden="false" name="PS_Total_Income_Yr7" vbProcedure="false">Portfolio_Summary!$I$18</definedName>
    <definedName function="false" hidden="false" name="PS_Total_Income_Yr8" vbProcedure="false">Portfolio_Summary!$J$18</definedName>
    <definedName function="false" hidden="false" name="PS_Total_Income_Yr9" vbProcedure="false">Portfolio_Summary!$K$18</definedName>
    <definedName function="false" hidden="false" name="PS_Total_Inv_Costs_Yr1" vbProcedure="false">Portfolio_Summary!$C$12</definedName>
    <definedName function="false" hidden="false" name="PS_Total_Inv_Costs_Yr10" vbProcedure="false">Portfolio_Summary!$L$12</definedName>
    <definedName function="false" hidden="false" name="PS_Total_Inv_Costs_Yr2" vbProcedure="false">Portfolio_Summary!$D$12</definedName>
    <definedName function="false" hidden="false" name="PS_Total_Inv_Costs_Yr3" vbProcedure="false">Portfolio_Summary!$E$12</definedName>
    <definedName function="false" hidden="false" name="PS_Total_Inv_Costs_Yr4" vbProcedure="false">Portfolio_Summary!$F$12</definedName>
    <definedName function="false" hidden="false" name="PS_Total_Inv_Costs_Yr5" vbProcedure="false">Portfolio_Summary!$G$12</definedName>
    <definedName function="false" hidden="false" name="PS_Total_Inv_Costs_Yr6" vbProcedure="false">Portfolio_Summary!$H$12</definedName>
    <definedName function="false" hidden="false" name="PS_Total_Inv_Costs_Yr7" vbProcedure="false">Portfolio_Summary!$I$12</definedName>
    <definedName function="false" hidden="false" name="PS_Total_Inv_Costs_Yr8" vbProcedure="false">Portfolio_Summary!$J$12</definedName>
    <definedName function="false" hidden="false" name="PS_Total_Inv_Costs_Yr9" vbProcedure="false">Portfolio_Summary!$K$12</definedName>
    <definedName function="false" hidden="false" name="PS_Total_Ret_Pct_Yr1" vbProcedure="false">Portfolio_Summary!$C$37</definedName>
    <definedName function="false" hidden="false" name="PS_Total_Ret_Pct_Yr10" vbProcedure="false">Portfolio_Summary!$L$37</definedName>
    <definedName function="false" hidden="false" name="PS_Total_Ret_Pct_Yr2" vbProcedure="false">Portfolio_Summary!$D$37</definedName>
    <definedName function="false" hidden="false" name="PS_Total_Ret_Pct_Yr3" vbProcedure="false">Portfolio_Summary!$E$37</definedName>
    <definedName function="false" hidden="false" name="PS_Total_Ret_Pct_Yr4" vbProcedure="false">Portfolio_Summary!$F$37</definedName>
    <definedName function="false" hidden="false" name="PS_Total_Ret_Pct_Yr5" vbProcedure="false">Portfolio_Summary!$G$37</definedName>
    <definedName function="false" hidden="false" name="PS_Total_Ret_Pct_Yr6" vbProcedure="false">Portfolio_Summary!$H$37</definedName>
    <definedName function="false" hidden="false" name="PS_Total_Ret_Pct_Yr7" vbProcedure="false">Portfolio_Summary!$I$37</definedName>
    <definedName function="false" hidden="false" name="PS_Total_Ret_Pct_Yr8" vbProcedure="false">Portfolio_Summary!$J$37</definedName>
    <definedName function="false" hidden="false" name="PS_Total_Ret_Pct_Yr9" vbProcedure="false">Portfolio_Summary!$K$37</definedName>
    <definedName function="false" hidden="false" name="PS_Total_Taxes_Yr1" vbProcedure="false">Portfolio_Summary!$C$22</definedName>
    <definedName function="false" hidden="false" name="PS_Total_Taxes_Yr10" vbProcedure="false">Portfolio_Summary!$L$22</definedName>
    <definedName function="false" hidden="false" name="PS_Total_Taxes_Yr2" vbProcedure="false">Portfolio_Summary!$D$22</definedName>
    <definedName function="false" hidden="false" name="PS_Total_Taxes_Yr3" vbProcedure="false">Portfolio_Summary!$E$22</definedName>
    <definedName function="false" hidden="false" name="PS_Total_Taxes_Yr4" vbProcedure="false">Portfolio_Summary!$F$22</definedName>
    <definedName function="false" hidden="false" name="PS_Total_Taxes_Yr5" vbProcedure="false">Portfolio_Summary!$G$22</definedName>
    <definedName function="false" hidden="false" name="PS_Total_Taxes_Yr6" vbProcedure="false">Portfolio_Summary!$H$22</definedName>
    <definedName function="false" hidden="false" name="PS_Total_Taxes_Yr7" vbProcedure="false">Portfolio_Summary!$I$22</definedName>
    <definedName function="false" hidden="false" name="PS_Total_Taxes_Yr8" vbProcedure="false">Portfolio_Summary!$J$22</definedName>
    <definedName function="false" hidden="false" name="PS_Total_Taxes_Yr9" vbProcedure="false">Portfolio_Summary!$K$22</definedName>
    <definedName function="false" hidden="false" name="PS_Tx_Cost_Yr1" vbProcedure="false">Portfolio_Summary!$C$11</definedName>
    <definedName function="false" hidden="false" name="PS_Tx_Cost_Yr10" vbProcedure="false">Portfolio_Summary!$L$11</definedName>
    <definedName function="false" hidden="false" name="PS_Tx_Cost_Yr2" vbProcedure="false">Portfolio_Summary!$D$11</definedName>
    <definedName function="false" hidden="false" name="PS_Tx_Cost_Yr3" vbProcedure="false">Portfolio_Summary!$E$11</definedName>
    <definedName function="false" hidden="false" name="PS_Tx_Cost_Yr4" vbProcedure="false">Portfolio_Summary!$F$11</definedName>
    <definedName function="false" hidden="false" name="PS_Tx_Cost_Yr5" vbProcedure="false">Portfolio_Summary!$G$11</definedName>
    <definedName function="false" hidden="false" name="PS_Tx_Cost_Yr6" vbProcedure="false">Portfolio_Summary!$H$11</definedName>
    <definedName function="false" hidden="false" name="PS_Tx_Cost_Yr7" vbProcedure="false">Portfolio_Summary!$I$11</definedName>
    <definedName function="false" hidden="false" name="PS_Tx_Cost_Yr8" vbProcedure="false">Portfolio_Summary!$J$11</definedName>
    <definedName function="false" hidden="false" name="PS_Tx_Cost_Yr9" vbProcedure="false">Portfolio_Summary!$K$11</definedName>
    <definedName function="false" hidden="false" name="PS_W_Alt_Yr1" vbProcedure="false">Portfolio_Summary!$C$29</definedName>
    <definedName function="false" hidden="false" name="PS_W_Alt_Yr10" vbProcedure="false">Portfolio_Summary!$L$29</definedName>
    <definedName function="false" hidden="false" name="PS_W_Alt_Yr2" vbProcedure="false">Portfolio_Summary!$D$29</definedName>
    <definedName function="false" hidden="false" name="PS_W_Alt_Yr3" vbProcedure="false">Portfolio_Summary!$E$29</definedName>
    <definedName function="false" hidden="false" name="PS_W_Alt_Yr4" vbProcedure="false">Portfolio_Summary!$F$29</definedName>
    <definedName function="false" hidden="false" name="PS_W_Alt_Yr5" vbProcedure="false">Portfolio_Summary!$G$29</definedName>
    <definedName function="false" hidden="false" name="PS_W_Alt_Yr6" vbProcedure="false">Portfolio_Summary!$H$29</definedName>
    <definedName function="false" hidden="false" name="PS_W_Alt_Yr7" vbProcedure="false">Portfolio_Summary!$I$29</definedName>
    <definedName function="false" hidden="false" name="PS_W_Alt_Yr8" vbProcedure="false">Portfolio_Summary!$J$29</definedName>
    <definedName function="false" hidden="false" name="PS_W_Alt_Yr9" vbProcedure="false">Portfolio_Summary!$K$29</definedName>
    <definedName function="false" hidden="false" name="PS_W_Cash_Yr1" vbProcedure="false">Portfolio_Summary!$C$31</definedName>
    <definedName function="false" hidden="false" name="PS_W_Cash_Yr10" vbProcedure="false">Portfolio_Summary!$L$31</definedName>
    <definedName function="false" hidden="false" name="PS_W_Cash_Yr2" vbProcedure="false">Portfolio_Summary!$D$31</definedName>
    <definedName function="false" hidden="false" name="PS_W_Cash_Yr3" vbProcedure="false">Portfolio_Summary!$E$31</definedName>
    <definedName function="false" hidden="false" name="PS_W_Cash_Yr4" vbProcedure="false">Portfolio_Summary!$F$31</definedName>
    <definedName function="false" hidden="false" name="PS_W_Cash_Yr5" vbProcedure="false">Portfolio_Summary!$G$31</definedName>
    <definedName function="false" hidden="false" name="PS_W_Cash_Yr6" vbProcedure="false">Portfolio_Summary!$H$31</definedName>
    <definedName function="false" hidden="false" name="PS_W_Cash_Yr7" vbProcedure="false">Portfolio_Summary!$I$31</definedName>
    <definedName function="false" hidden="false" name="PS_W_Cash_Yr8" vbProcedure="false">Portfolio_Summary!$J$31</definedName>
    <definedName function="false" hidden="false" name="PS_W_Cash_Yr9" vbProcedure="false">Portfolio_Summary!$K$31</definedName>
    <definedName function="false" hidden="false" name="PS_W_Eq_Yr1" vbProcedure="false">Portfolio_Summary!$C$27</definedName>
    <definedName function="false" hidden="false" name="PS_W_Eq_Yr10" vbProcedure="false">Portfolio_Summary!$L$27</definedName>
    <definedName function="false" hidden="false" name="PS_W_Eq_Yr2" vbProcedure="false">Portfolio_Summary!$D$27</definedName>
    <definedName function="false" hidden="false" name="PS_W_Eq_Yr3" vbProcedure="false">Portfolio_Summary!$E$27</definedName>
    <definedName function="false" hidden="false" name="PS_W_Eq_Yr4" vbProcedure="false">Portfolio_Summary!$F$27</definedName>
    <definedName function="false" hidden="false" name="PS_W_Eq_Yr5" vbProcedure="false">Portfolio_Summary!$G$27</definedName>
    <definedName function="false" hidden="false" name="PS_W_Eq_Yr6" vbProcedure="false">Portfolio_Summary!$H$27</definedName>
    <definedName function="false" hidden="false" name="PS_W_Eq_Yr7" vbProcedure="false">Portfolio_Summary!$I$27</definedName>
    <definedName function="false" hidden="false" name="PS_W_Eq_Yr8" vbProcedure="false">Portfolio_Summary!$J$27</definedName>
    <definedName function="false" hidden="false" name="PS_W_Eq_Yr9" vbProcedure="false">Portfolio_Summary!$K$27</definedName>
    <definedName function="false" hidden="false" name="PS_W_FI_Yr1" vbProcedure="false">Portfolio_Summary!$C$28</definedName>
    <definedName function="false" hidden="false" name="PS_W_FI_Yr10" vbProcedure="false">Portfolio_Summary!$L$28</definedName>
    <definedName function="false" hidden="false" name="PS_W_FI_Yr2" vbProcedure="false">Portfolio_Summary!$D$28</definedName>
    <definedName function="false" hidden="false" name="PS_W_FI_Yr3" vbProcedure="false">Portfolio_Summary!$E$28</definedName>
    <definedName function="false" hidden="false" name="PS_W_FI_Yr4" vbProcedure="false">Portfolio_Summary!$F$28</definedName>
    <definedName function="false" hidden="false" name="PS_W_FI_Yr5" vbProcedure="false">Portfolio_Summary!$G$28</definedName>
    <definedName function="false" hidden="false" name="PS_W_FI_Yr6" vbProcedure="false">Portfolio_Summary!$H$28</definedName>
    <definedName function="false" hidden="false" name="PS_W_FI_Yr7" vbProcedure="false">Portfolio_Summary!$I$28</definedName>
    <definedName function="false" hidden="false" name="PS_W_FI_Yr8" vbProcedure="false">Portfolio_Summary!$J$28</definedName>
    <definedName function="false" hidden="false" name="PS_W_FI_Yr9" vbProcedure="false">Portfolio_Summary!$K$28</definedName>
    <definedName function="false" hidden="false" name="PS_W_RE_Yr1" vbProcedure="false">Portfolio_Summary!$C$30</definedName>
    <definedName function="false" hidden="false" name="PS_W_RE_Yr10" vbProcedure="false">Portfolio_Summary!$L$30</definedName>
    <definedName function="false" hidden="false" name="PS_W_RE_Yr2" vbProcedure="false">Portfolio_Summary!$D$30</definedName>
    <definedName function="false" hidden="false" name="PS_W_RE_Yr3" vbProcedure="false">Portfolio_Summary!$E$30</definedName>
    <definedName function="false" hidden="false" name="PS_W_RE_Yr4" vbProcedure="false">Portfolio_Summary!$F$30</definedName>
    <definedName function="false" hidden="false" name="PS_W_RE_Yr5" vbProcedure="false">Portfolio_Summary!$G$30</definedName>
    <definedName function="false" hidden="false" name="PS_W_RE_Yr6" vbProcedure="false">Portfolio_Summary!$H$30</definedName>
    <definedName function="false" hidden="false" name="PS_W_RE_Yr7" vbProcedure="false">Portfolio_Summary!$I$30</definedName>
    <definedName function="false" hidden="false" name="PS_W_RE_Yr8" vbProcedure="false">Portfolio_Summary!$J$30</definedName>
    <definedName function="false" hidden="false" name="PS_W_RE_Yr9" vbProcedure="false">Portfolio_Summary!$K$30</definedName>
    <definedName function="false" hidden="false" name="PS_W_Total_Yr1" vbProcedure="false">Portfolio_Summary!$C$32</definedName>
    <definedName function="false" hidden="false" name="PS_W_Total_Yr10" vbProcedure="false">Portfolio_Summary!$L$32</definedName>
    <definedName function="false" hidden="false" name="PS_W_Total_Yr2" vbProcedure="false">Portfolio_Summary!$D$32</definedName>
    <definedName function="false" hidden="false" name="PS_W_Total_Yr3" vbProcedure="false">Portfolio_Summary!$E$32</definedName>
    <definedName function="false" hidden="false" name="PS_W_Total_Yr4" vbProcedure="false">Portfolio_Summary!$F$32</definedName>
    <definedName function="false" hidden="false" name="PS_W_Total_Yr5" vbProcedure="false">Portfolio_Summary!$G$32</definedName>
    <definedName function="false" hidden="false" name="PS_W_Total_Yr6" vbProcedure="false">Portfolio_Summary!$H$32</definedName>
    <definedName function="false" hidden="false" name="PS_W_Total_Yr7" vbProcedure="false">Portfolio_Summary!$I$32</definedName>
    <definedName function="false" hidden="false" name="PS_W_Total_Yr8" vbProcedure="false">Portfolio_Summary!$J$32</definedName>
    <definedName function="false" hidden="false" name="PS_W_Total_Yr9" vbProcedure="false">Portfolio_Summary!$K$32</definedName>
    <definedName function="false" hidden="false" name="RA_Begin_Yr1" vbProcedure="false">Returns_Analysis!$C$5</definedName>
    <definedName function="false" hidden="false" name="RA_Begin_Yr10" vbProcedure="false">Returns_Analysis!$L$5</definedName>
    <definedName function="false" hidden="false" name="RA_Begin_Yr2" vbProcedure="false">Returns_Analysis!$D$5</definedName>
    <definedName function="false" hidden="false" name="RA_Begin_Yr3" vbProcedure="false">Returns_Analysis!$E$5</definedName>
    <definedName function="false" hidden="false" name="RA_Begin_Yr4" vbProcedure="false">Returns_Analysis!$F$5</definedName>
    <definedName function="false" hidden="false" name="RA_Begin_Yr5" vbProcedure="false">Returns_Analysis!$G$5</definedName>
    <definedName function="false" hidden="false" name="RA_Begin_Yr6" vbProcedure="false">Returns_Analysis!$H$5</definedName>
    <definedName function="false" hidden="false" name="RA_Begin_Yr7" vbProcedure="false">Returns_Analysis!$I$5</definedName>
    <definedName function="false" hidden="false" name="RA_Begin_Yr8" vbProcedure="false">Returns_Analysis!$J$5</definedName>
    <definedName function="false" hidden="false" name="RA_Begin_Yr9" vbProcedure="false">Returns_Analysis!$K$5</definedName>
    <definedName function="false" hidden="false" name="RA_Cumul_Dist_Yr1" vbProcedure="false">Returns_Analysis!$C$16</definedName>
    <definedName function="false" hidden="false" name="RA_Cumul_Dist_Yr10" vbProcedure="false">Returns_Analysis!$L$16</definedName>
    <definedName function="false" hidden="false" name="RA_Cumul_Dist_Yr2" vbProcedure="false">Returns_Analysis!$D$16</definedName>
    <definedName function="false" hidden="false" name="RA_Cumul_Dist_Yr3" vbProcedure="false">Returns_Analysis!$E$16</definedName>
    <definedName function="false" hidden="false" name="RA_Cumul_Dist_Yr4" vbProcedure="false">Returns_Analysis!$F$16</definedName>
    <definedName function="false" hidden="false" name="RA_Cumul_Dist_Yr5" vbProcedure="false">Returns_Analysis!$G$16</definedName>
    <definedName function="false" hidden="false" name="RA_Cumul_Dist_Yr6" vbProcedure="false">Returns_Analysis!$H$16</definedName>
    <definedName function="false" hidden="false" name="RA_Cumul_Dist_Yr7" vbProcedure="false">Returns_Analysis!$I$16</definedName>
    <definedName function="false" hidden="false" name="RA_Cumul_Dist_Yr8" vbProcedure="false">Returns_Analysis!$J$16</definedName>
    <definedName function="false" hidden="false" name="RA_Cumul_Dist_Yr9" vbProcedure="false">Returns_Analysis!$K$16</definedName>
    <definedName function="false" hidden="false" name="RA_Dist_Pct_Yr1" vbProcedure="false">Returns_Analysis!$C$17</definedName>
    <definedName function="false" hidden="false" name="RA_Dist_Pct_Yr10" vbProcedure="false">Returns_Analysis!$L$17</definedName>
    <definedName function="false" hidden="false" name="RA_Dist_Pct_Yr2" vbProcedure="false">Returns_Analysis!$D$17</definedName>
    <definedName function="false" hidden="false" name="RA_Dist_Pct_Yr3" vbProcedure="false">Returns_Analysis!$E$17</definedName>
    <definedName function="false" hidden="false" name="RA_Dist_Pct_Yr4" vbProcedure="false">Returns_Analysis!$F$17</definedName>
    <definedName function="false" hidden="false" name="RA_Dist_Pct_Yr5" vbProcedure="false">Returns_Analysis!$G$17</definedName>
    <definedName function="false" hidden="false" name="RA_Dist_Pct_Yr6" vbProcedure="false">Returns_Analysis!$H$17</definedName>
    <definedName function="false" hidden="false" name="RA_Dist_Pct_Yr7" vbProcedure="false">Returns_Analysis!$I$17</definedName>
    <definedName function="false" hidden="false" name="RA_Dist_Pct_Yr8" vbProcedure="false">Returns_Analysis!$J$17</definedName>
    <definedName function="false" hidden="false" name="RA_Dist_Pct_Yr9" vbProcedure="false">Returns_Analysis!$K$17</definedName>
    <definedName function="false" hidden="false" name="RA_Dist_Yr1" vbProcedure="false">Returns_Analysis!$C$7</definedName>
    <definedName function="false" hidden="false" name="RA_Dist_Yr10" vbProcedure="false">Returns_Analysis!$L$7</definedName>
    <definedName function="false" hidden="false" name="RA_Dist_Yr2" vbProcedure="false">Returns_Analysis!$D$7</definedName>
    <definedName function="false" hidden="false" name="RA_Dist_Yr3" vbProcedure="false">Returns_Analysis!$E$7</definedName>
    <definedName function="false" hidden="false" name="RA_Dist_Yr4" vbProcedure="false">Returns_Analysis!$F$7</definedName>
    <definedName function="false" hidden="false" name="RA_Dist_Yr5" vbProcedure="false">Returns_Analysis!$G$7</definedName>
    <definedName function="false" hidden="false" name="RA_Dist_Yr6" vbProcedure="false">Returns_Analysis!$H$7</definedName>
    <definedName function="false" hidden="false" name="RA_Dist_Yr7" vbProcedure="false">Returns_Analysis!$I$7</definedName>
    <definedName function="false" hidden="false" name="RA_Dist_Yr8" vbProcedure="false">Returns_Analysis!$J$7</definedName>
    <definedName function="false" hidden="false" name="RA_Dist_Yr9" vbProcedure="false">Returns_Analysis!$K$7</definedName>
    <definedName function="false" hidden="false" name="RA_End_Yr1" vbProcedure="false">Returns_Analysis!$C$6</definedName>
    <definedName function="false" hidden="false" name="RA_End_Yr10" vbProcedure="false">Returns_Analysis!$L$6</definedName>
    <definedName function="false" hidden="false" name="RA_End_Yr2" vbProcedure="false">Returns_Analysis!$D$6</definedName>
    <definedName function="false" hidden="false" name="RA_End_Yr3" vbProcedure="false">Returns_Analysis!$E$6</definedName>
    <definedName function="false" hidden="false" name="RA_End_Yr4" vbProcedure="false">Returns_Analysis!$F$6</definedName>
    <definedName function="false" hidden="false" name="RA_End_Yr5" vbProcedure="false">Returns_Analysis!$G$6</definedName>
    <definedName function="false" hidden="false" name="RA_End_Yr6" vbProcedure="false">Returns_Analysis!$H$6</definedName>
    <definedName function="false" hidden="false" name="RA_End_Yr7" vbProcedure="false">Returns_Analysis!$I$6</definedName>
    <definedName function="false" hidden="false" name="RA_End_Yr8" vbProcedure="false">Returns_Analysis!$J$6</definedName>
    <definedName function="false" hidden="false" name="RA_End_Yr9" vbProcedure="false">Returns_Analysis!$K$6</definedName>
    <definedName function="false" hidden="false" name="RA_Nominal_Ret_Yr1" vbProcedure="false">Returns_Analysis!$C$9</definedName>
    <definedName function="false" hidden="false" name="RA_Nominal_Ret_Yr10" vbProcedure="false">Returns_Analysis!$L$9</definedName>
    <definedName function="false" hidden="false" name="RA_Nominal_Ret_Yr2" vbProcedure="false">Returns_Analysis!$D$9</definedName>
    <definedName function="false" hidden="false" name="RA_Nominal_Ret_Yr3" vbProcedure="false">Returns_Analysis!$E$9</definedName>
    <definedName function="false" hidden="false" name="RA_Nominal_Ret_Yr4" vbProcedure="false">Returns_Analysis!$F$9</definedName>
    <definedName function="false" hidden="false" name="RA_Nominal_Ret_Yr5" vbProcedure="false">Returns_Analysis!$G$9</definedName>
    <definedName function="false" hidden="false" name="RA_Nominal_Ret_Yr6" vbProcedure="false">Returns_Analysis!$H$9</definedName>
    <definedName function="false" hidden="false" name="RA_Nominal_Ret_Yr7" vbProcedure="false">Returns_Analysis!$I$9</definedName>
    <definedName function="false" hidden="false" name="RA_Nominal_Ret_Yr8" vbProcedure="false">Returns_Analysis!$J$9</definedName>
    <definedName function="false" hidden="false" name="RA_Nominal_Ret_Yr9" vbProcedure="false">Returns_Analysis!$K$9</definedName>
    <definedName function="false" hidden="false" name="RA_Real_AUM_Yr1" vbProcedure="false">Returns_Analysis!$C$15</definedName>
    <definedName function="false" hidden="false" name="RA_Real_AUM_Yr10" vbProcedure="false">Returns_Analysis!$L$15</definedName>
    <definedName function="false" hidden="false" name="RA_Real_AUM_Yr2" vbProcedure="false">Returns_Analysis!$D$15</definedName>
    <definedName function="false" hidden="false" name="RA_Real_AUM_Yr3" vbProcedure="false">Returns_Analysis!$E$15</definedName>
    <definedName function="false" hidden="false" name="RA_Real_AUM_Yr4" vbProcedure="false">Returns_Analysis!$F$15</definedName>
    <definedName function="false" hidden="false" name="RA_Real_AUM_Yr5" vbProcedure="false">Returns_Analysis!$G$15</definedName>
    <definedName function="false" hidden="false" name="RA_Real_AUM_Yr6" vbProcedure="false">Returns_Analysis!$H$15</definedName>
    <definedName function="false" hidden="false" name="RA_Real_AUM_Yr7" vbProcedure="false">Returns_Analysis!$I$15</definedName>
    <definedName function="false" hidden="false" name="RA_Real_AUM_Yr8" vbProcedure="false">Returns_Analysis!$J$15</definedName>
    <definedName function="false" hidden="false" name="RA_Real_AUM_Yr9" vbProcedure="false">Returns_Analysis!$K$15</definedName>
    <definedName function="false" hidden="false" name="RA_Real_Ret_Yr1" vbProcedure="false">Returns_Analysis!$C$10</definedName>
    <definedName function="false" hidden="false" name="RA_Real_Ret_Yr10" vbProcedure="false">Returns_Analysis!$L$10</definedName>
    <definedName function="false" hidden="false" name="RA_Real_Ret_Yr2" vbProcedure="false">Returns_Analysis!$D$10</definedName>
    <definedName function="false" hidden="false" name="RA_Real_Ret_Yr3" vbProcedure="false">Returns_Analysis!$E$10</definedName>
    <definedName function="false" hidden="false" name="RA_Real_Ret_Yr4" vbProcedure="false">Returns_Analysis!$F$10</definedName>
    <definedName function="false" hidden="false" name="RA_Real_Ret_Yr5" vbProcedure="false">Returns_Analysis!$G$10</definedName>
    <definedName function="false" hidden="false" name="RA_Real_Ret_Yr6" vbProcedure="false">Returns_Analysis!$H$10</definedName>
    <definedName function="false" hidden="false" name="RA_Real_Ret_Yr7" vbProcedure="false">Returns_Analysis!$I$10</definedName>
    <definedName function="false" hidden="false" name="RA_Real_Ret_Yr8" vbProcedure="false">Returns_Analysis!$J$10</definedName>
    <definedName function="false" hidden="false" name="RA_Real_Ret_Yr9" vbProcedure="false">Returns_Analysis!$K$10</definedName>
    <definedName function="false" hidden="false" name="RA_Wealth_Nom_Yr1" vbProcedure="false">Returns_Analysis!$C$12</definedName>
    <definedName function="false" hidden="false" name="RA_Wealth_Nom_Yr10" vbProcedure="false">Returns_Analysis!$L$12</definedName>
    <definedName function="false" hidden="false" name="RA_Wealth_Nom_Yr2" vbProcedure="false">Returns_Analysis!$D$12</definedName>
    <definedName function="false" hidden="false" name="RA_Wealth_Nom_Yr3" vbProcedure="false">Returns_Analysis!$E$12</definedName>
    <definedName function="false" hidden="false" name="RA_Wealth_Nom_Yr4" vbProcedure="false">Returns_Analysis!$F$12</definedName>
    <definedName function="false" hidden="false" name="RA_Wealth_Nom_Yr5" vbProcedure="false">Returns_Analysis!$G$12</definedName>
    <definedName function="false" hidden="false" name="RA_Wealth_Nom_Yr6" vbProcedure="false">Returns_Analysis!$H$12</definedName>
    <definedName function="false" hidden="false" name="RA_Wealth_Nom_Yr7" vbProcedure="false">Returns_Analysis!$I$12</definedName>
    <definedName function="false" hidden="false" name="RA_Wealth_Nom_Yr8" vbProcedure="false">Returns_Analysis!$J$12</definedName>
    <definedName function="false" hidden="false" name="RA_Wealth_Nom_Yr9" vbProcedure="false">Returns_Analysis!$K$12</definedName>
    <definedName function="false" hidden="false" name="RA_Wealth_Real_Yr1" vbProcedure="false">Returns_Analysis!$C$13</definedName>
    <definedName function="false" hidden="false" name="RA_Wealth_Real_Yr10" vbProcedure="false">Returns_Analysis!$L$13</definedName>
    <definedName function="false" hidden="false" name="RA_Wealth_Real_Yr2" vbProcedure="false">Returns_Analysis!$D$13</definedName>
    <definedName function="false" hidden="false" name="RA_Wealth_Real_Yr3" vbProcedure="false">Returns_Analysis!$E$13</definedName>
    <definedName function="false" hidden="false" name="RA_Wealth_Real_Yr4" vbProcedure="false">Returns_Analysis!$F$13</definedName>
    <definedName function="false" hidden="false" name="RA_Wealth_Real_Yr5" vbProcedure="false">Returns_Analysis!$G$13</definedName>
    <definedName function="false" hidden="false" name="RA_Wealth_Real_Yr6" vbProcedure="false">Returns_Analysis!$H$13</definedName>
    <definedName function="false" hidden="false" name="RA_Wealth_Real_Yr7" vbProcedure="false">Returns_Analysis!$I$13</definedName>
    <definedName function="false" hidden="false" name="RA_Wealth_Real_Yr8" vbProcedure="false">Returns_Analysis!$J$13</definedName>
    <definedName function="false" hidden="false" name="RA_Wealth_Real_Yr9" vbProcedure="false">Returns_Analysis!$K$13</definedName>
    <definedName function="false" hidden="false" name="Return_Alt" vbProcedure="false">Assumptions!$C$18</definedName>
    <definedName function="false" hidden="false" name="Return_Cash" vbProcedure="false">Assumptions!$C$20</definedName>
    <definedName function="false" hidden="false" name="Return_Eq" vbProcedure="false">Assumptions!$C$16</definedName>
    <definedName function="false" hidden="false" name="Return_FI" vbProcedure="false">Assumptions!$C$17</definedName>
    <definedName function="false" hidden="false" name="Return_RE" vbProcedure="false">Assumptions!$C$19</definedName>
    <definedName function="false" hidden="false" name="Starting_AUM" vbProcedure="false">Assumptions!$C$7</definedName>
    <definedName function="false" hidden="false" name="Tx_Cost_Rate" vbProcedure="false">Assumptions!$C$31</definedName>
    <definedName function="false" hidden="false" name="Yield_Alt" vbProcedure="false">Assumptions!$C$23</definedName>
    <definedName function="false" hidden="false" name="Yield_Cash" vbProcedure="false">Assumptions!$C$25</definedName>
    <definedName function="false" hidden="false" name="Yield_Eq" vbProcedure="false">Assumptions!$C$21</definedName>
    <definedName function="false" hidden="false" name="Yield_FI" vbProcedure="false">Assumptions!$C$22</definedName>
    <definedName function="false" hidden="false" name="Yield_RE" vbProcedure="false">Assumptions!$C$24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<sst xmlns="http://schemas.openxmlformats.org/spreadsheetml/2006/main" count="324" uniqueCount="218">
  <si>
    <t xml:space="preserve">Multi-Asset Allocation Model</t>
  </si>
  <si>
    <t xml:space="preserve">FINAMODEL.com</t>
  </si>
  <si>
    <t xml:space="preserve">Family Office / Endowment — 10-Year Projection</t>
  </si>
  <si>
    <t xml:space="preserve">Model Date:</t>
  </si>
  <si>
    <t xml:space="preserve">2026-04-18</t>
  </si>
  <si>
    <t xml:space="preserve">Starting AUM:</t>
  </si>
  <si>
    <t xml:space="preserve">$500,000,000</t>
  </si>
  <si>
    <t xml:space="preserve">Projection:</t>
  </si>
  <si>
    <t xml:space="preserve">10 Years (Annual)</t>
  </si>
  <si>
    <t xml:space="preserve">Sheets:</t>
  </si>
  <si>
    <t xml:space="preserve">Assumptions · Allocation_Returns · Portfolio_Summary · Operating_Costs · Cash_Flow · Returns_Analysis · Checks</t>
  </si>
  <si>
    <t xml:space="preserve">About this model</t>
  </si>
  <si>
    <t xml:space="preserve">A Multi-Asset Portfolio Allocation Model projects a $500M single family office's 10-year wealth trajectory across five asset classes: Equities (40%, 7.5% total return), Fixed Income (20%, 4.5%), Alternatives (25%, 12% net IRR), Real Estate (10%, 7%), and Cash (5%, 4%). The model decomposes return into yield (cash income: 2% from equities, 4.5% from bonds, 3% from alts, 4% from real estate) and appreciation (mark-to-market gains). Annual costs include external management fees (0.75% of AUM), performance fees (15% of gross return if positive, zero if negative), custody (0.10% of AUM), transaction costs (0.20% on absolute rebalancing volume / 2), operating expenses ($2.7M Year 1, escalating 2.5% inflation annually), family distributions (3% of beginning AUM), and taxes (37% on ordinary income, 20% on capital gains).
The Allocation_Returns sheet builds in two phases to avoid circularity. Phase 1 computes pre-cost class ending balances (beginning Ã (1 + return) by class) and transaction costs from absolute rebalancing flows. Phase 2 rebalances to target allocation weights post-cost, feeding the end-of-period AUM. Portfolio_Summary deducts all costs from gross return to derive ending AUM and year-over-year wealth preservation. The Cash_Flow sheet uses a Sources &amp; Uses design: annual cash yield income (sum of class yields) versus annual cash needs (distributions, fees, opex, taxes), revealing whether income suffices or portfolio must be partially liquidated to fund spending. A typical $500M portfolio at 7.9% blended gross return and 7.7% blended outflow rate (fees + distributions + taxes) grows modestly; real purchasing power depends on inflation assumptions.
This model suits ultra-high-net-worth families, endowments, and foundations managing large concentrated portfolios. Key metrics include real return (nominal return minus inflation), cash yield (total dividends and interest as % of AUM), and sustainability of the 3% distribution rate (conservative relative to 4.5% NACUBO endowment standard). Stress tests reveal impact of market downturns (e.g., -20% equities shock) and rising cost-of-living on distribution sustainability.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</si>
  <si>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</si>
  <si>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</si>
  <si>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</si>
  <si>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</si>
  <si>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</si>
  <si>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Parameter</t>
  </si>
  <si>
    <t xml:space="preserve">Value</t>
  </si>
  <si>
    <t xml:space="preserve">Unit</t>
  </si>
  <si>
    <t xml:space="preserve">Note</t>
  </si>
  <si>
    <t xml:space="preserve">Portfolio Setup</t>
  </si>
  <si>
    <t xml:space="preserve">Starting AUM</t>
  </si>
  <si>
    <t xml:space="preserve">USD</t>
  </si>
  <si>
    <t xml:space="preserve">Year 1 beginning value</t>
  </si>
  <si>
    <t xml:space="preserve">Equities Allocation</t>
  </si>
  <si>
    <t xml:space="preserve">%</t>
  </si>
  <si>
    <t xml:space="preserve">Target weight</t>
  </si>
  <si>
    <t xml:space="preserve">Fixed Income Allocation</t>
  </si>
  <si>
    <t xml:space="preserve">Alternatives Allocation</t>
  </si>
  <si>
    <t xml:space="preserve">Real Estate Allocation</t>
  </si>
  <si>
    <t xml:space="preserve">Cash Allocation</t>
  </si>
  <si>
    <t xml:space="preserve">Min Cash Buffer</t>
  </si>
  <si>
    <t xml:space="preserve">Minimum liquidity floor</t>
  </si>
  <si>
    <t xml:space="preserve">Return Assumptions</t>
  </si>
  <si>
    <t xml:space="preserve">Equities Total Return</t>
  </si>
  <si>
    <t xml:space="preserve">% pa</t>
  </si>
  <si>
    <t xml:space="preserve">Fixed Income Total Return</t>
  </si>
  <si>
    <t xml:space="preserve">Alternatives Total Return</t>
  </si>
  <si>
    <t xml:space="preserve">Real Estate Total Return</t>
  </si>
  <si>
    <t xml:space="preserve">Cash Total Return</t>
  </si>
  <si>
    <t xml:space="preserve">Equities Yield</t>
  </si>
  <si>
    <t xml:space="preserve">Fixed Income Yield</t>
  </si>
  <si>
    <t xml:space="preserve">Alternatives Yield</t>
  </si>
  <si>
    <t xml:space="preserve">Real Estate Yield</t>
  </si>
  <si>
    <t xml:space="preserve">Cash Yield</t>
  </si>
  <si>
    <t xml:space="preserve">Investment Costs</t>
  </si>
  <si>
    <t xml:space="preserve">Mgmt Fee Rate</t>
  </si>
  <si>
    <t xml:space="preserve">% of Begin AUM</t>
  </si>
  <si>
    <t xml:space="preserve">Performance Fee Rate</t>
  </si>
  <si>
    <t xml:space="preserve">% of Gross Return</t>
  </si>
  <si>
    <t xml:space="preserve">Custody Fee Rate</t>
  </si>
  <si>
    <t xml:space="preserve">Transaction Cost Rate</t>
  </si>
  <si>
    <t xml:space="preserve">% of abs rebal/2</t>
  </si>
  <si>
    <t xml:space="preserve">Distributions &amp; Tax</t>
  </si>
  <si>
    <t xml:space="preserve">Distribution Rate</t>
  </si>
  <si>
    <t xml:space="preserve">Ordinary Income Tax Rate</t>
  </si>
  <si>
    <t xml:space="preserve">Capital Gains Tax Rate</t>
  </si>
  <si>
    <t xml:space="preserve">Inflation Rate</t>
  </si>
  <si>
    <t xml:space="preserve">Operating Cost Inputs</t>
  </si>
  <si>
    <t xml:space="preserve">Headcount</t>
  </si>
  <si>
    <t xml:space="preserve">FTE</t>
  </si>
  <si>
    <t xml:space="preserve">Avg Compensation</t>
  </si>
  <si>
    <t xml:space="preserve">USD/FTE</t>
  </si>
  <si>
    <t xml:space="preserve">Technology</t>
  </si>
  <si>
    <t xml:space="preserve">USD/yr</t>
  </si>
  <si>
    <t xml:space="preserve">Professional Fees</t>
  </si>
  <si>
    <t xml:space="preserve">Office &amp; Occupancy</t>
  </si>
  <si>
    <t xml:space="preserve">Insurance</t>
  </si>
  <si>
    <t xml:space="preserve">OPERATING COSTS</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</si>
  <si>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</si>
  <si>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</si>
  <si>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</si>
  <si>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</si>
  <si>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</si>
  <si>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</si>
  <si>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</si>
  <si>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</si>
  <si>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</si>
  <si>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</si>
  <si>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Staff Compensation</t>
  </si>
  <si>
    <t xml:space="preserve">TOTAL OPEX</t>
  </si>
  <si>
    <t xml:space="preserve">ALLOCATION RETURNS</t>
  </si>
  <si>
    <t xml:space="preserve">EQUITIES</t>
  </si>
  <si>
    <t xml:space="preserve">Begin</t>
  </si>
  <si>
    <t xml:space="preserve">Income</t>
  </si>
  <si>
    <t xml:space="preserve">Appreciation</t>
  </si>
  <si>
    <t xml:space="preserve">Pre-Rebal</t>
  </si>
  <si>
    <t xml:space="preserve">FIXED INCOME</t>
  </si>
  <si>
    <t xml:space="preserve">ALTERNATIVES</t>
  </si>
  <si>
    <t xml:space="preserve">REAL ESTATE</t>
  </si>
  <si>
    <t xml:space="preserve">CASH</t>
  </si>
  <si>
    <t xml:space="preserve">Total Pre-Rebal</t>
  </si>
  <si>
    <t xml:space="preserve">PHASE 1 — PRE-COST REBALANCING FLOWS (for transaction cost input only)</t>
  </si>
  <si>
    <t xml:space="preserve">PC Rebal Flow — Eq</t>
  </si>
  <si>
    <t xml:space="preserve">PC Rebal Flow — FI</t>
  </si>
  <si>
    <t xml:space="preserve">PC Rebal Flow — Alt</t>
  </si>
  <si>
    <t xml:space="preserve">PC Rebal Flow — RE</t>
  </si>
  <si>
    <t xml:space="preserve">PC Rebal Flow — Cash</t>
  </si>
  <si>
    <t xml:space="preserve">Abs Rebal (div 2)</t>
  </si>
  <si>
    <t xml:space="preserve">PHASE 2 — POST-COST ENDING VALUES (rebalanced to net AUM)</t>
  </si>
  <si>
    <t xml:space="preserve">Equities End</t>
  </si>
  <si>
    <t xml:space="preserve">Fixed Income End</t>
  </si>
  <si>
    <t xml:space="preserve">Alternatives End</t>
  </si>
  <si>
    <t xml:space="preserve">Real Estate End</t>
  </si>
  <si>
    <t xml:space="preserve">Cash End</t>
  </si>
  <si>
    <t xml:space="preserve">Total End AUM</t>
  </si>
  <si>
    <t xml:space="preserve">POST-COST REBALANCING FLOWS (informational)</t>
  </si>
  <si>
    <t xml:space="preserve">Post Rebal — Eq</t>
  </si>
  <si>
    <t xml:space="preserve">Post Rebal — FI</t>
  </si>
  <si>
    <t xml:space="preserve">Post Rebal — Alt</t>
  </si>
  <si>
    <t xml:space="preserve">Post Rebal — RE</t>
  </si>
  <si>
    <t xml:space="preserve">Post Rebal — Cash</t>
  </si>
  <si>
    <t xml:space="preserve">PORTFOLIO SUMMARY</t>
  </si>
  <si>
    <t xml:space="preserve">Beginning AUM</t>
  </si>
  <si>
    <t xml:space="preserve">Gross Return</t>
  </si>
  <si>
    <t xml:space="preserve">INVESTMENT COSTS</t>
  </si>
  <si>
    <t xml:space="preserve">Mgmt Fee</t>
  </si>
  <si>
    <t xml:space="preserve">Performance Fee</t>
  </si>
  <si>
    <t xml:space="preserve">Custody Fee</t>
  </si>
  <si>
    <t xml:space="preserve">Transaction Cost</t>
  </si>
  <si>
    <t xml:space="preserve">Total Inv Costs</t>
  </si>
  <si>
    <t xml:space="preserve">OPERATING EXPENSES</t>
  </si>
  <si>
    <t xml:space="preserve">Operating Expenses</t>
  </si>
  <si>
    <t xml:space="preserve">OUTFLOWS</t>
  </si>
  <si>
    <t xml:space="preserve">Distributions</t>
  </si>
  <si>
    <t xml:space="preserve">ESTIMATED TAX</t>
  </si>
  <si>
    <t xml:space="preserve">Total Cash Income</t>
  </si>
  <si>
    <t xml:space="preserve">Total Appreciation</t>
  </si>
  <si>
    <t xml:space="preserve">Income Tax</t>
  </si>
  <si>
    <t xml:space="preserve">Capital Gains Tax</t>
  </si>
  <si>
    <t xml:space="preserve">Total Taxes</t>
  </si>
  <si>
    <t xml:space="preserve">ENDING AUM</t>
  </si>
  <si>
    <t xml:space="preserve">Ending AUM</t>
  </si>
  <si>
    <t xml:space="preserve">ASSET WEIGHTS</t>
  </si>
  <si>
    <t xml:space="preserve">Equities Weight</t>
  </si>
  <si>
    <t xml:space="preserve">Fixed Income Weight</t>
  </si>
  <si>
    <t xml:space="preserve">Alternatives Weight</t>
  </si>
  <si>
    <t xml:space="preserve">Real Estate Weight</t>
  </si>
  <si>
    <t xml:space="preserve">Cash Weight</t>
  </si>
  <si>
    <t xml:space="preserve">Total Weight</t>
  </si>
  <si>
    <t xml:space="preserve">RETURN METRICS</t>
  </si>
  <si>
    <t xml:space="preserve">Gross Return %</t>
  </si>
  <si>
    <t xml:space="preserve">Net Return %</t>
  </si>
  <si>
    <t xml:space="preserve">Total Return %</t>
  </si>
  <si>
    <t xml:space="preserve">CASH FLOW — SOURCES &amp; USES</t>
  </si>
  <si>
    <t xml:space="preserve">SOURCES — Cash Income Generated</t>
  </si>
  <si>
    <t xml:space="preserve">Equity Dividends</t>
  </si>
  <si>
    <t xml:space="preserve">FI Coupons</t>
  </si>
  <si>
    <t xml:space="preserve">Alt Distributions</t>
  </si>
  <si>
    <t xml:space="preserve">RE Rental Income</t>
  </si>
  <si>
    <t xml:space="preserve">Total Sources</t>
  </si>
  <si>
    <t xml:space="preserve">USES — Cash Needs</t>
  </si>
  <si>
    <t xml:space="preserve">Family Distributions</t>
  </si>
  <si>
    <t xml:space="preserve">Total Uses</t>
  </si>
  <si>
    <t xml:space="preserve">Net Cash Flow</t>
  </si>
  <si>
    <t xml:space="preserve">Positive = surplus reinvested; Negative = funded by AUM reduction</t>
  </si>
  <si>
    <t xml:space="preserve">PORTFOLIO LIQUIDITY</t>
  </si>
  <si>
    <t xml:space="preserve">Cash in Portfolio</t>
  </si>
  <si>
    <t xml:space="preserve">Min Buffer Required</t>
  </si>
  <si>
    <t xml:space="preserve">Buffer Coverage</t>
  </si>
  <si>
    <t xml:space="preserve">RETURNS ANALYSIS</t>
  </si>
  <si>
    <t xml:space="preserve">ANNUAL RETURNS</t>
  </si>
  <si>
    <t xml:space="preserve">Nominal Return</t>
  </si>
  <si>
    <t xml:space="preserve">Real Return</t>
  </si>
  <si>
    <t xml:space="preserve">WEALTH INDEX (Base = 1.0 at start)</t>
  </si>
  <si>
    <t xml:space="preserve">Wealth Index (Nominal)</t>
  </si>
  <si>
    <t xml:space="preserve">Wealth Index (Real)</t>
  </si>
  <si>
    <t xml:space="preserve">TERMINAL VALUES &amp; DISTRIBUTIONS</t>
  </si>
  <si>
    <t xml:space="preserve">Real Ending AUM</t>
  </si>
  <si>
    <t xml:space="preserve">Cumul Distributions</t>
  </si>
  <si>
    <t xml:space="preserve">Dist as % of Begin</t>
  </si>
  <si>
    <t xml:space="preserve">VALIDATION CHECKS</t>
  </si>
  <si>
    <t xml:space="preserve">Check</t>
  </si>
  <si>
    <t xml:space="preserve">Formula / Method</t>
  </si>
  <si>
    <t xml:space="preserve">Pass Condition</t>
  </si>
  <si>
    <t xml:space="preserve">Result</t>
  </si>
  <si>
    <t xml:space="preserve">Status</t>
  </si>
  <si>
    <t xml:space="preserve">AUM Reconciliation</t>
  </si>
  <si>
    <t xml:space="preserve">MAX ABS(AR_Total_End - PS_End_AUM) all years</t>
  </si>
  <si>
    <t xml:space="preserve">TRUE (diff &lt; $1)</t>
  </si>
  <si>
    <t xml:space="preserve">Weights Sum = 100%</t>
  </si>
  <si>
    <t xml:space="preserve">MAX ABS deviation from 1.0 all years</t>
  </si>
  <si>
    <t xml:space="preserve">TRUE (within 0.001%)</t>
  </si>
  <si>
    <t xml:space="preserve">Cash Buffer &gt;= 1.0x</t>
  </si>
  <si>
    <t xml:space="preserve">MIN buffer coverage all years</t>
  </si>
  <si>
    <t xml:space="preserve">TRUE</t>
  </si>
  <si>
    <t xml:space="preserve">AUM Positive</t>
  </si>
  <si>
    <t xml:space="preserve">MIN ending AUM all years &gt; 0</t>
  </si>
  <si>
    <t xml:space="preserve">Perf Fee Non-Negative</t>
  </si>
  <si>
    <t xml:space="preserve">MIN perf fee all years &gt;= 0</t>
  </si>
  <si>
    <t xml:space="preserve">Nominal Return Y1 in Range</t>
  </si>
  <si>
    <t xml:space="preserve">RA_Nominal_Ret_Yr1 between 3%-12%</t>
  </si>
  <si>
    <t xml:space="preserve">TRUE (3%-12%)</t>
  </si>
  <si>
    <t xml:space="preserve">OpEx Ratio in Benchmark</t>
  </si>
  <si>
    <t xml:space="preserve">OC_Total_Yr1 / PS_Begin_AUM_Yr1</t>
  </si>
  <si>
    <t xml:space="preserve">TRUE (0.1%-1.5%)</t>
  </si>
  <si>
    <t xml:space="preserve">AUM Net Growth (all years)</t>
  </si>
  <si>
    <t xml:space="preserve">MIN(Ending AUM - Beginning AUM) all years</t>
  </si>
  <si>
    <t xml:space="preserve">TRUE (&gt;= 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</si>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</sst>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00%"/>
    <numFmt numFmtId="167" formatCode="0.00\x"/>
    <numFmt numFmtId="168" formatCode="#,##0.0"/>
  </numFmts>
  <fonts count="27">
    <font>
      <sz val="11"/>
      <name val="Arial"/>
      <family val="0"/>
      <charset val="1"/>
    </font>
    <font>
      <sz val="10"/>
      <name val="Arial"/>
      <family val="0"/>
    </font>
    <font>
      <sz val="10"/>
      <name val="Arial"/>
      <family val="0"/>
    </font>
    <font>
      <sz val="10"/>
      <name val="Arial"/>
      <family val="0"/>
    </font>
    <font>
      <sz val="11"/>
      <color theme="0"/>
      <name val="Calibri"/>
      <family val="0"/>
      <charset val="1"/>
    </font>
    <font>
      <sz val="11"/>
      <color theme="0"/>
      <name val="Arial"/>
      <family val="0"/>
      <charset val="1"/>
    </font>
    <font>
      <b val="true"/>
      <sz val="14"/>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sz val="10"/>
      <color theme="3"/>
      <name val="Arial"/>
      <family val="0"/>
      <charset val="1"/>
    </font>
    <font>
      <b val="true"/>
      <sz val="10"/>
      <color rgb="FF000000"/>
      <name val="Arial"/>
      <family val="0"/>
      <charset val="1"/>
    </font>
    <font>
      <i val="true"/>
      <sz val="9"/>
      <color rgb="FF666666"/>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E2EFDA"/>
      </patternFill>
    </fill>
    <fill>
      <patternFill patternType="solid">
        <fgColor rgb="FFBDD7EE"/>
        <bgColor rgb="FFD6E4F0"/>
      </patternFill>
    </fill>
    <fill>
      <patternFill patternType="solid">
        <fgColor rgb="FFFFF2CC"/>
        <bgColor rgb="FFF2F2F2"/>
      </patternFill>
    </fill>
    <fill>
      <patternFill patternType="solid">
        <fgColor rgb="FFE2EFDA"/>
        <bgColor rgb="FFF2F2F2"/>
      </patternFill>
    </fill>
    <fill>
      <patternFill patternType="solid">
        <fgColor rgb="FF1F4E79"/>
        <bgColor rgb="FF1F497D"/>
      </patternFill>
    </fill>
    <fill>
      <patternFill patternType="solid">
        <fgColor rgb="FFF2F2F2"/>
        <bgColor rgb="FFE2EFDA"/>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false" indent="0" shrinkToFit="false"/>
      <protection locked="true" hidden="false"/>
    </xf>
    <xf numFmtId="165" fontId="18" fillId="5" borderId="0" xfId="0" applyFont="true" applyBorder="false" applyAlignment="true" applyProtection="false">
      <alignment horizontal="right" vertical="center" textRotation="0" wrapText="false" indent="0" shrinkToFit="false"/>
      <protection locked="true" hidden="false"/>
    </xf>
    <xf numFmtId="166" fontId="18" fillId="5" borderId="0" xfId="0" applyFont="true" applyBorder="false" applyAlignment="true" applyProtection="false">
      <alignment horizontal="right" vertical="center" textRotation="0" wrapText="false" indent="0" shrinkToFit="false"/>
      <protection locked="true" hidden="false"/>
    </xf>
    <xf numFmtId="164" fontId="18" fillId="5" borderId="0" xfId="0" applyFont="true" applyBorder="false" applyAlignment="true" applyProtection="false">
      <alignment horizontal="right" vertical="center"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0" shrinkToFit="false"/>
      <protection locked="true" hidden="false"/>
    </xf>
    <xf numFmtId="164" fontId="11" fillId="6"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5" fontId="17" fillId="2"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7"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8"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595959"/>
      <rgbColor rgb="FFFFF2CC"/>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FCC99"/>
      <rgbColor rgb="FF4472C4"/>
      <rgbColor rgb="FF33CCCC"/>
      <rgbColor rgb="FF99CC00"/>
      <rgbColor rgb="FFFFCC00"/>
      <rgbColor rgb="FFFF9900"/>
      <rgbColor rgb="FFED7D31"/>
      <rgbColor rgb="FF666666"/>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50"/>
  </cols>
  <sheetData>
    <row r="1" customFormat="false" ht="15" hidden="false" customHeight="false" outlineLevel="0" collapsed="false">
      <c r="A1" s="1"/>
      <c r="B1" s="2"/>
      <c r="C1" s="2"/>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0</v>
      </c>
      <c r="C2" s="2"/>
      <c r="D2" s="4"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v>
      </c>
      <c r="C3" s="2"/>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row>
    <row r="5" customFormat="false" ht="15" hidden="false" customHeight="false" outlineLevel="0" collapsed="false">
      <c r="B5" s="7" t="s">
        <v>3</v>
      </c>
      <c r="C5" s="8" t="s">
        <v>4</v>
      </c>
    </row>
    <row r="6" customFormat="false" ht="15" hidden="false" customHeight="false" outlineLevel="0" collapsed="false">
      <c r="B6" s="7" t="s">
        <v>5</v>
      </c>
      <c r="C6" s="8" t="s">
        <v>6</v>
      </c>
    </row>
    <row r="7" customFormat="false" ht="15" hidden="false" customHeight="false" outlineLevel="0" collapsed="false">
      <c r="B7" s="7" t="s">
        <v>7</v>
      </c>
      <c r="C7" s="8" t="s">
        <v>8</v>
      </c>
    </row>
    <row r="8" customFormat="false" ht="15" hidden="false" customHeight="false" outlineLevel="0" collapsed="false">
      <c r="B8" s="6"/>
      <c r="C8" s="6"/>
    </row>
    <row r="9" customFormat="false" ht="15" hidden="false" customHeight="false" outlineLevel="0" collapsed="false">
      <c r="B9" s="7" t="s">
        <v>9</v>
      </c>
      <c r="C9" s="8" t="s">
        <v>10</v>
      </c>
    </row>
    <row r="12" customFormat="false" ht="19.5" hidden="false" customHeight="true" outlineLevel="0" collapsed="false">
      <c r="B12" s="9" t="s">
        <v>11</v>
      </c>
      <c r="C12" s="10"/>
      <c r="D12" s="10"/>
      <c r="E12" s="10"/>
      <c r="F12" s="10"/>
      <c r="G12" s="10"/>
    </row>
    <row r="13" customFormat="false" ht="296.25" hidden="false" customHeight="true" outlineLevel="0" collapsed="false">
      <c r="B13" s="11" t="s">
        <v>12</v>
      </c>
      <c r="C13" s="11"/>
      <c r="D13" s="11"/>
      <c r="E13" s="11"/>
      <c r="F13" s="11"/>
      <c r="G13" s="11"/>
    </row>
    <row r="15" customFormat="false" ht="19.5" hidden="false" customHeight="true" outlineLevel="0" collapsed="false">
      <c r="B15" s="9" t="s">
        <v>13</v>
      </c>
      <c r="C15" s="10"/>
      <c r="D15" s="10"/>
      <c r="E15" s="10"/>
      <c r="F15" s="10"/>
      <c r="G15" s="10"/>
    </row>
    <row r="16" customFormat="false" ht="57" hidden="false" customHeight="true" outlineLevel="0" collapsed="false">
      <c r="B16" s="11" t="s">
        <v>14</v>
      </c>
      <c r="C16" s="11"/>
      <c r="D16" s="11"/>
      <c r="E16" s="11"/>
      <c r="F16" s="11"/>
      <c r="G16" s="11"/>
    </row>
    <row r="17" customFormat="false" ht="15" hidden="false" customHeight="false" outlineLevel="0" collapsed="false">
      <c r="B17" s="12" t="s">
        <v>15</v>
      </c>
      <c r="C17" s="12"/>
      <c r="D17" s="12"/>
      <c r="E17" s="12"/>
      <c r="F17" s="12"/>
      <c r="G17" s="12"/>
    </row>
    <row r="18" customFormat="false" ht="15" hidden="false" customHeight="false" outlineLevel="0" collapsed="false">
      <c r="B18" s="13" t="s">
        <v>16</v>
      </c>
    </row>
  </sheetData>
  <mergeCells count="3">
    <mergeCell ref="B13:G13"/>
    <mergeCell ref="B16:G16"/>
    <mergeCell ref="B17:G1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2"/>
      <c r="C1" s="2"/>
      <c r="D1" s="2"/>
      <c r="E1" s="2"/>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17</v>
      </c>
      <c r="C2" s="2"/>
      <c r="D2" s="2"/>
      <c r="E2" s="2"/>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17</v>
      </c>
      <c r="C3" s="15"/>
      <c r="D3" s="15"/>
      <c r="E3" s="15"/>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18</v>
      </c>
      <c r="C4" s="16" t="s">
        <v>19</v>
      </c>
      <c r="D4" s="16" t="s">
        <v>20</v>
      </c>
      <c r="E4" s="16" t="s">
        <v>21</v>
      </c>
    </row>
    <row r="5" customFormat="false" ht="15" hidden="false" customHeight="false" outlineLevel="0" collapsed="false">
      <c r="B5" s="6"/>
      <c r="C5" s="6"/>
      <c r="D5" s="6"/>
      <c r="E5" s="6"/>
    </row>
    <row r="6" customFormat="false" ht="15" hidden="false" customHeight="false" outlineLevel="0" collapsed="false">
      <c r="B6" s="15" t="s">
        <v>22</v>
      </c>
      <c r="C6" s="15"/>
      <c r="D6" s="15"/>
      <c r="E6" s="15"/>
    </row>
    <row r="7" customFormat="false" ht="15" hidden="false" customHeight="false" outlineLevel="0" collapsed="false">
      <c r="B7" s="8" t="s">
        <v>23</v>
      </c>
      <c r="C7" s="17" t="n">
        <v>500000000</v>
      </c>
      <c r="D7" s="8" t="s">
        <v>24</v>
      </c>
      <c r="E7" s="8" t="s">
        <v>25</v>
      </c>
    </row>
    <row r="8" customFormat="false" ht="15" hidden="false" customHeight="false" outlineLevel="0" collapsed="false">
      <c r="B8" s="8" t="s">
        <v>26</v>
      </c>
      <c r="C8" s="18" t="n">
        <v>0.4</v>
      </c>
      <c r="D8" s="8" t="s">
        <v>27</v>
      </c>
      <c r="E8" s="8" t="s">
        <v>28</v>
      </c>
    </row>
    <row r="9" customFormat="false" ht="15" hidden="false" customHeight="false" outlineLevel="0" collapsed="false">
      <c r="B9" s="8" t="s">
        <v>29</v>
      </c>
      <c r="C9" s="18" t="n">
        <v>0.2</v>
      </c>
      <c r="D9" s="8" t="s">
        <v>27</v>
      </c>
      <c r="E9" s="8" t="s">
        <v>28</v>
      </c>
    </row>
    <row r="10" customFormat="false" ht="15" hidden="false" customHeight="false" outlineLevel="0" collapsed="false">
      <c r="B10" s="8" t="s">
        <v>30</v>
      </c>
      <c r="C10" s="18" t="n">
        <v>0.25</v>
      </c>
      <c r="D10" s="8" t="s">
        <v>27</v>
      </c>
      <c r="E10" s="8" t="s">
        <v>28</v>
      </c>
    </row>
    <row r="11" customFormat="false" ht="15" hidden="false" customHeight="false" outlineLevel="0" collapsed="false">
      <c r="B11" s="8" t="s">
        <v>31</v>
      </c>
      <c r="C11" s="18" t="n">
        <v>0.1</v>
      </c>
      <c r="D11" s="8" t="s">
        <v>27</v>
      </c>
      <c r="E11" s="8" t="s">
        <v>28</v>
      </c>
    </row>
    <row r="12" customFormat="false" ht="15" hidden="false" customHeight="false" outlineLevel="0" collapsed="false">
      <c r="B12" s="8" t="s">
        <v>32</v>
      </c>
      <c r="C12" s="18" t="n">
        <v>0.05</v>
      </c>
      <c r="D12" s="8" t="s">
        <v>27</v>
      </c>
      <c r="E12" s="8" t="s">
        <v>28</v>
      </c>
    </row>
    <row r="13" customFormat="false" ht="15" hidden="false" customHeight="false" outlineLevel="0" collapsed="false">
      <c r="B13" s="8" t="s">
        <v>33</v>
      </c>
      <c r="C13" s="18" t="n">
        <v>0.03</v>
      </c>
      <c r="D13" s="8" t="s">
        <v>27</v>
      </c>
      <c r="E13" s="8" t="s">
        <v>34</v>
      </c>
    </row>
    <row r="14" customFormat="false" ht="15" hidden="false" customHeight="false" outlineLevel="0" collapsed="false">
      <c r="B14" s="6"/>
      <c r="C14" s="6"/>
      <c r="D14" s="6"/>
      <c r="E14" s="6"/>
    </row>
    <row r="15" customFormat="false" ht="15" hidden="false" customHeight="false" outlineLevel="0" collapsed="false">
      <c r="B15" s="15" t="s">
        <v>35</v>
      </c>
      <c r="C15" s="15"/>
      <c r="D15" s="15"/>
      <c r="E15" s="15"/>
    </row>
    <row r="16" customFormat="false" ht="15" hidden="false" customHeight="false" outlineLevel="0" collapsed="false">
      <c r="B16" s="8" t="s">
        <v>36</v>
      </c>
      <c r="C16" s="18" t="n">
        <v>0.075</v>
      </c>
      <c r="D16" s="8" t="s">
        <v>37</v>
      </c>
      <c r="E16" s="6"/>
    </row>
    <row r="17" customFormat="false" ht="15" hidden="false" customHeight="false" outlineLevel="0" collapsed="false">
      <c r="B17" s="8" t="s">
        <v>38</v>
      </c>
      <c r="C17" s="18" t="n">
        <v>0.045</v>
      </c>
      <c r="D17" s="8" t="s">
        <v>37</v>
      </c>
      <c r="E17" s="6"/>
    </row>
    <row r="18" customFormat="false" ht="15" hidden="false" customHeight="false" outlineLevel="0" collapsed="false">
      <c r="B18" s="8" t="s">
        <v>39</v>
      </c>
      <c r="C18" s="18" t="n">
        <v>0.12</v>
      </c>
      <c r="D18" s="8" t="s">
        <v>37</v>
      </c>
      <c r="E18" s="6"/>
    </row>
    <row r="19" customFormat="false" ht="15" hidden="false" customHeight="false" outlineLevel="0" collapsed="false">
      <c r="B19" s="8" t="s">
        <v>40</v>
      </c>
      <c r="C19" s="18" t="n">
        <v>0.07</v>
      </c>
      <c r="D19" s="8" t="s">
        <v>37</v>
      </c>
      <c r="E19" s="6"/>
    </row>
    <row r="20" customFormat="false" ht="15" hidden="false" customHeight="false" outlineLevel="0" collapsed="false">
      <c r="B20" s="8" t="s">
        <v>41</v>
      </c>
      <c r="C20" s="18" t="n">
        <v>0.04</v>
      </c>
      <c r="D20" s="8" t="s">
        <v>37</v>
      </c>
      <c r="E20" s="6"/>
    </row>
    <row r="21" customFormat="false" ht="15" hidden="false" customHeight="false" outlineLevel="0" collapsed="false">
      <c r="B21" s="8" t="s">
        <v>42</v>
      </c>
      <c r="C21" s="18" t="n">
        <v>0.02</v>
      </c>
      <c r="D21" s="8" t="s">
        <v>37</v>
      </c>
      <c r="E21" s="6"/>
    </row>
    <row r="22" customFormat="false" ht="15" hidden="false" customHeight="false" outlineLevel="0" collapsed="false">
      <c r="B22" s="8" t="s">
        <v>43</v>
      </c>
      <c r="C22" s="18" t="n">
        <v>0.045</v>
      </c>
      <c r="D22" s="8" t="s">
        <v>37</v>
      </c>
      <c r="E22" s="6"/>
    </row>
    <row r="23" customFormat="false" ht="15" hidden="false" customHeight="false" outlineLevel="0" collapsed="false">
      <c r="B23" s="8" t="s">
        <v>44</v>
      </c>
      <c r="C23" s="18" t="n">
        <v>0.03</v>
      </c>
      <c r="D23" s="8" t="s">
        <v>37</v>
      </c>
      <c r="E23" s="6"/>
    </row>
    <row r="24" customFormat="false" ht="15" hidden="false" customHeight="false" outlineLevel="0" collapsed="false">
      <c r="B24" s="8" t="s">
        <v>45</v>
      </c>
      <c r="C24" s="18" t="n">
        <v>0.04</v>
      </c>
      <c r="D24" s="8" t="s">
        <v>37</v>
      </c>
      <c r="E24" s="6"/>
    </row>
    <row r="25" customFormat="false" ht="15" hidden="false" customHeight="false" outlineLevel="0" collapsed="false">
      <c r="B25" s="8" t="s">
        <v>46</v>
      </c>
      <c r="C25" s="18" t="n">
        <v>0.04</v>
      </c>
      <c r="D25" s="8" t="s">
        <v>37</v>
      </c>
      <c r="E25" s="6"/>
    </row>
    <row r="26" customFormat="false" ht="15" hidden="false" customHeight="false" outlineLevel="0" collapsed="false">
      <c r="B26" s="6"/>
      <c r="C26" s="6"/>
      <c r="D26" s="6"/>
      <c r="E26" s="6"/>
    </row>
    <row r="27" customFormat="false" ht="15" hidden="false" customHeight="false" outlineLevel="0" collapsed="false">
      <c r="B27" s="15" t="s">
        <v>47</v>
      </c>
      <c r="C27" s="15"/>
      <c r="D27" s="15"/>
      <c r="E27" s="15"/>
    </row>
    <row r="28" customFormat="false" ht="15" hidden="false" customHeight="false" outlineLevel="0" collapsed="false">
      <c r="B28" s="8" t="s">
        <v>48</v>
      </c>
      <c r="C28" s="18" t="n">
        <v>0.0075</v>
      </c>
      <c r="D28" s="8" t="s">
        <v>49</v>
      </c>
      <c r="E28" s="6"/>
    </row>
    <row r="29" customFormat="false" ht="15" hidden="false" customHeight="false" outlineLevel="0" collapsed="false">
      <c r="B29" s="8" t="s">
        <v>50</v>
      </c>
      <c r="C29" s="18" t="n">
        <v>0.15</v>
      </c>
      <c r="D29" s="8" t="s">
        <v>51</v>
      </c>
      <c r="E29" s="6"/>
    </row>
    <row r="30" customFormat="false" ht="15" hidden="false" customHeight="false" outlineLevel="0" collapsed="false">
      <c r="B30" s="8" t="s">
        <v>52</v>
      </c>
      <c r="C30" s="18" t="n">
        <v>0.001</v>
      </c>
      <c r="D30" s="8" t="s">
        <v>49</v>
      </c>
      <c r="E30" s="6"/>
    </row>
    <row r="31" customFormat="false" ht="15" hidden="false" customHeight="false" outlineLevel="0" collapsed="false">
      <c r="B31" s="8" t="s">
        <v>53</v>
      </c>
      <c r="C31" s="18" t="n">
        <v>0.002</v>
      </c>
      <c r="D31" s="8" t="s">
        <v>54</v>
      </c>
      <c r="E31" s="6"/>
    </row>
    <row r="32" customFormat="false" ht="15" hidden="false" customHeight="false" outlineLevel="0" collapsed="false">
      <c r="B32" s="6"/>
      <c r="C32" s="6"/>
      <c r="D32" s="6"/>
      <c r="E32" s="6"/>
    </row>
    <row r="33" customFormat="false" ht="15" hidden="false" customHeight="false" outlineLevel="0" collapsed="false">
      <c r="B33" s="15" t="s">
        <v>55</v>
      </c>
      <c r="C33" s="15"/>
      <c r="D33" s="15"/>
      <c r="E33" s="15"/>
    </row>
    <row r="34" customFormat="false" ht="15" hidden="false" customHeight="false" outlineLevel="0" collapsed="false">
      <c r="B34" s="8" t="s">
        <v>56</v>
      </c>
      <c r="C34" s="18" t="n">
        <v>0.03</v>
      </c>
      <c r="D34" s="8" t="s">
        <v>49</v>
      </c>
      <c r="E34" s="6"/>
    </row>
    <row r="35" customFormat="false" ht="15" hidden="false" customHeight="false" outlineLevel="0" collapsed="false">
      <c r="B35" s="8" t="s">
        <v>57</v>
      </c>
      <c r="C35" s="18" t="n">
        <v>0.37</v>
      </c>
      <c r="D35" s="8" t="s">
        <v>27</v>
      </c>
      <c r="E35" s="6"/>
    </row>
    <row r="36" customFormat="false" ht="15" hidden="false" customHeight="false" outlineLevel="0" collapsed="false">
      <c r="B36" s="8" t="s">
        <v>58</v>
      </c>
      <c r="C36" s="18" t="n">
        <v>0.2</v>
      </c>
      <c r="D36" s="8" t="s">
        <v>27</v>
      </c>
      <c r="E36" s="6"/>
    </row>
    <row r="37" customFormat="false" ht="15" hidden="false" customHeight="false" outlineLevel="0" collapsed="false">
      <c r="B37" s="8" t="s">
        <v>59</v>
      </c>
      <c r="C37" s="18" t="n">
        <v>0.025</v>
      </c>
      <c r="D37" s="8" t="s">
        <v>37</v>
      </c>
      <c r="E37" s="6"/>
    </row>
    <row r="38" customFormat="false" ht="15" hidden="false" customHeight="false" outlineLevel="0" collapsed="false">
      <c r="B38" s="6"/>
      <c r="C38" s="6"/>
      <c r="D38" s="6"/>
      <c r="E38" s="6"/>
    </row>
    <row r="39" customFormat="false" ht="15" hidden="false" customHeight="false" outlineLevel="0" collapsed="false">
      <c r="B39" s="15" t="s">
        <v>60</v>
      </c>
      <c r="C39" s="15"/>
      <c r="D39" s="15"/>
      <c r="E39" s="15"/>
    </row>
    <row r="40" customFormat="false" ht="15" hidden="false" customHeight="false" outlineLevel="0" collapsed="false">
      <c r="B40" s="8" t="s">
        <v>61</v>
      </c>
      <c r="C40" s="19" t="n">
        <v>8</v>
      </c>
      <c r="D40" s="8" t="s">
        <v>62</v>
      </c>
      <c r="E40" s="6"/>
    </row>
    <row r="41" customFormat="false" ht="15" hidden="false" customHeight="false" outlineLevel="0" collapsed="false">
      <c r="B41" s="8" t="s">
        <v>63</v>
      </c>
      <c r="C41" s="17" t="n">
        <v>250000</v>
      </c>
      <c r="D41" s="8" t="s">
        <v>64</v>
      </c>
      <c r="E41" s="6"/>
    </row>
    <row r="42" customFormat="false" ht="15" hidden="false" customHeight="false" outlineLevel="0" collapsed="false">
      <c r="B42" s="8" t="s">
        <v>65</v>
      </c>
      <c r="C42" s="17" t="n">
        <v>250000</v>
      </c>
      <c r="D42" s="8" t="s">
        <v>66</v>
      </c>
      <c r="E42" s="6"/>
    </row>
    <row r="43" customFormat="false" ht="15" hidden="false" customHeight="false" outlineLevel="0" collapsed="false">
      <c r="B43" s="8" t="s">
        <v>67</v>
      </c>
      <c r="C43" s="17" t="n">
        <v>150000</v>
      </c>
      <c r="D43" s="8" t="s">
        <v>66</v>
      </c>
      <c r="E43" s="6"/>
    </row>
    <row r="44" customFormat="false" ht="15" hidden="false" customHeight="false" outlineLevel="0" collapsed="false">
      <c r="B44" s="8" t="s">
        <v>68</v>
      </c>
      <c r="C44" s="17" t="n">
        <v>200000</v>
      </c>
      <c r="D44" s="8" t="s">
        <v>66</v>
      </c>
      <c r="E44" s="6"/>
    </row>
    <row r="45" customFormat="false" ht="15" hidden="false" customHeight="false" outlineLevel="0" collapsed="false">
      <c r="B45" s="8" t="s">
        <v>69</v>
      </c>
      <c r="C45" s="17" t="n">
        <v>75000</v>
      </c>
      <c r="D45" s="8" t="s">
        <v>66</v>
      </c>
      <c r="E4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5"/>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70</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70</v>
      </c>
      <c r="C3" s="15"/>
      <c r="D3" s="15"/>
      <c r="E3" s="15"/>
      <c r="F3" s="15"/>
      <c r="G3" s="15"/>
      <c r="H3" s="15"/>
      <c r="I3" s="15"/>
      <c r="J3" s="15"/>
      <c r="K3" s="15"/>
      <c r="L3" s="15"/>
      <c r="M3" s="1"/>
      <c r="N3" s="1"/>
      <c r="O3" s="1"/>
      <c r="P3" s="1"/>
      <c r="Q3" s="1"/>
      <c r="R3" s="1"/>
      <c r="S3" s="1"/>
      <c r="T3" s="1"/>
      <c r="U3" s="1"/>
      <c r="V3" s="1"/>
      <c r="W3" s="1"/>
      <c r="X3" s="1"/>
      <c r="Y3" s="1"/>
      <c r="Z3" s="1"/>
      <c r="AA3" s="1"/>
      <c r="AB3" s="1"/>
      <c r="AC3" s="1"/>
      <c r="AD3" s="1"/>
    </row>
    <row r="4" customFormat="false" ht="15" hidden="false" customHeight="false" outlineLevel="0" collapsed="false">
      <c r="B4" s="20"/>
      <c r="C4" s="21" t="s">
        <v>71</v>
      </c>
      <c r="D4" s="21" t="s">
        <v>72</v>
      </c>
      <c r="E4" s="21" t="s">
        <v>73</v>
      </c>
      <c r="F4" s="21" t="s">
        <v>74</v>
      </c>
      <c r="G4" s="21" t="s">
        <v>75</v>
      </c>
      <c r="H4" s="21" t="s">
        <v>76</v>
      </c>
      <c r="I4" s="21" t="s">
        <v>77</v>
      </c>
      <c r="J4" s="21" t="s">
        <v>78</v>
      </c>
      <c r="K4" s="21" t="s">
        <v>79</v>
      </c>
      <c r="L4" s="21" t="s">
        <v>80</v>
      </c>
    </row>
    <row r="5" customFormat="false" ht="15" hidden="false" customHeight="false" outlineLevel="0" collapsed="false">
      <c r="B5" s="22" t="s">
        <v>81</v>
      </c>
      <c r="C5" s="23" t="n">
        <f aca="false">OpEx_Headcount*OpEx_Avg_Comp</f>
        <v>2000000</v>
      </c>
      <c r="D5" s="23" t="n">
        <f aca="false">C5*(1+Inflation_Rate)</f>
        <v>2050000</v>
      </c>
      <c r="E5" s="23" t="n">
        <f aca="false">D5*(1+Inflation_Rate)</f>
        <v>2101250</v>
      </c>
      <c r="F5" s="23" t="n">
        <f aca="false">E5*(1+Inflation_Rate)</f>
        <v>2153781.25</v>
      </c>
      <c r="G5" s="23" t="n">
        <f aca="false">F5*(1+Inflation_Rate)</f>
        <v>2207625.78125</v>
      </c>
      <c r="H5" s="23" t="n">
        <f aca="false">G5*(1+Inflation_Rate)</f>
        <v>2262816.42578125</v>
      </c>
      <c r="I5" s="23" t="n">
        <f aca="false">H5*(1+Inflation_Rate)</f>
        <v>2319386.83642578</v>
      </c>
      <c r="J5" s="23" t="n">
        <f aca="false">I5*(1+Inflation_Rate)</f>
        <v>2377371.50733643</v>
      </c>
      <c r="K5" s="23" t="n">
        <f aca="false">J5*(1+Inflation_Rate)</f>
        <v>2436805.79501984</v>
      </c>
      <c r="L5" s="23" t="n">
        <f aca="false">K5*(1+Inflation_Rate)</f>
        <v>2497725.93989533</v>
      </c>
    </row>
    <row r="6" customFormat="false" ht="15" hidden="false" customHeight="false" outlineLevel="0" collapsed="false">
      <c r="B6" s="22" t="s">
        <v>65</v>
      </c>
      <c r="C6" s="23" t="n">
        <f aca="false">OpEx_Technology</f>
        <v>250000</v>
      </c>
      <c r="D6" s="23" t="n">
        <f aca="false">C6*(1+Inflation_Rate)</f>
        <v>256250</v>
      </c>
      <c r="E6" s="23" t="n">
        <f aca="false">D6*(1+Inflation_Rate)</f>
        <v>262656.25</v>
      </c>
      <c r="F6" s="23" t="n">
        <f aca="false">E6*(1+Inflation_Rate)</f>
        <v>269222.65625</v>
      </c>
      <c r="G6" s="23" t="n">
        <f aca="false">F6*(1+Inflation_Rate)</f>
        <v>275953.22265625</v>
      </c>
      <c r="H6" s="23" t="n">
        <f aca="false">G6*(1+Inflation_Rate)</f>
        <v>282852.053222656</v>
      </c>
      <c r="I6" s="23" t="n">
        <f aca="false">H6*(1+Inflation_Rate)</f>
        <v>289923.354553223</v>
      </c>
      <c r="J6" s="23" t="n">
        <f aca="false">I6*(1+Inflation_Rate)</f>
        <v>297171.438417053</v>
      </c>
      <c r="K6" s="23" t="n">
        <f aca="false">J6*(1+Inflation_Rate)</f>
        <v>304600.724377479</v>
      </c>
      <c r="L6" s="23" t="n">
        <f aca="false">K6*(1+Inflation_Rate)</f>
        <v>312215.742486916</v>
      </c>
    </row>
    <row r="7" customFormat="false" ht="15" hidden="false" customHeight="false" outlineLevel="0" collapsed="false">
      <c r="B7" s="22" t="s">
        <v>67</v>
      </c>
      <c r="C7" s="23" t="n">
        <f aca="false">OpEx_Prof_Fees</f>
        <v>150000</v>
      </c>
      <c r="D7" s="23" t="n">
        <f aca="false">C7*(1+Inflation_Rate)</f>
        <v>153750</v>
      </c>
      <c r="E7" s="23" t="n">
        <f aca="false">D7*(1+Inflation_Rate)</f>
        <v>157593.75</v>
      </c>
      <c r="F7" s="23" t="n">
        <f aca="false">E7*(1+Inflation_Rate)</f>
        <v>161533.59375</v>
      </c>
      <c r="G7" s="23" t="n">
        <f aca="false">F7*(1+Inflation_Rate)</f>
        <v>165571.93359375</v>
      </c>
      <c r="H7" s="23" t="n">
        <f aca="false">G7*(1+Inflation_Rate)</f>
        <v>169711.231933594</v>
      </c>
      <c r="I7" s="23" t="n">
        <f aca="false">H7*(1+Inflation_Rate)</f>
        <v>173954.012731934</v>
      </c>
      <c r="J7" s="23" t="n">
        <f aca="false">I7*(1+Inflation_Rate)</f>
        <v>178302.863050232</v>
      </c>
      <c r="K7" s="23" t="n">
        <f aca="false">J7*(1+Inflation_Rate)</f>
        <v>182760.434626488</v>
      </c>
      <c r="L7" s="23" t="n">
        <f aca="false">K7*(1+Inflation_Rate)</f>
        <v>187329.44549215</v>
      </c>
    </row>
    <row r="8" customFormat="false" ht="15" hidden="false" customHeight="false" outlineLevel="0" collapsed="false">
      <c r="B8" s="22" t="s">
        <v>68</v>
      </c>
      <c r="C8" s="23" t="n">
        <f aca="false">OpEx_Office</f>
        <v>200000</v>
      </c>
      <c r="D8" s="23" t="n">
        <f aca="false">C8*(1+Inflation_Rate)</f>
        <v>205000</v>
      </c>
      <c r="E8" s="23" t="n">
        <f aca="false">D8*(1+Inflation_Rate)</f>
        <v>210125</v>
      </c>
      <c r="F8" s="23" t="n">
        <f aca="false">E8*(1+Inflation_Rate)</f>
        <v>215378.125</v>
      </c>
      <c r="G8" s="23" t="n">
        <f aca="false">F8*(1+Inflation_Rate)</f>
        <v>220762.578125</v>
      </c>
      <c r="H8" s="23" t="n">
        <f aca="false">G8*(1+Inflation_Rate)</f>
        <v>226281.642578125</v>
      </c>
      <c r="I8" s="23" t="n">
        <f aca="false">H8*(1+Inflation_Rate)</f>
        <v>231938.683642578</v>
      </c>
      <c r="J8" s="23" t="n">
        <f aca="false">I8*(1+Inflation_Rate)</f>
        <v>237737.150733642</v>
      </c>
      <c r="K8" s="23" t="n">
        <f aca="false">J8*(1+Inflation_Rate)</f>
        <v>243680.579501983</v>
      </c>
      <c r="L8" s="23" t="n">
        <f aca="false">K8*(1+Inflation_Rate)</f>
        <v>249772.593989533</v>
      </c>
    </row>
    <row r="9" customFormat="false" ht="15" hidden="false" customHeight="false" outlineLevel="0" collapsed="false">
      <c r="B9" s="22" t="s">
        <v>69</v>
      </c>
      <c r="C9" s="23" t="n">
        <f aca="false">OpEx_Insurance</f>
        <v>75000</v>
      </c>
      <c r="D9" s="23" t="n">
        <f aca="false">C9*(1+Inflation_Rate)</f>
        <v>76875</v>
      </c>
      <c r="E9" s="23" t="n">
        <f aca="false">D9*(1+Inflation_Rate)</f>
        <v>78796.875</v>
      </c>
      <c r="F9" s="23" t="n">
        <f aca="false">E9*(1+Inflation_Rate)</f>
        <v>80766.796875</v>
      </c>
      <c r="G9" s="23" t="n">
        <f aca="false">F9*(1+Inflation_Rate)</f>
        <v>82785.966796875</v>
      </c>
      <c r="H9" s="23" t="n">
        <f aca="false">G9*(1+Inflation_Rate)</f>
        <v>84855.6159667969</v>
      </c>
      <c r="I9" s="23" t="n">
        <f aca="false">H9*(1+Inflation_Rate)</f>
        <v>86977.0063659668</v>
      </c>
      <c r="J9" s="23" t="n">
        <f aca="false">I9*(1+Inflation_Rate)</f>
        <v>89151.4315251159</v>
      </c>
      <c r="K9" s="23" t="n">
        <f aca="false">J9*(1+Inflation_Rate)</f>
        <v>91380.2173132438</v>
      </c>
      <c r="L9" s="23" t="n">
        <f aca="false">K9*(1+Inflation_Rate)</f>
        <v>93664.7227460749</v>
      </c>
    </row>
    <row r="10" customFormat="false" ht="15" hidden="false" customHeight="false" outlineLevel="0" collapsed="false">
      <c r="B10" s="6"/>
      <c r="C10" s="6"/>
      <c r="D10" s="6"/>
      <c r="E10" s="6"/>
      <c r="F10" s="6"/>
      <c r="G10" s="6"/>
      <c r="H10" s="6"/>
      <c r="I10" s="6"/>
      <c r="J10" s="6"/>
      <c r="K10" s="6"/>
      <c r="L10" s="6"/>
    </row>
    <row r="11" customFormat="false" ht="15" hidden="false" customHeight="false" outlineLevel="0" collapsed="false">
      <c r="B11" s="24" t="s">
        <v>82</v>
      </c>
      <c r="C11" s="25" t="n">
        <f aca="false">C5+C6+C7+C8+C9</f>
        <v>2675000</v>
      </c>
      <c r="D11" s="25" t="n">
        <f aca="false">D5+D6+D7+D8+D9</f>
        <v>2741875</v>
      </c>
      <c r="E11" s="25" t="n">
        <f aca="false">E5+E6+E7+E8+E9</f>
        <v>2810421.875</v>
      </c>
      <c r="F11" s="25" t="n">
        <f aca="false">F5+F6+F7+F8+F9</f>
        <v>2880682.421875</v>
      </c>
      <c r="G11" s="25" t="n">
        <f aca="false">G5+G6+G7+G8+G9</f>
        <v>2952699.48242187</v>
      </c>
      <c r="H11" s="25" t="n">
        <f aca="false">H5+H6+H7+H8+H9</f>
        <v>3026516.96948242</v>
      </c>
      <c r="I11" s="25" t="n">
        <f aca="false">I5+I6+I7+I8+I9</f>
        <v>3102179.89371948</v>
      </c>
      <c r="J11" s="25" t="n">
        <f aca="false">J5+J6+J7+J8+J9</f>
        <v>3179734.39106247</v>
      </c>
      <c r="K11" s="25" t="n">
        <f aca="false">K5+K6+K7+K8+K9</f>
        <v>3259227.75083903</v>
      </c>
      <c r="L11" s="25" t="n">
        <f aca="false">L5+L6+L7+L8+L9</f>
        <v>3340708.44461001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5"/>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83</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83</v>
      </c>
      <c r="C3" s="15"/>
      <c r="D3" s="15"/>
      <c r="E3" s="15"/>
      <c r="F3" s="15"/>
      <c r="G3" s="15"/>
      <c r="H3" s="15"/>
      <c r="I3" s="15"/>
      <c r="J3" s="15"/>
      <c r="K3" s="15"/>
      <c r="L3" s="15"/>
      <c r="M3" s="1"/>
      <c r="N3" s="1"/>
      <c r="O3" s="1"/>
      <c r="P3" s="1"/>
      <c r="Q3" s="1"/>
      <c r="R3" s="1"/>
      <c r="S3" s="1"/>
      <c r="T3" s="1"/>
      <c r="U3" s="1"/>
      <c r="V3" s="1"/>
      <c r="W3" s="1"/>
      <c r="X3" s="1"/>
      <c r="Y3" s="1"/>
      <c r="Z3" s="1"/>
      <c r="AA3" s="1"/>
      <c r="AB3" s="1"/>
      <c r="AC3" s="1"/>
      <c r="AD3" s="1"/>
    </row>
    <row r="4" customFormat="false" ht="15" hidden="false" customHeight="false" outlineLevel="0" collapsed="false">
      <c r="B4" s="20"/>
      <c r="C4" s="21" t="s">
        <v>71</v>
      </c>
      <c r="D4" s="21" t="s">
        <v>72</v>
      </c>
      <c r="E4" s="21" t="s">
        <v>73</v>
      </c>
      <c r="F4" s="21" t="s">
        <v>74</v>
      </c>
      <c r="G4" s="21" t="s">
        <v>75</v>
      </c>
      <c r="H4" s="21" t="s">
        <v>76</v>
      </c>
      <c r="I4" s="21" t="s">
        <v>77</v>
      </c>
      <c r="J4" s="21" t="s">
        <v>78</v>
      </c>
      <c r="K4" s="21" t="s">
        <v>79</v>
      </c>
      <c r="L4" s="21" t="s">
        <v>80</v>
      </c>
    </row>
    <row r="5" customFormat="false" ht="15" hidden="false" customHeight="false" outlineLevel="0" collapsed="false">
      <c r="B5" s="15" t="s">
        <v>84</v>
      </c>
      <c r="C5" s="15"/>
      <c r="D5" s="15"/>
      <c r="E5" s="15"/>
      <c r="F5" s="15"/>
      <c r="G5" s="15"/>
      <c r="H5" s="15"/>
      <c r="I5" s="15"/>
      <c r="J5" s="15"/>
      <c r="K5" s="15"/>
      <c r="L5" s="15"/>
    </row>
    <row r="6" customFormat="false" ht="15" hidden="false" customHeight="false" outlineLevel="0" collapsed="false">
      <c r="B6" s="22" t="s">
        <v>85</v>
      </c>
      <c r="C6" s="23" t="n">
        <f aca="false">Starting_AUM*Alloc_Eq</f>
        <v>200000000</v>
      </c>
      <c r="D6" s="23" t="n">
        <f aca="false">PS_End_AUM_Yr1*Alloc_Eq</f>
        <v>200328800</v>
      </c>
      <c r="E6" s="23" t="n">
        <f aca="false">PS_End_AUM_Yr2*Alloc_Eq</f>
        <v>200633149.6272</v>
      </c>
      <c r="F6" s="23" t="n">
        <f aca="false">PS_End_AUM_Yr3*Alloc_Eq</f>
        <v>200912209.125693</v>
      </c>
      <c r="G6" s="23" t="n">
        <f aca="false">PS_End_AUM_Yr4*Alloc_Eq</f>
        <v>201165116.147568</v>
      </c>
      <c r="H6" s="23" t="n">
        <f aca="false">PS_End_AUM_Yr5*Alloc_Eq</f>
        <v>201390985.176935</v>
      </c>
      <c r="I6" s="23" t="n">
        <f aca="false">PS_End_AUM_Yr6*Alloc_Eq</f>
        <v>201588906.93947</v>
      </c>
      <c r="J6" s="23" t="n">
        <f aca="false">PS_End_AUM_Yr7*Alloc_Eq</f>
        <v>201757947.797117</v>
      </c>
      <c r="K6" s="23" t="n">
        <f aca="false">PS_End_AUM_Yr8*Alloc_Eq</f>
        <v>201897149.127585</v>
      </c>
      <c r="L6" s="23" t="n">
        <f aca="false">PS_End_AUM_Yr9*Alloc_Eq</f>
        <v>202005526.688247</v>
      </c>
    </row>
    <row r="7" customFormat="false" ht="15" hidden="false" customHeight="false" outlineLevel="0" collapsed="false">
      <c r="B7" s="22" t="s">
        <v>86</v>
      </c>
      <c r="C7" s="23" t="n">
        <f aca="false">C6*Yield_Eq</f>
        <v>4000000</v>
      </c>
      <c r="D7" s="23" t="n">
        <f aca="false">D6*Yield_Eq</f>
        <v>4006576</v>
      </c>
      <c r="E7" s="23" t="n">
        <f aca="false">E6*Yield_Eq</f>
        <v>4012662.992544</v>
      </c>
      <c r="F7" s="23" t="n">
        <f aca="false">F6*Yield_Eq</f>
        <v>4018244.18251385</v>
      </c>
      <c r="G7" s="23" t="n">
        <f aca="false">G6*Yield_Eq</f>
        <v>4023302.32295136</v>
      </c>
      <c r="H7" s="23" t="n">
        <f aca="false">H6*Yield_Eq</f>
        <v>4027819.7035387</v>
      </c>
      <c r="I7" s="23" t="n">
        <f aca="false">I6*Yield_Eq</f>
        <v>4031778.13878939</v>
      </c>
      <c r="J7" s="23" t="n">
        <f aca="false">J6*Yield_Eq</f>
        <v>4035158.95594233</v>
      </c>
      <c r="K7" s="23" t="n">
        <f aca="false">K6*Yield_Eq</f>
        <v>4037942.98255169</v>
      </c>
      <c r="L7" s="23" t="n">
        <f aca="false">L6*Yield_Eq</f>
        <v>4040110.53376495</v>
      </c>
    </row>
    <row r="8" customFormat="false" ht="15" hidden="false" customHeight="false" outlineLevel="0" collapsed="false">
      <c r="B8" s="22" t="s">
        <v>87</v>
      </c>
      <c r="C8" s="23" t="n">
        <f aca="false">C6*(Return_Eq-Yield_Eq)</f>
        <v>11000000</v>
      </c>
      <c r="D8" s="23" t="n">
        <f aca="false">D6*(Return_Eq-Yield_Eq)</f>
        <v>11018084</v>
      </c>
      <c r="E8" s="23" t="n">
        <f aca="false">E6*(Return_Eq-Yield_Eq)</f>
        <v>11034823.229496</v>
      </c>
      <c r="F8" s="23" t="n">
        <f aca="false">F6*(Return_Eq-Yield_Eq)</f>
        <v>11050171.5019131</v>
      </c>
      <c r="G8" s="23" t="n">
        <f aca="false">G6*(Return_Eq-Yield_Eq)</f>
        <v>11064081.3881162</v>
      </c>
      <c r="H8" s="23" t="n">
        <f aca="false">H6*(Return_Eq-Yield_Eq)</f>
        <v>11076504.1847314</v>
      </c>
      <c r="I8" s="23" t="n">
        <f aca="false">I6*(Return_Eq-Yield_Eq)</f>
        <v>11087389.8816708</v>
      </c>
      <c r="J8" s="23" t="n">
        <f aca="false">J6*(Return_Eq-Yield_Eq)</f>
        <v>11096687.1288414</v>
      </c>
      <c r="K8" s="23" t="n">
        <f aca="false">K6*(Return_Eq-Yield_Eq)</f>
        <v>11104343.2020172</v>
      </c>
      <c r="L8" s="23" t="n">
        <f aca="false">L6*(Return_Eq-Yield_Eq)</f>
        <v>11110303.9678536</v>
      </c>
    </row>
    <row r="9" customFormat="false" ht="15" hidden="false" customHeight="false" outlineLevel="0" collapsed="false">
      <c r="B9" s="26" t="s">
        <v>88</v>
      </c>
      <c r="C9" s="27" t="n">
        <f aca="false">C6+C7+C8</f>
        <v>215000000</v>
      </c>
      <c r="D9" s="27" t="n">
        <f aca="false">D6+D7+D8</f>
        <v>215353460</v>
      </c>
      <c r="E9" s="27" t="n">
        <f aca="false">E6+E7+E8</f>
        <v>215680635.84924</v>
      </c>
      <c r="F9" s="27" t="n">
        <f aca="false">F6+F7+F8</f>
        <v>215980624.81012</v>
      </c>
      <c r="G9" s="27" t="n">
        <f aca="false">G6+G7+G8</f>
        <v>216252499.858635</v>
      </c>
      <c r="H9" s="27" t="n">
        <f aca="false">H6+H7+H8</f>
        <v>216495309.065205</v>
      </c>
      <c r="I9" s="27" t="n">
        <f aca="false">I6+I7+I8</f>
        <v>216708074.95993</v>
      </c>
      <c r="J9" s="27" t="n">
        <f aca="false">J6+J7+J8</f>
        <v>216889793.8819</v>
      </c>
      <c r="K9" s="27" t="n">
        <f aca="false">K6+K7+K8</f>
        <v>217039435.312153</v>
      </c>
      <c r="L9" s="27" t="n">
        <f aca="false">L6+L7+L8</f>
        <v>217155941.189866</v>
      </c>
    </row>
    <row r="10" customFormat="false" ht="15" hidden="false" customHeight="false" outlineLevel="0" collapsed="false">
      <c r="B10" s="6"/>
      <c r="C10" s="6"/>
      <c r="D10" s="6"/>
      <c r="E10" s="6"/>
      <c r="F10" s="6"/>
      <c r="G10" s="6"/>
      <c r="H10" s="6"/>
      <c r="I10" s="6"/>
      <c r="J10" s="6"/>
      <c r="K10" s="6"/>
      <c r="L10" s="6"/>
    </row>
    <row r="11" customFormat="false" ht="15" hidden="false" customHeight="false" outlineLevel="0" collapsed="false">
      <c r="B11" s="15" t="s">
        <v>89</v>
      </c>
      <c r="C11" s="15"/>
      <c r="D11" s="15"/>
      <c r="E11" s="15"/>
      <c r="F11" s="15"/>
      <c r="G11" s="15"/>
      <c r="H11" s="15"/>
      <c r="I11" s="15"/>
      <c r="J11" s="15"/>
      <c r="K11" s="15"/>
      <c r="L11" s="15"/>
    </row>
    <row r="12" customFormat="false" ht="15" hidden="false" customHeight="false" outlineLevel="0" collapsed="false">
      <c r="B12" s="22" t="s">
        <v>85</v>
      </c>
      <c r="C12" s="23" t="n">
        <f aca="false">Starting_AUM*Alloc_FI</f>
        <v>100000000</v>
      </c>
      <c r="D12" s="23" t="n">
        <f aca="false">PS_End_AUM_Yr1*Alloc_FI</f>
        <v>100164400</v>
      </c>
      <c r="E12" s="23" t="n">
        <f aca="false">PS_End_AUM_Yr2*Alloc_FI</f>
        <v>100316574.8136</v>
      </c>
      <c r="F12" s="23" t="n">
        <f aca="false">PS_End_AUM_Yr3*Alloc_FI</f>
        <v>100456104.562846</v>
      </c>
      <c r="G12" s="23" t="n">
        <f aca="false">PS_End_AUM_Yr4*Alloc_FI</f>
        <v>100582558.073784</v>
      </c>
      <c r="H12" s="23" t="n">
        <f aca="false">PS_End_AUM_Yr5*Alloc_FI</f>
        <v>100695492.588468</v>
      </c>
      <c r="I12" s="23" t="n">
        <f aca="false">PS_End_AUM_Yr6*Alloc_FI</f>
        <v>100794453.469735</v>
      </c>
      <c r="J12" s="23" t="n">
        <f aca="false">PS_End_AUM_Yr7*Alloc_FI</f>
        <v>100878973.898558</v>
      </c>
      <c r="K12" s="23" t="n">
        <f aca="false">PS_End_AUM_Yr8*Alloc_FI</f>
        <v>100948574.563792</v>
      </c>
      <c r="L12" s="23" t="n">
        <f aca="false">PS_End_AUM_Yr9*Alloc_FI</f>
        <v>101002763.344124</v>
      </c>
    </row>
    <row r="13" customFormat="false" ht="15" hidden="false" customHeight="false" outlineLevel="0" collapsed="false">
      <c r="B13" s="22" t="s">
        <v>86</v>
      </c>
      <c r="C13" s="23" t="n">
        <f aca="false">C12*Yield_FI</f>
        <v>4500000</v>
      </c>
      <c r="D13" s="23" t="n">
        <f aca="false">D12*Yield_FI</f>
        <v>4507398</v>
      </c>
      <c r="E13" s="23" t="n">
        <f aca="false">E12*Yield_FI</f>
        <v>4514245.866612</v>
      </c>
      <c r="F13" s="23" t="n">
        <f aca="false">F12*Yield_FI</f>
        <v>4520524.70532808</v>
      </c>
      <c r="G13" s="23" t="n">
        <f aca="false">G12*Yield_FI</f>
        <v>4526215.11332028</v>
      </c>
      <c r="H13" s="23" t="n">
        <f aca="false">H12*Yield_FI</f>
        <v>4531297.16648104</v>
      </c>
      <c r="I13" s="23" t="n">
        <f aca="false">I12*Yield_FI</f>
        <v>4535750.40613807</v>
      </c>
      <c r="J13" s="23" t="n">
        <f aca="false">J12*Yield_FI</f>
        <v>4539553.82543512</v>
      </c>
      <c r="K13" s="23" t="n">
        <f aca="false">K12*Yield_FI</f>
        <v>4542685.85537065</v>
      </c>
      <c r="L13" s="23" t="n">
        <f aca="false">L12*Yield_FI</f>
        <v>4545124.35048556</v>
      </c>
    </row>
    <row r="14" customFormat="false" ht="15" hidden="false" customHeight="false" outlineLevel="0" collapsed="false">
      <c r="B14" s="22" t="s">
        <v>87</v>
      </c>
      <c r="C14" s="23" t="n">
        <f aca="false">C12*(Return_FI-Yield_FI)</f>
        <v>0</v>
      </c>
      <c r="D14" s="23" t="n">
        <f aca="false">D12*(Return_FI-Yield_FI)</f>
        <v>0</v>
      </c>
      <c r="E14" s="23" t="n">
        <f aca="false">E12*(Return_FI-Yield_FI)</f>
        <v>0</v>
      </c>
      <c r="F14" s="23" t="n">
        <f aca="false">F12*(Return_FI-Yield_FI)</f>
        <v>0</v>
      </c>
      <c r="G14" s="23" t="n">
        <f aca="false">G12*(Return_FI-Yield_FI)</f>
        <v>0</v>
      </c>
      <c r="H14" s="23" t="n">
        <f aca="false">H12*(Return_FI-Yield_FI)</f>
        <v>0</v>
      </c>
      <c r="I14" s="23" t="n">
        <f aca="false">I12*(Return_FI-Yield_FI)</f>
        <v>0</v>
      </c>
      <c r="J14" s="23" t="n">
        <f aca="false">J12*(Return_FI-Yield_FI)</f>
        <v>0</v>
      </c>
      <c r="K14" s="23" t="n">
        <f aca="false">K12*(Return_FI-Yield_FI)</f>
        <v>0</v>
      </c>
      <c r="L14" s="23" t="n">
        <f aca="false">L12*(Return_FI-Yield_FI)</f>
        <v>0</v>
      </c>
    </row>
    <row r="15" customFormat="false" ht="15" hidden="false" customHeight="false" outlineLevel="0" collapsed="false">
      <c r="B15" s="26" t="s">
        <v>88</v>
      </c>
      <c r="C15" s="27" t="n">
        <f aca="false">C12+C13+C14</f>
        <v>104500000</v>
      </c>
      <c r="D15" s="27" t="n">
        <f aca="false">D12+D13+D14</f>
        <v>104671798</v>
      </c>
      <c r="E15" s="27" t="n">
        <f aca="false">E12+E13+E14</f>
        <v>104830820.680212</v>
      </c>
      <c r="F15" s="27" t="n">
        <f aca="false">F12+F13+F14</f>
        <v>104976629.268174</v>
      </c>
      <c r="G15" s="27" t="n">
        <f aca="false">G12+G13+G14</f>
        <v>105108773.187104</v>
      </c>
      <c r="H15" s="27" t="n">
        <f aca="false">H12+H13+H14</f>
        <v>105226789.754949</v>
      </c>
      <c r="I15" s="27" t="n">
        <f aca="false">I12+I13+I14</f>
        <v>105330203.875873</v>
      </c>
      <c r="J15" s="27" t="n">
        <f aca="false">J12+J13+J14</f>
        <v>105418527.723993</v>
      </c>
      <c r="K15" s="27" t="n">
        <f aca="false">K12+K13+K14</f>
        <v>105491260.419163</v>
      </c>
      <c r="L15" s="27" t="n">
        <f aca="false">L12+L13+L14</f>
        <v>105547887.694609</v>
      </c>
    </row>
    <row r="16" customFormat="false" ht="15" hidden="false" customHeight="false" outlineLevel="0" collapsed="false">
      <c r="B16" s="6"/>
      <c r="C16" s="6"/>
      <c r="D16" s="6"/>
      <c r="E16" s="6"/>
      <c r="F16" s="6"/>
      <c r="G16" s="6"/>
      <c r="H16" s="6"/>
      <c r="I16" s="6"/>
      <c r="J16" s="6"/>
      <c r="K16" s="6"/>
      <c r="L16" s="6"/>
    </row>
    <row r="17" customFormat="false" ht="15" hidden="false" customHeight="false" outlineLevel="0" collapsed="false">
      <c r="B17" s="15" t="s">
        <v>90</v>
      </c>
      <c r="C17" s="15"/>
      <c r="D17" s="15"/>
      <c r="E17" s="15"/>
      <c r="F17" s="15"/>
      <c r="G17" s="15"/>
      <c r="H17" s="15"/>
      <c r="I17" s="15"/>
      <c r="J17" s="15"/>
      <c r="K17" s="15"/>
      <c r="L17" s="15"/>
    </row>
    <row r="18" customFormat="false" ht="15" hidden="false" customHeight="false" outlineLevel="0" collapsed="false">
      <c r="B18" s="22" t="s">
        <v>85</v>
      </c>
      <c r="C18" s="23" t="n">
        <f aca="false">Starting_AUM*Alloc_Alt</f>
        <v>125000000</v>
      </c>
      <c r="D18" s="23" t="n">
        <f aca="false">PS_End_AUM_Yr1*Alloc_Alt</f>
        <v>125205500</v>
      </c>
      <c r="E18" s="23" t="n">
        <f aca="false">PS_End_AUM_Yr2*Alloc_Alt</f>
        <v>125395718.517</v>
      </c>
      <c r="F18" s="23" t="n">
        <f aca="false">PS_End_AUM_Yr3*Alloc_Alt</f>
        <v>125570130.703558</v>
      </c>
      <c r="G18" s="23" t="n">
        <f aca="false">PS_End_AUM_Yr4*Alloc_Alt</f>
        <v>125728197.59223</v>
      </c>
      <c r="H18" s="23" t="n">
        <f aca="false">PS_End_AUM_Yr5*Alloc_Alt</f>
        <v>125869365.735584</v>
      </c>
      <c r="I18" s="23" t="n">
        <f aca="false">PS_End_AUM_Yr6*Alloc_Alt</f>
        <v>125993066.837169</v>
      </c>
      <c r="J18" s="23" t="n">
        <f aca="false">PS_End_AUM_Yr7*Alloc_Alt</f>
        <v>126098717.373198</v>
      </c>
      <c r="K18" s="23" t="n">
        <f aca="false">PS_End_AUM_Yr8*Alloc_Alt</f>
        <v>126185718.20474</v>
      </c>
      <c r="L18" s="23" t="n">
        <f aca="false">PS_End_AUM_Yr9*Alloc_Alt</f>
        <v>126253454.180155</v>
      </c>
    </row>
    <row r="19" customFormat="false" ht="15" hidden="false" customHeight="false" outlineLevel="0" collapsed="false">
      <c r="B19" s="22" t="s">
        <v>86</v>
      </c>
      <c r="C19" s="23" t="n">
        <f aca="false">C18*Yield_Alt</f>
        <v>3750000</v>
      </c>
      <c r="D19" s="23" t="n">
        <f aca="false">D18*Yield_Alt</f>
        <v>3756165</v>
      </c>
      <c r="E19" s="23" t="n">
        <f aca="false">E18*Yield_Alt</f>
        <v>3761871.55551</v>
      </c>
      <c r="F19" s="23" t="n">
        <f aca="false">F18*Yield_Alt</f>
        <v>3767103.92110674</v>
      </c>
      <c r="G19" s="23" t="n">
        <f aca="false">G18*Yield_Alt</f>
        <v>3771845.9277669</v>
      </c>
      <c r="H19" s="23" t="n">
        <f aca="false">H18*Yield_Alt</f>
        <v>3776080.97206753</v>
      </c>
      <c r="I19" s="23" t="n">
        <f aca="false">I18*Yield_Alt</f>
        <v>3779792.00511506</v>
      </c>
      <c r="J19" s="23" t="n">
        <f aca="false">J18*Yield_Alt</f>
        <v>3782961.52119593</v>
      </c>
      <c r="K19" s="23" t="n">
        <f aca="false">K18*Yield_Alt</f>
        <v>3785571.54614221</v>
      </c>
      <c r="L19" s="23" t="n">
        <f aca="false">L18*Yield_Alt</f>
        <v>3787603.62540464</v>
      </c>
    </row>
    <row r="20" customFormat="false" ht="15" hidden="false" customHeight="false" outlineLevel="0" collapsed="false">
      <c r="B20" s="22" t="s">
        <v>87</v>
      </c>
      <c r="C20" s="23" t="n">
        <f aca="false">C18*(Return_Alt-Yield_Alt)</f>
        <v>11250000</v>
      </c>
      <c r="D20" s="23" t="n">
        <f aca="false">D18*(Return_Alt-Yield_Alt)</f>
        <v>11268495</v>
      </c>
      <c r="E20" s="23" t="n">
        <f aca="false">E18*(Return_Alt-Yield_Alt)</f>
        <v>11285614.66653</v>
      </c>
      <c r="F20" s="23" t="n">
        <f aca="false">F18*(Return_Alt-Yield_Alt)</f>
        <v>11301311.7633202</v>
      </c>
      <c r="G20" s="23" t="n">
        <f aca="false">G18*(Return_Alt-Yield_Alt)</f>
        <v>11315537.7833007</v>
      </c>
      <c r="H20" s="23" t="n">
        <f aca="false">H18*(Return_Alt-Yield_Alt)</f>
        <v>11328242.9162026</v>
      </c>
      <c r="I20" s="23" t="n">
        <f aca="false">I18*(Return_Alt-Yield_Alt)</f>
        <v>11339376.0153452</v>
      </c>
      <c r="J20" s="23" t="n">
        <f aca="false">J18*(Return_Alt-Yield_Alt)</f>
        <v>11348884.5635878</v>
      </c>
      <c r="K20" s="23" t="n">
        <f aca="false">K18*(Return_Alt-Yield_Alt)</f>
        <v>11356714.6384266</v>
      </c>
      <c r="L20" s="23" t="n">
        <f aca="false">L18*(Return_Alt-Yield_Alt)</f>
        <v>11362810.8762139</v>
      </c>
    </row>
    <row r="21" customFormat="false" ht="15" hidden="false" customHeight="false" outlineLevel="0" collapsed="false">
      <c r="B21" s="26" t="s">
        <v>88</v>
      </c>
      <c r="C21" s="27" t="n">
        <f aca="false">C18+C19+C20</f>
        <v>140000000</v>
      </c>
      <c r="D21" s="27" t="n">
        <f aca="false">D18+D19+D20</f>
        <v>140230160</v>
      </c>
      <c r="E21" s="27" t="n">
        <f aca="false">E18+E19+E20</f>
        <v>140443204.73904</v>
      </c>
      <c r="F21" s="27" t="n">
        <f aca="false">F18+F19+F20</f>
        <v>140638546.387985</v>
      </c>
      <c r="G21" s="27" t="n">
        <f aca="false">G18+G19+G20</f>
        <v>140815581.303297</v>
      </c>
      <c r="H21" s="27" t="n">
        <f aca="false">H18+H19+H20</f>
        <v>140973689.623855</v>
      </c>
      <c r="I21" s="27" t="n">
        <f aca="false">I18+I19+I20</f>
        <v>141112234.857629</v>
      </c>
      <c r="J21" s="27" t="n">
        <f aca="false">J18+J19+J20</f>
        <v>141230563.457982</v>
      </c>
      <c r="K21" s="27" t="n">
        <f aca="false">K18+K19+K20</f>
        <v>141328004.389309</v>
      </c>
      <c r="L21" s="27" t="n">
        <f aca="false">L18+L19+L20</f>
        <v>141403868.681773</v>
      </c>
    </row>
    <row r="22" customFormat="false" ht="15" hidden="false" customHeight="false" outlineLevel="0" collapsed="false">
      <c r="B22" s="6"/>
      <c r="C22" s="6"/>
      <c r="D22" s="6"/>
      <c r="E22" s="6"/>
      <c r="F22" s="6"/>
      <c r="G22" s="6"/>
      <c r="H22" s="6"/>
      <c r="I22" s="6"/>
      <c r="J22" s="6"/>
      <c r="K22" s="6"/>
      <c r="L22" s="6"/>
    </row>
    <row r="23" customFormat="false" ht="15" hidden="false" customHeight="false" outlineLevel="0" collapsed="false">
      <c r="B23" s="15" t="s">
        <v>91</v>
      </c>
      <c r="C23" s="15"/>
      <c r="D23" s="15"/>
      <c r="E23" s="15"/>
      <c r="F23" s="15"/>
      <c r="G23" s="15"/>
      <c r="H23" s="15"/>
      <c r="I23" s="15"/>
      <c r="J23" s="15"/>
      <c r="K23" s="15"/>
      <c r="L23" s="15"/>
    </row>
    <row r="24" customFormat="false" ht="15" hidden="false" customHeight="false" outlineLevel="0" collapsed="false">
      <c r="B24" s="22" t="s">
        <v>85</v>
      </c>
      <c r="C24" s="23" t="n">
        <f aca="false">Starting_AUM*Alloc_RE</f>
        <v>50000000</v>
      </c>
      <c r="D24" s="23" t="n">
        <f aca="false">PS_End_AUM_Yr1*Alloc_RE</f>
        <v>50082200</v>
      </c>
      <c r="E24" s="23" t="n">
        <f aca="false">PS_End_AUM_Yr2*Alloc_RE</f>
        <v>50158287.4068</v>
      </c>
      <c r="F24" s="23" t="n">
        <f aca="false">PS_End_AUM_Yr3*Alloc_RE</f>
        <v>50228052.2814232</v>
      </c>
      <c r="G24" s="23" t="n">
        <f aca="false">PS_End_AUM_Yr4*Alloc_RE</f>
        <v>50291279.0368919</v>
      </c>
      <c r="H24" s="23" t="n">
        <f aca="false">PS_End_AUM_Yr5*Alloc_RE</f>
        <v>50347746.2942338</v>
      </c>
      <c r="I24" s="23" t="n">
        <f aca="false">PS_End_AUM_Yr6*Alloc_RE</f>
        <v>50397226.7348674</v>
      </c>
      <c r="J24" s="23" t="n">
        <f aca="false">PS_End_AUM_Yr7*Alloc_RE</f>
        <v>50439486.9492791</v>
      </c>
      <c r="K24" s="23" t="n">
        <f aca="false">PS_End_AUM_Yr8*Alloc_RE</f>
        <v>50474287.2818961</v>
      </c>
      <c r="L24" s="23" t="n">
        <f aca="false">PS_End_AUM_Yr9*Alloc_RE</f>
        <v>50501381.6720618</v>
      </c>
    </row>
    <row r="25" customFormat="false" ht="15" hidden="false" customHeight="false" outlineLevel="0" collapsed="false">
      <c r="B25" s="22" t="s">
        <v>86</v>
      </c>
      <c r="C25" s="23" t="n">
        <f aca="false">C24*Yield_RE</f>
        <v>2000000</v>
      </c>
      <c r="D25" s="23" t="n">
        <f aca="false">D24*Yield_RE</f>
        <v>2003288</v>
      </c>
      <c r="E25" s="23" t="n">
        <f aca="false">E24*Yield_RE</f>
        <v>2006331.496272</v>
      </c>
      <c r="F25" s="23" t="n">
        <f aca="false">F24*Yield_RE</f>
        <v>2009122.09125693</v>
      </c>
      <c r="G25" s="23" t="n">
        <f aca="false">G24*Yield_RE</f>
        <v>2011651.16147568</v>
      </c>
      <c r="H25" s="23" t="n">
        <f aca="false">H24*Yield_RE</f>
        <v>2013909.85176935</v>
      </c>
      <c r="I25" s="23" t="n">
        <f aca="false">I24*Yield_RE</f>
        <v>2015889.0693947</v>
      </c>
      <c r="J25" s="23" t="n">
        <f aca="false">J24*Yield_RE</f>
        <v>2017579.47797117</v>
      </c>
      <c r="K25" s="23" t="n">
        <f aca="false">K24*Yield_RE</f>
        <v>2018971.49127585</v>
      </c>
      <c r="L25" s="23" t="n">
        <f aca="false">L24*Yield_RE</f>
        <v>2020055.26688247</v>
      </c>
    </row>
    <row r="26" customFormat="false" ht="15" hidden="false" customHeight="false" outlineLevel="0" collapsed="false">
      <c r="B26" s="22" t="s">
        <v>87</v>
      </c>
      <c r="C26" s="23" t="n">
        <f aca="false">C24*(Return_RE-Yield_RE)</f>
        <v>1500000</v>
      </c>
      <c r="D26" s="23" t="n">
        <f aca="false">D24*(Return_RE-Yield_RE)</f>
        <v>1502466</v>
      </c>
      <c r="E26" s="23" t="n">
        <f aca="false">E24*(Return_RE-Yield_RE)</f>
        <v>1504748.622204</v>
      </c>
      <c r="F26" s="23" t="n">
        <f aca="false">F24*(Return_RE-Yield_RE)</f>
        <v>1506841.5684427</v>
      </c>
      <c r="G26" s="23" t="n">
        <f aca="false">G24*(Return_RE-Yield_RE)</f>
        <v>1508738.37110676</v>
      </c>
      <c r="H26" s="23" t="n">
        <f aca="false">H24*(Return_RE-Yield_RE)</f>
        <v>1510432.38882701</v>
      </c>
      <c r="I26" s="23" t="n">
        <f aca="false">I24*(Return_RE-Yield_RE)</f>
        <v>1511916.80204602</v>
      </c>
      <c r="J26" s="23" t="n">
        <f aca="false">J24*(Return_RE-Yield_RE)</f>
        <v>1513184.60847837</v>
      </c>
      <c r="K26" s="23" t="n">
        <f aca="false">K24*(Return_RE-Yield_RE)</f>
        <v>1514228.61845688</v>
      </c>
      <c r="L26" s="23" t="n">
        <f aca="false">L24*(Return_RE-Yield_RE)</f>
        <v>1515041.45016186</v>
      </c>
    </row>
    <row r="27" customFormat="false" ht="15" hidden="false" customHeight="false" outlineLevel="0" collapsed="false">
      <c r="B27" s="26" t="s">
        <v>88</v>
      </c>
      <c r="C27" s="27" t="n">
        <f aca="false">C24+C25+C26</f>
        <v>53500000</v>
      </c>
      <c r="D27" s="27" t="n">
        <f aca="false">D24+D25+D26</f>
        <v>53587954</v>
      </c>
      <c r="E27" s="27" t="n">
        <f aca="false">E24+E25+E26</f>
        <v>53669367.525276</v>
      </c>
      <c r="F27" s="27" t="n">
        <f aca="false">F24+F25+F26</f>
        <v>53744015.9411228</v>
      </c>
      <c r="G27" s="27" t="n">
        <f aca="false">G24+G25+G26</f>
        <v>53811668.5694744</v>
      </c>
      <c r="H27" s="27" t="n">
        <f aca="false">H24+H25+H26</f>
        <v>53872088.5348301</v>
      </c>
      <c r="I27" s="27" t="n">
        <f aca="false">I24+I25+I26</f>
        <v>53925032.6063081</v>
      </c>
      <c r="J27" s="27" t="n">
        <f aca="false">J24+J25+J26</f>
        <v>53970251.0357287</v>
      </c>
      <c r="K27" s="27" t="n">
        <f aca="false">K24+K25+K26</f>
        <v>54007487.3916289</v>
      </c>
      <c r="L27" s="27" t="n">
        <f aca="false">L24+L25+L26</f>
        <v>54036478.3891062</v>
      </c>
    </row>
    <row r="28" customFormat="false" ht="15" hidden="false" customHeight="false" outlineLevel="0" collapsed="false">
      <c r="B28" s="6"/>
      <c r="C28" s="6"/>
      <c r="D28" s="6"/>
      <c r="E28" s="6"/>
      <c r="F28" s="6"/>
      <c r="G28" s="6"/>
      <c r="H28" s="6"/>
      <c r="I28" s="6"/>
      <c r="J28" s="6"/>
      <c r="K28" s="6"/>
      <c r="L28" s="6"/>
    </row>
    <row r="29" customFormat="false" ht="15" hidden="false" customHeight="false" outlineLevel="0" collapsed="false">
      <c r="B29" s="15" t="s">
        <v>92</v>
      </c>
      <c r="C29" s="15"/>
      <c r="D29" s="15"/>
      <c r="E29" s="15"/>
      <c r="F29" s="15"/>
      <c r="G29" s="15"/>
      <c r="H29" s="15"/>
      <c r="I29" s="15"/>
      <c r="J29" s="15"/>
      <c r="K29" s="15"/>
      <c r="L29" s="15"/>
    </row>
    <row r="30" customFormat="false" ht="15" hidden="false" customHeight="false" outlineLevel="0" collapsed="false">
      <c r="B30" s="22" t="s">
        <v>85</v>
      </c>
      <c r="C30" s="23" t="n">
        <f aca="false">Starting_AUM*Alloc_Cash</f>
        <v>25000000</v>
      </c>
      <c r="D30" s="23" t="n">
        <f aca="false">PS_End_AUM_Yr1*Alloc_Cash</f>
        <v>25041100</v>
      </c>
      <c r="E30" s="23" t="n">
        <f aca="false">PS_End_AUM_Yr2*Alloc_Cash</f>
        <v>25079143.7034</v>
      </c>
      <c r="F30" s="23" t="n">
        <f aca="false">PS_End_AUM_Yr3*Alloc_Cash</f>
        <v>25114026.1407116</v>
      </c>
      <c r="G30" s="23" t="n">
        <f aca="false">PS_End_AUM_Yr4*Alloc_Cash</f>
        <v>25145639.518446</v>
      </c>
      <c r="H30" s="23" t="n">
        <f aca="false">PS_End_AUM_Yr5*Alloc_Cash</f>
        <v>25173873.1471169</v>
      </c>
      <c r="I30" s="23" t="n">
        <f aca="false">PS_End_AUM_Yr6*Alloc_Cash</f>
        <v>25198613.3674337</v>
      </c>
      <c r="J30" s="23" t="n">
        <f aca="false">PS_End_AUM_Yr7*Alloc_Cash</f>
        <v>25219743.4746396</v>
      </c>
      <c r="K30" s="23" t="n">
        <f aca="false">PS_End_AUM_Yr8*Alloc_Cash</f>
        <v>25237143.6409481</v>
      </c>
      <c r="L30" s="23" t="n">
        <f aca="false">PS_End_AUM_Yr9*Alloc_Cash</f>
        <v>25250690.8360309</v>
      </c>
    </row>
    <row r="31" customFormat="false" ht="15" hidden="false" customHeight="false" outlineLevel="0" collapsed="false">
      <c r="B31" s="22" t="s">
        <v>86</v>
      </c>
      <c r="C31" s="23" t="n">
        <f aca="false">C30*Yield_Cash</f>
        <v>1000000</v>
      </c>
      <c r="D31" s="23" t="n">
        <f aca="false">D30*Yield_Cash</f>
        <v>1001644</v>
      </c>
      <c r="E31" s="23" t="n">
        <f aca="false">E30*Yield_Cash</f>
        <v>1003165.748136</v>
      </c>
      <c r="F31" s="23" t="n">
        <f aca="false">F30*Yield_Cash</f>
        <v>1004561.04562846</v>
      </c>
      <c r="G31" s="23" t="n">
        <f aca="false">G30*Yield_Cash</f>
        <v>1005825.58073784</v>
      </c>
      <c r="H31" s="23" t="n">
        <f aca="false">H30*Yield_Cash</f>
        <v>1006954.92588468</v>
      </c>
      <c r="I31" s="23" t="n">
        <f aca="false">I30*Yield_Cash</f>
        <v>1007944.53469735</v>
      </c>
      <c r="J31" s="23" t="n">
        <f aca="false">J30*Yield_Cash</f>
        <v>1008789.73898558</v>
      </c>
      <c r="K31" s="23" t="n">
        <f aca="false">K30*Yield_Cash</f>
        <v>1009485.74563792</v>
      </c>
      <c r="L31" s="23" t="n">
        <f aca="false">L30*Yield_Cash</f>
        <v>1010027.63344124</v>
      </c>
    </row>
    <row r="32" customFormat="false" ht="15" hidden="false" customHeight="false" outlineLevel="0" collapsed="false">
      <c r="B32" s="22" t="s">
        <v>87</v>
      </c>
      <c r="C32" s="23" t="n">
        <f aca="false">0</f>
        <v>0</v>
      </c>
      <c r="D32" s="23" t="n">
        <f aca="false">0</f>
        <v>0</v>
      </c>
      <c r="E32" s="23" t="n">
        <f aca="false">0</f>
        <v>0</v>
      </c>
      <c r="F32" s="23" t="n">
        <f aca="false">0</f>
        <v>0</v>
      </c>
      <c r="G32" s="23" t="n">
        <f aca="false">0</f>
        <v>0</v>
      </c>
      <c r="H32" s="23" t="n">
        <f aca="false">0</f>
        <v>0</v>
      </c>
      <c r="I32" s="23" t="n">
        <f aca="false">0</f>
        <v>0</v>
      </c>
      <c r="J32" s="23" t="n">
        <f aca="false">0</f>
        <v>0</v>
      </c>
      <c r="K32" s="23" t="n">
        <f aca="false">0</f>
        <v>0</v>
      </c>
      <c r="L32" s="23" t="n">
        <f aca="false">0</f>
        <v>0</v>
      </c>
    </row>
    <row r="33" customFormat="false" ht="15" hidden="false" customHeight="false" outlineLevel="0" collapsed="false">
      <c r="B33" s="26" t="s">
        <v>88</v>
      </c>
      <c r="C33" s="27" t="n">
        <f aca="false">C30+C31+C32</f>
        <v>26000000</v>
      </c>
      <c r="D33" s="27" t="n">
        <f aca="false">D30+D31+D32</f>
        <v>26042744</v>
      </c>
      <c r="E33" s="27" t="n">
        <f aca="false">E30+E31+E32</f>
        <v>26082309.451536</v>
      </c>
      <c r="F33" s="27" t="n">
        <f aca="false">F30+F31+F32</f>
        <v>26118587.18634</v>
      </c>
      <c r="G33" s="27" t="n">
        <f aca="false">G30+G31+G32</f>
        <v>26151465.0991838</v>
      </c>
      <c r="H33" s="27" t="n">
        <f aca="false">H30+H31+H32</f>
        <v>26180828.0730016</v>
      </c>
      <c r="I33" s="27" t="n">
        <f aca="false">I30+I31+I32</f>
        <v>26206557.9021311</v>
      </c>
      <c r="J33" s="27" t="n">
        <f aca="false">J30+J31+J32</f>
        <v>26228533.2136251</v>
      </c>
      <c r="K33" s="27" t="n">
        <f aca="false">K30+K31+K32</f>
        <v>26246629.386586</v>
      </c>
      <c r="L33" s="27" t="n">
        <f aca="false">L30+L31+L32</f>
        <v>26260718.4694722</v>
      </c>
    </row>
    <row r="34" customFormat="false" ht="15" hidden="false" customHeight="false" outlineLevel="0" collapsed="false">
      <c r="B34" s="6"/>
      <c r="C34" s="6"/>
      <c r="D34" s="6"/>
      <c r="E34" s="6"/>
      <c r="F34" s="6"/>
      <c r="G34" s="6"/>
      <c r="H34" s="6"/>
      <c r="I34" s="6"/>
      <c r="J34" s="6"/>
      <c r="K34" s="6"/>
      <c r="L34" s="6"/>
    </row>
    <row r="35" customFormat="false" ht="15" hidden="false" customHeight="false" outlineLevel="0" collapsed="false">
      <c r="B35" s="26" t="s">
        <v>93</v>
      </c>
      <c r="C35" s="27" t="n">
        <f aca="false">C9+C15+C21+C27+C33</f>
        <v>539000000</v>
      </c>
      <c r="D35" s="27" t="n">
        <f aca="false">D9+D15+D21+D27+D33</f>
        <v>539886116</v>
      </c>
      <c r="E35" s="27" t="n">
        <f aca="false">E9+E15+E21+E27+E33</f>
        <v>540706338.245304</v>
      </c>
      <c r="F35" s="27" t="n">
        <f aca="false">F9+F15+F21+F27+F33</f>
        <v>541458403.593742</v>
      </c>
      <c r="G35" s="27" t="n">
        <f aca="false">G9+G15+G21+G27+G33</f>
        <v>542139988.017695</v>
      </c>
      <c r="H35" s="27" t="n">
        <f aca="false">H9+H15+H21+H27+H33</f>
        <v>542748705.05184</v>
      </c>
      <c r="I35" s="27" t="n">
        <f aca="false">I9+I15+I21+I27+I33</f>
        <v>543282104.201871</v>
      </c>
      <c r="J35" s="27" t="n">
        <f aca="false">J9+J15+J21+J27+J33</f>
        <v>543737669.313229</v>
      </c>
      <c r="K35" s="27" t="n">
        <f aca="false">K9+K15+K21+K27+K33</f>
        <v>544112816.89884</v>
      </c>
      <c r="L35" s="27" t="n">
        <f aca="false">L9+L15+L21+L27+L33</f>
        <v>544404894.424827</v>
      </c>
    </row>
    <row r="36" customFormat="false" ht="15" hidden="false" customHeight="false" outlineLevel="0" collapsed="false">
      <c r="B36" s="6"/>
      <c r="C36" s="6"/>
      <c r="D36" s="6"/>
      <c r="E36" s="6"/>
      <c r="F36" s="6"/>
      <c r="G36" s="6"/>
      <c r="H36" s="6"/>
      <c r="I36" s="6"/>
      <c r="J36" s="6"/>
      <c r="K36" s="6"/>
      <c r="L36" s="6"/>
    </row>
    <row r="37" customFormat="false" ht="15" hidden="false" customHeight="false" outlineLevel="0" collapsed="false">
      <c r="B37" s="28" t="s">
        <v>94</v>
      </c>
      <c r="C37" s="28"/>
      <c r="D37" s="28"/>
      <c r="E37" s="28"/>
      <c r="F37" s="28"/>
      <c r="G37" s="28"/>
      <c r="H37" s="28"/>
      <c r="I37" s="28"/>
      <c r="J37" s="28"/>
      <c r="K37" s="28"/>
      <c r="L37" s="28"/>
    </row>
    <row r="38" customFormat="false" ht="15" hidden="false" customHeight="false" outlineLevel="0" collapsed="false">
      <c r="B38" s="22" t="s">
        <v>95</v>
      </c>
      <c r="C38" s="23" t="n">
        <f aca="false">C35*Alloc_Eq-C9</f>
        <v>600000</v>
      </c>
      <c r="D38" s="23" t="n">
        <f aca="false">D35*Alloc_Eq-D9</f>
        <v>600986.400000006</v>
      </c>
      <c r="E38" s="23" t="n">
        <f aca="false">E35*Alloc_Eq-E9</f>
        <v>601899.448881656</v>
      </c>
      <c r="F38" s="23" t="n">
        <f aca="false">F35*Alloc_Eq-F9</f>
        <v>602736.627377093</v>
      </c>
      <c r="G38" s="23" t="n">
        <f aca="false">G35*Alloc_Eq-G9</f>
        <v>603495.348442733</v>
      </c>
      <c r="H38" s="23" t="n">
        <f aca="false">H35*Alloc_Eq-H9</f>
        <v>604172.955530822</v>
      </c>
      <c r="I38" s="23" t="n">
        <f aca="false">I35*Alloc_Eq-I9</f>
        <v>604766.72081846</v>
      </c>
      <c r="J38" s="23" t="n">
        <f aca="false">J35*Alloc_Eq-J9</f>
        <v>605273.843391389</v>
      </c>
      <c r="K38" s="23" t="n">
        <f aca="false">K35*Alloc_Eq-K9</f>
        <v>605691.447382748</v>
      </c>
      <c r="L38" s="23" t="n">
        <f aca="false">L35*Alloc_Eq-L9</f>
        <v>606016.580064714</v>
      </c>
    </row>
    <row r="39" customFormat="false" ht="15" hidden="false" customHeight="false" outlineLevel="0" collapsed="false">
      <c r="B39" s="22" t="s">
        <v>96</v>
      </c>
      <c r="C39" s="23" t="n">
        <f aca="false">C35*Alloc_FI-C15</f>
        <v>3300000</v>
      </c>
      <c r="D39" s="23" t="n">
        <f aca="false">D35*Alloc_FI-D15</f>
        <v>3305425.2</v>
      </c>
      <c r="E39" s="23" t="n">
        <f aca="false">E35*Alloc_FI-E15</f>
        <v>3310446.96884882</v>
      </c>
      <c r="F39" s="23" t="n">
        <f aca="false">F35*Alloc_FI-F15</f>
        <v>3315051.45057395</v>
      </c>
      <c r="G39" s="23" t="n">
        <f aca="false">G35*Alloc_FI-G15</f>
        <v>3319224.41643488</v>
      </c>
      <c r="H39" s="23" t="n">
        <f aca="false">H35*Alloc_FI-H15</f>
        <v>3322951.25541943</v>
      </c>
      <c r="I39" s="23" t="n">
        <f aca="false">I35*Alloc_FI-I15</f>
        <v>3326216.96450128</v>
      </c>
      <c r="J39" s="23" t="n">
        <f aca="false">J35*Alloc_FI-J15</f>
        <v>3329006.13865244</v>
      </c>
      <c r="K39" s="23" t="n">
        <f aca="false">K35*Alloc_FI-K15</f>
        <v>3331302.96060514</v>
      </c>
      <c r="L39" s="23" t="n">
        <f aca="false">L35*Alloc_FI-L15</f>
        <v>3333091.19035608</v>
      </c>
    </row>
    <row r="40" customFormat="false" ht="15" hidden="false" customHeight="false" outlineLevel="0" collapsed="false">
      <c r="B40" s="22" t="s">
        <v>97</v>
      </c>
      <c r="C40" s="23" t="n">
        <f aca="false">C35*Alloc_Alt-C21</f>
        <v>-5250000</v>
      </c>
      <c r="D40" s="23" t="n">
        <f aca="false">D35*Alloc_Alt-D21</f>
        <v>-5258631</v>
      </c>
      <c r="E40" s="23" t="n">
        <f aca="false">E35*Alloc_Alt-E21</f>
        <v>-5266620.17771399</v>
      </c>
      <c r="F40" s="23" t="n">
        <f aca="false">F35*Alloc_Alt-F21</f>
        <v>-5273945.48954943</v>
      </c>
      <c r="G40" s="23" t="n">
        <f aca="false">G35*Alloc_Alt-G21</f>
        <v>-5280584.29887363</v>
      </c>
      <c r="H40" s="23" t="n">
        <f aca="false">H35*Alloc_Alt-H21</f>
        <v>-5286513.36089453</v>
      </c>
      <c r="I40" s="23" t="n">
        <f aca="false">I35*Alloc_Alt-I21</f>
        <v>-5291708.80716106</v>
      </c>
      <c r="J40" s="23" t="n">
        <f aca="false">J35*Alloc_Alt-J21</f>
        <v>-5296146.12967429</v>
      </c>
      <c r="K40" s="23" t="n">
        <f aca="false">K35*Alloc_Alt-K21</f>
        <v>-5299800.16459909</v>
      </c>
      <c r="L40" s="23" t="n">
        <f aca="false">L35*Alloc_Alt-L21</f>
        <v>-5302645.0755665</v>
      </c>
    </row>
    <row r="41" customFormat="false" ht="15" hidden="false" customHeight="false" outlineLevel="0" collapsed="false">
      <c r="B41" s="22" t="s">
        <v>98</v>
      </c>
      <c r="C41" s="23" t="n">
        <f aca="false">C35*Alloc_RE-C27</f>
        <v>400000</v>
      </c>
      <c r="D41" s="23" t="n">
        <f aca="false">D35*Alloc_RE-D27</f>
        <v>400657.600000002</v>
      </c>
      <c r="E41" s="23" t="n">
        <f aca="false">E35*Alloc_RE-E27</f>
        <v>401266.299254417</v>
      </c>
      <c r="F41" s="23" t="n">
        <f aca="false">F35*Alloc_RE-F27</f>
        <v>401824.418251395</v>
      </c>
      <c r="G41" s="23" t="n">
        <f aca="false">G35*Alloc_RE-G27</f>
        <v>402330.232295141</v>
      </c>
      <c r="H41" s="23" t="n">
        <f aca="false">H35*Alloc_RE-H27</f>
        <v>402781.970353879</v>
      </c>
      <c r="I41" s="23" t="n">
        <f aca="false">I35*Alloc_RE-I27</f>
        <v>403177.813878946</v>
      </c>
      <c r="J41" s="23" t="n">
        <f aca="false">J35*Alloc_RE-J27</f>
        <v>403515.895594239</v>
      </c>
      <c r="K41" s="23" t="n">
        <f aca="false">K35*Alloc_RE-K27</f>
        <v>403794.298255168</v>
      </c>
      <c r="L41" s="23" t="n">
        <f aca="false">L35*Alloc_RE-L27</f>
        <v>404011.053376496</v>
      </c>
    </row>
    <row r="42" customFormat="false" ht="15" hidden="false" customHeight="false" outlineLevel="0" collapsed="false">
      <c r="B42" s="22" t="s">
        <v>99</v>
      </c>
      <c r="C42" s="23" t="n">
        <f aca="false">C35*Alloc_Cash-C33</f>
        <v>950000</v>
      </c>
      <c r="D42" s="23" t="n">
        <f aca="false">D35*Alloc_Cash-D33</f>
        <v>951561.800000001</v>
      </c>
      <c r="E42" s="23" t="n">
        <f aca="false">E35*Alloc_Cash-E33</f>
        <v>953007.460729208</v>
      </c>
      <c r="F42" s="23" t="n">
        <f aca="false">F35*Alloc_Cash-F33</f>
        <v>954332.993347045</v>
      </c>
      <c r="G42" s="23" t="n">
        <f aca="false">G35*Alloc_Cash-G33</f>
        <v>955534.30170095</v>
      </c>
      <c r="H42" s="23" t="n">
        <f aca="false">H35*Alloc_Cash-H33</f>
        <v>956607.179590445</v>
      </c>
      <c r="I42" s="23" t="n">
        <f aca="false">I35*Alloc_Cash-I33</f>
        <v>957547.307962485</v>
      </c>
      <c r="J42" s="23" t="n">
        <f aca="false">J35*Alloc_Cash-J33</f>
        <v>958350.252036307</v>
      </c>
      <c r="K42" s="23" t="n">
        <f aca="false">K35*Alloc_Cash-K33</f>
        <v>959011.458356027</v>
      </c>
      <c r="L42" s="23" t="n">
        <f aca="false">L35*Alloc_Cash-L33</f>
        <v>959526.251769174</v>
      </c>
    </row>
    <row r="43" customFormat="false" ht="15" hidden="false" customHeight="false" outlineLevel="0" collapsed="false">
      <c r="B43" s="26" t="s">
        <v>100</v>
      </c>
      <c r="C43" s="27" t="n">
        <f aca="false">(ABS(C38)+ABS(C39)+ABS(C40)+ABS(C41)+ABS(C42))/2</f>
        <v>5250000</v>
      </c>
      <c r="D43" s="27" t="n">
        <f aca="false">(ABS(D38)+ABS(D39)+ABS(D40)+ABS(D41)+ABS(D42))/2</f>
        <v>5258631.00000001</v>
      </c>
      <c r="E43" s="27" t="n">
        <f aca="false">(ABS(E38)+ABS(E39)+ABS(E40)+ABS(E41)+ABS(E42))/2</f>
        <v>5266620.17771405</v>
      </c>
      <c r="F43" s="27" t="n">
        <f aca="false">(ABS(F38)+ABS(F39)+ABS(F40)+ABS(F41)+ABS(F42))/2</f>
        <v>5273945.48954946</v>
      </c>
      <c r="G43" s="27" t="n">
        <f aca="false">(ABS(G38)+ABS(G39)+ABS(G40)+ABS(G41)+ABS(G42))/2</f>
        <v>5280584.29887367</v>
      </c>
      <c r="H43" s="27" t="n">
        <f aca="false">(ABS(H38)+ABS(H39)+ABS(H40)+ABS(H41)+ABS(H42))/2</f>
        <v>5286513.36089456</v>
      </c>
      <c r="I43" s="27" t="n">
        <f aca="false">(ABS(I38)+ABS(I39)+ABS(I40)+ABS(I41)+ABS(I42))/2</f>
        <v>5291708.80716112</v>
      </c>
      <c r="J43" s="27" t="n">
        <f aca="false">(ABS(J38)+ABS(J39)+ABS(J40)+ABS(J41)+ABS(J42))/2</f>
        <v>5296146.12967433</v>
      </c>
      <c r="K43" s="27" t="n">
        <f aca="false">(ABS(K38)+ABS(K39)+ABS(K40)+ABS(K41)+ABS(K42))/2</f>
        <v>5299800.16459909</v>
      </c>
      <c r="L43" s="27" t="n">
        <f aca="false">(ABS(L38)+ABS(L39)+ABS(L40)+ABS(L41)+ABS(L42))/2</f>
        <v>5302645.07556648</v>
      </c>
    </row>
    <row r="44" customFormat="false" ht="15" hidden="false" customHeight="false" outlineLevel="0" collapsed="false">
      <c r="B44" s="6"/>
      <c r="C44" s="6"/>
      <c r="D44" s="6"/>
      <c r="E44" s="6"/>
      <c r="F44" s="6"/>
      <c r="G44" s="6"/>
      <c r="H44" s="6"/>
      <c r="I44" s="6"/>
      <c r="J44" s="6"/>
      <c r="K44" s="6"/>
      <c r="L44" s="6"/>
    </row>
    <row r="45" customFormat="false" ht="15" hidden="false" customHeight="false" outlineLevel="0" collapsed="false">
      <c r="B45" s="28" t="s">
        <v>101</v>
      </c>
      <c r="C45" s="28"/>
      <c r="D45" s="28"/>
      <c r="E45" s="28"/>
      <c r="F45" s="28"/>
      <c r="G45" s="28"/>
      <c r="H45" s="28"/>
      <c r="I45" s="28"/>
      <c r="J45" s="28"/>
      <c r="K45" s="28"/>
      <c r="L45" s="28"/>
    </row>
    <row r="46" customFormat="false" ht="15" hidden="false" customHeight="false" outlineLevel="0" collapsed="false">
      <c r="B46" s="22" t="s">
        <v>102</v>
      </c>
      <c r="C46" s="23" t="n">
        <f aca="false">PS_End_AUM_Yr1*Alloc_Eq</f>
        <v>200328800</v>
      </c>
      <c r="D46" s="23" t="n">
        <f aca="false">PS_End_AUM_Yr2*Alloc_Eq</f>
        <v>200633149.6272</v>
      </c>
      <c r="E46" s="23" t="n">
        <f aca="false">PS_End_AUM_Yr3*Alloc_Eq</f>
        <v>200912209.125693</v>
      </c>
      <c r="F46" s="23" t="n">
        <f aca="false">PS_End_AUM_Yr4*Alloc_Eq</f>
        <v>201165116.147568</v>
      </c>
      <c r="G46" s="23" t="n">
        <f aca="false">PS_End_AUM_Yr5*Alloc_Eq</f>
        <v>201390985.176935</v>
      </c>
      <c r="H46" s="23" t="n">
        <f aca="false">PS_End_AUM_Yr6*Alloc_Eq</f>
        <v>201588906.93947</v>
      </c>
      <c r="I46" s="23" t="n">
        <f aca="false">PS_End_AUM_Yr7*Alloc_Eq</f>
        <v>201757947.797117</v>
      </c>
      <c r="J46" s="23" t="n">
        <f aca="false">PS_End_AUM_Yr8*Alloc_Eq</f>
        <v>201897149.127585</v>
      </c>
      <c r="K46" s="23" t="n">
        <f aca="false">PS_End_AUM_Yr9*Alloc_Eq</f>
        <v>202005526.688247</v>
      </c>
      <c r="L46" s="23" t="n">
        <f aca="false">PS_End_AUM_Yr10*Alloc_Eq</f>
        <v>202082069.964061</v>
      </c>
    </row>
    <row r="47" customFormat="false" ht="15" hidden="false" customHeight="false" outlineLevel="0" collapsed="false">
      <c r="B47" s="22" t="s">
        <v>103</v>
      </c>
      <c r="C47" s="23" t="n">
        <f aca="false">PS_End_AUM_Yr1*Alloc_FI</f>
        <v>100164400</v>
      </c>
      <c r="D47" s="23" t="n">
        <f aca="false">PS_End_AUM_Yr2*Alloc_FI</f>
        <v>100316574.8136</v>
      </c>
      <c r="E47" s="23" t="n">
        <f aca="false">PS_End_AUM_Yr3*Alloc_FI</f>
        <v>100456104.562846</v>
      </c>
      <c r="F47" s="23" t="n">
        <f aca="false">PS_End_AUM_Yr4*Alloc_FI</f>
        <v>100582558.073784</v>
      </c>
      <c r="G47" s="23" t="n">
        <f aca="false">PS_End_AUM_Yr5*Alloc_FI</f>
        <v>100695492.588468</v>
      </c>
      <c r="H47" s="23" t="n">
        <f aca="false">PS_End_AUM_Yr6*Alloc_FI</f>
        <v>100794453.469735</v>
      </c>
      <c r="I47" s="23" t="n">
        <f aca="false">PS_End_AUM_Yr7*Alloc_FI</f>
        <v>100878973.898558</v>
      </c>
      <c r="J47" s="23" t="n">
        <f aca="false">PS_End_AUM_Yr8*Alloc_FI</f>
        <v>100948574.563792</v>
      </c>
      <c r="K47" s="23" t="n">
        <f aca="false">PS_End_AUM_Yr9*Alloc_FI</f>
        <v>101002763.344124</v>
      </c>
      <c r="L47" s="23" t="n">
        <f aca="false">PS_End_AUM_Yr10*Alloc_FI</f>
        <v>101041034.98203</v>
      </c>
    </row>
    <row r="48" customFormat="false" ht="15" hidden="false" customHeight="false" outlineLevel="0" collapsed="false">
      <c r="B48" s="22" t="s">
        <v>104</v>
      </c>
      <c r="C48" s="23" t="n">
        <f aca="false">PS_End_AUM_Yr1*Alloc_Alt</f>
        <v>125205500</v>
      </c>
      <c r="D48" s="23" t="n">
        <f aca="false">PS_End_AUM_Yr2*Alloc_Alt</f>
        <v>125395718.517</v>
      </c>
      <c r="E48" s="23" t="n">
        <f aca="false">PS_End_AUM_Yr3*Alloc_Alt</f>
        <v>125570130.703558</v>
      </c>
      <c r="F48" s="23" t="n">
        <f aca="false">PS_End_AUM_Yr4*Alloc_Alt</f>
        <v>125728197.59223</v>
      </c>
      <c r="G48" s="23" t="n">
        <f aca="false">PS_End_AUM_Yr5*Alloc_Alt</f>
        <v>125869365.735584</v>
      </c>
      <c r="H48" s="23" t="n">
        <f aca="false">PS_End_AUM_Yr6*Alloc_Alt</f>
        <v>125993066.837169</v>
      </c>
      <c r="I48" s="23" t="n">
        <f aca="false">PS_End_AUM_Yr7*Alloc_Alt</f>
        <v>126098717.373198</v>
      </c>
      <c r="J48" s="23" t="n">
        <f aca="false">PS_End_AUM_Yr8*Alloc_Alt</f>
        <v>126185718.20474</v>
      </c>
      <c r="K48" s="23" t="n">
        <f aca="false">PS_End_AUM_Yr9*Alloc_Alt</f>
        <v>126253454.180155</v>
      </c>
      <c r="L48" s="23" t="n">
        <f aca="false">PS_End_AUM_Yr10*Alloc_Alt</f>
        <v>126301293.727538</v>
      </c>
    </row>
    <row r="49" customFormat="false" ht="15" hidden="false" customHeight="false" outlineLevel="0" collapsed="false">
      <c r="B49" s="22" t="s">
        <v>105</v>
      </c>
      <c r="C49" s="23" t="n">
        <f aca="false">PS_End_AUM_Yr1*Alloc_RE</f>
        <v>50082200</v>
      </c>
      <c r="D49" s="23" t="n">
        <f aca="false">PS_End_AUM_Yr2*Alloc_RE</f>
        <v>50158287.4068</v>
      </c>
      <c r="E49" s="23" t="n">
        <f aca="false">PS_End_AUM_Yr3*Alloc_RE</f>
        <v>50228052.2814232</v>
      </c>
      <c r="F49" s="23" t="n">
        <f aca="false">PS_End_AUM_Yr4*Alloc_RE</f>
        <v>50291279.0368919</v>
      </c>
      <c r="G49" s="23" t="n">
        <f aca="false">PS_End_AUM_Yr5*Alloc_RE</f>
        <v>50347746.2942338</v>
      </c>
      <c r="H49" s="23" t="n">
        <f aca="false">PS_End_AUM_Yr6*Alloc_RE</f>
        <v>50397226.7348674</v>
      </c>
      <c r="I49" s="23" t="n">
        <f aca="false">PS_End_AUM_Yr7*Alloc_RE</f>
        <v>50439486.9492791</v>
      </c>
      <c r="J49" s="23" t="n">
        <f aca="false">PS_End_AUM_Yr8*Alloc_RE</f>
        <v>50474287.2818961</v>
      </c>
      <c r="K49" s="23" t="n">
        <f aca="false">PS_End_AUM_Yr9*Alloc_RE</f>
        <v>50501381.6720618</v>
      </c>
      <c r="L49" s="23" t="n">
        <f aca="false">PS_End_AUM_Yr10*Alloc_RE</f>
        <v>50520517.4910152</v>
      </c>
    </row>
    <row r="50" customFormat="false" ht="15" hidden="false" customHeight="false" outlineLevel="0" collapsed="false">
      <c r="B50" s="22" t="s">
        <v>106</v>
      </c>
      <c r="C50" s="23" t="n">
        <f aca="false">PS_End_AUM_Yr1*Alloc_Cash</f>
        <v>25041100</v>
      </c>
      <c r="D50" s="23" t="n">
        <f aca="false">PS_End_AUM_Yr2*Alloc_Cash</f>
        <v>25079143.7034</v>
      </c>
      <c r="E50" s="23" t="n">
        <f aca="false">PS_End_AUM_Yr3*Alloc_Cash</f>
        <v>25114026.1407116</v>
      </c>
      <c r="F50" s="23" t="n">
        <f aca="false">PS_End_AUM_Yr4*Alloc_Cash</f>
        <v>25145639.518446</v>
      </c>
      <c r="G50" s="23" t="n">
        <f aca="false">PS_End_AUM_Yr5*Alloc_Cash</f>
        <v>25173873.1471169</v>
      </c>
      <c r="H50" s="23" t="n">
        <f aca="false">PS_End_AUM_Yr6*Alloc_Cash</f>
        <v>25198613.3674337</v>
      </c>
      <c r="I50" s="23" t="n">
        <f aca="false">PS_End_AUM_Yr7*Alloc_Cash</f>
        <v>25219743.4746396</v>
      </c>
      <c r="J50" s="23" t="n">
        <f aca="false">PS_End_AUM_Yr8*Alloc_Cash</f>
        <v>25237143.6409481</v>
      </c>
      <c r="K50" s="23" t="n">
        <f aca="false">PS_End_AUM_Yr9*Alloc_Cash</f>
        <v>25250690.8360309</v>
      </c>
      <c r="L50" s="23" t="n">
        <f aca="false">PS_End_AUM_Yr10*Alloc_Cash</f>
        <v>25260258.7455076</v>
      </c>
    </row>
    <row r="51" customFormat="false" ht="15" hidden="false" customHeight="false" outlineLevel="0" collapsed="false">
      <c r="B51" s="26" t="s">
        <v>107</v>
      </c>
      <c r="C51" s="27" t="n">
        <f aca="false">AR_Eq_End_Yr1+AR_FI_End_Yr1+AR_Alt_End_Yr1+AR_RE_End_Yr1+AR_Cash_End_Yr1</f>
        <v>500822000</v>
      </c>
      <c r="D51" s="27" t="n">
        <f aca="false">AR_Eq_End_Yr2+AR_FI_End_Yr2+AR_Alt_End_Yr2+AR_RE_End_Yr2+AR_Cash_End_Yr2</f>
        <v>501582874.068</v>
      </c>
      <c r="E51" s="27" t="n">
        <f aca="false">AR_Eq_End_Yr3+AR_FI_End_Yr3+AR_Alt_End_Yr3+AR_RE_End_Yr3+AR_Cash_End_Yr3</f>
        <v>502280522.814232</v>
      </c>
      <c r="F51" s="27" t="n">
        <f aca="false">AR_Eq_End_Yr4+AR_FI_End_Yr4+AR_Alt_End_Yr4+AR_RE_End_Yr4+AR_Cash_End_Yr4</f>
        <v>502912790.368919</v>
      </c>
      <c r="G51" s="27" t="n">
        <f aca="false">AR_Eq_End_Yr5+AR_FI_End_Yr5+AR_Alt_End_Yr5+AR_RE_End_Yr5+AR_Cash_End_Yr5</f>
        <v>503477462.942338</v>
      </c>
      <c r="H51" s="27" t="n">
        <f aca="false">AR_Eq_End_Yr6+AR_FI_End_Yr6+AR_Alt_End_Yr6+AR_RE_End_Yr6+AR_Cash_End_Yr6</f>
        <v>503972267.348674</v>
      </c>
      <c r="I51" s="27" t="n">
        <f aca="false">AR_Eq_End_Yr7+AR_FI_End_Yr7+AR_Alt_End_Yr7+AR_RE_End_Yr7+AR_Cash_End_Yr7</f>
        <v>504394869.492791</v>
      </c>
      <c r="J51" s="27" t="n">
        <f aca="false">AR_Eq_End_Yr8+AR_FI_End_Yr8+AR_Alt_End_Yr8+AR_RE_End_Yr8+AR_Cash_End_Yr8</f>
        <v>504742872.818961</v>
      </c>
      <c r="K51" s="27" t="n">
        <f aca="false">AR_Eq_End_Yr9+AR_FI_End_Yr9+AR_Alt_End_Yr9+AR_RE_End_Yr9+AR_Cash_End_Yr9</f>
        <v>505013816.720618</v>
      </c>
      <c r="L51" s="27" t="n">
        <f aca="false">AR_Eq_End_Yr10+AR_FI_End_Yr10+AR_Alt_End_Yr10+AR_RE_End_Yr10+AR_Cash_End_Yr10</f>
        <v>505205174.910152</v>
      </c>
    </row>
    <row r="52" customFormat="false" ht="15" hidden="false" customHeight="false" outlineLevel="0" collapsed="false">
      <c r="B52" s="6"/>
      <c r="C52" s="6"/>
      <c r="D52" s="6"/>
      <c r="E52" s="6"/>
      <c r="F52" s="6"/>
      <c r="G52" s="6"/>
      <c r="H52" s="6"/>
      <c r="I52" s="6"/>
      <c r="J52" s="6"/>
      <c r="K52" s="6"/>
      <c r="L52" s="6"/>
    </row>
    <row r="53" customFormat="false" ht="15" hidden="false" customHeight="false" outlineLevel="0" collapsed="false">
      <c r="B53" s="29" t="s">
        <v>108</v>
      </c>
      <c r="C53" s="29"/>
      <c r="D53" s="29"/>
      <c r="E53" s="29"/>
      <c r="F53" s="29"/>
      <c r="G53" s="29"/>
      <c r="H53" s="29"/>
      <c r="I53" s="29"/>
      <c r="J53" s="29"/>
      <c r="K53" s="29"/>
      <c r="L53" s="29"/>
    </row>
    <row r="54" customFormat="false" ht="15" hidden="false" customHeight="false" outlineLevel="0" collapsed="false">
      <c r="B54" s="22" t="s">
        <v>109</v>
      </c>
      <c r="C54" s="23" t="n">
        <f aca="false">C46-C9</f>
        <v>-14671200</v>
      </c>
      <c r="D54" s="23" t="n">
        <f aca="false">D46-D9</f>
        <v>-14720310.3728</v>
      </c>
      <c r="E54" s="23" t="n">
        <f aca="false">E46-E9</f>
        <v>-14768426.7235473</v>
      </c>
      <c r="F54" s="23" t="n">
        <f aca="false">F46-F9</f>
        <v>-14815508.6625519</v>
      </c>
      <c r="G54" s="23" t="n">
        <f aca="false">G46-G9</f>
        <v>-14861514.6817002</v>
      </c>
      <c r="H54" s="23" t="n">
        <f aca="false">H46-H9</f>
        <v>-14906402.1257356</v>
      </c>
      <c r="I54" s="23" t="n">
        <f aca="false">I46-I9</f>
        <v>-14950127.1628134</v>
      </c>
      <c r="J54" s="23" t="n">
        <f aca="false">J46-J9</f>
        <v>-14992644.7543157</v>
      </c>
      <c r="K54" s="23" t="n">
        <f aca="false">K46-K9</f>
        <v>-15033908.6239061</v>
      </c>
      <c r="L54" s="23" t="n">
        <f aca="false">L46-L9</f>
        <v>-15073871.225805</v>
      </c>
    </row>
    <row r="55" customFormat="false" ht="15" hidden="false" customHeight="false" outlineLevel="0" collapsed="false">
      <c r="B55" s="22" t="s">
        <v>110</v>
      </c>
      <c r="C55" s="23" t="n">
        <f aca="false">C47-C15</f>
        <v>-4335600</v>
      </c>
      <c r="D55" s="23" t="n">
        <f aca="false">D47-D15</f>
        <v>-4355223.1864</v>
      </c>
      <c r="E55" s="23" t="n">
        <f aca="false">E47-E15</f>
        <v>-4374716.11736567</v>
      </c>
      <c r="F55" s="23" t="n">
        <f aca="false">F47-F15</f>
        <v>-4394071.19439052</v>
      </c>
      <c r="G55" s="23" t="n">
        <f aca="false">G47-G15</f>
        <v>-4413280.5986366</v>
      </c>
      <c r="H55" s="23" t="n">
        <f aca="false">H47-H15</f>
        <v>-4432336.28521378</v>
      </c>
      <c r="I55" s="23" t="n">
        <f aca="false">I47-I15</f>
        <v>-4451229.97731464</v>
      </c>
      <c r="J55" s="23" t="n">
        <f aca="false">J47-J15</f>
        <v>-4469953.16020109</v>
      </c>
      <c r="K55" s="23" t="n">
        <f aca="false">K47-K15</f>
        <v>-4488497.07503928</v>
      </c>
      <c r="L55" s="23" t="n">
        <f aca="false">L47-L15</f>
        <v>-4506852.71257877</v>
      </c>
    </row>
    <row r="56" customFormat="false" ht="15" hidden="false" customHeight="false" outlineLevel="0" collapsed="false">
      <c r="B56" s="22" t="s">
        <v>111</v>
      </c>
      <c r="C56" s="23" t="n">
        <f aca="false">C48-C21</f>
        <v>-14794500</v>
      </c>
      <c r="D56" s="23" t="n">
        <f aca="false">D48-D21</f>
        <v>-14834441.483</v>
      </c>
      <c r="E56" s="23" t="n">
        <f aca="false">E48-E21</f>
        <v>-14873074.0354821</v>
      </c>
      <c r="F56" s="23" t="n">
        <f aca="false">F48-F21</f>
        <v>-14910348.795755</v>
      </c>
      <c r="G56" s="23" t="n">
        <f aca="false">G48-G21</f>
        <v>-14946215.567713</v>
      </c>
      <c r="H56" s="23" t="n">
        <f aca="false">H48-H21</f>
        <v>-14980622.786686</v>
      </c>
      <c r="I56" s="23" t="n">
        <f aca="false">I48-I21</f>
        <v>-15013517.4844309</v>
      </c>
      <c r="J56" s="23" t="n">
        <f aca="false">J48-J21</f>
        <v>-15044845.2532412</v>
      </c>
      <c r="K56" s="23" t="n">
        <f aca="false">K48-K21</f>
        <v>-15074550.2091546</v>
      </c>
      <c r="L56" s="23" t="n">
        <f aca="false">L48-L21</f>
        <v>-15102574.9542351</v>
      </c>
    </row>
    <row r="57" customFormat="false" ht="15" hidden="false" customHeight="false" outlineLevel="0" collapsed="false">
      <c r="B57" s="22" t="s">
        <v>112</v>
      </c>
      <c r="C57" s="23" t="n">
        <f aca="false">C49-C27</f>
        <v>-3417800</v>
      </c>
      <c r="D57" s="23" t="n">
        <f aca="false">D49-D27</f>
        <v>-3429666.5932</v>
      </c>
      <c r="E57" s="23" t="n">
        <f aca="false">E49-E27</f>
        <v>-3441315.24385283</v>
      </c>
      <c r="F57" s="23" t="n">
        <f aca="false">F49-F27</f>
        <v>-3452736.90423084</v>
      </c>
      <c r="G57" s="23" t="n">
        <f aca="false">G49-G27</f>
        <v>-3463922.2752406</v>
      </c>
      <c r="H57" s="23" t="n">
        <f aca="false">H49-H27</f>
        <v>-3474861.79996273</v>
      </c>
      <c r="I57" s="23" t="n">
        <f aca="false">I49-I27</f>
        <v>-3485545.65702901</v>
      </c>
      <c r="J57" s="23" t="n">
        <f aca="false">J49-J27</f>
        <v>-3495963.75383253</v>
      </c>
      <c r="K57" s="23" t="n">
        <f aca="false">K49-K27</f>
        <v>-3506105.71956705</v>
      </c>
      <c r="L57" s="23" t="n">
        <f aca="false">L49-L27</f>
        <v>-3515960.89809093</v>
      </c>
    </row>
    <row r="58" customFormat="false" ht="15" hidden="false" customHeight="false" outlineLevel="0" collapsed="false">
      <c r="B58" s="22" t="s">
        <v>113</v>
      </c>
      <c r="C58" s="23" t="n">
        <f aca="false">C50-C33</f>
        <v>-958900</v>
      </c>
      <c r="D58" s="23" t="n">
        <f aca="false">D50-D33</f>
        <v>-963600.296599999</v>
      </c>
      <c r="E58" s="23" t="n">
        <f aca="false">E50-E33</f>
        <v>-968283.310824417</v>
      </c>
      <c r="F58" s="23" t="n">
        <f aca="false">F50-F33</f>
        <v>-972947.667894073</v>
      </c>
      <c r="G58" s="23" t="n">
        <f aca="false">G50-G33</f>
        <v>-977591.952066921</v>
      </c>
      <c r="H58" s="23" t="n">
        <f aca="false">H50-H33</f>
        <v>-982214.705567859</v>
      </c>
      <c r="I58" s="23" t="n">
        <f aca="false">I50-I33</f>
        <v>-986814.427491494</v>
      </c>
      <c r="J58" s="23" t="n">
        <f aca="false">J50-J33</f>
        <v>-991389.572677076</v>
      </c>
      <c r="K58" s="23" t="n">
        <f aca="false">K50-K33</f>
        <v>-995938.55055508</v>
      </c>
      <c r="L58" s="23" t="n">
        <f aca="false">L50-L33</f>
        <v>-1000459.72396454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5"/>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114</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114</v>
      </c>
      <c r="C3" s="15"/>
      <c r="D3" s="15"/>
      <c r="E3" s="15"/>
      <c r="F3" s="15"/>
      <c r="G3" s="15"/>
      <c r="H3" s="15"/>
      <c r="I3" s="15"/>
      <c r="J3" s="15"/>
      <c r="K3" s="15"/>
      <c r="L3" s="15"/>
      <c r="M3" s="1"/>
      <c r="N3" s="1"/>
      <c r="O3" s="1"/>
      <c r="P3" s="1"/>
      <c r="Q3" s="1"/>
      <c r="R3" s="1"/>
      <c r="S3" s="1"/>
      <c r="T3" s="1"/>
      <c r="U3" s="1"/>
      <c r="V3" s="1"/>
      <c r="W3" s="1"/>
      <c r="X3" s="1"/>
      <c r="Y3" s="1"/>
      <c r="Z3" s="1"/>
      <c r="AA3" s="1"/>
      <c r="AB3" s="1"/>
      <c r="AC3" s="1"/>
      <c r="AD3" s="1"/>
    </row>
    <row r="4" customFormat="false" ht="15" hidden="false" customHeight="false" outlineLevel="0" collapsed="false">
      <c r="B4" s="20"/>
      <c r="C4" s="21" t="s">
        <v>71</v>
      </c>
      <c r="D4" s="21" t="s">
        <v>72</v>
      </c>
      <c r="E4" s="21" t="s">
        <v>73</v>
      </c>
      <c r="F4" s="21" t="s">
        <v>74</v>
      </c>
      <c r="G4" s="21" t="s">
        <v>75</v>
      </c>
      <c r="H4" s="21" t="s">
        <v>76</v>
      </c>
      <c r="I4" s="21" t="s">
        <v>77</v>
      </c>
      <c r="J4" s="21" t="s">
        <v>78</v>
      </c>
      <c r="K4" s="21" t="s">
        <v>79</v>
      </c>
      <c r="L4" s="21" t="s">
        <v>80</v>
      </c>
    </row>
    <row r="5" customFormat="false" ht="15" hidden="false" customHeight="false" outlineLevel="0" collapsed="false">
      <c r="B5" s="26" t="s">
        <v>115</v>
      </c>
      <c r="C5" s="27" t="n">
        <f aca="false">Starting_AUM</f>
        <v>500000000</v>
      </c>
      <c r="D5" s="27" t="n">
        <f aca="false">PS_End_AUM_Yr1</f>
        <v>500822000</v>
      </c>
      <c r="E5" s="27" t="n">
        <f aca="false">PS_End_AUM_Yr2</f>
        <v>501582874.068</v>
      </c>
      <c r="F5" s="27" t="n">
        <f aca="false">PS_End_AUM_Yr3</f>
        <v>502280522.814232</v>
      </c>
      <c r="G5" s="27" t="n">
        <f aca="false">PS_End_AUM_Yr4</f>
        <v>502912790.368919</v>
      </c>
      <c r="H5" s="27" t="n">
        <f aca="false">PS_End_AUM_Yr5</f>
        <v>503477462.942338</v>
      </c>
      <c r="I5" s="27" t="n">
        <f aca="false">PS_End_AUM_Yr6</f>
        <v>503972267.348674</v>
      </c>
      <c r="J5" s="27" t="n">
        <f aca="false">PS_End_AUM_Yr7</f>
        <v>504394869.492791</v>
      </c>
      <c r="K5" s="27" t="n">
        <f aca="false">PS_End_AUM_Yr8</f>
        <v>504742872.818961</v>
      </c>
      <c r="L5" s="27" t="n">
        <f aca="false">PS_End_AUM_Yr9</f>
        <v>505013816.720618</v>
      </c>
    </row>
    <row r="6" customFormat="false" ht="15" hidden="false" customHeight="false" outlineLevel="0" collapsed="false">
      <c r="B6" s="22" t="s">
        <v>116</v>
      </c>
      <c r="C6" s="23" t="n">
        <f aca="false">AR_Total_PreRebal_Yr1-PS_Begin_AUM_Yr1</f>
        <v>39000000</v>
      </c>
      <c r="D6" s="23" t="n">
        <f aca="false">AR_Total_PreRebal_Yr2-PS_Begin_AUM_Yr2</f>
        <v>39064116</v>
      </c>
      <c r="E6" s="23" t="n">
        <f aca="false">AR_Total_PreRebal_Yr3-PS_Begin_AUM_Yr3</f>
        <v>39123464.1773041</v>
      </c>
      <c r="F6" s="23" t="n">
        <f aca="false">AR_Total_PreRebal_Yr4-PS_Begin_AUM_Yr4</f>
        <v>39177880.7795101</v>
      </c>
      <c r="G6" s="23" t="n">
        <f aca="false">AR_Total_PreRebal_Yr5-PS_Begin_AUM_Yr5</f>
        <v>39227197.6487758</v>
      </c>
      <c r="H6" s="23" t="n">
        <f aca="false">AR_Total_PreRebal_Yr6-PS_Begin_AUM_Yr6</f>
        <v>39271242.1095024</v>
      </c>
      <c r="I6" s="23" t="n">
        <f aca="false">AR_Total_PreRebal_Yr7-PS_Begin_AUM_Yr7</f>
        <v>39309836.8531967</v>
      </c>
      <c r="J6" s="23" t="n">
        <f aca="false">AR_Total_PreRebal_Yr8-PS_Begin_AUM_Yr8</f>
        <v>39342799.8204378</v>
      </c>
      <c r="K6" s="23" t="n">
        <f aca="false">AR_Total_PreRebal_Yr9-PS_Begin_AUM_Yr9</f>
        <v>39369944.079879</v>
      </c>
      <c r="L6" s="23" t="n">
        <f aca="false">AR_Total_PreRebal_Yr10-PS_Begin_AUM_Yr10</f>
        <v>39391077.7042083</v>
      </c>
    </row>
    <row r="7" customFormat="false" ht="15" hidden="false" customHeight="false" outlineLevel="0" collapsed="false">
      <c r="B7" s="16" t="s">
        <v>117</v>
      </c>
      <c r="C7" s="16"/>
      <c r="D7" s="16"/>
      <c r="E7" s="16"/>
      <c r="F7" s="16"/>
      <c r="G7" s="16"/>
      <c r="H7" s="16"/>
      <c r="I7" s="16"/>
      <c r="J7" s="16"/>
      <c r="K7" s="16"/>
      <c r="L7" s="16"/>
    </row>
    <row r="8" customFormat="false" ht="15" hidden="false" customHeight="false" outlineLevel="0" collapsed="false">
      <c r="B8" s="22" t="s">
        <v>118</v>
      </c>
      <c r="C8" s="23" t="n">
        <f aca="false">PS_Begin_AUM_Yr1*Mgmt_Fee_Rate</f>
        <v>3750000</v>
      </c>
      <c r="D8" s="23" t="n">
        <f aca="false">PS_Begin_AUM_Yr2*Mgmt_Fee_Rate</f>
        <v>3756165</v>
      </c>
      <c r="E8" s="23" t="n">
        <f aca="false">PS_Begin_AUM_Yr3*Mgmt_Fee_Rate</f>
        <v>3761871.55551</v>
      </c>
      <c r="F8" s="23" t="n">
        <f aca="false">PS_Begin_AUM_Yr4*Mgmt_Fee_Rate</f>
        <v>3767103.92110674</v>
      </c>
      <c r="G8" s="23" t="n">
        <f aca="false">PS_Begin_AUM_Yr5*Mgmt_Fee_Rate</f>
        <v>3771845.9277669</v>
      </c>
      <c r="H8" s="23" t="n">
        <f aca="false">PS_Begin_AUM_Yr6*Mgmt_Fee_Rate</f>
        <v>3776080.97206753</v>
      </c>
      <c r="I8" s="23" t="n">
        <f aca="false">PS_Begin_AUM_Yr7*Mgmt_Fee_Rate</f>
        <v>3779792.00511506</v>
      </c>
      <c r="J8" s="23" t="n">
        <f aca="false">PS_Begin_AUM_Yr8*Mgmt_Fee_Rate</f>
        <v>3782961.52119593</v>
      </c>
      <c r="K8" s="23" t="n">
        <f aca="false">PS_Begin_AUM_Yr9*Mgmt_Fee_Rate</f>
        <v>3785571.54614221</v>
      </c>
      <c r="L8" s="23" t="n">
        <f aca="false">PS_Begin_AUM_Yr10*Mgmt_Fee_Rate</f>
        <v>3787603.62540464</v>
      </c>
    </row>
    <row r="9" customFormat="false" ht="15" hidden="false" customHeight="false" outlineLevel="0" collapsed="false">
      <c r="B9" s="22" t="s">
        <v>119</v>
      </c>
      <c r="C9" s="23" t="n">
        <f aca="false">MAX(0,PS_Gross_Return_Yr1)*Perf_Fee_Rate</f>
        <v>5850000</v>
      </c>
      <c r="D9" s="23" t="n">
        <f aca="false">MAX(0,PS_Gross_Return_Yr2)*Perf_Fee_Rate</f>
        <v>5859617.4</v>
      </c>
      <c r="E9" s="23" t="n">
        <f aca="false">MAX(0,PS_Gross_Return_Yr3)*Perf_Fee_Rate</f>
        <v>5868519.62659561</v>
      </c>
      <c r="F9" s="23" t="n">
        <f aca="false">MAX(0,PS_Gross_Return_Yr4)*Perf_Fee_Rate</f>
        <v>5876682.11692652</v>
      </c>
      <c r="G9" s="23" t="n">
        <f aca="false">MAX(0,PS_Gross_Return_Yr5)*Perf_Fee_Rate</f>
        <v>5884079.64731636</v>
      </c>
      <c r="H9" s="23" t="n">
        <f aca="false">MAX(0,PS_Gross_Return_Yr6)*Perf_Fee_Rate</f>
        <v>5890686.31642536</v>
      </c>
      <c r="I9" s="23" t="n">
        <f aca="false">MAX(0,PS_Gross_Return_Yr7)*Perf_Fee_Rate</f>
        <v>5896475.5279795</v>
      </c>
      <c r="J9" s="23" t="n">
        <f aca="false">MAX(0,PS_Gross_Return_Yr8)*Perf_Fee_Rate</f>
        <v>5901419.97306567</v>
      </c>
      <c r="K9" s="23" t="n">
        <f aca="false">MAX(0,PS_Gross_Return_Yr9)*Perf_Fee_Rate</f>
        <v>5905491.61198185</v>
      </c>
      <c r="L9" s="23" t="n">
        <f aca="false">MAX(0,PS_Gross_Return_Yr10)*Perf_Fee_Rate</f>
        <v>5908661.65563124</v>
      </c>
    </row>
    <row r="10" customFormat="false" ht="15" hidden="false" customHeight="false" outlineLevel="0" collapsed="false">
      <c r="B10" s="22" t="s">
        <v>120</v>
      </c>
      <c r="C10" s="23" t="n">
        <f aca="false">PS_Begin_AUM_Yr1*Custody_Rate</f>
        <v>500000</v>
      </c>
      <c r="D10" s="23" t="n">
        <f aca="false">PS_Begin_AUM_Yr2*Custody_Rate</f>
        <v>500822</v>
      </c>
      <c r="E10" s="23" t="n">
        <f aca="false">PS_Begin_AUM_Yr3*Custody_Rate</f>
        <v>501582.874068</v>
      </c>
      <c r="F10" s="23" t="n">
        <f aca="false">PS_Begin_AUM_Yr4*Custody_Rate</f>
        <v>502280.522814232</v>
      </c>
      <c r="G10" s="23" t="n">
        <f aca="false">PS_Begin_AUM_Yr5*Custody_Rate</f>
        <v>502912.790368919</v>
      </c>
      <c r="H10" s="23" t="n">
        <f aca="false">PS_Begin_AUM_Yr6*Custody_Rate</f>
        <v>503477.462942338</v>
      </c>
      <c r="I10" s="23" t="n">
        <f aca="false">PS_Begin_AUM_Yr7*Custody_Rate</f>
        <v>503972.267348674</v>
      </c>
      <c r="J10" s="23" t="n">
        <f aca="false">PS_Begin_AUM_Yr8*Custody_Rate</f>
        <v>504394.869492791</v>
      </c>
      <c r="K10" s="23" t="n">
        <f aca="false">PS_Begin_AUM_Yr9*Custody_Rate</f>
        <v>504742.872818961</v>
      </c>
      <c r="L10" s="23" t="n">
        <f aca="false">PS_Begin_AUM_Yr10*Custody_Rate</f>
        <v>505013.816720618</v>
      </c>
    </row>
    <row r="11" customFormat="false" ht="15" hidden="false" customHeight="false" outlineLevel="0" collapsed="false">
      <c r="B11" s="22" t="s">
        <v>121</v>
      </c>
      <c r="C11" s="23" t="n">
        <f aca="false">AR_Abs_Rebal_Yr1*Tx_Cost_Rate</f>
        <v>10500</v>
      </c>
      <c r="D11" s="23" t="n">
        <f aca="false">AR_Abs_Rebal_Yr2*Tx_Cost_Rate</f>
        <v>10517.262</v>
      </c>
      <c r="E11" s="23" t="n">
        <f aca="false">AR_Abs_Rebal_Yr3*Tx_Cost_Rate</f>
        <v>10533.2403554281</v>
      </c>
      <c r="F11" s="23" t="n">
        <f aca="false">AR_Abs_Rebal_Yr4*Tx_Cost_Rate</f>
        <v>10547.8909790989</v>
      </c>
      <c r="G11" s="23" t="n">
        <f aca="false">AR_Abs_Rebal_Yr5*Tx_Cost_Rate</f>
        <v>10561.1685977473</v>
      </c>
      <c r="H11" s="23" t="n">
        <f aca="false">AR_Abs_Rebal_Yr6*Tx_Cost_Rate</f>
        <v>10573.0267217891</v>
      </c>
      <c r="I11" s="23" t="n">
        <f aca="false">AR_Abs_Rebal_Yr7*Tx_Cost_Rate</f>
        <v>10583.4176143222</v>
      </c>
      <c r="J11" s="23" t="n">
        <f aca="false">AR_Abs_Rebal_Yr8*Tx_Cost_Rate</f>
        <v>10592.2922593487</v>
      </c>
      <c r="K11" s="23" t="n">
        <f aca="false">AR_Abs_Rebal_Yr9*Tx_Cost_Rate</f>
        <v>10599.6003291982</v>
      </c>
      <c r="L11" s="23" t="n">
        <f aca="false">AR_Abs_Rebal_Yr10*Tx_Cost_Rate</f>
        <v>10605.290151133</v>
      </c>
    </row>
    <row r="12" customFormat="false" ht="15" hidden="false" customHeight="false" outlineLevel="0" collapsed="false">
      <c r="B12" s="26" t="s">
        <v>122</v>
      </c>
      <c r="C12" s="27" t="n">
        <f aca="false">PS_Mgmt_Fee_Yr1+PS_Perf_Fee_Yr1+PS_Custody_Yr1+PS_Tx_Cost_Yr1</f>
        <v>10110500</v>
      </c>
      <c r="D12" s="27" t="n">
        <f aca="false">PS_Mgmt_Fee_Yr2+PS_Perf_Fee_Yr2+PS_Custody_Yr2+PS_Tx_Cost_Yr2</f>
        <v>10127121.662</v>
      </c>
      <c r="E12" s="27" t="n">
        <f aca="false">PS_Mgmt_Fee_Yr3+PS_Perf_Fee_Yr3+PS_Custody_Yr3+PS_Tx_Cost_Yr3</f>
        <v>10142507.296529</v>
      </c>
      <c r="F12" s="27" t="n">
        <f aca="false">PS_Mgmt_Fee_Yr4+PS_Perf_Fee_Yr4+PS_Custody_Yr4+PS_Tx_Cost_Yr4</f>
        <v>10156614.4518266</v>
      </c>
      <c r="G12" s="27" t="n">
        <f aca="false">PS_Mgmt_Fee_Yr5+PS_Perf_Fee_Yr5+PS_Custody_Yr5+PS_Tx_Cost_Yr5</f>
        <v>10169399.5340499</v>
      </c>
      <c r="H12" s="27" t="n">
        <f aca="false">PS_Mgmt_Fee_Yr6+PS_Perf_Fee_Yr6+PS_Custody_Yr6+PS_Tx_Cost_Yr6</f>
        <v>10180817.778157</v>
      </c>
      <c r="I12" s="27" t="n">
        <f aca="false">PS_Mgmt_Fee_Yr7+PS_Perf_Fee_Yr7+PS_Custody_Yr7+PS_Tx_Cost_Yr7</f>
        <v>10190823.2180576</v>
      </c>
      <c r="J12" s="27" t="n">
        <f aca="false">PS_Mgmt_Fee_Yr8+PS_Perf_Fee_Yr8+PS_Custody_Yr8+PS_Tx_Cost_Yr8</f>
        <v>10199368.6560137</v>
      </c>
      <c r="K12" s="27" t="n">
        <f aca="false">PS_Mgmt_Fee_Yr9+PS_Perf_Fee_Yr9+PS_Custody_Yr9+PS_Tx_Cost_Yr9</f>
        <v>10206405.6312722</v>
      </c>
      <c r="L12" s="27" t="n">
        <f aca="false">PS_Mgmt_Fee_Yr10+PS_Perf_Fee_Yr10+PS_Custody_Yr10+PS_Tx_Cost_Yr10</f>
        <v>10211884.3879076</v>
      </c>
    </row>
    <row r="13" customFormat="false" ht="15" hidden="false" customHeight="false" outlineLevel="0" collapsed="false">
      <c r="B13" s="16" t="s">
        <v>123</v>
      </c>
      <c r="C13" s="16"/>
      <c r="D13" s="16"/>
      <c r="E13" s="16"/>
      <c r="F13" s="16"/>
      <c r="G13" s="16"/>
      <c r="H13" s="16"/>
      <c r="I13" s="16"/>
      <c r="J13" s="16"/>
      <c r="K13" s="16"/>
      <c r="L13" s="16"/>
    </row>
    <row r="14" customFormat="false" ht="15" hidden="false" customHeight="false" outlineLevel="0" collapsed="false">
      <c r="B14" s="22" t="s">
        <v>124</v>
      </c>
      <c r="C14" s="23" t="n">
        <f aca="false">OC_Total_Yr1</f>
        <v>2675000</v>
      </c>
      <c r="D14" s="23" t="n">
        <f aca="false">OC_Total_Yr2</f>
        <v>2741875</v>
      </c>
      <c r="E14" s="23" t="n">
        <f aca="false">OC_Total_Yr3</f>
        <v>2810421.875</v>
      </c>
      <c r="F14" s="23" t="n">
        <f aca="false">OC_Total_Yr4</f>
        <v>2880682.421875</v>
      </c>
      <c r="G14" s="23" t="n">
        <f aca="false">OC_Total_Yr5</f>
        <v>2952699.48242187</v>
      </c>
      <c r="H14" s="23" t="n">
        <f aca="false">OC_Total_Yr6</f>
        <v>3026516.96948242</v>
      </c>
      <c r="I14" s="23" t="n">
        <f aca="false">OC_Total_Yr7</f>
        <v>3102179.89371948</v>
      </c>
      <c r="J14" s="23" t="n">
        <f aca="false">OC_Total_Yr8</f>
        <v>3179734.39106247</v>
      </c>
      <c r="K14" s="23" t="n">
        <f aca="false">OC_Total_Yr9</f>
        <v>3259227.75083903</v>
      </c>
      <c r="L14" s="23" t="n">
        <f aca="false">OC_Total_Yr10</f>
        <v>3340708.44461001</v>
      </c>
    </row>
    <row r="15" customFormat="false" ht="15" hidden="false" customHeight="false" outlineLevel="0" collapsed="false">
      <c r="B15" s="16" t="s">
        <v>125</v>
      </c>
      <c r="C15" s="16"/>
      <c r="D15" s="16"/>
      <c r="E15" s="16"/>
      <c r="F15" s="16"/>
      <c r="G15" s="16"/>
      <c r="H15" s="16"/>
      <c r="I15" s="16"/>
      <c r="J15" s="16"/>
      <c r="K15" s="16"/>
      <c r="L15" s="16"/>
    </row>
    <row r="16" customFormat="false" ht="15" hidden="false" customHeight="false" outlineLevel="0" collapsed="false">
      <c r="B16" s="22" t="s">
        <v>126</v>
      </c>
      <c r="C16" s="23" t="n">
        <f aca="false">PS_Begin_AUM_Yr1*Distribution_Rate</f>
        <v>15000000</v>
      </c>
      <c r="D16" s="23" t="n">
        <f aca="false">PS_Begin_AUM_Yr2*Distribution_Rate</f>
        <v>15024660</v>
      </c>
      <c r="E16" s="23" t="n">
        <f aca="false">PS_Begin_AUM_Yr3*Distribution_Rate</f>
        <v>15047486.22204</v>
      </c>
      <c r="F16" s="23" t="n">
        <f aca="false">PS_Begin_AUM_Yr4*Distribution_Rate</f>
        <v>15068415.6844269</v>
      </c>
      <c r="G16" s="23" t="n">
        <f aca="false">PS_Begin_AUM_Yr5*Distribution_Rate</f>
        <v>15087383.7110676</v>
      </c>
      <c r="H16" s="23" t="n">
        <f aca="false">PS_Begin_AUM_Yr6*Distribution_Rate</f>
        <v>15104323.8882701</v>
      </c>
      <c r="I16" s="23" t="n">
        <f aca="false">PS_Begin_AUM_Yr7*Distribution_Rate</f>
        <v>15119168.0204602</v>
      </c>
      <c r="J16" s="23" t="n">
        <f aca="false">PS_Begin_AUM_Yr8*Distribution_Rate</f>
        <v>15131846.0847837</v>
      </c>
      <c r="K16" s="23" t="n">
        <f aca="false">PS_Begin_AUM_Yr9*Distribution_Rate</f>
        <v>15142286.1845688</v>
      </c>
      <c r="L16" s="23" t="n">
        <f aca="false">PS_Begin_AUM_Yr10*Distribution_Rate</f>
        <v>15150414.5016185</v>
      </c>
    </row>
    <row r="17" customFormat="false" ht="15" hidden="false" customHeight="false" outlineLevel="0" collapsed="false">
      <c r="B17" s="16" t="s">
        <v>127</v>
      </c>
      <c r="C17" s="16"/>
      <c r="D17" s="16"/>
      <c r="E17" s="16"/>
      <c r="F17" s="16"/>
      <c r="G17" s="16"/>
      <c r="H17" s="16"/>
      <c r="I17" s="16"/>
      <c r="J17" s="16"/>
      <c r="K17" s="16"/>
      <c r="L17" s="16"/>
    </row>
    <row r="18" customFormat="false" ht="15" hidden="false" customHeight="false" outlineLevel="0" collapsed="false">
      <c r="B18" s="22" t="s">
        <v>128</v>
      </c>
      <c r="C18" s="23" t="n">
        <f aca="false">PS_Begin_AUM_Yr1*(Alloc_Eq*Yield_Eq+Alloc_FI*Yield_FI+Alloc_Alt*Yield_Alt+Alloc_RE*Yield_RE+Alloc_Cash*Yield_Cash)</f>
        <v>15250000</v>
      </c>
      <c r="D18" s="23" t="n">
        <f aca="false">PS_Begin_AUM_Yr2*(Alloc_Eq*Yield_Eq+Alloc_FI*Yield_FI+Alloc_Alt*Yield_Alt+Alloc_RE*Yield_RE+Alloc_Cash*Yield_Cash)</f>
        <v>15275071</v>
      </c>
      <c r="E18" s="23" t="n">
        <f aca="false">PS_Begin_AUM_Yr3*(Alloc_Eq*Yield_Eq+Alloc_FI*Yield_FI+Alloc_Alt*Yield_Alt+Alloc_RE*Yield_RE+Alloc_Cash*Yield_Cash)</f>
        <v>15298277.659074</v>
      </c>
      <c r="F18" s="23" t="n">
        <f aca="false">PS_Begin_AUM_Yr4*(Alloc_Eq*Yield_Eq+Alloc_FI*Yield_FI+Alloc_Alt*Yield_Alt+Alloc_RE*Yield_RE+Alloc_Cash*Yield_Cash)</f>
        <v>15319555.9458341</v>
      </c>
      <c r="G18" s="23" t="n">
        <f aca="false">PS_Begin_AUM_Yr5*(Alloc_Eq*Yield_Eq+Alloc_FI*Yield_FI+Alloc_Alt*Yield_Alt+Alloc_RE*Yield_RE+Alloc_Cash*Yield_Cash)</f>
        <v>15338840.106252</v>
      </c>
      <c r="H18" s="23" t="n">
        <f aca="false">PS_Begin_AUM_Yr6*(Alloc_Eq*Yield_Eq+Alloc_FI*Yield_FI+Alloc_Alt*Yield_Alt+Alloc_RE*Yield_RE+Alloc_Cash*Yield_Cash)</f>
        <v>15356062.6197413</v>
      </c>
      <c r="I18" s="23" t="n">
        <f aca="false">PS_Begin_AUM_Yr7*(Alloc_Eq*Yield_Eq+Alloc_FI*Yield_FI+Alloc_Alt*Yield_Alt+Alloc_RE*Yield_RE+Alloc_Cash*Yield_Cash)</f>
        <v>15371154.1541346</v>
      </c>
      <c r="J18" s="23" t="n">
        <f aca="false">PS_Begin_AUM_Yr8*(Alloc_Eq*Yield_Eq+Alloc_FI*Yield_FI+Alloc_Alt*Yield_Alt+Alloc_RE*Yield_RE+Alloc_Cash*Yield_Cash)</f>
        <v>15384043.5195301</v>
      </c>
      <c r="K18" s="23" t="n">
        <f aca="false">PS_Begin_AUM_Yr9*(Alloc_Eq*Yield_Eq+Alloc_FI*Yield_FI+Alloc_Alt*Yield_Alt+Alloc_RE*Yield_RE+Alloc_Cash*Yield_Cash)</f>
        <v>15394657.6209783</v>
      </c>
      <c r="L18" s="23" t="n">
        <f aca="false">PS_Begin_AUM_Yr10*(Alloc_Eq*Yield_Eq+Alloc_FI*Yield_FI+Alloc_Alt*Yield_Alt+Alloc_RE*Yield_RE+Alloc_Cash*Yield_Cash)</f>
        <v>15402921.4099789</v>
      </c>
    </row>
    <row r="19" customFormat="false" ht="15" hidden="false" customHeight="false" outlineLevel="0" collapsed="false">
      <c r="B19" s="22" t="s">
        <v>129</v>
      </c>
      <c r="C19" s="23" t="n">
        <f aca="false">PS_Gross_Return_Yr1-PS_Total_Income_Yr1</f>
        <v>23750000</v>
      </c>
      <c r="D19" s="23" t="n">
        <f aca="false">PS_Gross_Return_Yr2-PS_Total_Income_Yr2</f>
        <v>23789045</v>
      </c>
      <c r="E19" s="23" t="n">
        <f aca="false">PS_Gross_Return_Yr3-PS_Total_Income_Yr3</f>
        <v>23825186.5182301</v>
      </c>
      <c r="F19" s="23" t="n">
        <f aca="false">PS_Gross_Return_Yr4-PS_Total_Income_Yr4</f>
        <v>23858324.8336761</v>
      </c>
      <c r="G19" s="23" t="n">
        <f aca="false">PS_Gross_Return_Yr5-PS_Total_Income_Yr5</f>
        <v>23888357.5425237</v>
      </c>
      <c r="H19" s="23" t="n">
        <f aca="false">PS_Gross_Return_Yr6-PS_Total_Income_Yr6</f>
        <v>23915179.4897611</v>
      </c>
      <c r="I19" s="23" t="n">
        <f aca="false">PS_Gross_Return_Yr7-PS_Total_Income_Yr7</f>
        <v>23938682.6990621</v>
      </c>
      <c r="J19" s="23" t="n">
        <f aca="false">PS_Gross_Return_Yr8-PS_Total_Income_Yr8</f>
        <v>23958756.3009077</v>
      </c>
      <c r="K19" s="23" t="n">
        <f aca="false">PS_Gross_Return_Yr9-PS_Total_Income_Yr9</f>
        <v>23975286.4589007</v>
      </c>
      <c r="L19" s="23" t="n">
        <f aca="false">PS_Gross_Return_Yr10-PS_Total_Income_Yr10</f>
        <v>23988156.2942294</v>
      </c>
    </row>
    <row r="20" customFormat="false" ht="15" hidden="false" customHeight="false" outlineLevel="0" collapsed="false">
      <c r="B20" s="22" t="s">
        <v>130</v>
      </c>
      <c r="C20" s="23" t="n">
        <f aca="false">MAX(0,PS_Total_Income_Yr1)*Income_Tax_Rate</f>
        <v>5642500</v>
      </c>
      <c r="D20" s="23" t="n">
        <f aca="false">MAX(0,PS_Total_Income_Yr2)*Income_Tax_Rate</f>
        <v>5651776.27</v>
      </c>
      <c r="E20" s="23" t="n">
        <f aca="false">MAX(0,PS_Total_Income_Yr3)*Income_Tax_Rate</f>
        <v>5660362.73385738</v>
      </c>
      <c r="F20" s="23" t="n">
        <f aca="false">MAX(0,PS_Total_Income_Yr4)*Income_Tax_Rate</f>
        <v>5668235.6999586</v>
      </c>
      <c r="G20" s="23" t="n">
        <f aca="false">MAX(0,PS_Total_Income_Yr5)*Income_Tax_Rate</f>
        <v>5675370.83931326</v>
      </c>
      <c r="H20" s="23" t="n">
        <f aca="false">MAX(0,PS_Total_Income_Yr6)*Income_Tax_Rate</f>
        <v>5681743.16930428</v>
      </c>
      <c r="I20" s="23" t="n">
        <f aca="false">MAX(0,PS_Total_Income_Yr7)*Income_Tax_Rate</f>
        <v>5687327.03702979</v>
      </c>
      <c r="J20" s="23" t="n">
        <f aca="false">MAX(0,PS_Total_Income_Yr8)*Income_Tax_Rate</f>
        <v>5692096.10222615</v>
      </c>
      <c r="K20" s="23" t="n">
        <f aca="false">MAX(0,PS_Total_Income_Yr9)*Income_Tax_Rate</f>
        <v>5696023.31976198</v>
      </c>
      <c r="L20" s="23" t="n">
        <f aca="false">MAX(0,PS_Total_Income_Yr10)*Income_Tax_Rate</f>
        <v>5699080.92169218</v>
      </c>
    </row>
    <row r="21" customFormat="false" ht="15" hidden="false" customHeight="false" outlineLevel="0" collapsed="false">
      <c r="B21" s="22" t="s">
        <v>131</v>
      </c>
      <c r="C21" s="23" t="n">
        <f aca="false">MAX(0,PS_Total_Apprec_Yr1)*Capgains_Tax_Rate</f>
        <v>4750000</v>
      </c>
      <c r="D21" s="23" t="n">
        <f aca="false">MAX(0,PS_Total_Apprec_Yr2)*Capgains_Tax_Rate</f>
        <v>4757809</v>
      </c>
      <c r="E21" s="23" t="n">
        <f aca="false">MAX(0,PS_Total_Apprec_Yr3)*Capgains_Tax_Rate</f>
        <v>4765037.30364602</v>
      </c>
      <c r="F21" s="23" t="n">
        <f aca="false">MAX(0,PS_Total_Apprec_Yr4)*Capgains_Tax_Rate</f>
        <v>4771664.96673522</v>
      </c>
      <c r="G21" s="23" t="n">
        <f aca="false">MAX(0,PS_Total_Apprec_Yr5)*Capgains_Tax_Rate</f>
        <v>4777671.50850474</v>
      </c>
      <c r="H21" s="23" t="n">
        <f aca="false">MAX(0,PS_Total_Apprec_Yr6)*Capgains_Tax_Rate</f>
        <v>4783035.89795222</v>
      </c>
      <c r="I21" s="23" t="n">
        <f aca="false">MAX(0,PS_Total_Apprec_Yr7)*Capgains_Tax_Rate</f>
        <v>4787736.53981242</v>
      </c>
      <c r="J21" s="23" t="n">
        <f aca="false">MAX(0,PS_Total_Apprec_Yr8)*Capgains_Tax_Rate</f>
        <v>4791751.26018153</v>
      </c>
      <c r="K21" s="23" t="n">
        <f aca="false">MAX(0,PS_Total_Apprec_Yr9)*Capgains_Tax_Rate</f>
        <v>4795057.29178013</v>
      </c>
      <c r="L21" s="23" t="n">
        <f aca="false">MAX(0,PS_Total_Apprec_Yr10)*Capgains_Tax_Rate</f>
        <v>4797631.25884588</v>
      </c>
    </row>
    <row r="22" customFormat="false" ht="15" hidden="false" customHeight="false" outlineLevel="0" collapsed="false">
      <c r="B22" s="26" t="s">
        <v>132</v>
      </c>
      <c r="C22" s="27" t="n">
        <f aca="false">PS_Inc_Tax_Yr1+PS_CapGains_Tax_Yr1</f>
        <v>10392500</v>
      </c>
      <c r="D22" s="27" t="n">
        <f aca="false">PS_Inc_Tax_Yr2+PS_CapGains_Tax_Yr2</f>
        <v>10409585.27</v>
      </c>
      <c r="E22" s="27" t="n">
        <f aca="false">PS_Inc_Tax_Yr3+PS_CapGains_Tax_Yr3</f>
        <v>10425400.0375034</v>
      </c>
      <c r="F22" s="27" t="n">
        <f aca="false">PS_Inc_Tax_Yr4+PS_CapGains_Tax_Yr4</f>
        <v>10439900.6666938</v>
      </c>
      <c r="G22" s="27" t="n">
        <f aca="false">PS_Inc_Tax_Yr5+PS_CapGains_Tax_Yr5</f>
        <v>10453042.347818</v>
      </c>
      <c r="H22" s="27" t="n">
        <f aca="false">PS_Inc_Tax_Yr6+PS_CapGains_Tax_Yr6</f>
        <v>10464779.0672565</v>
      </c>
      <c r="I22" s="27" t="n">
        <f aca="false">PS_Inc_Tax_Yr7+PS_CapGains_Tax_Yr7</f>
        <v>10475063.5768422</v>
      </c>
      <c r="J22" s="27" t="n">
        <f aca="false">PS_Inc_Tax_Yr8+PS_CapGains_Tax_Yr8</f>
        <v>10483847.3624077</v>
      </c>
      <c r="K22" s="27" t="n">
        <f aca="false">PS_Inc_Tax_Yr9+PS_CapGains_Tax_Yr9</f>
        <v>10491080.6115421</v>
      </c>
      <c r="L22" s="27" t="n">
        <f aca="false">PS_Inc_Tax_Yr10+PS_CapGains_Tax_Yr10</f>
        <v>10496712.1805381</v>
      </c>
    </row>
    <row r="23" customFormat="false" ht="15" hidden="false" customHeight="false" outlineLevel="0" collapsed="false">
      <c r="B23" s="15" t="s">
        <v>133</v>
      </c>
      <c r="C23" s="15"/>
      <c r="D23" s="15"/>
      <c r="E23" s="15"/>
      <c r="F23" s="15"/>
      <c r="G23" s="15"/>
      <c r="H23" s="15"/>
      <c r="I23" s="15"/>
      <c r="J23" s="15"/>
      <c r="K23" s="15"/>
      <c r="L23" s="15"/>
    </row>
    <row r="24" customFormat="false" ht="15" hidden="false" customHeight="false" outlineLevel="0" collapsed="false">
      <c r="B24" s="30" t="s">
        <v>134</v>
      </c>
      <c r="C24" s="31" t="n">
        <f aca="false">PS_Begin_AUM_Yr1+PS_Gross_Return_Yr1-PS_Total_Inv_Costs_Yr1-PS_OpEx_Yr1-PS_Distributions_Yr1-PS_Total_Taxes_Yr1</f>
        <v>500822000</v>
      </c>
      <c r="D24" s="31" t="n">
        <f aca="false">PS_Begin_AUM_Yr2+PS_Gross_Return_Yr2-PS_Total_Inv_Costs_Yr2-PS_OpEx_Yr2-PS_Distributions_Yr2-PS_Total_Taxes_Yr2</f>
        <v>501582874.068</v>
      </c>
      <c r="E24" s="31" t="n">
        <f aca="false">PS_Begin_AUM_Yr3+PS_Gross_Return_Yr3-PS_Total_Inv_Costs_Yr3-PS_OpEx_Yr3-PS_Distributions_Yr3-PS_Total_Taxes_Yr3</f>
        <v>502280522.814232</v>
      </c>
      <c r="F24" s="31" t="n">
        <f aca="false">PS_Begin_AUM_Yr4+PS_Gross_Return_Yr4-PS_Total_Inv_Costs_Yr4-PS_OpEx_Yr4-PS_Distributions_Yr4-PS_Total_Taxes_Yr4</f>
        <v>502912790.368919</v>
      </c>
      <c r="G24" s="31" t="n">
        <f aca="false">PS_Begin_AUM_Yr5+PS_Gross_Return_Yr5-PS_Total_Inv_Costs_Yr5-PS_OpEx_Yr5-PS_Distributions_Yr5-PS_Total_Taxes_Yr5</f>
        <v>503477462.942338</v>
      </c>
      <c r="H24" s="31" t="n">
        <f aca="false">PS_Begin_AUM_Yr6+PS_Gross_Return_Yr6-PS_Total_Inv_Costs_Yr6-PS_OpEx_Yr6-PS_Distributions_Yr6-PS_Total_Taxes_Yr6</f>
        <v>503972267.348674</v>
      </c>
      <c r="I24" s="31" t="n">
        <f aca="false">PS_Begin_AUM_Yr7+PS_Gross_Return_Yr7-PS_Total_Inv_Costs_Yr7-PS_OpEx_Yr7-PS_Distributions_Yr7-PS_Total_Taxes_Yr7</f>
        <v>504394869.492791</v>
      </c>
      <c r="J24" s="31" t="n">
        <f aca="false">PS_Begin_AUM_Yr8+PS_Gross_Return_Yr8-PS_Total_Inv_Costs_Yr8-PS_OpEx_Yr8-PS_Distributions_Yr8-PS_Total_Taxes_Yr8</f>
        <v>504742872.818961</v>
      </c>
      <c r="K24" s="31" t="n">
        <f aca="false">PS_Begin_AUM_Yr9+PS_Gross_Return_Yr9-PS_Total_Inv_Costs_Yr9-PS_OpEx_Yr9-PS_Distributions_Yr9-PS_Total_Taxes_Yr9</f>
        <v>505013816.720618</v>
      </c>
      <c r="L24" s="31" t="n">
        <f aca="false">PS_Begin_AUM_Yr10+PS_Gross_Return_Yr10-PS_Total_Inv_Costs_Yr10-PS_OpEx_Yr10-PS_Distributions_Yr10-PS_Total_Taxes_Yr10</f>
        <v>505205174.910152</v>
      </c>
    </row>
    <row r="25" customFormat="false" ht="15" hidden="false" customHeight="false" outlineLevel="0" collapsed="false">
      <c r="B25" s="6"/>
      <c r="C25" s="6"/>
      <c r="D25" s="6"/>
      <c r="E25" s="6"/>
      <c r="F25" s="6"/>
      <c r="G25" s="6"/>
      <c r="H25" s="6"/>
      <c r="I25" s="6"/>
      <c r="J25" s="6"/>
      <c r="K25" s="6"/>
      <c r="L25" s="6"/>
    </row>
    <row r="26" customFormat="false" ht="15" hidden="false" customHeight="false" outlineLevel="0" collapsed="false">
      <c r="B26" s="16" t="s">
        <v>135</v>
      </c>
      <c r="C26" s="16"/>
      <c r="D26" s="16"/>
      <c r="E26" s="16"/>
      <c r="F26" s="16"/>
      <c r="G26" s="16"/>
      <c r="H26" s="16"/>
      <c r="I26" s="16"/>
      <c r="J26" s="16"/>
      <c r="K26" s="16"/>
      <c r="L26" s="16"/>
    </row>
    <row r="27" customFormat="false" ht="15" hidden="false" customHeight="false" outlineLevel="0" collapsed="false">
      <c r="B27" s="22" t="s">
        <v>136</v>
      </c>
      <c r="C27" s="32" t="n">
        <f aca="false">AR_Eq_End_Yr1/PS_End_AUM_Yr1</f>
        <v>0.4</v>
      </c>
      <c r="D27" s="32" t="n">
        <f aca="false">AR_Eq_End_Yr2/PS_End_AUM_Yr2</f>
        <v>0.4</v>
      </c>
      <c r="E27" s="32" t="n">
        <f aca="false">AR_Eq_End_Yr3/PS_End_AUM_Yr3</f>
        <v>0.4</v>
      </c>
      <c r="F27" s="32" t="n">
        <f aca="false">AR_Eq_End_Yr4/PS_End_AUM_Yr4</f>
        <v>0.4</v>
      </c>
      <c r="G27" s="32" t="n">
        <f aca="false">AR_Eq_End_Yr5/PS_End_AUM_Yr5</f>
        <v>0.4</v>
      </c>
      <c r="H27" s="32" t="n">
        <f aca="false">AR_Eq_End_Yr6/PS_End_AUM_Yr6</f>
        <v>0.4</v>
      </c>
      <c r="I27" s="32" t="n">
        <f aca="false">AR_Eq_End_Yr7/PS_End_AUM_Yr7</f>
        <v>0.4</v>
      </c>
      <c r="J27" s="32" t="n">
        <f aca="false">AR_Eq_End_Yr8/PS_End_AUM_Yr8</f>
        <v>0.4</v>
      </c>
      <c r="K27" s="32" t="n">
        <f aca="false">AR_Eq_End_Yr9/PS_End_AUM_Yr9</f>
        <v>0.4</v>
      </c>
      <c r="L27" s="32" t="n">
        <f aca="false">AR_Eq_End_Yr10/PS_End_AUM_Yr10</f>
        <v>0.4</v>
      </c>
    </row>
    <row r="28" customFormat="false" ht="15" hidden="false" customHeight="false" outlineLevel="0" collapsed="false">
      <c r="B28" s="22" t="s">
        <v>137</v>
      </c>
      <c r="C28" s="32" t="n">
        <f aca="false">AR_FI_End_Yr1/PS_End_AUM_Yr1</f>
        <v>0.2</v>
      </c>
      <c r="D28" s="32" t="n">
        <f aca="false">AR_FI_End_Yr2/PS_End_AUM_Yr2</f>
        <v>0.2</v>
      </c>
      <c r="E28" s="32" t="n">
        <f aca="false">AR_FI_End_Yr3/PS_End_AUM_Yr3</f>
        <v>0.2</v>
      </c>
      <c r="F28" s="32" t="n">
        <f aca="false">AR_FI_End_Yr4/PS_End_AUM_Yr4</f>
        <v>0.2</v>
      </c>
      <c r="G28" s="32" t="n">
        <f aca="false">AR_FI_End_Yr5/PS_End_AUM_Yr5</f>
        <v>0.2</v>
      </c>
      <c r="H28" s="32" t="n">
        <f aca="false">AR_FI_End_Yr6/PS_End_AUM_Yr6</f>
        <v>0.2</v>
      </c>
      <c r="I28" s="32" t="n">
        <f aca="false">AR_FI_End_Yr7/PS_End_AUM_Yr7</f>
        <v>0.2</v>
      </c>
      <c r="J28" s="32" t="n">
        <f aca="false">AR_FI_End_Yr8/PS_End_AUM_Yr8</f>
        <v>0.2</v>
      </c>
      <c r="K28" s="32" t="n">
        <f aca="false">AR_FI_End_Yr9/PS_End_AUM_Yr9</f>
        <v>0.2</v>
      </c>
      <c r="L28" s="32" t="n">
        <f aca="false">AR_FI_End_Yr10/PS_End_AUM_Yr10</f>
        <v>0.2</v>
      </c>
    </row>
    <row r="29" customFormat="false" ht="15" hidden="false" customHeight="false" outlineLevel="0" collapsed="false">
      <c r="B29" s="22" t="s">
        <v>138</v>
      </c>
      <c r="C29" s="32" t="n">
        <f aca="false">AR_Alt_End_Yr1/PS_End_AUM_Yr1</f>
        <v>0.25</v>
      </c>
      <c r="D29" s="32" t="n">
        <f aca="false">AR_Alt_End_Yr2/PS_End_AUM_Yr2</f>
        <v>0.25</v>
      </c>
      <c r="E29" s="32" t="n">
        <f aca="false">AR_Alt_End_Yr3/PS_End_AUM_Yr3</f>
        <v>0.25</v>
      </c>
      <c r="F29" s="32" t="n">
        <f aca="false">AR_Alt_End_Yr4/PS_End_AUM_Yr4</f>
        <v>0.25</v>
      </c>
      <c r="G29" s="32" t="n">
        <f aca="false">AR_Alt_End_Yr5/PS_End_AUM_Yr5</f>
        <v>0.25</v>
      </c>
      <c r="H29" s="32" t="n">
        <f aca="false">AR_Alt_End_Yr6/PS_End_AUM_Yr6</f>
        <v>0.25</v>
      </c>
      <c r="I29" s="32" t="n">
        <f aca="false">AR_Alt_End_Yr7/PS_End_AUM_Yr7</f>
        <v>0.25</v>
      </c>
      <c r="J29" s="32" t="n">
        <f aca="false">AR_Alt_End_Yr8/PS_End_AUM_Yr8</f>
        <v>0.25</v>
      </c>
      <c r="K29" s="32" t="n">
        <f aca="false">AR_Alt_End_Yr9/PS_End_AUM_Yr9</f>
        <v>0.25</v>
      </c>
      <c r="L29" s="32" t="n">
        <f aca="false">AR_Alt_End_Yr10/PS_End_AUM_Yr10</f>
        <v>0.25</v>
      </c>
    </row>
    <row r="30" customFormat="false" ht="15" hidden="false" customHeight="false" outlineLevel="0" collapsed="false">
      <c r="B30" s="22" t="s">
        <v>139</v>
      </c>
      <c r="C30" s="32" t="n">
        <f aca="false">AR_RE_End_Yr1/PS_End_AUM_Yr1</f>
        <v>0.1</v>
      </c>
      <c r="D30" s="32" t="n">
        <f aca="false">AR_RE_End_Yr2/PS_End_AUM_Yr2</f>
        <v>0.1</v>
      </c>
      <c r="E30" s="32" t="n">
        <f aca="false">AR_RE_End_Yr3/PS_End_AUM_Yr3</f>
        <v>0.1</v>
      </c>
      <c r="F30" s="32" t="n">
        <f aca="false">AR_RE_End_Yr4/PS_End_AUM_Yr4</f>
        <v>0.1</v>
      </c>
      <c r="G30" s="32" t="n">
        <f aca="false">AR_RE_End_Yr5/PS_End_AUM_Yr5</f>
        <v>0.1</v>
      </c>
      <c r="H30" s="32" t="n">
        <f aca="false">AR_RE_End_Yr6/PS_End_AUM_Yr6</f>
        <v>0.1</v>
      </c>
      <c r="I30" s="32" t="n">
        <f aca="false">AR_RE_End_Yr7/PS_End_AUM_Yr7</f>
        <v>0.1</v>
      </c>
      <c r="J30" s="32" t="n">
        <f aca="false">AR_RE_End_Yr8/PS_End_AUM_Yr8</f>
        <v>0.1</v>
      </c>
      <c r="K30" s="32" t="n">
        <f aca="false">AR_RE_End_Yr9/PS_End_AUM_Yr9</f>
        <v>0.1</v>
      </c>
      <c r="L30" s="32" t="n">
        <f aca="false">AR_RE_End_Yr10/PS_End_AUM_Yr10</f>
        <v>0.1</v>
      </c>
    </row>
    <row r="31" customFormat="false" ht="15" hidden="false" customHeight="false" outlineLevel="0" collapsed="false">
      <c r="B31" s="22" t="s">
        <v>140</v>
      </c>
      <c r="C31" s="32" t="n">
        <f aca="false">AR_Cash_End_Yr1/PS_End_AUM_Yr1</f>
        <v>0.05</v>
      </c>
      <c r="D31" s="32" t="n">
        <f aca="false">AR_Cash_End_Yr2/PS_End_AUM_Yr2</f>
        <v>0.05</v>
      </c>
      <c r="E31" s="32" t="n">
        <f aca="false">AR_Cash_End_Yr3/PS_End_AUM_Yr3</f>
        <v>0.05</v>
      </c>
      <c r="F31" s="32" t="n">
        <f aca="false">AR_Cash_End_Yr4/PS_End_AUM_Yr4</f>
        <v>0.05</v>
      </c>
      <c r="G31" s="32" t="n">
        <f aca="false">AR_Cash_End_Yr5/PS_End_AUM_Yr5</f>
        <v>0.05</v>
      </c>
      <c r="H31" s="32" t="n">
        <f aca="false">AR_Cash_End_Yr6/PS_End_AUM_Yr6</f>
        <v>0.05</v>
      </c>
      <c r="I31" s="32" t="n">
        <f aca="false">AR_Cash_End_Yr7/PS_End_AUM_Yr7</f>
        <v>0.05</v>
      </c>
      <c r="J31" s="32" t="n">
        <f aca="false">AR_Cash_End_Yr8/PS_End_AUM_Yr8</f>
        <v>0.05</v>
      </c>
      <c r="K31" s="32" t="n">
        <f aca="false">AR_Cash_End_Yr9/PS_End_AUM_Yr9</f>
        <v>0.05</v>
      </c>
      <c r="L31" s="32" t="n">
        <f aca="false">AR_Cash_End_Yr10/PS_End_AUM_Yr10</f>
        <v>0.05</v>
      </c>
    </row>
    <row r="32" customFormat="false" ht="15" hidden="false" customHeight="false" outlineLevel="0" collapsed="false">
      <c r="B32" s="26" t="s">
        <v>141</v>
      </c>
      <c r="C32" s="33" t="n">
        <f aca="false">PS_W_Eq_Yr1+PS_W_FI_Yr1+PS_W_Alt_Yr1+PS_W_RE_Yr1+PS_W_Cash_Yr1</f>
        <v>1</v>
      </c>
      <c r="D32" s="33" t="n">
        <f aca="false">PS_W_Eq_Yr2+PS_W_FI_Yr2+PS_W_Alt_Yr2+PS_W_RE_Yr2+PS_W_Cash_Yr2</f>
        <v>1</v>
      </c>
      <c r="E32" s="33" t="n">
        <f aca="false">PS_W_Eq_Yr3+PS_W_FI_Yr3+PS_W_Alt_Yr3+PS_W_RE_Yr3+PS_W_Cash_Yr3</f>
        <v>1</v>
      </c>
      <c r="F32" s="33" t="n">
        <f aca="false">PS_W_Eq_Yr4+PS_W_FI_Yr4+PS_W_Alt_Yr4+PS_W_RE_Yr4+PS_W_Cash_Yr4</f>
        <v>1</v>
      </c>
      <c r="G32" s="33" t="n">
        <f aca="false">PS_W_Eq_Yr5+PS_W_FI_Yr5+PS_W_Alt_Yr5+PS_W_RE_Yr5+PS_W_Cash_Yr5</f>
        <v>1</v>
      </c>
      <c r="H32" s="33" t="n">
        <f aca="false">PS_W_Eq_Yr6+PS_W_FI_Yr6+PS_W_Alt_Yr6+PS_W_RE_Yr6+PS_W_Cash_Yr6</f>
        <v>1</v>
      </c>
      <c r="I32" s="33" t="n">
        <f aca="false">PS_W_Eq_Yr7+PS_W_FI_Yr7+PS_W_Alt_Yr7+PS_W_RE_Yr7+PS_W_Cash_Yr7</f>
        <v>1</v>
      </c>
      <c r="J32" s="33" t="n">
        <f aca="false">PS_W_Eq_Yr8+PS_W_FI_Yr8+PS_W_Alt_Yr8+PS_W_RE_Yr8+PS_W_Cash_Yr8</f>
        <v>1</v>
      </c>
      <c r="K32" s="33" t="n">
        <f aca="false">PS_W_Eq_Yr9+PS_W_FI_Yr9+PS_W_Alt_Yr9+PS_W_RE_Yr9+PS_W_Cash_Yr9</f>
        <v>1</v>
      </c>
      <c r="L32" s="33" t="n">
        <f aca="false">PS_W_Eq_Yr10+PS_W_FI_Yr10+PS_W_Alt_Yr10+PS_W_RE_Yr10+PS_W_Cash_Yr10</f>
        <v>1</v>
      </c>
    </row>
    <row r="33" customFormat="false" ht="15" hidden="false" customHeight="false" outlineLevel="0" collapsed="false">
      <c r="B33" s="6"/>
      <c r="C33" s="6"/>
      <c r="D33" s="6"/>
      <c r="E33" s="6"/>
      <c r="F33" s="6"/>
      <c r="G33" s="6"/>
      <c r="H33" s="6"/>
      <c r="I33" s="6"/>
      <c r="J33" s="6"/>
      <c r="K33" s="6"/>
      <c r="L33" s="6"/>
    </row>
    <row r="34" customFormat="false" ht="15" hidden="false" customHeight="false" outlineLevel="0" collapsed="false">
      <c r="B34" s="16" t="s">
        <v>142</v>
      </c>
      <c r="C34" s="16"/>
      <c r="D34" s="16"/>
      <c r="E34" s="16"/>
      <c r="F34" s="16"/>
      <c r="G34" s="16"/>
      <c r="H34" s="16"/>
      <c r="I34" s="16"/>
      <c r="J34" s="16"/>
      <c r="K34" s="16"/>
      <c r="L34" s="16"/>
    </row>
    <row r="35" customFormat="false" ht="15" hidden="false" customHeight="false" outlineLevel="0" collapsed="false">
      <c r="B35" s="22" t="s">
        <v>143</v>
      </c>
      <c r="C35" s="32" t="n">
        <f aca="false">PS_Gross_Return_Yr1/PS_Begin_AUM_Yr1</f>
        <v>0.078</v>
      </c>
      <c r="D35" s="32" t="n">
        <f aca="false">PS_Gross_Return_Yr2/PS_Begin_AUM_Yr2</f>
        <v>0.078</v>
      </c>
      <c r="E35" s="32" t="n">
        <f aca="false">PS_Gross_Return_Yr3/PS_Begin_AUM_Yr3</f>
        <v>0.0780000000000002</v>
      </c>
      <c r="F35" s="32" t="n">
        <f aca="false">PS_Gross_Return_Yr4/PS_Begin_AUM_Yr4</f>
        <v>0.0780000000000001</v>
      </c>
      <c r="G35" s="32" t="n">
        <f aca="false">PS_Gross_Return_Yr5/PS_Begin_AUM_Yr5</f>
        <v>0.0780000000000001</v>
      </c>
      <c r="H35" s="32" t="n">
        <f aca="false">PS_Gross_Return_Yr6/PS_Begin_AUM_Yr6</f>
        <v>0.0780000000000001</v>
      </c>
      <c r="I35" s="32" t="n">
        <f aca="false">PS_Gross_Return_Yr7/PS_Begin_AUM_Yr7</f>
        <v>0.0780000000000002</v>
      </c>
      <c r="J35" s="32" t="n">
        <f aca="false">PS_Gross_Return_Yr8/PS_Begin_AUM_Yr8</f>
        <v>0.0780000000000001</v>
      </c>
      <c r="K35" s="32" t="n">
        <f aca="false">PS_Gross_Return_Yr9/PS_Begin_AUM_Yr9</f>
        <v>0.078</v>
      </c>
      <c r="L35" s="32" t="n">
        <f aca="false">PS_Gross_Return_Yr10/PS_Begin_AUM_Yr10</f>
        <v>0.0780000000000001</v>
      </c>
    </row>
    <row r="36" customFormat="false" ht="15" hidden="false" customHeight="false" outlineLevel="0" collapsed="false">
      <c r="B36" s="22" t="s">
        <v>144</v>
      </c>
      <c r="C36" s="32" t="n">
        <f aca="false">(PS_Gross_Return_Yr1-PS_Total_Inv_Costs_Yr1)/PS_Begin_AUM_Yr1</f>
        <v>0.057779</v>
      </c>
      <c r="D36" s="32" t="n">
        <f aca="false">(PS_Gross_Return_Yr2-PS_Total_Inv_Costs_Yr2)/PS_Begin_AUM_Yr2</f>
        <v>0.057779</v>
      </c>
      <c r="E36" s="32" t="n">
        <f aca="false">(PS_Gross_Return_Yr3-PS_Total_Inv_Costs_Yr3)/PS_Begin_AUM_Yr3</f>
        <v>0.0577790000000002</v>
      </c>
      <c r="F36" s="32" t="n">
        <f aca="false">(PS_Gross_Return_Yr4-PS_Total_Inv_Costs_Yr4)/PS_Begin_AUM_Yr4</f>
        <v>0.0577790000000001</v>
      </c>
      <c r="G36" s="32" t="n">
        <f aca="false">(PS_Gross_Return_Yr5-PS_Total_Inv_Costs_Yr5)/PS_Begin_AUM_Yr5</f>
        <v>0.0577790000000001</v>
      </c>
      <c r="H36" s="32" t="n">
        <f aca="false">(PS_Gross_Return_Yr6-PS_Total_Inv_Costs_Yr6)/PS_Begin_AUM_Yr6</f>
        <v>0.057779</v>
      </c>
      <c r="I36" s="32" t="n">
        <f aca="false">(PS_Gross_Return_Yr7-PS_Total_Inv_Costs_Yr7)/PS_Begin_AUM_Yr7</f>
        <v>0.0577790000000002</v>
      </c>
      <c r="J36" s="32" t="n">
        <f aca="false">(PS_Gross_Return_Yr8-PS_Total_Inv_Costs_Yr8)/PS_Begin_AUM_Yr8</f>
        <v>0.0577790000000001</v>
      </c>
      <c r="K36" s="32" t="n">
        <f aca="false">(PS_Gross_Return_Yr9-PS_Total_Inv_Costs_Yr9)/PS_Begin_AUM_Yr9</f>
        <v>0.057779</v>
      </c>
      <c r="L36" s="32" t="n">
        <f aca="false">(PS_Gross_Return_Yr10-PS_Total_Inv_Costs_Yr10)/PS_Begin_AUM_Yr10</f>
        <v>0.0577790000000001</v>
      </c>
    </row>
    <row r="37" customFormat="false" ht="15" hidden="false" customHeight="false" outlineLevel="0" collapsed="false">
      <c r="B37" s="22" t="s">
        <v>145</v>
      </c>
      <c r="C37" s="32" t="n">
        <f aca="false">(PS_End_AUM_Yr1+PS_Distributions_Yr1-PS_Begin_AUM_Yr1)/PS_Begin_AUM_Yr1</f>
        <v>0.031644</v>
      </c>
      <c r="D37" s="32" t="n">
        <f aca="false">(PS_End_AUM_Yr2+PS_Distributions_Yr2-PS_Begin_AUM_Yr2)/PS_Begin_AUM_Yr2</f>
        <v>0.0315192504881974</v>
      </c>
      <c r="E37" s="32" t="n">
        <f aca="false">(PS_End_AUM_Yr3+PS_Distributions_Yr3-PS_Begin_AUM_Yr3)/PS_Begin_AUM_Yr3</f>
        <v>0.0313908942715158</v>
      </c>
      <c r="F37" s="32" t="n">
        <f aca="false">(PS_End_AUM_Yr4+PS_Distributions_Yr4-PS_Begin_AUM_Yr4)/PS_Begin_AUM_Yr4</f>
        <v>0.0312587936939009</v>
      </c>
      <c r="G37" s="32" t="n">
        <f aca="false">(PS_End_AUM_Yr5+PS_Distributions_Yr5-PS_Begin_AUM_Yr5)/PS_Begin_AUM_Yr5</f>
        <v>0.0311228041605467</v>
      </c>
      <c r="H37" s="32" t="n">
        <f aca="false">(PS_End_AUM_Yr6+PS_Distributions_Yr6-PS_Begin_AUM_Yr6)/PS_Begin_AUM_Yr6</f>
        <v>0.0309827736944662</v>
      </c>
      <c r="I37" s="32" t="n">
        <f aca="false">(PS_End_AUM_Yr7+PS_Distributions_Yr7-PS_Begin_AUM_Yr7)/PS_Begin_AUM_Yr7</f>
        <v>0.030838542458577</v>
      </c>
      <c r="J37" s="32" t="n">
        <f aca="false">(PS_End_AUM_Yr8+PS_Distributions_Yr8-PS_Begin_AUM_Yr8)/PS_Begin_AUM_Yr8</f>
        <v>0.0306899422401344</v>
      </c>
      <c r="K37" s="32" t="n">
        <f aca="false">(PS_End_AUM_Yr9+PS_Distributions_Yr9-PS_Begin_AUM_Yr9)/PS_Begin_AUM_Yr9</f>
        <v>0.0305367958940036</v>
      </c>
      <c r="L37" s="32" t="n">
        <f aca="false">(PS_End_AUM_Yr10+PS_Distributions_Yr10-PS_Begin_AUM_Yr10)/PS_Begin_AUM_Yr10</f>
        <v>0.0303789167408857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5"/>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146</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146</v>
      </c>
      <c r="C3" s="15"/>
      <c r="D3" s="15"/>
      <c r="E3" s="15"/>
      <c r="F3" s="15"/>
      <c r="G3" s="15"/>
      <c r="H3" s="15"/>
      <c r="I3" s="15"/>
      <c r="J3" s="15"/>
      <c r="K3" s="15"/>
      <c r="L3" s="15"/>
      <c r="M3" s="1"/>
      <c r="N3" s="1"/>
      <c r="O3" s="1"/>
      <c r="P3" s="1"/>
      <c r="Q3" s="1"/>
      <c r="R3" s="1"/>
      <c r="S3" s="1"/>
      <c r="T3" s="1"/>
      <c r="U3" s="1"/>
      <c r="V3" s="1"/>
      <c r="W3" s="1"/>
      <c r="X3" s="1"/>
      <c r="Y3" s="1"/>
      <c r="Z3" s="1"/>
      <c r="AA3" s="1"/>
      <c r="AB3" s="1"/>
      <c r="AC3" s="1"/>
      <c r="AD3" s="1"/>
    </row>
    <row r="4" customFormat="false" ht="15" hidden="false" customHeight="false" outlineLevel="0" collapsed="false">
      <c r="B4" s="20"/>
      <c r="C4" s="21" t="s">
        <v>71</v>
      </c>
      <c r="D4" s="21" t="s">
        <v>72</v>
      </c>
      <c r="E4" s="21" t="s">
        <v>73</v>
      </c>
      <c r="F4" s="21" t="s">
        <v>74</v>
      </c>
      <c r="G4" s="21" t="s">
        <v>75</v>
      </c>
      <c r="H4" s="21" t="s">
        <v>76</v>
      </c>
      <c r="I4" s="21" t="s">
        <v>77</v>
      </c>
      <c r="J4" s="21" t="s">
        <v>78</v>
      </c>
      <c r="K4" s="21" t="s">
        <v>79</v>
      </c>
      <c r="L4" s="21" t="s">
        <v>80</v>
      </c>
    </row>
    <row r="5" customFormat="false" ht="15" hidden="false" customHeight="false" outlineLevel="0" collapsed="false">
      <c r="B5" s="15" t="s">
        <v>147</v>
      </c>
      <c r="C5" s="15"/>
      <c r="D5" s="15"/>
      <c r="E5" s="15"/>
      <c r="F5" s="15"/>
      <c r="G5" s="15"/>
      <c r="H5" s="15"/>
      <c r="I5" s="15"/>
      <c r="J5" s="15"/>
      <c r="K5" s="15"/>
      <c r="L5" s="15"/>
    </row>
    <row r="6" customFormat="false" ht="15" hidden="false" customHeight="false" outlineLevel="0" collapsed="false">
      <c r="B6" s="22" t="s">
        <v>148</v>
      </c>
      <c r="C6" s="23" t="n">
        <f aca="false">AR_Eq_Begin_Yr1*Yield_Eq</f>
        <v>4000000</v>
      </c>
      <c r="D6" s="23" t="n">
        <f aca="false">AR_Eq_Begin_Yr2*Yield_Eq</f>
        <v>4006576</v>
      </c>
      <c r="E6" s="23" t="n">
        <f aca="false">AR_Eq_Begin_Yr3*Yield_Eq</f>
        <v>4012662.992544</v>
      </c>
      <c r="F6" s="23" t="n">
        <f aca="false">AR_Eq_Begin_Yr4*Yield_Eq</f>
        <v>4018244.18251385</v>
      </c>
      <c r="G6" s="23" t="n">
        <f aca="false">AR_Eq_Begin_Yr5*Yield_Eq</f>
        <v>4023302.32295136</v>
      </c>
      <c r="H6" s="23" t="n">
        <f aca="false">AR_Eq_Begin_Yr6*Yield_Eq</f>
        <v>4027819.7035387</v>
      </c>
      <c r="I6" s="23" t="n">
        <f aca="false">AR_Eq_Begin_Yr7*Yield_Eq</f>
        <v>4031778.13878939</v>
      </c>
      <c r="J6" s="23" t="n">
        <f aca="false">AR_Eq_Begin_Yr8*Yield_Eq</f>
        <v>4035158.95594233</v>
      </c>
      <c r="K6" s="23" t="n">
        <f aca="false">AR_Eq_Begin_Yr9*Yield_Eq</f>
        <v>4037942.98255169</v>
      </c>
      <c r="L6" s="23" t="n">
        <f aca="false">AR_Eq_Begin_Yr10*Yield_Eq</f>
        <v>4040110.53376495</v>
      </c>
    </row>
    <row r="7" customFormat="false" ht="15" hidden="false" customHeight="false" outlineLevel="0" collapsed="false">
      <c r="B7" s="22" t="s">
        <v>149</v>
      </c>
      <c r="C7" s="23" t="n">
        <f aca="false">AR_FI_Begin_Yr1*Yield_FI</f>
        <v>4500000</v>
      </c>
      <c r="D7" s="23" t="n">
        <f aca="false">AR_FI_Begin_Yr2*Yield_FI</f>
        <v>4507398</v>
      </c>
      <c r="E7" s="23" t="n">
        <f aca="false">AR_FI_Begin_Yr3*Yield_FI</f>
        <v>4514245.866612</v>
      </c>
      <c r="F7" s="23" t="n">
        <f aca="false">AR_FI_Begin_Yr4*Yield_FI</f>
        <v>4520524.70532808</v>
      </c>
      <c r="G7" s="23" t="n">
        <f aca="false">AR_FI_Begin_Yr5*Yield_FI</f>
        <v>4526215.11332028</v>
      </c>
      <c r="H7" s="23" t="n">
        <f aca="false">AR_FI_Begin_Yr6*Yield_FI</f>
        <v>4531297.16648104</v>
      </c>
      <c r="I7" s="23" t="n">
        <f aca="false">AR_FI_Begin_Yr7*Yield_FI</f>
        <v>4535750.40613807</v>
      </c>
      <c r="J7" s="23" t="n">
        <f aca="false">AR_FI_Begin_Yr8*Yield_FI</f>
        <v>4539553.82543512</v>
      </c>
      <c r="K7" s="23" t="n">
        <f aca="false">AR_FI_Begin_Yr9*Yield_FI</f>
        <v>4542685.85537065</v>
      </c>
      <c r="L7" s="23" t="n">
        <f aca="false">AR_FI_Begin_Yr10*Yield_FI</f>
        <v>4545124.35048556</v>
      </c>
    </row>
    <row r="8" customFormat="false" ht="15" hidden="false" customHeight="false" outlineLevel="0" collapsed="false">
      <c r="B8" s="22" t="s">
        <v>150</v>
      </c>
      <c r="C8" s="23" t="n">
        <f aca="false">AR_Alt_Begin_Yr1*Yield_Alt</f>
        <v>3750000</v>
      </c>
      <c r="D8" s="23" t="n">
        <f aca="false">AR_Alt_Begin_Yr2*Yield_Alt</f>
        <v>3756165</v>
      </c>
      <c r="E8" s="23" t="n">
        <f aca="false">AR_Alt_Begin_Yr3*Yield_Alt</f>
        <v>3761871.55551</v>
      </c>
      <c r="F8" s="23" t="n">
        <f aca="false">AR_Alt_Begin_Yr4*Yield_Alt</f>
        <v>3767103.92110674</v>
      </c>
      <c r="G8" s="23" t="n">
        <f aca="false">AR_Alt_Begin_Yr5*Yield_Alt</f>
        <v>3771845.9277669</v>
      </c>
      <c r="H8" s="23" t="n">
        <f aca="false">AR_Alt_Begin_Yr6*Yield_Alt</f>
        <v>3776080.97206753</v>
      </c>
      <c r="I8" s="23" t="n">
        <f aca="false">AR_Alt_Begin_Yr7*Yield_Alt</f>
        <v>3779792.00511506</v>
      </c>
      <c r="J8" s="23" t="n">
        <f aca="false">AR_Alt_Begin_Yr8*Yield_Alt</f>
        <v>3782961.52119593</v>
      </c>
      <c r="K8" s="23" t="n">
        <f aca="false">AR_Alt_Begin_Yr9*Yield_Alt</f>
        <v>3785571.54614221</v>
      </c>
      <c r="L8" s="23" t="n">
        <f aca="false">AR_Alt_Begin_Yr10*Yield_Alt</f>
        <v>3787603.62540464</v>
      </c>
    </row>
    <row r="9" customFormat="false" ht="15" hidden="false" customHeight="false" outlineLevel="0" collapsed="false">
      <c r="B9" s="22" t="s">
        <v>151</v>
      </c>
      <c r="C9" s="23" t="n">
        <f aca="false">AR_RE_Begin_Yr1*Yield_RE</f>
        <v>2000000</v>
      </c>
      <c r="D9" s="23" t="n">
        <f aca="false">AR_RE_Begin_Yr2*Yield_RE</f>
        <v>2003288</v>
      </c>
      <c r="E9" s="23" t="n">
        <f aca="false">AR_RE_Begin_Yr3*Yield_RE</f>
        <v>2006331.496272</v>
      </c>
      <c r="F9" s="23" t="n">
        <f aca="false">AR_RE_Begin_Yr4*Yield_RE</f>
        <v>2009122.09125693</v>
      </c>
      <c r="G9" s="23" t="n">
        <f aca="false">AR_RE_Begin_Yr5*Yield_RE</f>
        <v>2011651.16147568</v>
      </c>
      <c r="H9" s="23" t="n">
        <f aca="false">AR_RE_Begin_Yr6*Yield_RE</f>
        <v>2013909.85176935</v>
      </c>
      <c r="I9" s="23" t="n">
        <f aca="false">AR_RE_Begin_Yr7*Yield_RE</f>
        <v>2015889.0693947</v>
      </c>
      <c r="J9" s="23" t="n">
        <f aca="false">AR_RE_Begin_Yr8*Yield_RE</f>
        <v>2017579.47797117</v>
      </c>
      <c r="K9" s="23" t="n">
        <f aca="false">AR_RE_Begin_Yr9*Yield_RE</f>
        <v>2018971.49127585</v>
      </c>
      <c r="L9" s="23" t="n">
        <f aca="false">AR_RE_Begin_Yr10*Yield_RE</f>
        <v>2020055.26688247</v>
      </c>
    </row>
    <row r="10" customFormat="false" ht="15" hidden="false" customHeight="false" outlineLevel="0" collapsed="false">
      <c r="B10" s="22" t="s">
        <v>46</v>
      </c>
      <c r="C10" s="23" t="n">
        <f aca="false">AR_Cash_Begin_Yr1*Yield_Cash</f>
        <v>1000000</v>
      </c>
      <c r="D10" s="23" t="n">
        <f aca="false">AR_Cash_Begin_Yr2*Yield_Cash</f>
        <v>1001644</v>
      </c>
      <c r="E10" s="23" t="n">
        <f aca="false">AR_Cash_Begin_Yr3*Yield_Cash</f>
        <v>1003165.748136</v>
      </c>
      <c r="F10" s="23" t="n">
        <f aca="false">AR_Cash_Begin_Yr4*Yield_Cash</f>
        <v>1004561.04562846</v>
      </c>
      <c r="G10" s="23" t="n">
        <f aca="false">AR_Cash_Begin_Yr5*Yield_Cash</f>
        <v>1005825.58073784</v>
      </c>
      <c r="H10" s="23" t="n">
        <f aca="false">AR_Cash_Begin_Yr6*Yield_Cash</f>
        <v>1006954.92588468</v>
      </c>
      <c r="I10" s="23" t="n">
        <f aca="false">AR_Cash_Begin_Yr7*Yield_Cash</f>
        <v>1007944.53469735</v>
      </c>
      <c r="J10" s="23" t="n">
        <f aca="false">AR_Cash_Begin_Yr8*Yield_Cash</f>
        <v>1008789.73898558</v>
      </c>
      <c r="K10" s="23" t="n">
        <f aca="false">AR_Cash_Begin_Yr9*Yield_Cash</f>
        <v>1009485.74563792</v>
      </c>
      <c r="L10" s="23" t="n">
        <f aca="false">AR_Cash_Begin_Yr10*Yield_Cash</f>
        <v>1010027.63344124</v>
      </c>
    </row>
    <row r="11" customFormat="false" ht="15" hidden="false" customHeight="false" outlineLevel="0" collapsed="false">
      <c r="B11" s="26" t="s">
        <v>152</v>
      </c>
      <c r="C11" s="25" t="n">
        <f aca="false">C6+C7+C8+C9+C10</f>
        <v>15250000</v>
      </c>
      <c r="D11" s="25" t="n">
        <f aca="false">D6+D7+D8+D9+D10</f>
        <v>15275071</v>
      </c>
      <c r="E11" s="25" t="n">
        <f aca="false">E6+E7+E8+E9+E10</f>
        <v>15298277.659074</v>
      </c>
      <c r="F11" s="25" t="n">
        <f aca="false">F6+F7+F8+F9+F10</f>
        <v>15319555.9458341</v>
      </c>
      <c r="G11" s="25" t="n">
        <f aca="false">G6+G7+G8+G9+G10</f>
        <v>15338840.106252</v>
      </c>
      <c r="H11" s="25" t="n">
        <f aca="false">H6+H7+H8+H9+H10</f>
        <v>15356062.6197413</v>
      </c>
      <c r="I11" s="25" t="n">
        <f aca="false">I6+I7+I8+I9+I10</f>
        <v>15371154.1541346</v>
      </c>
      <c r="J11" s="25" t="n">
        <f aca="false">J6+J7+J8+J9+J10</f>
        <v>15384043.5195301</v>
      </c>
      <c r="K11" s="25" t="n">
        <f aca="false">K6+K7+K8+K9+K10</f>
        <v>15394657.6209783</v>
      </c>
      <c r="L11" s="25" t="n">
        <f aca="false">L6+L7+L8+L9+L10</f>
        <v>15402921.4099789</v>
      </c>
    </row>
    <row r="12" customFormat="false" ht="15" hidden="false" customHeight="false" outlineLevel="0" collapsed="false">
      <c r="B12" s="6"/>
      <c r="C12" s="6"/>
      <c r="D12" s="6"/>
      <c r="E12" s="6"/>
      <c r="F12" s="6"/>
      <c r="G12" s="6"/>
      <c r="H12" s="6"/>
      <c r="I12" s="6"/>
      <c r="J12" s="6"/>
      <c r="K12" s="6"/>
      <c r="L12" s="6"/>
    </row>
    <row r="13" customFormat="false" ht="15" hidden="false" customHeight="false" outlineLevel="0" collapsed="false">
      <c r="B13" s="15" t="s">
        <v>153</v>
      </c>
      <c r="C13" s="15"/>
      <c r="D13" s="15"/>
      <c r="E13" s="15"/>
      <c r="F13" s="15"/>
      <c r="G13" s="15"/>
      <c r="H13" s="15"/>
      <c r="I13" s="15"/>
      <c r="J13" s="15"/>
      <c r="K13" s="15"/>
      <c r="L13" s="15"/>
    </row>
    <row r="14" customFormat="false" ht="15" hidden="false" customHeight="false" outlineLevel="0" collapsed="false">
      <c r="B14" s="22" t="s">
        <v>154</v>
      </c>
      <c r="C14" s="23" t="n">
        <f aca="false">PS_Distributions_Yr1</f>
        <v>15000000</v>
      </c>
      <c r="D14" s="23" t="n">
        <f aca="false">PS_Distributions_Yr2</f>
        <v>15024660</v>
      </c>
      <c r="E14" s="23" t="n">
        <f aca="false">PS_Distributions_Yr3</f>
        <v>15047486.22204</v>
      </c>
      <c r="F14" s="23" t="n">
        <f aca="false">PS_Distributions_Yr4</f>
        <v>15068415.6844269</v>
      </c>
      <c r="G14" s="23" t="n">
        <f aca="false">PS_Distributions_Yr5</f>
        <v>15087383.7110676</v>
      </c>
      <c r="H14" s="23" t="n">
        <f aca="false">PS_Distributions_Yr6</f>
        <v>15104323.8882701</v>
      </c>
      <c r="I14" s="23" t="n">
        <f aca="false">PS_Distributions_Yr7</f>
        <v>15119168.0204602</v>
      </c>
      <c r="J14" s="23" t="n">
        <f aca="false">PS_Distributions_Yr8</f>
        <v>15131846.0847837</v>
      </c>
      <c r="K14" s="23" t="n">
        <f aca="false">PS_Distributions_Yr9</f>
        <v>15142286.1845688</v>
      </c>
      <c r="L14" s="23" t="n">
        <f aca="false">PS_Distributions_Yr10</f>
        <v>15150414.5016185</v>
      </c>
    </row>
    <row r="15" customFormat="false" ht="15" hidden="false" customHeight="false" outlineLevel="0" collapsed="false">
      <c r="B15" s="22" t="s">
        <v>118</v>
      </c>
      <c r="C15" s="23" t="n">
        <f aca="false">PS_Mgmt_Fee_Yr1</f>
        <v>3750000</v>
      </c>
      <c r="D15" s="23" t="n">
        <f aca="false">PS_Mgmt_Fee_Yr2</f>
        <v>3756165</v>
      </c>
      <c r="E15" s="23" t="n">
        <f aca="false">PS_Mgmt_Fee_Yr3</f>
        <v>3761871.55551</v>
      </c>
      <c r="F15" s="23" t="n">
        <f aca="false">PS_Mgmt_Fee_Yr4</f>
        <v>3767103.92110674</v>
      </c>
      <c r="G15" s="23" t="n">
        <f aca="false">PS_Mgmt_Fee_Yr5</f>
        <v>3771845.9277669</v>
      </c>
      <c r="H15" s="23" t="n">
        <f aca="false">PS_Mgmt_Fee_Yr6</f>
        <v>3776080.97206753</v>
      </c>
      <c r="I15" s="23" t="n">
        <f aca="false">PS_Mgmt_Fee_Yr7</f>
        <v>3779792.00511506</v>
      </c>
      <c r="J15" s="23" t="n">
        <f aca="false">PS_Mgmt_Fee_Yr8</f>
        <v>3782961.52119593</v>
      </c>
      <c r="K15" s="23" t="n">
        <f aca="false">PS_Mgmt_Fee_Yr9</f>
        <v>3785571.54614221</v>
      </c>
      <c r="L15" s="23" t="n">
        <f aca="false">PS_Mgmt_Fee_Yr10</f>
        <v>3787603.62540464</v>
      </c>
    </row>
    <row r="16" customFormat="false" ht="15" hidden="false" customHeight="false" outlineLevel="0" collapsed="false">
      <c r="B16" s="22" t="s">
        <v>119</v>
      </c>
      <c r="C16" s="23" t="n">
        <f aca="false">PS_Perf_Fee_Yr1</f>
        <v>5850000</v>
      </c>
      <c r="D16" s="23" t="n">
        <f aca="false">PS_Perf_Fee_Yr2</f>
        <v>5859617.4</v>
      </c>
      <c r="E16" s="23" t="n">
        <f aca="false">PS_Perf_Fee_Yr3</f>
        <v>5868519.62659561</v>
      </c>
      <c r="F16" s="23" t="n">
        <f aca="false">PS_Perf_Fee_Yr4</f>
        <v>5876682.11692652</v>
      </c>
      <c r="G16" s="23" t="n">
        <f aca="false">PS_Perf_Fee_Yr5</f>
        <v>5884079.64731636</v>
      </c>
      <c r="H16" s="23" t="n">
        <f aca="false">PS_Perf_Fee_Yr6</f>
        <v>5890686.31642536</v>
      </c>
      <c r="I16" s="23" t="n">
        <f aca="false">PS_Perf_Fee_Yr7</f>
        <v>5896475.5279795</v>
      </c>
      <c r="J16" s="23" t="n">
        <f aca="false">PS_Perf_Fee_Yr8</f>
        <v>5901419.97306567</v>
      </c>
      <c r="K16" s="23" t="n">
        <f aca="false">PS_Perf_Fee_Yr9</f>
        <v>5905491.61198185</v>
      </c>
      <c r="L16" s="23" t="n">
        <f aca="false">PS_Perf_Fee_Yr10</f>
        <v>5908661.65563124</v>
      </c>
    </row>
    <row r="17" customFormat="false" ht="15" hidden="false" customHeight="false" outlineLevel="0" collapsed="false">
      <c r="B17" s="22" t="s">
        <v>120</v>
      </c>
      <c r="C17" s="23" t="n">
        <f aca="false">PS_Custody_Yr1</f>
        <v>500000</v>
      </c>
      <c r="D17" s="23" t="n">
        <f aca="false">PS_Custody_Yr2</f>
        <v>500822</v>
      </c>
      <c r="E17" s="23" t="n">
        <f aca="false">PS_Custody_Yr3</f>
        <v>501582.874068</v>
      </c>
      <c r="F17" s="23" t="n">
        <f aca="false">PS_Custody_Yr4</f>
        <v>502280.522814232</v>
      </c>
      <c r="G17" s="23" t="n">
        <f aca="false">PS_Custody_Yr5</f>
        <v>502912.790368919</v>
      </c>
      <c r="H17" s="23" t="n">
        <f aca="false">PS_Custody_Yr6</f>
        <v>503477.462942338</v>
      </c>
      <c r="I17" s="23" t="n">
        <f aca="false">PS_Custody_Yr7</f>
        <v>503972.267348674</v>
      </c>
      <c r="J17" s="23" t="n">
        <f aca="false">PS_Custody_Yr8</f>
        <v>504394.869492791</v>
      </c>
      <c r="K17" s="23" t="n">
        <f aca="false">PS_Custody_Yr9</f>
        <v>504742.872818961</v>
      </c>
      <c r="L17" s="23" t="n">
        <f aca="false">PS_Custody_Yr10</f>
        <v>505013.816720618</v>
      </c>
    </row>
    <row r="18" customFormat="false" ht="15" hidden="false" customHeight="false" outlineLevel="0" collapsed="false">
      <c r="B18" s="22" t="s">
        <v>121</v>
      </c>
      <c r="C18" s="23" t="n">
        <f aca="false">PS_Tx_Cost_Yr1</f>
        <v>10500</v>
      </c>
      <c r="D18" s="23" t="n">
        <f aca="false">PS_Tx_Cost_Yr2</f>
        <v>10517.262</v>
      </c>
      <c r="E18" s="23" t="n">
        <f aca="false">PS_Tx_Cost_Yr3</f>
        <v>10533.2403554281</v>
      </c>
      <c r="F18" s="23" t="n">
        <f aca="false">PS_Tx_Cost_Yr4</f>
        <v>10547.8909790989</v>
      </c>
      <c r="G18" s="23" t="n">
        <f aca="false">PS_Tx_Cost_Yr5</f>
        <v>10561.1685977473</v>
      </c>
      <c r="H18" s="23" t="n">
        <f aca="false">PS_Tx_Cost_Yr6</f>
        <v>10573.0267217891</v>
      </c>
      <c r="I18" s="23" t="n">
        <f aca="false">PS_Tx_Cost_Yr7</f>
        <v>10583.4176143222</v>
      </c>
      <c r="J18" s="23" t="n">
        <f aca="false">PS_Tx_Cost_Yr8</f>
        <v>10592.2922593487</v>
      </c>
      <c r="K18" s="23" t="n">
        <f aca="false">PS_Tx_Cost_Yr9</f>
        <v>10599.6003291982</v>
      </c>
      <c r="L18" s="23" t="n">
        <f aca="false">PS_Tx_Cost_Yr10</f>
        <v>10605.290151133</v>
      </c>
    </row>
    <row r="19" customFormat="false" ht="15" hidden="false" customHeight="false" outlineLevel="0" collapsed="false">
      <c r="B19" s="22" t="s">
        <v>124</v>
      </c>
      <c r="C19" s="23" t="n">
        <f aca="false">OC_Total_Yr1</f>
        <v>2675000</v>
      </c>
      <c r="D19" s="23" t="n">
        <f aca="false">OC_Total_Yr2</f>
        <v>2741875</v>
      </c>
      <c r="E19" s="23" t="n">
        <f aca="false">OC_Total_Yr3</f>
        <v>2810421.875</v>
      </c>
      <c r="F19" s="23" t="n">
        <f aca="false">OC_Total_Yr4</f>
        <v>2880682.421875</v>
      </c>
      <c r="G19" s="23" t="n">
        <f aca="false">OC_Total_Yr5</f>
        <v>2952699.48242187</v>
      </c>
      <c r="H19" s="23" t="n">
        <f aca="false">OC_Total_Yr6</f>
        <v>3026516.96948242</v>
      </c>
      <c r="I19" s="23" t="n">
        <f aca="false">OC_Total_Yr7</f>
        <v>3102179.89371948</v>
      </c>
      <c r="J19" s="23" t="n">
        <f aca="false">OC_Total_Yr8</f>
        <v>3179734.39106247</v>
      </c>
      <c r="K19" s="23" t="n">
        <f aca="false">OC_Total_Yr9</f>
        <v>3259227.75083903</v>
      </c>
      <c r="L19" s="23" t="n">
        <f aca="false">OC_Total_Yr10</f>
        <v>3340708.44461001</v>
      </c>
    </row>
    <row r="20" customFormat="false" ht="15" hidden="false" customHeight="false" outlineLevel="0" collapsed="false">
      <c r="B20" s="22" t="s">
        <v>130</v>
      </c>
      <c r="C20" s="23" t="n">
        <f aca="false">PS_Inc_Tax_Yr1</f>
        <v>5642500</v>
      </c>
      <c r="D20" s="23" t="n">
        <f aca="false">PS_Inc_Tax_Yr2</f>
        <v>5651776.27</v>
      </c>
      <c r="E20" s="23" t="n">
        <f aca="false">PS_Inc_Tax_Yr3</f>
        <v>5660362.73385738</v>
      </c>
      <c r="F20" s="23" t="n">
        <f aca="false">PS_Inc_Tax_Yr4</f>
        <v>5668235.6999586</v>
      </c>
      <c r="G20" s="23" t="n">
        <f aca="false">PS_Inc_Tax_Yr5</f>
        <v>5675370.83931326</v>
      </c>
      <c r="H20" s="23" t="n">
        <f aca="false">PS_Inc_Tax_Yr6</f>
        <v>5681743.16930428</v>
      </c>
      <c r="I20" s="23" t="n">
        <f aca="false">PS_Inc_Tax_Yr7</f>
        <v>5687327.03702979</v>
      </c>
      <c r="J20" s="23" t="n">
        <f aca="false">PS_Inc_Tax_Yr8</f>
        <v>5692096.10222615</v>
      </c>
      <c r="K20" s="23" t="n">
        <f aca="false">PS_Inc_Tax_Yr9</f>
        <v>5696023.31976198</v>
      </c>
      <c r="L20" s="23" t="n">
        <f aca="false">PS_Inc_Tax_Yr10</f>
        <v>5699080.92169218</v>
      </c>
    </row>
    <row r="21" customFormat="false" ht="15" hidden="false" customHeight="false" outlineLevel="0" collapsed="false">
      <c r="B21" s="22" t="s">
        <v>131</v>
      </c>
      <c r="C21" s="23" t="n">
        <f aca="false">PS_CapGains_Tax_Yr1</f>
        <v>4750000</v>
      </c>
      <c r="D21" s="23" t="n">
        <f aca="false">PS_CapGains_Tax_Yr2</f>
        <v>4757809</v>
      </c>
      <c r="E21" s="23" t="n">
        <f aca="false">PS_CapGains_Tax_Yr3</f>
        <v>4765037.30364602</v>
      </c>
      <c r="F21" s="23" t="n">
        <f aca="false">PS_CapGains_Tax_Yr4</f>
        <v>4771664.96673522</v>
      </c>
      <c r="G21" s="23" t="n">
        <f aca="false">PS_CapGains_Tax_Yr5</f>
        <v>4777671.50850474</v>
      </c>
      <c r="H21" s="23" t="n">
        <f aca="false">PS_CapGains_Tax_Yr6</f>
        <v>4783035.89795222</v>
      </c>
      <c r="I21" s="23" t="n">
        <f aca="false">PS_CapGains_Tax_Yr7</f>
        <v>4787736.53981242</v>
      </c>
      <c r="J21" s="23" t="n">
        <f aca="false">PS_CapGains_Tax_Yr8</f>
        <v>4791751.26018153</v>
      </c>
      <c r="K21" s="23" t="n">
        <f aca="false">PS_CapGains_Tax_Yr9</f>
        <v>4795057.29178013</v>
      </c>
      <c r="L21" s="23" t="n">
        <f aca="false">PS_CapGains_Tax_Yr10</f>
        <v>4797631.25884588</v>
      </c>
    </row>
    <row r="22" customFormat="false" ht="15" hidden="false" customHeight="false" outlineLevel="0" collapsed="false">
      <c r="B22" s="26" t="s">
        <v>155</v>
      </c>
      <c r="C22" s="25" t="n">
        <f aca="false">C14+C15+C16+C17+C18+C19+C20+C21</f>
        <v>38178000</v>
      </c>
      <c r="D22" s="25" t="n">
        <f aca="false">D14+D15+D16+D17+D18+D19+D20+D21</f>
        <v>38303241.932</v>
      </c>
      <c r="E22" s="25" t="n">
        <f aca="false">E14+E15+E16+E17+E18+E19+E20+E21</f>
        <v>38425815.4310724</v>
      </c>
      <c r="F22" s="25" t="n">
        <f aca="false">F14+F15+F16+F17+F18+F19+F20+F21</f>
        <v>38545613.2248224</v>
      </c>
      <c r="G22" s="25" t="n">
        <f aca="false">G14+G15+G16+G17+G18+G19+G20+G21</f>
        <v>38662525.0753574</v>
      </c>
      <c r="H22" s="25" t="n">
        <f aca="false">H14+H15+H16+H17+H18+H19+H20+H21</f>
        <v>38776437.7031661</v>
      </c>
      <c r="I22" s="25" t="n">
        <f aca="false">I14+I15+I16+I17+I18+I19+I20+I21</f>
        <v>38887234.7090795</v>
      </c>
      <c r="J22" s="25" t="n">
        <f aca="false">J14+J15+J16+J17+J18+J19+J20+J21</f>
        <v>38994796.4942676</v>
      </c>
      <c r="K22" s="25" t="n">
        <f aca="false">K14+K15+K16+K17+K18+K19+K20+K21</f>
        <v>39099000.1782222</v>
      </c>
      <c r="L22" s="25" t="n">
        <f aca="false">L14+L15+L16+L17+L18+L19+L20+L21</f>
        <v>39199719.5146742</v>
      </c>
    </row>
    <row r="23" customFormat="false" ht="15" hidden="false" customHeight="false" outlineLevel="0" collapsed="false">
      <c r="B23" s="6"/>
      <c r="C23" s="6"/>
      <c r="D23" s="6"/>
      <c r="E23" s="6"/>
      <c r="F23" s="6"/>
      <c r="G23" s="6"/>
      <c r="H23" s="6"/>
      <c r="I23" s="6"/>
      <c r="J23" s="6"/>
      <c r="K23" s="6"/>
      <c r="L23" s="6"/>
    </row>
    <row r="24" customFormat="false" ht="15" hidden="false" customHeight="false" outlineLevel="0" collapsed="false">
      <c r="B24" s="26" t="s">
        <v>156</v>
      </c>
      <c r="C24" s="34" t="n">
        <f aca="false">C11-C22</f>
        <v>-22928000</v>
      </c>
      <c r="D24" s="34" t="n">
        <f aca="false">D11-D22</f>
        <v>-23028170.932</v>
      </c>
      <c r="E24" s="34" t="n">
        <f aca="false">E11-E22</f>
        <v>-23127537.7719984</v>
      </c>
      <c r="F24" s="34" t="n">
        <f aca="false">F11-F22</f>
        <v>-23226057.2789883</v>
      </c>
      <c r="G24" s="34" t="n">
        <f aca="false">G11-G22</f>
        <v>-23323684.9691053</v>
      </c>
      <c r="H24" s="34" t="n">
        <f aca="false">H11-H22</f>
        <v>-23420375.0834248</v>
      </c>
      <c r="I24" s="34" t="n">
        <f aca="false">I11-I22</f>
        <v>-23516080.5549449</v>
      </c>
      <c r="J24" s="34" t="n">
        <f aca="false">J11-J22</f>
        <v>-23610752.9747375</v>
      </c>
      <c r="K24" s="34" t="n">
        <f aca="false">K11-K22</f>
        <v>-23704342.5572439</v>
      </c>
      <c r="L24" s="34" t="n">
        <f aca="false">L11-L22</f>
        <v>-23796798.1046954</v>
      </c>
    </row>
    <row r="25" customFormat="false" ht="15" hidden="false" customHeight="false" outlineLevel="0" collapsed="false">
      <c r="B25" s="35" t="s">
        <v>157</v>
      </c>
      <c r="C25" s="6"/>
      <c r="D25" s="6"/>
      <c r="E25" s="6"/>
      <c r="F25" s="6"/>
      <c r="G25" s="6"/>
      <c r="H25" s="6"/>
      <c r="I25" s="6"/>
      <c r="J25" s="6"/>
      <c r="K25" s="6"/>
      <c r="L25" s="6"/>
    </row>
    <row r="26" customFormat="false" ht="15" hidden="false" customHeight="false" outlineLevel="0" collapsed="false">
      <c r="B26" s="16" t="s">
        <v>158</v>
      </c>
      <c r="C26" s="16"/>
      <c r="D26" s="16"/>
      <c r="E26" s="16"/>
      <c r="F26" s="16"/>
      <c r="G26" s="16"/>
      <c r="H26" s="16"/>
      <c r="I26" s="16"/>
      <c r="J26" s="16"/>
      <c r="K26" s="16"/>
      <c r="L26" s="16"/>
    </row>
    <row r="27" customFormat="false" ht="15" hidden="false" customHeight="false" outlineLevel="0" collapsed="false">
      <c r="B27" s="22" t="s">
        <v>159</v>
      </c>
      <c r="C27" s="23" t="n">
        <f aca="false">AR_Cash_End_Yr1</f>
        <v>25041100</v>
      </c>
      <c r="D27" s="23" t="n">
        <f aca="false">AR_Cash_End_Yr2</f>
        <v>25079143.7034</v>
      </c>
      <c r="E27" s="23" t="n">
        <f aca="false">AR_Cash_End_Yr3</f>
        <v>25114026.1407116</v>
      </c>
      <c r="F27" s="23" t="n">
        <f aca="false">AR_Cash_End_Yr4</f>
        <v>25145639.518446</v>
      </c>
      <c r="G27" s="23" t="n">
        <f aca="false">AR_Cash_End_Yr5</f>
        <v>25173873.1471169</v>
      </c>
      <c r="H27" s="23" t="n">
        <f aca="false">AR_Cash_End_Yr6</f>
        <v>25198613.3674337</v>
      </c>
      <c r="I27" s="23" t="n">
        <f aca="false">AR_Cash_End_Yr7</f>
        <v>25219743.4746396</v>
      </c>
      <c r="J27" s="23" t="n">
        <f aca="false">AR_Cash_End_Yr8</f>
        <v>25237143.6409481</v>
      </c>
      <c r="K27" s="23" t="n">
        <f aca="false">AR_Cash_End_Yr9</f>
        <v>25250690.8360309</v>
      </c>
      <c r="L27" s="23" t="n">
        <f aca="false">AR_Cash_End_Yr10</f>
        <v>25260258.7455076</v>
      </c>
    </row>
    <row r="28" customFormat="false" ht="15" hidden="false" customHeight="false" outlineLevel="0" collapsed="false">
      <c r="B28" s="22" t="s">
        <v>160</v>
      </c>
      <c r="C28" s="23" t="n">
        <f aca="false">PS_Begin_AUM_Yr1*Min_Cash_Buffer</f>
        <v>15000000</v>
      </c>
      <c r="D28" s="23" t="n">
        <f aca="false">PS_Begin_AUM_Yr2*Min_Cash_Buffer</f>
        <v>15024660</v>
      </c>
      <c r="E28" s="23" t="n">
        <f aca="false">PS_Begin_AUM_Yr3*Min_Cash_Buffer</f>
        <v>15047486.22204</v>
      </c>
      <c r="F28" s="23" t="n">
        <f aca="false">PS_Begin_AUM_Yr4*Min_Cash_Buffer</f>
        <v>15068415.6844269</v>
      </c>
      <c r="G28" s="23" t="n">
        <f aca="false">PS_Begin_AUM_Yr5*Min_Cash_Buffer</f>
        <v>15087383.7110676</v>
      </c>
      <c r="H28" s="23" t="n">
        <f aca="false">PS_Begin_AUM_Yr6*Min_Cash_Buffer</f>
        <v>15104323.8882701</v>
      </c>
      <c r="I28" s="23" t="n">
        <f aca="false">PS_Begin_AUM_Yr7*Min_Cash_Buffer</f>
        <v>15119168.0204602</v>
      </c>
      <c r="J28" s="23" t="n">
        <f aca="false">PS_Begin_AUM_Yr8*Min_Cash_Buffer</f>
        <v>15131846.0847837</v>
      </c>
      <c r="K28" s="23" t="n">
        <f aca="false">PS_Begin_AUM_Yr9*Min_Cash_Buffer</f>
        <v>15142286.1845688</v>
      </c>
      <c r="L28" s="23" t="n">
        <f aca="false">PS_Begin_AUM_Yr10*Min_Cash_Buffer</f>
        <v>15150414.5016185</v>
      </c>
    </row>
    <row r="29" customFormat="false" ht="15" hidden="false" customHeight="false" outlineLevel="0" collapsed="false">
      <c r="B29" s="22" t="s">
        <v>161</v>
      </c>
      <c r="C29" s="36" t="n">
        <f aca="false">C27/C28</f>
        <v>1.66940666666667</v>
      </c>
      <c r="D29" s="36" t="n">
        <f aca="false">D27/D28</f>
        <v>1.66919875081366</v>
      </c>
      <c r="E29" s="36" t="n">
        <f aca="false">E27/E28</f>
        <v>1.66898482378586</v>
      </c>
      <c r="F29" s="36" t="n">
        <f aca="false">F27/F28</f>
        <v>1.6687646561565</v>
      </c>
      <c r="G29" s="36" t="n">
        <f aca="false">G27/G28</f>
        <v>1.66853800693424</v>
      </c>
      <c r="H29" s="36" t="n">
        <f aca="false">H27/H28</f>
        <v>1.66830462282411</v>
      </c>
      <c r="I29" s="36" t="n">
        <f aca="false">I27/I28</f>
        <v>1.66806423743096</v>
      </c>
      <c r="J29" s="36" t="n">
        <f aca="false">J27/J28</f>
        <v>1.66781657040022</v>
      </c>
      <c r="K29" s="36" t="n">
        <f aca="false">K27/K28</f>
        <v>1.66756132649001</v>
      </c>
      <c r="L29" s="36" t="n">
        <f aca="false">L27/L28</f>
        <v>1.66729819456814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12" min="3" style="0" width="15"/>
  </cols>
  <sheetData>
    <row r="1" customFormat="false" ht="15" hidden="false" customHeight="false" outlineLevel="0" collapsed="false">
      <c r="A1" s="1"/>
      <c r="B1" s="2"/>
      <c r="C1" s="2"/>
      <c r="D1" s="2"/>
      <c r="E1" s="2"/>
      <c r="F1" s="2"/>
      <c r="G1" s="2"/>
      <c r="H1" s="2"/>
      <c r="I1" s="2"/>
      <c r="J1" s="2"/>
      <c r="K1" s="2"/>
      <c r="L1" s="2"/>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162</v>
      </c>
      <c r="C2" s="2"/>
      <c r="D2" s="2"/>
      <c r="E2" s="2"/>
      <c r="F2" s="2"/>
      <c r="G2" s="2"/>
      <c r="H2" s="2"/>
      <c r="I2" s="2"/>
      <c r="J2" s="2"/>
      <c r="K2" s="2"/>
      <c r="L2" s="2"/>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162</v>
      </c>
      <c r="C3" s="15"/>
      <c r="D3" s="15"/>
      <c r="E3" s="15"/>
      <c r="F3" s="15"/>
      <c r="G3" s="15"/>
      <c r="H3" s="15"/>
      <c r="I3" s="15"/>
      <c r="J3" s="15"/>
      <c r="K3" s="15"/>
      <c r="L3" s="15"/>
      <c r="M3" s="1"/>
      <c r="N3" s="1"/>
      <c r="O3" s="1"/>
      <c r="P3" s="1"/>
      <c r="Q3" s="1"/>
      <c r="R3" s="1"/>
      <c r="S3" s="1"/>
      <c r="T3" s="1"/>
      <c r="U3" s="1"/>
      <c r="V3" s="1"/>
      <c r="W3" s="1"/>
      <c r="X3" s="1"/>
      <c r="Y3" s="1"/>
      <c r="Z3" s="1"/>
      <c r="AA3" s="1"/>
      <c r="AB3" s="1"/>
      <c r="AC3" s="1"/>
      <c r="AD3" s="1"/>
    </row>
    <row r="4" customFormat="false" ht="15" hidden="false" customHeight="false" outlineLevel="0" collapsed="false">
      <c r="B4" s="20"/>
      <c r="C4" s="21" t="s">
        <v>71</v>
      </c>
      <c r="D4" s="21" t="s">
        <v>72</v>
      </c>
      <c r="E4" s="21" t="s">
        <v>73</v>
      </c>
      <c r="F4" s="21" t="s">
        <v>74</v>
      </c>
      <c r="G4" s="21" t="s">
        <v>75</v>
      </c>
      <c r="H4" s="21" t="s">
        <v>76</v>
      </c>
      <c r="I4" s="21" t="s">
        <v>77</v>
      </c>
      <c r="J4" s="21" t="s">
        <v>78</v>
      </c>
      <c r="K4" s="21" t="s">
        <v>79</v>
      </c>
      <c r="L4" s="21" t="s">
        <v>80</v>
      </c>
    </row>
    <row r="5" customFormat="false" ht="15" hidden="false" customHeight="false" outlineLevel="0" collapsed="false">
      <c r="B5" s="22" t="s">
        <v>115</v>
      </c>
      <c r="C5" s="23" t="n">
        <f aca="false">PS_Begin_AUM_Yr1</f>
        <v>500000000</v>
      </c>
      <c r="D5" s="23" t="n">
        <f aca="false">PS_Begin_AUM_Yr2</f>
        <v>500822000</v>
      </c>
      <c r="E5" s="23" t="n">
        <f aca="false">PS_Begin_AUM_Yr3</f>
        <v>501582874.068</v>
      </c>
      <c r="F5" s="23" t="n">
        <f aca="false">PS_Begin_AUM_Yr4</f>
        <v>502280522.814232</v>
      </c>
      <c r="G5" s="23" t="n">
        <f aca="false">PS_Begin_AUM_Yr5</f>
        <v>502912790.368919</v>
      </c>
      <c r="H5" s="23" t="n">
        <f aca="false">PS_Begin_AUM_Yr6</f>
        <v>503477462.942338</v>
      </c>
      <c r="I5" s="23" t="n">
        <f aca="false">PS_Begin_AUM_Yr7</f>
        <v>503972267.348674</v>
      </c>
      <c r="J5" s="23" t="n">
        <f aca="false">PS_Begin_AUM_Yr8</f>
        <v>504394869.492791</v>
      </c>
      <c r="K5" s="23" t="n">
        <f aca="false">PS_Begin_AUM_Yr9</f>
        <v>504742872.818961</v>
      </c>
      <c r="L5" s="23" t="n">
        <f aca="false">PS_Begin_AUM_Yr10</f>
        <v>505013816.720618</v>
      </c>
    </row>
    <row r="6" customFormat="false" ht="15" hidden="false" customHeight="false" outlineLevel="0" collapsed="false">
      <c r="B6" s="22" t="s">
        <v>134</v>
      </c>
      <c r="C6" s="23" t="n">
        <f aca="false">PS_End_AUM_Yr1</f>
        <v>500822000</v>
      </c>
      <c r="D6" s="23" t="n">
        <f aca="false">PS_End_AUM_Yr2</f>
        <v>501582874.068</v>
      </c>
      <c r="E6" s="23" t="n">
        <f aca="false">PS_End_AUM_Yr3</f>
        <v>502280522.814232</v>
      </c>
      <c r="F6" s="23" t="n">
        <f aca="false">PS_End_AUM_Yr4</f>
        <v>502912790.368919</v>
      </c>
      <c r="G6" s="23" t="n">
        <f aca="false">PS_End_AUM_Yr5</f>
        <v>503477462.942338</v>
      </c>
      <c r="H6" s="23" t="n">
        <f aca="false">PS_End_AUM_Yr6</f>
        <v>503972267.348674</v>
      </c>
      <c r="I6" s="23" t="n">
        <f aca="false">PS_End_AUM_Yr7</f>
        <v>504394869.492791</v>
      </c>
      <c r="J6" s="23" t="n">
        <f aca="false">PS_End_AUM_Yr8</f>
        <v>504742872.818961</v>
      </c>
      <c r="K6" s="23" t="n">
        <f aca="false">PS_End_AUM_Yr9</f>
        <v>505013816.720618</v>
      </c>
      <c r="L6" s="23" t="n">
        <f aca="false">PS_End_AUM_Yr10</f>
        <v>505205174.910152</v>
      </c>
    </row>
    <row r="7" customFormat="false" ht="15" hidden="false" customHeight="false" outlineLevel="0" collapsed="false">
      <c r="B7" s="22" t="s">
        <v>126</v>
      </c>
      <c r="C7" s="23" t="n">
        <f aca="false">PS_Distributions_Yr1</f>
        <v>15000000</v>
      </c>
      <c r="D7" s="23" t="n">
        <f aca="false">PS_Distributions_Yr2</f>
        <v>15024660</v>
      </c>
      <c r="E7" s="23" t="n">
        <f aca="false">PS_Distributions_Yr3</f>
        <v>15047486.22204</v>
      </c>
      <c r="F7" s="23" t="n">
        <f aca="false">PS_Distributions_Yr4</f>
        <v>15068415.6844269</v>
      </c>
      <c r="G7" s="23" t="n">
        <f aca="false">PS_Distributions_Yr5</f>
        <v>15087383.7110676</v>
      </c>
      <c r="H7" s="23" t="n">
        <f aca="false">PS_Distributions_Yr6</f>
        <v>15104323.8882701</v>
      </c>
      <c r="I7" s="23" t="n">
        <f aca="false">PS_Distributions_Yr7</f>
        <v>15119168.0204602</v>
      </c>
      <c r="J7" s="23" t="n">
        <f aca="false">PS_Distributions_Yr8</f>
        <v>15131846.0847837</v>
      </c>
      <c r="K7" s="23" t="n">
        <f aca="false">PS_Distributions_Yr9</f>
        <v>15142286.1845688</v>
      </c>
      <c r="L7" s="23" t="n">
        <f aca="false">PS_Distributions_Yr10</f>
        <v>15150414.5016185</v>
      </c>
    </row>
    <row r="8" customFormat="false" ht="15" hidden="false" customHeight="false" outlineLevel="0" collapsed="false">
      <c r="B8" s="16" t="s">
        <v>163</v>
      </c>
      <c r="C8" s="16"/>
      <c r="D8" s="16"/>
      <c r="E8" s="16"/>
      <c r="F8" s="16"/>
      <c r="G8" s="16"/>
      <c r="H8" s="16"/>
      <c r="I8" s="16"/>
      <c r="J8" s="16"/>
      <c r="K8" s="16"/>
      <c r="L8" s="16"/>
    </row>
    <row r="9" customFormat="false" ht="15" hidden="false" customHeight="false" outlineLevel="0" collapsed="false">
      <c r="B9" s="22" t="s">
        <v>164</v>
      </c>
      <c r="C9" s="32" t="n">
        <f aca="false">(RA_End_Yr1+RA_Dist_Yr1-RA_Begin_Yr1)/RA_Begin_Yr1</f>
        <v>0.031644</v>
      </c>
      <c r="D9" s="32" t="n">
        <f aca="false">(RA_End_Yr2+RA_Dist_Yr2-RA_Begin_Yr2)/RA_Begin_Yr2</f>
        <v>0.0315192504881974</v>
      </c>
      <c r="E9" s="32" t="n">
        <f aca="false">(RA_End_Yr3+RA_Dist_Yr3-RA_Begin_Yr3)/RA_Begin_Yr3</f>
        <v>0.0313908942715158</v>
      </c>
      <c r="F9" s="32" t="n">
        <f aca="false">(RA_End_Yr4+RA_Dist_Yr4-RA_Begin_Yr4)/RA_Begin_Yr4</f>
        <v>0.0312587936939009</v>
      </c>
      <c r="G9" s="32" t="n">
        <f aca="false">(RA_End_Yr5+RA_Dist_Yr5-RA_Begin_Yr5)/RA_Begin_Yr5</f>
        <v>0.0311228041605467</v>
      </c>
      <c r="H9" s="32" t="n">
        <f aca="false">(RA_End_Yr6+RA_Dist_Yr6-RA_Begin_Yr6)/RA_Begin_Yr6</f>
        <v>0.0309827736944662</v>
      </c>
      <c r="I9" s="32" t="n">
        <f aca="false">(RA_End_Yr7+RA_Dist_Yr7-RA_Begin_Yr7)/RA_Begin_Yr7</f>
        <v>0.030838542458577</v>
      </c>
      <c r="J9" s="32" t="n">
        <f aca="false">(RA_End_Yr8+RA_Dist_Yr8-RA_Begin_Yr8)/RA_Begin_Yr8</f>
        <v>0.0306899422401344</v>
      </c>
      <c r="K9" s="32" t="n">
        <f aca="false">(RA_End_Yr9+RA_Dist_Yr9-RA_Begin_Yr9)/RA_Begin_Yr9</f>
        <v>0.0305367958940036</v>
      </c>
      <c r="L9" s="32" t="n">
        <f aca="false">(RA_End_Yr10+RA_Dist_Yr10-RA_Begin_Yr10)/RA_Begin_Yr10</f>
        <v>0.0303789167408857</v>
      </c>
    </row>
    <row r="10" customFormat="false" ht="15" hidden="false" customHeight="false" outlineLevel="0" collapsed="false">
      <c r="B10" s="22" t="s">
        <v>165</v>
      </c>
      <c r="C10" s="32" t="n">
        <f aca="false">(1+RA_Nominal_Ret_Yr1)/(1+Inflation_Rate)-1</f>
        <v>0.00648195121951223</v>
      </c>
      <c r="D10" s="32" t="n">
        <f aca="false">(1+RA_Nominal_Ret_Yr2)/(1+Inflation_Rate)-1</f>
        <v>0.00636024437872917</v>
      </c>
      <c r="E10" s="32" t="n">
        <f aca="false">(1+RA_Nominal_Ret_Yr3)/(1+Inflation_Rate)-1</f>
        <v>0.00623501880147881</v>
      </c>
      <c r="F10" s="32" t="n">
        <f aca="false">(1+RA_Nominal_Ret_Yr4)/(1+Inflation_Rate)-1</f>
        <v>0.00610614018917155</v>
      </c>
      <c r="G10" s="32" t="n">
        <f aca="false">(1+RA_Nominal_Ret_Yr5)/(1+Inflation_Rate)-1</f>
        <v>0.0059734674737042</v>
      </c>
      <c r="H10" s="32" t="n">
        <f aca="false">(1+RA_Nominal_Ret_Yr6)/(1+Inflation_Rate)-1</f>
        <v>0.0058368523848451</v>
      </c>
      <c r="I10" s="32" t="n">
        <f aca="false">(1+RA_Nominal_Ret_Yr7)/(1+Inflation_Rate)-1</f>
        <v>0.00569613898397781</v>
      </c>
      <c r="J10" s="32" t="n">
        <f aca="false">(1+RA_Nominal_Ret_Yr8)/(1+Inflation_Rate)-1</f>
        <v>0.00555116316110671</v>
      </c>
      <c r="K10" s="32" t="n">
        <f aca="false">(1+RA_Nominal_Ret_Yr9)/(1+Inflation_Rate)-1</f>
        <v>0.0054017520917109</v>
      </c>
      <c r="L10" s="32" t="n">
        <f aca="false">(1+RA_Nominal_Ret_Yr10)/(1+Inflation_Rate)-1</f>
        <v>0.00524772364964465</v>
      </c>
    </row>
    <row r="11" customFormat="false" ht="15" hidden="false" customHeight="false" outlineLevel="0" collapsed="false">
      <c r="B11" s="16" t="s">
        <v>166</v>
      </c>
      <c r="C11" s="16"/>
      <c r="D11" s="16"/>
      <c r="E11" s="16"/>
      <c r="F11" s="16"/>
      <c r="G11" s="16"/>
      <c r="H11" s="16"/>
      <c r="I11" s="16"/>
      <c r="J11" s="16"/>
      <c r="K11" s="16"/>
      <c r="L11" s="16"/>
    </row>
    <row r="12" customFormat="false" ht="15" hidden="false" customHeight="false" outlineLevel="0" collapsed="false">
      <c r="B12" s="22" t="s">
        <v>167</v>
      </c>
      <c r="C12" s="37" t="n">
        <f aca="false">1*(1+RA_Nominal_Ret_Yr1)</f>
        <v>1.031644</v>
      </c>
      <c r="D12" s="37" t="n">
        <f aca="false">RA_Wealth_Nom_Yr1*(1+RA_Nominal_Ret_Yr2)</f>
        <v>1.06416064565065</v>
      </c>
      <c r="E12" s="37" t="n">
        <f aca="false">RA_Wealth_Nom_Yr2*(1+RA_Nominal_Ret_Yr3)</f>
        <v>1.09756559996617</v>
      </c>
      <c r="F12" s="37" t="n">
        <f aca="false">RA_Wealth_Nom_Yr3*(1+RA_Nominal_Ret_Yr4)</f>
        <v>1.13187417662104</v>
      </c>
      <c r="G12" s="37" t="n">
        <f aca="false">RA_Wealth_Nom_Yr4*(1+RA_Nominal_Ret_Yr5)</f>
        <v>1.1671012749544</v>
      </c>
      <c r="H12" s="37" t="n">
        <f aca="false">RA_Wealth_Nom_Yr5*(1+RA_Nominal_Ret_Yr6)</f>
        <v>1.20326130963483</v>
      </c>
      <c r="I12" s="37" t="n">
        <f aca="false">RA_Wealth_Nom_Yr6*(1+RA_Nominal_Ret_Yr7)</f>
        <v>1.24036813462077</v>
      </c>
      <c r="J12" s="37" t="n">
        <f aca="false">RA_Wealth_Nom_Yr7*(1+RA_Nominal_Ret_Yr8)</f>
        <v>1.27843496102878</v>
      </c>
      <c r="K12" s="37" t="n">
        <f aca="false">RA_Wealth_Nom_Yr8*(1+RA_Nominal_Ret_Yr9)</f>
        <v>1.31747426849748</v>
      </c>
      <c r="L12" s="37" t="n">
        <f aca="false">RA_Wealth_Nom_Yr9*(1+RA_Nominal_Ret_Yr10)</f>
        <v>1.35749770960842</v>
      </c>
    </row>
    <row r="13" customFormat="false" ht="15" hidden="false" customHeight="false" outlineLevel="0" collapsed="false">
      <c r="B13" s="22" t="s">
        <v>168</v>
      </c>
      <c r="C13" s="37" t="n">
        <f aca="false">1*(1+RA_Real_Ret_Yr1)</f>
        <v>1.00648195121951</v>
      </c>
      <c r="D13" s="37" t="n">
        <f aca="false">RA_Wealth_Real_Yr1*(1+RA_Real_Ret_Yr2)</f>
        <v>1.01288342239205</v>
      </c>
      <c r="E13" s="37" t="n">
        <f aca="false">RA_Wealth_Real_Yr2*(1+RA_Real_Ret_Yr3)</f>
        <v>1.01919876957437</v>
      </c>
      <c r="F13" s="37" t="n">
        <f aca="false">RA_Wealth_Real_Yr3*(1+RA_Real_Ret_Yr4)</f>
        <v>1.02542214014202</v>
      </c>
      <c r="G13" s="37" t="n">
        <f aca="false">RA_Wealth_Real_Yr4*(1+RA_Real_Ret_Yr5)</f>
        <v>1.03154746594298</v>
      </c>
      <c r="H13" s="37" t="n">
        <f aca="false">RA_Wealth_Real_Yr5*(1+RA_Real_Ret_Yr6)</f>
        <v>1.03756845622965</v>
      </c>
      <c r="I13" s="37" t="n">
        <f aca="false">RA_Wealth_Real_Yr6*(1+RA_Real_Ret_Yr7)</f>
        <v>1.04347859036172</v>
      </c>
      <c r="J13" s="37" t="n">
        <f aca="false">RA_Wealth_Real_Yr7*(1+RA_Real_Ret_Yr8)</f>
        <v>1.04927111027194</v>
      </c>
      <c r="K13" s="37" t="n">
        <f aca="false">RA_Wealth_Real_Yr8*(1+RA_Real_Ret_Yr9)</f>
        <v>1.05493901268662</v>
      </c>
      <c r="L13" s="37" t="n">
        <f aca="false">RA_Wealth_Real_Yr9*(1+RA_Real_Ret_Yr10)</f>
        <v>1.06047504109243</v>
      </c>
    </row>
    <row r="14" customFormat="false" ht="15" hidden="false" customHeight="false" outlineLevel="0" collapsed="false">
      <c r="B14" s="16" t="s">
        <v>169</v>
      </c>
      <c r="C14" s="16"/>
      <c r="D14" s="16"/>
      <c r="E14" s="16"/>
      <c r="F14" s="16"/>
      <c r="G14" s="16"/>
      <c r="H14" s="16"/>
      <c r="I14" s="16"/>
      <c r="J14" s="16"/>
      <c r="K14" s="16"/>
      <c r="L14" s="16"/>
    </row>
    <row r="15" customFormat="false" ht="15" hidden="false" customHeight="false" outlineLevel="0" collapsed="false">
      <c r="B15" s="22" t="s">
        <v>170</v>
      </c>
      <c r="C15" s="23" t="n">
        <f aca="false">RA_End_Yr1/(1+Inflation_Rate)^1</f>
        <v>488606829.268293</v>
      </c>
      <c r="D15" s="23" t="n">
        <f aca="false">RA_End_Yr2/(1+Inflation_Rate)^2</f>
        <v>477413800.421654</v>
      </c>
      <c r="E15" s="23" t="n">
        <f aca="false">RA_End_Yr3/(1+Inflation_Rate)^3</f>
        <v>466417397.601759</v>
      </c>
      <c r="F15" s="23" t="n">
        <f aca="false">RA_End_Yr4/(1+Inflation_Rate)^4</f>
        <v>455614166.712767</v>
      </c>
      <c r="G15" s="23" t="n">
        <f aca="false">RA_End_Yr5/(1+Inflation_Rate)^5</f>
        <v>445000714.336347</v>
      </c>
      <c r="H15" s="23" t="n">
        <f aca="false">RA_End_Yr6/(1+Inflation_Rate)^6</f>
        <v>434573706.665771</v>
      </c>
      <c r="I15" s="23" t="n">
        <f aca="false">RA_End_Yr7/(1+Inflation_Rate)^7</f>
        <v>424329868.458724</v>
      </c>
      <c r="J15" s="23" t="n">
        <f aca="false">RA_End_Yr8/(1+Inflation_Rate)^8</f>
        <v>414265982.008511</v>
      </c>
      <c r="K15" s="23" t="n">
        <f aca="false">RA_End_Yr9/(1+Inflation_Rate)^9</f>
        <v>404378886.133345</v>
      </c>
      <c r="L15" s="23" t="n">
        <f aca="false">RA_End_Yr10/(1+Inflation_Rate)^10</f>
        <v>394665475.183377</v>
      </c>
    </row>
    <row r="16" customFormat="false" ht="15" hidden="false" customHeight="false" outlineLevel="0" collapsed="false">
      <c r="B16" s="22" t="s">
        <v>171</v>
      </c>
      <c r="C16" s="23" t="n">
        <f aca="false">RA_Dist_Yr1</f>
        <v>15000000</v>
      </c>
      <c r="D16" s="23" t="n">
        <f aca="false">RA_Cumul_Dist_Yr1+RA_Dist_Yr2</f>
        <v>30024660</v>
      </c>
      <c r="E16" s="23" t="n">
        <f aca="false">RA_Cumul_Dist_Yr2+RA_Dist_Yr3</f>
        <v>45072146.22204</v>
      </c>
      <c r="F16" s="23" t="n">
        <f aca="false">RA_Cumul_Dist_Yr3+RA_Dist_Yr4</f>
        <v>60140561.9064669</v>
      </c>
      <c r="G16" s="23" t="n">
        <f aca="false">RA_Cumul_Dist_Yr4+RA_Dist_Yr5</f>
        <v>75227945.6175345</v>
      </c>
      <c r="H16" s="23" t="n">
        <f aca="false">RA_Cumul_Dist_Yr5+RA_Dist_Yr6</f>
        <v>90332269.5058047</v>
      </c>
      <c r="I16" s="23" t="n">
        <f aca="false">RA_Cumul_Dist_Yr6+RA_Dist_Yr7</f>
        <v>105451437.526265</v>
      </c>
      <c r="J16" s="23" t="n">
        <f aca="false">RA_Cumul_Dist_Yr7+RA_Dist_Yr8</f>
        <v>120583283.611049</v>
      </c>
      <c r="K16" s="23" t="n">
        <f aca="false">RA_Cumul_Dist_Yr8+RA_Dist_Yr9</f>
        <v>135725569.795617</v>
      </c>
      <c r="L16" s="23" t="n">
        <f aca="false">RA_Cumul_Dist_Yr9+RA_Dist_Yr10</f>
        <v>150875984.297236</v>
      </c>
    </row>
    <row r="17" customFormat="false" ht="15" hidden="false" customHeight="false" outlineLevel="0" collapsed="false">
      <c r="B17" s="22" t="s">
        <v>172</v>
      </c>
      <c r="C17" s="32" t="n">
        <f aca="false">RA_Dist_Yr1/RA_Begin_Yr1</f>
        <v>0.03</v>
      </c>
      <c r="D17" s="32" t="n">
        <f aca="false">RA_Dist_Yr2/RA_Begin_Yr2</f>
        <v>0.03</v>
      </c>
      <c r="E17" s="32" t="n">
        <f aca="false">RA_Dist_Yr3/RA_Begin_Yr3</f>
        <v>0.03</v>
      </c>
      <c r="F17" s="32" t="n">
        <f aca="false">RA_Dist_Yr4/RA_Begin_Yr4</f>
        <v>0.03</v>
      </c>
      <c r="G17" s="32" t="n">
        <f aca="false">RA_Dist_Yr5/RA_Begin_Yr5</f>
        <v>0.03</v>
      </c>
      <c r="H17" s="32" t="n">
        <f aca="false">RA_Dist_Yr6/RA_Begin_Yr6</f>
        <v>0.03</v>
      </c>
      <c r="I17" s="32" t="n">
        <f aca="false">RA_Dist_Yr7/RA_Begin_Yr7</f>
        <v>0.03</v>
      </c>
      <c r="J17" s="32" t="n">
        <f aca="false">RA_Dist_Yr8/RA_Begin_Yr8</f>
        <v>0.03</v>
      </c>
      <c r="K17" s="32" t="n">
        <f aca="false">RA_Dist_Yr9/RA_Begin_Yr9</f>
        <v>0.03</v>
      </c>
      <c r="L17" s="32" t="n">
        <f aca="false">RA_Dist_Yr10/RA_Begin_Yr10</f>
        <v>0.03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2"/>
    <col collapsed="false" customWidth="true" hidden="false" outlineLevel="0" max="3" min="3" style="0" width="30"/>
    <col collapsed="false" customWidth="true" hidden="false" outlineLevel="0" max="4" min="4" style="0" width="22"/>
    <col collapsed="false" customWidth="true" hidden="false" outlineLevel="0" max="5" min="5" style="0" width="18"/>
    <col collapsed="false" customWidth="true" hidden="false" outlineLevel="0" max="6" min="6" style="0" width="12"/>
  </cols>
  <sheetData>
    <row r="1" customFormat="false" ht="15" hidden="false" customHeight="false" outlineLevel="0" collapsed="false">
      <c r="A1" s="1"/>
      <c r="B1" s="2"/>
      <c r="C1" s="2"/>
      <c r="D1" s="2"/>
      <c r="E1" s="2"/>
      <c r="F1" s="2"/>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173</v>
      </c>
      <c r="C2" s="2"/>
      <c r="D2" s="2"/>
      <c r="E2" s="2"/>
      <c r="F2" s="2"/>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173</v>
      </c>
      <c r="C3" s="15"/>
      <c r="D3" s="15"/>
      <c r="E3" s="15"/>
      <c r="F3" s="15"/>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174</v>
      </c>
      <c r="C4" s="16" t="s">
        <v>175</v>
      </c>
      <c r="D4" s="16" t="s">
        <v>176</v>
      </c>
      <c r="E4" s="16" t="s">
        <v>177</v>
      </c>
      <c r="F4" s="16" t="s">
        <v>178</v>
      </c>
    </row>
    <row r="5" customFormat="false" ht="15" hidden="false" customHeight="false" outlineLevel="0" collapsed="false">
      <c r="B5" s="7" t="s">
        <v>179</v>
      </c>
      <c r="C5" s="8" t="s">
        <v>180</v>
      </c>
      <c r="D5" s="8" t="s">
        <v>181</v>
      </c>
      <c r="E5" s="38" t="b">
        <f aca="false">MAX(ABS(AR_Total_End_Yr1-PS_End_AUM_Yr1),ABS(AR_Total_End_Yr2-PS_End_AUM_Yr2),ABS(AR_Total_End_Yr3-PS_End_AUM_Yr3),ABS(AR_Total_End_Yr4-PS_End_AUM_Yr4),ABS(AR_Total_End_Yr5-PS_End_AUM_Yr5),ABS(AR_Total_End_Yr6-PS_End_AUM_Yr6),ABS(AR_Total_End_Yr7-PS_End_AUM_Yr7),ABS(AR_Total_End_Yr8-PS_End_AUM_Yr8),ABS(AR_Total_End_Yr9-PS_End_AUM_Yr9),ABS(AR_Total_End_Yr10-PS_End_AUM_Yr10))&lt;1</f>
        <v>1</v>
      </c>
      <c r="F5" s="39" t="str">
        <f aca="false">IF(E5,"PASS","FAIL")</f>
        <v>PASS</v>
      </c>
    </row>
    <row r="6" customFormat="false" ht="15" hidden="false" customHeight="false" outlineLevel="0" collapsed="false">
      <c r="B6" s="7" t="s">
        <v>182</v>
      </c>
      <c r="C6" s="8" t="s">
        <v>183</v>
      </c>
      <c r="D6" s="8" t="s">
        <v>184</v>
      </c>
      <c r="E6" s="38" t="b">
        <f aca="false">MAX(ABS(PS_W_Total_Yr1-1),ABS(PS_W_Total_Yr2-1),ABS(PS_W_Total_Yr3-1),ABS(PS_W_Total_Yr4-1),ABS(PS_W_Total_Yr5-1),ABS(PS_W_Total_Yr6-1),ABS(PS_W_Total_Yr7-1),ABS(PS_W_Total_Yr8-1),ABS(PS_W_Total_Yr9-1),ABS(PS_W_Total_Yr10-1))&lt;0.00001</f>
        <v>1</v>
      </c>
      <c r="F6" s="39" t="str">
        <f aca="false">IF(E6,"PASS","FAIL")</f>
        <v>PASS</v>
      </c>
    </row>
    <row r="7" customFormat="false" ht="15" hidden="false" customHeight="false" outlineLevel="0" collapsed="false">
      <c r="B7" s="7" t="s">
        <v>185</v>
      </c>
      <c r="C7" s="8" t="s">
        <v>186</v>
      </c>
      <c r="D7" s="8" t="s">
        <v>187</v>
      </c>
      <c r="E7" s="38" t="b">
        <f aca="false">MIN(CF_Buffer_Cov_Yr1,CF_Buffer_Cov_Yr2,CF_Buffer_Cov_Yr3,CF_Buffer_Cov_Yr4,CF_Buffer_Cov_Yr5,CF_Buffer_Cov_Yr6,CF_Buffer_Cov_Yr7,CF_Buffer_Cov_Yr8,CF_Buffer_Cov_Yr9,CF_Buffer_Cov_Yr10)&gt;=1</f>
        <v>1</v>
      </c>
      <c r="F7" s="39" t="str">
        <f aca="false">IF(E7,"PASS","FAIL")</f>
        <v>PASS</v>
      </c>
    </row>
    <row r="8" customFormat="false" ht="15" hidden="false" customHeight="false" outlineLevel="0" collapsed="false">
      <c r="B8" s="7" t="s">
        <v>188</v>
      </c>
      <c r="C8" s="8" t="s">
        <v>189</v>
      </c>
      <c r="D8" s="8" t="s">
        <v>187</v>
      </c>
      <c r="E8" s="38" t="b">
        <f aca="false">MIN(PS_End_AUM_Yr1,PS_End_AUM_Yr2,PS_End_AUM_Yr3,PS_End_AUM_Yr4,PS_End_AUM_Yr5,PS_End_AUM_Yr6,PS_End_AUM_Yr7,PS_End_AUM_Yr8,PS_End_AUM_Yr9,PS_End_AUM_Yr10)&gt;0</f>
        <v>1</v>
      </c>
      <c r="F8" s="39" t="str">
        <f aca="false">IF(E8,"PASS","FAIL")</f>
        <v>PASS</v>
      </c>
    </row>
    <row r="9" customFormat="false" ht="15" hidden="false" customHeight="false" outlineLevel="0" collapsed="false">
      <c r="B9" s="7" t="s">
        <v>190</v>
      </c>
      <c r="C9" s="8" t="s">
        <v>191</v>
      </c>
      <c r="D9" s="8" t="s">
        <v>187</v>
      </c>
      <c r="E9" s="38" t="b">
        <f aca="false">MIN(PS_Perf_Fee_Yr1,PS_Perf_Fee_Yr2,PS_Perf_Fee_Yr3,PS_Perf_Fee_Yr4,PS_Perf_Fee_Yr5,PS_Perf_Fee_Yr6,PS_Perf_Fee_Yr7,PS_Perf_Fee_Yr8,PS_Perf_Fee_Yr9,PS_Perf_Fee_Yr10)&gt;=0</f>
        <v>1</v>
      </c>
      <c r="F9" s="39" t="str">
        <f aca="false">IF(E9,"PASS","FAIL")</f>
        <v>PASS</v>
      </c>
    </row>
    <row r="10" customFormat="false" ht="15" hidden="false" customHeight="false" outlineLevel="0" collapsed="false">
      <c r="B10" s="7" t="s">
        <v>192</v>
      </c>
      <c r="C10" s="8" t="s">
        <v>193</v>
      </c>
      <c r="D10" s="8" t="s">
        <v>194</v>
      </c>
      <c r="E10" s="38" t="b">
        <f aca="false">AND(RA_Nominal_Ret_Yr1&gt;=0.03,RA_Nominal_Ret_Yr1&lt;=0.12)</f>
        <v>1</v>
      </c>
      <c r="F10" s="39" t="str">
        <f aca="false">IF(E10,"PASS","FAIL")</f>
        <v>PASS</v>
      </c>
    </row>
    <row r="11" customFormat="false" ht="15" hidden="false" customHeight="false" outlineLevel="0" collapsed="false">
      <c r="B11" s="7" t="s">
        <v>195</v>
      </c>
      <c r="C11" s="8" t="s">
        <v>196</v>
      </c>
      <c r="D11" s="8" t="s">
        <v>197</v>
      </c>
      <c r="E11" s="38" t="b">
        <f aca="false">AND(OC_Total_Yr1/PS_Begin_AUM_Yr1&gt;=0.001,OC_Total_Yr1/PS_Begin_AUM_Yr1&lt;=0.015)</f>
        <v>1</v>
      </c>
      <c r="F11" s="39" t="str">
        <f aca="false">IF(E11,"PASS","FAIL")</f>
        <v>PASS</v>
      </c>
    </row>
    <row r="12" customFormat="false" ht="15" hidden="false" customHeight="false" outlineLevel="0" collapsed="false">
      <c r="B12" s="7" t="s">
        <v>198</v>
      </c>
      <c r="C12" s="8" t="s">
        <v>199</v>
      </c>
      <c r="D12" s="8" t="s">
        <v>200</v>
      </c>
      <c r="E12" s="38" t="b">
        <f aca="false">MIN(PS_End_AUM_Yr1-PS_Begin_AUM_Yr1,PS_End_AUM_Yr2-PS_Begin_AUM_Yr2,PS_End_AUM_Yr3-PS_Begin_AUM_Yr3,PS_End_AUM_Yr4-PS_Begin_AUM_Yr4,PS_End_AUM_Yr5-PS_Begin_AUM_Yr5,PS_End_AUM_Yr6-PS_Begin_AUM_Yr6,PS_End_AUM_Yr7-PS_Begin_AUM_Yr7,PS_End_AUM_Yr8-PS_Begin_AUM_Yr8,PS_End_AUM_Yr9-PS_Begin_AUM_Yr9,PS_End_AUM_Yr10-PS_Begin_AUM_Yr10)&gt;=0</f>
        <v>1</v>
      </c>
      <c r="F12" s="39" t="str">
        <f aca="false">IF(E12,"PASS","FAIL")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0" t="s">
        <v>201</v>
      </c>
    </row>
    <row r="3" customFormat="false" ht="3.75" hidden="false" customHeight="true" outlineLevel="0" collapsed="false">
      <c r="B3" s="41"/>
    </row>
    <row r="5" customFormat="false" ht="19.5" hidden="false" customHeight="true" outlineLevel="0" collapsed="false">
      <c r="B5" s="42" t="s">
        <v>202</v>
      </c>
    </row>
    <row r="6" customFormat="false" ht="48" hidden="false" customHeight="true" outlineLevel="0" collapsed="false">
      <c r="B6" s="43" t="s">
        <v>203</v>
      </c>
    </row>
    <row r="8" customFormat="false" ht="19.5" hidden="false" customHeight="true" outlineLevel="0" collapsed="false">
      <c r="B8" s="42" t="s">
        <v>204</v>
      </c>
    </row>
    <row r="9" customFormat="false" ht="61.5" hidden="false" customHeight="true" outlineLevel="0" collapsed="false">
      <c r="B9" s="43" t="s">
        <v>205</v>
      </c>
    </row>
    <row r="11" customFormat="false" ht="19.5" hidden="false" customHeight="true" outlineLevel="0" collapsed="false">
      <c r="B11" s="42" t="s">
        <v>206</v>
      </c>
    </row>
    <row r="12" customFormat="false" ht="75.75" hidden="false" customHeight="true" outlineLevel="0" collapsed="false">
      <c r="B12" s="43" t="s">
        <v>207</v>
      </c>
    </row>
    <row r="14" customFormat="false" ht="19.5" hidden="false" customHeight="true" outlineLevel="0" collapsed="false">
      <c r="B14" s="42" t="s">
        <v>208</v>
      </c>
    </row>
    <row r="15" customFormat="false" ht="61.5" hidden="false" customHeight="true" outlineLevel="0" collapsed="false">
      <c r="B15" s="43" t="s">
        <v>209</v>
      </c>
    </row>
    <row r="17" customFormat="false" ht="19.5" hidden="false" customHeight="true" outlineLevel="0" collapsed="false">
      <c r="B17" s="42" t="s">
        <v>210</v>
      </c>
    </row>
    <row r="18" customFormat="false" ht="33.75" hidden="false" customHeight="true" outlineLevel="0" collapsed="false">
      <c r="B18" s="43" t="s">
        <v>211</v>
      </c>
    </row>
    <row r="20" customFormat="false" ht="19.5" hidden="false" customHeight="true" outlineLevel="0" collapsed="false">
      <c r="B20" s="42" t="s">
        <v>212</v>
      </c>
    </row>
    <row r="21" customFormat="false" ht="33.75" hidden="false" customHeight="true" outlineLevel="0" collapsed="false">
      <c r="B21" s="43" t="s">
        <v>213</v>
      </c>
    </row>
    <row r="23" customFormat="false" ht="21.75" hidden="false" customHeight="true" outlineLevel="0" collapsed="false">
      <c r="B23" s="44" t="s">
        <v>214</v>
      </c>
    </row>
    <row r="25" customFormat="false" ht="18" hidden="false" customHeight="true" outlineLevel="0" collapsed="false">
      <c r="B25" s="45" t="s">
        <v>215</v>
      </c>
    </row>
    <row r="26" customFormat="false" ht="201.75" hidden="false" customHeight="true" outlineLevel="0" collapsed="false">
      <c r="B26" s="46" t="s">
        <v>216</v>
      </c>
    </row>
    <row r="28" customFormat="false" ht="18" hidden="false" customHeight="true" outlineLevel="0" collapsed="false">
      <c r="B28" s="47" t="s">
        <v>217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2026-05-15T18:53:31Z</dcterms:created>
  <dc:creator>openpyxl</dc:creator>
  <dc:description/>
  <dc:language>en-GB</dc:language>
  <cp:lastModifiedBy/>
  <dcterms:modified xsi:type="dcterms:W3CDTF">2026-05-15T18:53:31Z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