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Unit_Mix" sheetId="3" state="visible" r:id="rId5"/>
    <sheet name="Revenue" sheetId="4" state="visible" r:id="rId6"/>
    <sheet name="Operating_Expenses" sheetId="5" state="visible" r:id="rId7"/>
    <sheet name="Capital_Reserves" sheetId="6" state="visible" r:id="rId8"/>
    <sheet name="Debt_Schedule" sheetId="7" state="visible" r:id="rId9"/>
    <sheet name="Cash_Flow" sheetId="8" state="visible" r:id="rId10"/>
    <sheet name="Checks" sheetId="9" state="visible" r:id="rId11"/>
    <sheet name="Disclaimer" sheetId="10" state="visible" r:id="rId12"/>
  </sheets>
  <definedNames>
    <definedName function="false" hidden="false" name="Acquisition_Costs" vbProcedure="false">Assumptions!$C$11</definedName>
    <definedName function="false" hidden="false" name="Admin_Growth" vbProcedure="false">Assumptions!$C$53</definedName>
    <definedName function="false" hidden="false" name="Admin_Per_Unit" vbProcedure="false">Assumptions!$C$48</definedName>
    <definedName function="false" hidden="false" name="Amort_Years" vbProcedure="false">Assumptions!$C$61</definedName>
    <definedName function="false" hidden="false" name="Bad_Debt_Rate" vbProcedure="false">Assumptions!$C$38</definedName>
    <definedName function="false" hidden="false" name="Cap_Reserves_Growth" vbProcedure="false">Assumptions!$C$56</definedName>
    <definedName function="false" hidden="false" name="Cap_Reserves_Per_Unit" vbProcedure="false">Assumptions!$C$55</definedName>
    <definedName function="false" hidden="false" name="CF_Cap_Reserves_Y1" vbProcedure="false">Cash_Flow!$C$13</definedName>
    <definedName function="false" hidden="false" name="CF_Cap_Reserves_Y2" vbProcedure="false">Cash_Flow!$D$13</definedName>
    <definedName function="false" hidden="false" name="CF_Cap_Reserves_Y3" vbProcedure="false">Cash_Flow!$E$13</definedName>
    <definedName function="false" hidden="false" name="CF_Cap_Reserves_Y4" vbProcedure="false">Cash_Flow!$F$13</definedName>
    <definedName function="false" hidden="false" name="CF_Cap_Reserves_Y5" vbProcedure="false">Cash_Flow!$G$13</definedName>
    <definedName function="false" hidden="false" name="CF_Debt_Payoff" vbProcedure="false">Cash_Flow!$G$22</definedName>
    <definedName function="false" hidden="false" name="CF_Equity_Y0" vbProcedure="false">Cash_Flow!$C$8</definedName>
    <definedName function="false" hidden="false" name="CF_Exit_Value" vbProcedure="false">Cash_Flow!$G$16</definedName>
    <definedName function="false" hidden="false" name="CF_Interest_Y1" vbProcedure="false">Cash_Flow!$C$20</definedName>
    <definedName function="false" hidden="false" name="CF_Interest_Y2" vbProcedure="false">Cash_Flow!$D$20</definedName>
    <definedName function="false" hidden="false" name="CF_Interest_Y3" vbProcedure="false">Cash_Flow!$E$20</definedName>
    <definedName function="false" hidden="false" name="CF_Interest_Y4" vbProcedure="false">Cash_Flow!$F$20</definedName>
    <definedName function="false" hidden="false" name="CF_Interest_Y5" vbProcedure="false">Cash_Flow!$G$20</definedName>
    <definedName function="false" hidden="false" name="CF_Lev_Annual_Y1" vbProcedure="false">Cash_Flow!$C$23</definedName>
    <definedName function="false" hidden="false" name="CF_Lev_Annual_Y2" vbProcedure="false">Cash_Flow!$D$23</definedName>
    <definedName function="false" hidden="false" name="CF_Lev_Annual_Y3" vbProcedure="false">Cash_Flow!$E$23</definedName>
    <definedName function="false" hidden="false" name="CF_Lev_Annual_Y4" vbProcedure="false">Cash_Flow!$F$23</definedName>
    <definedName function="false" hidden="false" name="CF_Lev_Annual_Y5" vbProcedure="false">Cash_Flow!$G$23</definedName>
    <definedName function="false" hidden="false" name="CF_NOI_Y1" vbProcedure="false">Cash_Flow!$C$12</definedName>
    <definedName function="false" hidden="false" name="CF_NOI_Y2" vbProcedure="false">Cash_Flow!$D$12</definedName>
    <definedName function="false" hidden="false" name="CF_NOI_Y3" vbProcedure="false">Cash_Flow!$E$12</definedName>
    <definedName function="false" hidden="false" name="CF_NOI_Y4" vbProcedure="false">Cash_Flow!$F$12</definedName>
    <definedName function="false" hidden="false" name="CF_NOI_Y5" vbProcedure="false">Cash_Flow!$G$12</definedName>
    <definedName function="false" hidden="false" name="CF_Principal_Y1" vbProcedure="false">Cash_Flow!$C$21</definedName>
    <definedName function="false" hidden="false" name="CF_Principal_Y2" vbProcedure="false">Cash_Flow!$D$21</definedName>
    <definedName function="false" hidden="false" name="CF_Principal_Y3" vbProcedure="false">Cash_Flow!$E$21</definedName>
    <definedName function="false" hidden="false" name="CF_Principal_Y4" vbProcedure="false">Cash_Flow!$F$21</definedName>
    <definedName function="false" hidden="false" name="CF_Principal_Y5" vbProcedure="false">Cash_Flow!$G$21</definedName>
    <definedName function="false" hidden="false" name="CF_Reno_Capex_Y1" vbProcedure="false">Cash_Flow!$C$14</definedName>
    <definedName function="false" hidden="false" name="CF_Reno_Capex_Y2" vbProcedure="false">Cash_Flow!$D$14</definedName>
    <definedName function="false" hidden="false" name="CF_Reno_Capex_Y3" vbProcedure="false">Cash_Flow!$E$14</definedName>
    <definedName function="false" hidden="false" name="CF_Reno_Capex_Y4" vbProcedure="false">Cash_Flow!$F$14</definedName>
    <definedName function="false" hidden="false" name="CF_Reno_Capex_Y5" vbProcedure="false">Cash_Flow!$G$14</definedName>
    <definedName function="false" hidden="false" name="CF_Selling_Costs" vbProcedure="false">Cash_Flow!$G$17</definedName>
    <definedName function="false" hidden="false" name="CF_Unlev_Op_Y1" vbProcedure="false">Cash_Flow!$C$15</definedName>
    <definedName function="false" hidden="false" name="CF_Unlev_Op_Y2" vbProcedure="false">Cash_Flow!$D$15</definedName>
    <definedName function="false" hidden="false" name="CF_Unlev_Op_Y3" vbProcedure="false">Cash_Flow!$E$15</definedName>
    <definedName function="false" hidden="false" name="CF_Unlev_Op_Y4" vbProcedure="false">Cash_Flow!$F$15</definedName>
    <definedName function="false" hidden="false" name="CF_Unlev_Op_Y5" vbProcedure="false">Cash_Flow!$G$15</definedName>
    <definedName function="false" hidden="false" name="CF_Unlev_Total_Y1" vbProcedure="false">Cash_Flow!$C$18</definedName>
    <definedName function="false" hidden="false" name="CF_Unlev_Total_Y2" vbProcedure="false">Cash_Flow!$D$18</definedName>
    <definedName function="false" hidden="false" name="CF_Unlev_Total_Y3" vbProcedure="false">Cash_Flow!$E$18</definedName>
    <definedName function="false" hidden="false" name="CF_Unlev_Total_Y4" vbProcedure="false">Cash_Flow!$F$18</definedName>
    <definedName function="false" hidden="false" name="CF_Unlev_Total_Y5" vbProcedure="false">Cash_Flow!$G$18</definedName>
    <definedName function="false" hidden="false" name="CoC_Y1" vbProcedure="false">Cash_Flow!$C$31</definedName>
    <definedName function="false" hidden="false" name="CoC_Y2" vbProcedure="false">Cash_Flow!$C$32</definedName>
    <definedName function="false" hidden="false" name="CoC_Y3" vbProcedure="false">Cash_Flow!$C$33</definedName>
    <definedName function="false" hidden="false" name="Concession_Rate" vbProcedure="false">Assumptions!$C$39</definedName>
    <definedName function="false" hidden="false" name="CR_Reno_Capex_Y1" vbProcedure="false">Capital_Reserves!$C$6</definedName>
    <definedName function="false" hidden="false" name="CR_Reno_Capex_Y2" vbProcedure="false">Capital_Reserves!$D$6</definedName>
    <definedName function="false" hidden="false" name="CR_Reno_Capex_Y3" vbProcedure="false">Capital_Reserves!$E$6</definedName>
    <definedName function="false" hidden="false" name="CR_Reno_Capex_Y4" vbProcedure="false">Capital_Reserves!$F$6</definedName>
    <definedName function="false" hidden="false" name="CR_Reno_Capex_Y5" vbProcedure="false">Capital_Reserves!$G$6</definedName>
    <definedName function="false" hidden="false" name="CR_Reserves_Y1" vbProcedure="false">Capital_Reserves!$C$5</definedName>
    <definedName function="false" hidden="false" name="CR_Reserves_Y2" vbProcedure="false">Capital_Reserves!$D$5</definedName>
    <definedName function="false" hidden="false" name="CR_Reserves_Y3" vbProcedure="false">Capital_Reserves!$E$5</definedName>
    <definedName function="false" hidden="false" name="CR_Reserves_Y4" vbProcedure="false">Capital_Reserves!$F$5</definedName>
    <definedName function="false" hidden="false" name="CR_Reserves_Y5" vbProcedure="false">Capital_Reserves!$G$5</definedName>
    <definedName function="false" hidden="false" name="CR_Total_Y1" vbProcedure="false">Capital_Reserves!$C$7</definedName>
    <definedName function="false" hidden="false" name="CR_Total_Y2" vbProcedure="false">Capital_Reserves!$D$7</definedName>
    <definedName function="false" hidden="false" name="CR_Total_Y3" vbProcedure="false">Capital_Reserves!$E$7</definedName>
    <definedName function="false" hidden="false" name="CR_Total_Y4" vbProcedure="false">Capital_Reserves!$F$7</definedName>
    <definedName function="false" hidden="false" name="CR_Total_Y5" vbProcedure="false">Capital_Reserves!$G$7</definedName>
    <definedName function="false" hidden="false" name="DS_Annual_PMT_Y1" vbProcedure="false">Debt_Schedule!$C$13</definedName>
    <definedName function="false" hidden="false" name="DS_Annual_PMT_Y2" vbProcedure="false">Debt_Schedule!$D$13</definedName>
    <definedName function="false" hidden="false" name="DS_Annual_PMT_Y3" vbProcedure="false">Debt_Schedule!$E$13</definedName>
    <definedName function="false" hidden="false" name="DS_Annual_PMT_Y4" vbProcedure="false">Debt_Schedule!$F$13</definedName>
    <definedName function="false" hidden="false" name="DS_Annual_PMT_Y5" vbProcedure="false">Debt_Schedule!$G$13</definedName>
    <definedName function="false" hidden="false" name="DS_Closing_Y1" vbProcedure="false">Debt_Schedule!$C$15</definedName>
    <definedName function="false" hidden="false" name="DS_Closing_Y2" vbProcedure="false">Debt_Schedule!$D$15</definedName>
    <definedName function="false" hidden="false" name="DS_Closing_Y3" vbProcedure="false">Debt_Schedule!$E$15</definedName>
    <definedName function="false" hidden="false" name="DS_Closing_Y4" vbProcedure="false">Debt_Schedule!$F$15</definedName>
    <definedName function="false" hidden="false" name="DS_Closing_Y5" vbProcedure="false">Debt_Schedule!$G$15</definedName>
    <definedName function="false" hidden="false" name="DS_Debt_Service_Y1" vbProcedure="false">Debt_Schedule!$C$17</definedName>
    <definedName function="false" hidden="false" name="DS_Debt_Service_Y2" vbProcedure="false">Debt_Schedule!$D$17</definedName>
    <definedName function="false" hidden="false" name="DS_Debt_Service_Y3" vbProcedure="false">Debt_Schedule!$E$17</definedName>
    <definedName function="false" hidden="false" name="DS_Debt_Service_Y4" vbProcedure="false">Debt_Schedule!$F$17</definedName>
    <definedName function="false" hidden="false" name="DS_Debt_Service_Y5" vbProcedure="false">Debt_Schedule!$G$17</definedName>
    <definedName function="false" hidden="false" name="DS_DSCR_Y1" vbProcedure="false">Debt_Schedule!$C$18</definedName>
    <definedName function="false" hidden="false" name="DS_DSCR_Y2" vbProcedure="false">Debt_Schedule!$D$18</definedName>
    <definedName function="false" hidden="false" name="DS_DSCR_Y3" vbProcedure="false">Debt_Schedule!$E$18</definedName>
    <definedName function="false" hidden="false" name="DS_DSCR_Y4" vbProcedure="false">Debt_Schedule!$F$18</definedName>
    <definedName function="false" hidden="false" name="DS_DSCR_Y5" vbProcedure="false">Debt_Schedule!$G$18</definedName>
    <definedName function="false" hidden="false" name="DS_Interest_Y1" vbProcedure="false">Debt_Schedule!$C$12</definedName>
    <definedName function="false" hidden="false" name="DS_Interest_Y2" vbProcedure="false">Debt_Schedule!$D$12</definedName>
    <definedName function="false" hidden="false" name="DS_Interest_Y3" vbProcedure="false">Debt_Schedule!$E$12</definedName>
    <definedName function="false" hidden="false" name="DS_Interest_Y4" vbProcedure="false">Debt_Schedule!$F$12</definedName>
    <definedName function="false" hidden="false" name="DS_Interest_Y5" vbProcedure="false">Debt_Schedule!$G$12</definedName>
    <definedName function="false" hidden="false" name="DS_Opening_Y1" vbProcedure="false">Debt_Schedule!$C$11</definedName>
    <definedName function="false" hidden="false" name="DS_Opening_Y2" vbProcedure="false">Debt_Schedule!$D$11</definedName>
    <definedName function="false" hidden="false" name="DS_Opening_Y3" vbProcedure="false">Debt_Schedule!$E$11</definedName>
    <definedName function="false" hidden="false" name="DS_Opening_Y4" vbProcedure="false">Debt_Schedule!$F$11</definedName>
    <definedName function="false" hidden="false" name="DS_Opening_Y5" vbProcedure="false">Debt_Schedule!$G$11</definedName>
    <definedName function="false" hidden="false" name="DS_Principal_Y1" vbProcedure="false">Debt_Schedule!$C$14</definedName>
    <definedName function="false" hidden="false" name="DS_Principal_Y2" vbProcedure="false">Debt_Schedule!$D$14</definedName>
    <definedName function="false" hidden="false" name="DS_Principal_Y3" vbProcedure="false">Debt_Schedule!$E$14</definedName>
    <definedName function="false" hidden="false" name="DS_Principal_Y4" vbProcedure="false">Debt_Schedule!$F$14</definedName>
    <definedName function="false" hidden="false" name="DS_Principal_Y5" vbProcedure="false">Debt_Schedule!$G$14</definedName>
    <definedName function="false" hidden="false" name="Equity_Contribution" vbProcedure="false">Assumptions!$C$63</definedName>
    <definedName function="false" hidden="false" name="Equity_Multiple" vbProcedure="false">Cash_Flow!$C$30</definedName>
    <definedName function="false" hidden="false" name="Exit_Cap_Rate" vbProcedure="false">Assumptions!$C$65</definedName>
    <definedName function="false" hidden="false" name="Exit_Growth_Rate" vbProcedure="false">Assumptions!$C$66</definedName>
    <definedName function="false" hidden="false" name="Going_In_Cap_Rate" vbProcedure="false">Cash_Flow!$C$26</definedName>
    <definedName function="false" hidden="false" name="Hold_Years" vbProcedure="false">Assumptions!$C$9</definedName>
    <definedName function="false" hidden="false" name="Insurance_Growth" vbProcedure="false">Assumptions!$C$50</definedName>
    <definedName function="false" hidden="false" name="Insurance_Per_Unit" vbProcedure="false">Assumptions!$C$45</definedName>
    <definedName function="false" hidden="false" name="Interest_Rate" vbProcedure="false">Assumptions!$C$59</definedName>
    <definedName function="false" hidden="false" name="IO_Period" vbProcedure="false">Assumptions!$C$60</definedName>
    <definedName function="false" hidden="false" name="Levered_IRR" vbProcedure="false">Cash_Flow!$C$29</definedName>
    <definedName function="false" hidden="false" name="Loan_Amount" vbProcedure="false">Assumptions!$C$62</definedName>
    <definedName function="false" hidden="false" name="LTV" vbProcedure="false">Assumptions!$C$58</definedName>
    <definedName function="false" hidden="false" name="Mgmt_Fee_Pct" vbProcedure="false">Assumptions!$C$43</definedName>
    <definedName function="false" hidden="false" name="OE_Admin_Y1" vbProcedure="false">Operating_Expenses!$C$10</definedName>
    <definedName function="false" hidden="false" name="OE_Admin_Y2" vbProcedure="false">Operating_Expenses!$D$10</definedName>
    <definedName function="false" hidden="false" name="OE_Admin_Y3" vbProcedure="false">Operating_Expenses!$E$10</definedName>
    <definedName function="false" hidden="false" name="OE_Admin_Y4" vbProcedure="false">Operating_Expenses!$F$10</definedName>
    <definedName function="false" hidden="false" name="OE_Admin_Y5" vbProcedure="false">Operating_Expenses!$G$10</definedName>
    <definedName function="false" hidden="false" name="OE_Insurance_Y1" vbProcedure="false">Operating_Expenses!$C$7</definedName>
    <definedName function="false" hidden="false" name="OE_Insurance_Y2" vbProcedure="false">Operating_Expenses!$D$7</definedName>
    <definedName function="false" hidden="false" name="OE_Insurance_Y3" vbProcedure="false">Operating_Expenses!$E$7</definedName>
    <definedName function="false" hidden="false" name="OE_Insurance_Y4" vbProcedure="false">Operating_Expenses!$F$7</definedName>
    <definedName function="false" hidden="false" name="OE_Insurance_Y5" vbProcedure="false">Operating_Expenses!$G$7</definedName>
    <definedName function="false" hidden="false" name="OE_Mgmt_Y1" vbProcedure="false">Operating_Expenses!$C$5</definedName>
    <definedName function="false" hidden="false" name="OE_Mgmt_Y2" vbProcedure="false">Operating_Expenses!$D$5</definedName>
    <definedName function="false" hidden="false" name="OE_Mgmt_Y3" vbProcedure="false">Operating_Expenses!$E$5</definedName>
    <definedName function="false" hidden="false" name="OE_Mgmt_Y4" vbProcedure="false">Operating_Expenses!$F$5</definedName>
    <definedName function="false" hidden="false" name="OE_Mgmt_Y5" vbProcedure="false">Operating_Expenses!$G$5</definedName>
    <definedName function="false" hidden="false" name="OE_NOI_Margin_Y1" vbProcedure="false">Operating_Expenses!$C$14</definedName>
    <definedName function="false" hidden="false" name="OE_NOI_Margin_Y2" vbProcedure="false">Operating_Expenses!$D$14</definedName>
    <definedName function="false" hidden="false" name="OE_NOI_Margin_Y3" vbProcedure="false">Operating_Expenses!$E$14</definedName>
    <definedName function="false" hidden="false" name="OE_NOI_Margin_Y4" vbProcedure="false">Operating_Expenses!$F$14</definedName>
    <definedName function="false" hidden="false" name="OE_NOI_Margin_Y5" vbProcedure="false">Operating_Expenses!$G$14</definedName>
    <definedName function="false" hidden="false" name="OE_NOI_Y1" vbProcedure="false">Operating_Expenses!$C$13</definedName>
    <definedName function="false" hidden="false" name="OE_NOI_Y2" vbProcedure="false">Operating_Expenses!$D$13</definedName>
    <definedName function="false" hidden="false" name="OE_NOI_Y3" vbProcedure="false">Operating_Expenses!$E$13</definedName>
    <definedName function="false" hidden="false" name="OE_NOI_Y4" vbProcedure="false">Operating_Expenses!$F$13</definedName>
    <definedName function="false" hidden="false" name="OE_NOI_Y5" vbProcedure="false">Operating_Expenses!$G$13</definedName>
    <definedName function="false" hidden="false" name="OE_Prop_Tax_Y1" vbProcedure="false">Operating_Expenses!$C$8</definedName>
    <definedName function="false" hidden="false" name="OE_Prop_Tax_Y2" vbProcedure="false">Operating_Expenses!$D$8</definedName>
    <definedName function="false" hidden="false" name="OE_Prop_Tax_Y3" vbProcedure="false">Operating_Expenses!$E$8</definedName>
    <definedName function="false" hidden="false" name="OE_Prop_Tax_Y4" vbProcedure="false">Operating_Expenses!$F$8</definedName>
    <definedName function="false" hidden="false" name="OE_Prop_Tax_Y5" vbProcedure="false">Operating_Expenses!$G$8</definedName>
    <definedName function="false" hidden="false" name="OE_Repairs_Y1" vbProcedure="false">Operating_Expenses!$C$6</definedName>
    <definedName function="false" hidden="false" name="OE_Repairs_Y2" vbProcedure="false">Operating_Expenses!$D$6</definedName>
    <definedName function="false" hidden="false" name="OE_Repairs_Y3" vbProcedure="false">Operating_Expenses!$E$6</definedName>
    <definedName function="false" hidden="false" name="OE_Repairs_Y4" vbProcedure="false">Operating_Expenses!$F$6</definedName>
    <definedName function="false" hidden="false" name="OE_Repairs_Y5" vbProcedure="false">Operating_Expenses!$G$6</definedName>
    <definedName function="false" hidden="false" name="OE_Total_Y1" vbProcedure="false">Operating_Expenses!$C$11</definedName>
    <definedName function="false" hidden="false" name="OE_Total_Y2" vbProcedure="false">Operating_Expenses!$D$11</definedName>
    <definedName function="false" hidden="false" name="OE_Total_Y3" vbProcedure="false">Operating_Expenses!$E$11</definedName>
    <definedName function="false" hidden="false" name="OE_Total_Y4" vbProcedure="false">Operating_Expenses!$F$11</definedName>
    <definedName function="false" hidden="false" name="OE_Total_Y5" vbProcedure="false">Operating_Expenses!$G$11</definedName>
    <definedName function="false" hidden="false" name="OE_Utilities_Y1" vbProcedure="false">Operating_Expenses!$C$9</definedName>
    <definedName function="false" hidden="false" name="OE_Utilities_Y2" vbProcedure="false">Operating_Expenses!$D$9</definedName>
    <definedName function="false" hidden="false" name="OE_Utilities_Y3" vbProcedure="false">Operating_Expenses!$E$9</definedName>
    <definedName function="false" hidden="false" name="OE_Utilities_Y4" vbProcedure="false">Operating_Expenses!$F$9</definedName>
    <definedName function="false" hidden="false" name="OE_Utilities_Y5" vbProcedure="false">Operating_Expenses!$G$9</definedName>
    <definedName function="false" hidden="false" name="Other_Inc_Growth" vbProcedure="false">Assumptions!$C$41</definedName>
    <definedName function="false" hidden="false" name="Other_Inc_Per_Unit" vbProcedure="false">Assumptions!$C$40</definedName>
    <definedName function="false" hidden="false" name="Purchase_Price" vbProcedure="false">Assumptions!$C$7</definedName>
    <definedName function="false" hidden="false" name="Reno_Cost_Per_Unit" vbProcedure="false">Assumptions!$C$33</definedName>
    <definedName function="false" hidden="false" name="Reno_Units_Y1" vbProcedure="false">Assumptions!$C$28</definedName>
    <definedName function="false" hidden="false" name="Reno_Units_Y2" vbProcedure="false">Assumptions!$C$29</definedName>
    <definedName function="false" hidden="false" name="Reno_Units_Y3" vbProcedure="false">Assumptions!$C$30</definedName>
    <definedName function="false" hidden="false" name="Reno_Units_Y4" vbProcedure="false">Assumptions!$C$31</definedName>
    <definedName function="false" hidden="false" name="Reno_Units_Y5" vbProcedure="false">Assumptions!$C$32</definedName>
    <definedName function="false" hidden="false" name="Rent_1BR_IP" vbProcedure="false">Assumptions!$C$19</definedName>
    <definedName function="false" hidden="false" name="Rent_1BR_Mkt" vbProcedure="false">Assumptions!$C$24</definedName>
    <definedName function="false" hidden="false" name="Rent_2BR_IP" vbProcedure="false">Assumptions!$C$20</definedName>
    <definedName function="false" hidden="false" name="Rent_2BR_Mkt" vbProcedure="false">Assumptions!$C$25</definedName>
    <definedName function="false" hidden="false" name="Rent_3BR_IP" vbProcedure="false">Assumptions!$C$21</definedName>
    <definedName function="false" hidden="false" name="Rent_3BR_Mkt" vbProcedure="false">Assumptions!$C$26</definedName>
    <definedName function="false" hidden="false" name="Rent_Growth_IP" vbProcedure="false">Assumptions!$C$35</definedName>
    <definedName function="false" hidden="false" name="Rent_Growth_Mkt" vbProcedure="false">Assumptions!$C$36</definedName>
    <definedName function="false" hidden="false" name="Rent_Studio_IP" vbProcedure="false">Assumptions!$C$18</definedName>
    <definedName function="false" hidden="false" name="Rent_Studio_Mkt" vbProcedure="false">Assumptions!$C$23</definedName>
    <definedName function="false" hidden="false" name="Repairs_Growth" vbProcedure="false">Assumptions!$C$49</definedName>
    <definedName function="false" hidden="false" name="Repairs_Per_Unit" vbProcedure="false">Assumptions!$C$44</definedName>
    <definedName function="false" hidden="false" name="Rev_Bad_Debt_Y1" vbProcedure="false">Revenue!$C$24</definedName>
    <definedName function="false" hidden="false" name="Rev_Bad_Debt_Y2" vbProcedure="false">Revenue!$D$24</definedName>
    <definedName function="false" hidden="false" name="Rev_Bad_Debt_Y3" vbProcedure="false">Revenue!$E$24</definedName>
    <definedName function="false" hidden="false" name="Rev_Bad_Debt_Y4" vbProcedure="false">Revenue!$F$24</definedName>
    <definedName function="false" hidden="false" name="Rev_Bad_Debt_Y5" vbProcedure="false">Revenue!$G$24</definedName>
    <definedName function="false" hidden="false" name="Rev_Concessions_Y1" vbProcedure="false">Revenue!$C$25</definedName>
    <definedName function="false" hidden="false" name="Rev_Concessions_Y2" vbProcedure="false">Revenue!$D$25</definedName>
    <definedName function="false" hidden="false" name="Rev_Concessions_Y3" vbProcedure="false">Revenue!$E$25</definedName>
    <definedName function="false" hidden="false" name="Rev_Concessions_Y4" vbProcedure="false">Revenue!$F$25</definedName>
    <definedName function="false" hidden="false" name="Rev_Concessions_Y5" vbProcedure="false">Revenue!$G$25</definedName>
    <definedName function="false" hidden="false" name="Rev_EGI_Y1" vbProcedure="false">Revenue!$C$27</definedName>
    <definedName function="false" hidden="false" name="Rev_EGI_Y2" vbProcedure="false">Revenue!$D$27</definedName>
    <definedName function="false" hidden="false" name="Rev_EGI_Y3" vbProcedure="false">Revenue!$E$27</definedName>
    <definedName function="false" hidden="false" name="Rev_EGI_Y4" vbProcedure="false">Revenue!$F$27</definedName>
    <definedName function="false" hidden="false" name="Rev_EGI_Y5" vbProcedure="false">Revenue!$G$27</definedName>
    <definedName function="false" hidden="false" name="Rev_GPR_Y1" vbProcedure="false">Revenue!$C$22</definedName>
    <definedName function="false" hidden="false" name="Rev_GPR_Y2" vbProcedure="false">Revenue!$D$22</definedName>
    <definedName function="false" hidden="false" name="Rev_GPR_Y3" vbProcedure="false">Revenue!$E$22</definedName>
    <definedName function="false" hidden="false" name="Rev_GPR_Y4" vbProcedure="false">Revenue!$F$22</definedName>
    <definedName function="false" hidden="false" name="Rev_GPR_Y5" vbProcedure="false">Revenue!$G$22</definedName>
    <definedName function="false" hidden="false" name="Rev_Other_Inc_Y1" vbProcedure="false">Revenue!$C$26</definedName>
    <definedName function="false" hidden="false" name="Rev_Other_Inc_Y2" vbProcedure="false">Revenue!$D$26</definedName>
    <definedName function="false" hidden="false" name="Rev_Other_Inc_Y3" vbProcedure="false">Revenue!$E$26</definedName>
    <definedName function="false" hidden="false" name="Rev_Other_Inc_Y4" vbProcedure="false">Revenue!$F$26</definedName>
    <definedName function="false" hidden="false" name="Rev_Other_Inc_Y5" vbProcedure="false">Revenue!$G$26</definedName>
    <definedName function="false" hidden="false" name="Rev_Vacancy_Y1" vbProcedure="false">Revenue!$C$23</definedName>
    <definedName function="false" hidden="false" name="Rev_Vacancy_Y2" vbProcedure="false">Revenue!$D$23</definedName>
    <definedName function="false" hidden="false" name="Rev_Vacancy_Y3" vbProcedure="false">Revenue!$E$23</definedName>
    <definedName function="false" hidden="false" name="Rev_Vacancy_Y4" vbProcedure="false">Revenue!$F$23</definedName>
    <definedName function="false" hidden="false" name="Rev_Vacancy_Y5" vbProcedure="false">Revenue!$G$23</definedName>
    <definedName function="false" hidden="false" name="Selling_Cost_Pct" vbProcedure="false">Assumptions!$C$10</definedName>
    <definedName function="false" hidden="false" name="Tax_Growth" vbProcedure="false">Assumptions!$C$51</definedName>
    <definedName function="false" hidden="false" name="Tax_Per_Unit" vbProcedure="false">Assumptions!$C$46</definedName>
    <definedName function="false" hidden="false" name="Total_Units" vbProcedure="false">Assumptions!$C$8</definedName>
    <definedName function="false" hidden="false" name="UM_Reno_Capex_Y1" vbProcedure="false">Unit_Mix!$C$17</definedName>
    <definedName function="false" hidden="false" name="UM_Reno_Capex_Y2" vbProcedure="false">Unit_Mix!$D$17</definedName>
    <definedName function="false" hidden="false" name="UM_Reno_Capex_Y3" vbProcedure="false">Unit_Mix!$E$17</definedName>
    <definedName function="false" hidden="false" name="UM_Reno_Capex_Y4" vbProcedure="false">Unit_Mix!$F$17</definedName>
    <definedName function="false" hidden="false" name="UM_Reno_Capex_Y5" vbProcedure="false">Unit_Mix!$G$17</definedName>
    <definedName function="false" hidden="false" name="UM_Reno_Cumul_Y1" vbProcedure="false">Unit_Mix!$C$15</definedName>
    <definedName function="false" hidden="false" name="UM_Reno_Cumul_Y2" vbProcedure="false">Unit_Mix!$D$15</definedName>
    <definedName function="false" hidden="false" name="UM_Reno_Cumul_Y3" vbProcedure="false">Unit_Mix!$E$15</definedName>
    <definedName function="false" hidden="false" name="UM_Reno_Cumul_Y4" vbProcedure="false">Unit_Mix!$F$15</definedName>
    <definedName function="false" hidden="false" name="UM_Reno_Cumul_Y5" vbProcedure="false">Unit_Mix!$G$15</definedName>
    <definedName function="false" hidden="false" name="UM_Reno_Y1" vbProcedure="false">Unit_Mix!$C$14</definedName>
    <definedName function="false" hidden="false" name="UM_Reno_Y2" vbProcedure="false">Unit_Mix!$D$14</definedName>
    <definedName function="false" hidden="false" name="UM_Reno_Y3" vbProcedure="false">Unit_Mix!$E$14</definedName>
    <definedName function="false" hidden="false" name="UM_Reno_Y4" vbProcedure="false">Unit_Mix!$F$14</definedName>
    <definedName function="false" hidden="false" name="UM_Reno_Y5" vbProcedure="false">Unit_Mix!$G$14</definedName>
    <definedName function="false" hidden="false" name="UM_Total_Units" vbProcedure="false">Unit_Mix!$C$10</definedName>
    <definedName function="false" hidden="false" name="UM_Unreno_Y1" vbProcedure="false">Unit_Mix!$C$16</definedName>
    <definedName function="false" hidden="false" name="UM_Unreno_Y2" vbProcedure="false">Unit_Mix!$D$16</definedName>
    <definedName function="false" hidden="false" name="UM_Unreno_Y3" vbProcedure="false">Unit_Mix!$E$16</definedName>
    <definedName function="false" hidden="false" name="UM_Unreno_Y4" vbProcedure="false">Unit_Mix!$F$16</definedName>
    <definedName function="false" hidden="false" name="UM_Unreno_Y5" vbProcedure="false">Unit_Mix!$G$16</definedName>
    <definedName function="false" hidden="false" name="Units_1BR" vbProcedure="false">Assumptions!$C$14</definedName>
    <definedName function="false" hidden="false" name="Units_2BR" vbProcedure="false">Assumptions!$C$15</definedName>
    <definedName function="false" hidden="false" name="Units_3BR" vbProcedure="false">Assumptions!$C$16</definedName>
    <definedName function="false" hidden="false" name="Units_Studio" vbProcedure="false">Assumptions!$C$13</definedName>
    <definedName function="false" hidden="false" name="Unlev_IRR" vbProcedure="false">Cash_Flow!$C$28</definedName>
    <definedName function="false" hidden="false" name="Utilities_Growth" vbProcedure="false">Assumptions!$C$52</definedName>
    <definedName function="false" hidden="false" name="Utilities_Per_Unit" vbProcedure="false">Assumptions!$C$47</definedName>
    <definedName function="false" hidden="false" name="Vacancy_Rate" vbProcedure="false">Assumptions!$C$37</definedName>
    <definedName function="false" hidden="false" name="Yield_On_Cost" vbProcedure="false">Cash_Flow!$C$27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<sst xmlns="http://schemas.openxmlformats.org/spreadsheetml/2006/main" count="349" uniqueCount="253">
  <si>
    <t xml:space="preserve">Value-Add Multi-Family Acquisition Model</t>
  </si>
  <si>
    <t xml:space="preserve">FINAMODEL.com</t>
  </si>
  <si>
    <t xml:space="preserve">150-Unit Apartment Complex — 5-Year Hold</t>
  </si>
  <si>
    <t xml:space="preserve">Purchase Price</t>
  </si>
  <si>
    <t xml:space="preserve">Total Units</t>
  </si>
  <si>
    <t xml:space="preserve">Going-In Cap</t>
  </si>
  <si>
    <t xml:space="preserve">Levered IRR</t>
  </si>
  <si>
    <t xml:space="preserve">Equity Multiple</t>
  </si>
  <si>
    <t xml:space="preserve">Date</t>
  </si>
  <si>
    <t xml:space="preserve">2026-01-01</t>
  </si>
  <si>
    <t xml:space="preserve">Version</t>
  </si>
  <si>
    <t xml:space="preserve">1.0</t>
  </si>
  <si>
    <t xml:space="preserve">Sheet</t>
  </si>
  <si>
    <t xml:space="preserve">Description</t>
  </si>
  <si>
    <t xml:space="preserve">Assumptions</t>
  </si>
  <si>
    <t xml:space="preserve">All model inputs and parameters</t>
  </si>
  <si>
    <t xml:space="preserve">Unit_Mix</t>
  </si>
  <si>
    <t xml:space="preserve">Unit mix, renovation schedule, capex</t>
  </si>
  <si>
    <t xml:space="preserve">Revenue</t>
  </si>
  <si>
    <t xml:space="preserve">GPR, EGI waterfall</t>
  </si>
  <si>
    <t xml:space="preserve">Operating_Expenses</t>
  </si>
  <si>
    <t xml:space="preserve">OpEx by line, NOI</t>
  </si>
  <si>
    <t xml:space="preserve">Capital_Reserves</t>
  </si>
  <si>
    <t xml:space="preserve">Replacement reserves + reno capex</t>
  </si>
  <si>
    <t xml:space="preserve">Debt_Schedule</t>
  </si>
  <si>
    <t xml:space="preserve">IO/amort debt roll-forward, DSCR</t>
  </si>
  <si>
    <t xml:space="preserve">Cash_Flow</t>
  </si>
  <si>
    <t xml:space="preserve">Unlevered/levered CF, IRR, equity multiple</t>
  </si>
  <si>
    <t xml:space="preserve">Checks</t>
  </si>
  <si>
    <t xml:space="preserve">Model integrity checks</t>
  </si>
  <si>
    <t xml:space="preserve">About this model</t>
  </si>
  <si>
    <t xml:space="preserve">A Value-Add Multifamily Acquisition Model forecasts a $18.5M acquisition of 150-unit apartment complex (150-unit, 50% studio/1BR, 50% 2BR/3BR) with existing rents 5-15% below market and a 2-4 year renovation program to unlock value. The project is financed 70% debt (70% LTV, $12.95M, 5.75% fixed, 2-year interest-only then 30-year amortization) and 30% equity ($5.55M sponsor/LP capital). Year 1 gross potential rent (GPR) derives from in-place rent on 70% of units (staggered lease turnover) and market rent (post-renovation premium of $150-300/month) on 30% of units. Comprehensive valuation uses a going-in cap rate (Year 1 NOI / purchase price â 5.5%, typical for Class B value-add) and exit cap rate (forward Year 5+1 NOI / 5.25%, modest 25 bp compression).
The Unit_Mix sheet specifies 150 units across four bedroom types; revenue projects rents escalating 3% annually for in-place units (annual renewal bumps) and 3.5% for renovated units (market growth). Capital Reserves ($350/unit/year, escalating 2.5%) and Renovation Capex ($22K/unit Ã 150 = $3.3M total deployed across Years 1-4) are deducted separately from NOI to compute levered cash flow. Debt_Schedule applies interest-only in Years 1-2 (Year 1 interest = $744K), then amortizing principal in Years 3-5 (annual payment ~$750K, computed via PMT formula). Debt service coverage ratio (NOI / total debt service) is tested year-by-year; the model ensures DSCR â¥ 1.25Ã minimum covenant. Exit proceeds = Forward NOI / exit cap rate minus 2% selling costs minus outstanding loan balance (balloon of ~$11.8M after Year 5 paydown).
This model suits commercial real estate investors, opportunity zone sponsors, and institutional LPs evaluating multifamily value-add opportunities. Typical levered IRR targets 12-18% with 1.5-2.5Ã equity multiple over 5 year hold. Key sensitivities include achievable rent premiums post-renovation (delta rent of $100-300/month), value-add capex efficiency ($15K-35K/unit), refinancing risk (can the perm loan be locked at project inception?), and exit cap rate risk (50 bp miss in exit cap changes IRR by 2-3%).</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</si>
  <si>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</si>
  <si>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</si>
  <si>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</si>
  <si>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</si>
  <si>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 ACQUISITION PARAMETERS</t>
  </si>
  <si>
    <t xml:space="preserve">$</t>
  </si>
  <si>
    <t xml:space="preserve">Acquisition cost</t>
  </si>
  <si>
    <t xml:space="preserve">count</t>
  </si>
  <si>
    <t xml:space="preserve">150-unit complex</t>
  </si>
  <si>
    <t xml:space="preserve">Hold Period</t>
  </si>
  <si>
    <t xml:space="preserve">years</t>
  </si>
  <si>
    <t xml:space="preserve">Investment horizon</t>
  </si>
  <si>
    <t xml:space="preserve">Selling Cost %</t>
  </si>
  <si>
    <t xml:space="preserve">decimal</t>
  </si>
  <si>
    <t xml:space="preserve">Brokerage + legal</t>
  </si>
  <si>
    <t xml:space="preserve">Acquisition Costs</t>
  </si>
  <si>
    <t xml:space="preserve">Closing costs ~1%</t>
  </si>
  <si>
    <t xml:space="preserve">B. UNIT MIX — COUNTS</t>
  </si>
  <si>
    <t xml:space="preserve">Studio Units</t>
  </si>
  <si>
    <t xml:space="preserve">units</t>
  </si>
  <si>
    <t xml:space="preserve">1-Bedroom</t>
  </si>
  <si>
    <t xml:space="preserve">2-Bedroom</t>
  </si>
  <si>
    <t xml:space="preserve">3-Bedroom</t>
  </si>
  <si>
    <t xml:space="preserve">C. IN-PLACE MONTHLY RENTS</t>
  </si>
  <si>
    <t xml:space="preserve">Studio IP Rent</t>
  </si>
  <si>
    <t xml:space="preserve">$/unit/mo</t>
  </si>
  <si>
    <t xml:space="preserve">1BR IP Rent</t>
  </si>
  <si>
    <t xml:space="preserve">2BR IP Rent</t>
  </si>
  <si>
    <t xml:space="preserve">3BR IP Rent</t>
  </si>
  <si>
    <t xml:space="preserve">D. MARKET (POST-RENO) MONTHLY RENTS</t>
  </si>
  <si>
    <t xml:space="preserve">Studio Mkt Rent</t>
  </si>
  <si>
    <t xml:space="preserve">1BR Mkt Rent</t>
  </si>
  <si>
    <t xml:space="preserve">2BR Mkt Rent</t>
  </si>
  <si>
    <t xml:space="preserve">3BR Mkt Rent</t>
  </si>
  <si>
    <t xml:space="preserve">E. RENOVATION SCHEDULE</t>
  </si>
  <si>
    <t xml:space="preserve">Reno Units Y1</t>
  </si>
  <si>
    <t xml:space="preserve">20% of total</t>
  </si>
  <si>
    <t xml:space="preserve">Reno Units Y2</t>
  </si>
  <si>
    <t xml:space="preserve">33% of total</t>
  </si>
  <si>
    <t xml:space="preserve">Reno Units Y3</t>
  </si>
  <si>
    <t xml:space="preserve">27% of total</t>
  </si>
  <si>
    <t xml:space="preserve">Reno Units Y4</t>
  </si>
  <si>
    <t xml:space="preserve">Reno Units Y5</t>
  </si>
  <si>
    <t xml:space="preserve">All done Y4</t>
  </si>
  <si>
    <t xml:space="preserve">Reno Cost/Unit</t>
  </si>
  <si>
    <t xml:space="preserve">$/unit</t>
  </si>
  <si>
    <t xml:space="preserve">Value-add reno</t>
  </si>
  <si>
    <t xml:space="preserve">F. REVENUE ASSUMPTIONS</t>
  </si>
  <si>
    <t xml:space="preserve">IP Rent Growth</t>
  </si>
  <si>
    <t xml:space="preserve">In-place p.a.</t>
  </si>
  <si>
    <t xml:space="preserve">Mkt Rent Growth</t>
  </si>
  <si>
    <t xml:space="preserve">Market p.a.</t>
  </si>
  <si>
    <t xml:space="preserve">Vacancy Rate</t>
  </si>
  <si>
    <t xml:space="preserve">% of GPR</t>
  </si>
  <si>
    <t xml:space="preserve">Bad Debt Rate</t>
  </si>
  <si>
    <t xml:space="preserve">Concession Rate</t>
  </si>
  <si>
    <t xml:space="preserve">Other Inc/Unit/Mo</t>
  </si>
  <si>
    <t xml:space="preserve">Laundry, parking, pets</t>
  </si>
  <si>
    <t xml:space="preserve">Other Inc Growth</t>
  </si>
  <si>
    <t xml:space="preserve">p.a.</t>
  </si>
  <si>
    <t xml:space="preserve">G. OPERATING EXPENSES</t>
  </si>
  <si>
    <t xml:space="preserve">Mgmt Fee %</t>
  </si>
  <si>
    <t xml:space="preserve">% of EGI</t>
  </si>
  <si>
    <t xml:space="preserve">Repairs/Unit/Yr</t>
  </si>
  <si>
    <t xml:space="preserve">$/unit/yr</t>
  </si>
  <si>
    <t xml:space="preserve">Insurance/Unit/Yr</t>
  </si>
  <si>
    <t xml:space="preserve">Tax/Unit/Yr</t>
  </si>
  <si>
    <t xml:space="preserve">Utilities/Unit/Yr</t>
  </si>
  <si>
    <t xml:space="preserve">Common area only</t>
  </si>
  <si>
    <t xml:space="preserve">Admin/Unit/Yr</t>
  </si>
  <si>
    <t xml:space="preserve">Repairs Growth</t>
  </si>
  <si>
    <t xml:space="preserve">Insurance Growth</t>
  </si>
  <si>
    <t xml:space="preserve">Climate risk</t>
  </si>
  <si>
    <t xml:space="preserve">Tax Growth</t>
  </si>
  <si>
    <t xml:space="preserve">Utilities Growth</t>
  </si>
  <si>
    <t xml:space="preserve">Admin Growth</t>
  </si>
  <si>
    <t xml:space="preserve">H. CAPITAL RESERVES</t>
  </si>
  <si>
    <t xml:space="preserve">Reserves/Unit/Yr</t>
  </si>
  <si>
    <t xml:space="preserve">Replacement reserves</t>
  </si>
  <si>
    <t xml:space="preserve">Reserves Growth</t>
  </si>
  <si>
    <t xml:space="preserve">I. DEBT PARAMETERS</t>
  </si>
  <si>
    <t xml:space="preserve">LTV</t>
  </si>
  <si>
    <t xml:space="preserve">70% loan-to-value</t>
  </si>
  <si>
    <t xml:space="preserve">Interest Rate</t>
  </si>
  <si>
    <t xml:space="preserve">Fixed annual</t>
  </si>
  <si>
    <t xml:space="preserve">IO Period</t>
  </si>
  <si>
    <t xml:space="preserve">Interest-only years</t>
  </si>
  <si>
    <t xml:space="preserve">Amort Years</t>
  </si>
  <si>
    <t xml:space="preserve">Amortisation schedule</t>
  </si>
  <si>
    <t xml:space="preserve">Loan Amount</t>
  </si>
  <si>
    <t xml:space="preserve">PP x LTV hardcoded</t>
  </si>
  <si>
    <t xml:space="preserve">Equity Contrib.</t>
  </si>
  <si>
    <t xml:space="preserve">PP*(1-LTV)+Acq Costs</t>
  </si>
  <si>
    <t xml:space="preserve">J. EXIT PARAMETERS</t>
  </si>
  <si>
    <t xml:space="preserve">Exit Cap Rate</t>
  </si>
  <si>
    <t xml:space="preserve">Applied to fwd NOI</t>
  </si>
  <si>
    <t xml:space="preserve">Exit Growth Rate</t>
  </si>
  <si>
    <t xml:space="preserve">Forward NOI growth</t>
  </si>
  <si>
    <t xml:space="preserve">Unit Mix</t>
  </si>
  <si>
    <t xml:space="preserve">Unit Type</t>
  </si>
  <si>
    <t xml:space="preserve">Count</t>
  </si>
  <si>
    <t xml:space="preserve">IP Rent/Mo</t>
  </si>
  <si>
    <t xml:space="preserve">Mkt Rent/Mo</t>
  </si>
  <si>
    <t xml:space="preserve">Delta</t>
  </si>
  <si>
    <t xml:space="preserve">Studio</t>
  </si>
  <si>
    <t xml:space="preserve">TOTAL</t>
  </si>
  <si>
    <t xml:space="preserve">Renovation Schedule</t>
  </si>
  <si>
    <t xml:space="preserve">Year 1</t>
  </si>
  <si>
    <t xml:space="preserve">Year 2</t>
  </si>
  <si>
    <t xml:space="preserve">Year 3</t>
  </si>
  <si>
    <t xml:space="preserve">Year 4</t>
  </si>
  <si>
    <t xml:space="preserve">Year 5</t>
  </si>
  <si>
    <t xml:space="preserve">Units Reno (annual)</t>
  </si>
  <si>
    <t xml:space="preserve">Units Reno (cumul.)</t>
  </si>
  <si>
    <t xml:space="preserve">Units Unrenovated</t>
  </si>
  <si>
    <t xml:space="preserve">Reno Capex ($)</t>
  </si>
  <si>
    <t xml:space="preserve">In-Place Rent Escalation</t>
  </si>
  <si>
    <t xml:space="preserve">Market Rent Escalation</t>
  </si>
  <si>
    <t xml:space="preserve">Gross Potential Rent by Type</t>
  </si>
  <si>
    <t xml:space="preserve">GPR Studio</t>
  </si>
  <si>
    <t xml:space="preserve">GPR 1-Bedroom</t>
  </si>
  <si>
    <t xml:space="preserve">GPR 2-Bedroom</t>
  </si>
  <si>
    <t xml:space="preserve">GPR 3-Bedroom</t>
  </si>
  <si>
    <t xml:space="preserve">GPR Total</t>
  </si>
  <si>
    <t xml:space="preserve">Revenue Waterfall</t>
  </si>
  <si>
    <t xml:space="preserve">Gross Potential Rent</t>
  </si>
  <si>
    <t xml:space="preserve">  Vacancy</t>
  </si>
  <si>
    <t xml:space="preserve">  Bad Debt</t>
  </si>
  <si>
    <t xml:space="preserve">  Concessions</t>
  </si>
  <si>
    <t xml:space="preserve">  Other Income</t>
  </si>
  <si>
    <t xml:space="preserve">EFFECTIVE GROSS INCOME</t>
  </si>
  <si>
    <t xml:space="preserve">Operating Expenses</t>
  </si>
  <si>
    <t xml:space="preserve">Management Fee</t>
  </si>
  <si>
    <t xml:space="preserve">Repairs &amp; Maint.</t>
  </si>
  <si>
    <t xml:space="preserve">Insurance</t>
  </si>
  <si>
    <t xml:space="preserve">Property Tax</t>
  </si>
  <si>
    <t xml:space="preserve">Utilities</t>
  </si>
  <si>
    <t xml:space="preserve">Administrative</t>
  </si>
  <si>
    <t xml:space="preserve">TOTAL OPEX</t>
  </si>
  <si>
    <t xml:space="preserve">NET OPERATING INCOME</t>
  </si>
  <si>
    <t xml:space="preserve">NOI Margin %</t>
  </si>
  <si>
    <t xml:space="preserve">Capital Reserves</t>
  </si>
  <si>
    <t xml:space="preserve">Replacement Reserves</t>
  </si>
  <si>
    <t xml:space="preserve">Renovation Capex</t>
  </si>
  <si>
    <t xml:space="preserve">TOTAL CAPEX</t>
  </si>
  <si>
    <t xml:space="preserve">Debt Schedule</t>
  </si>
  <si>
    <t xml:space="preserve">IO period then amortising. =-PMT() negates PMT's negative return.</t>
  </si>
  <si>
    <t xml:space="preserve">Year 0 Origination</t>
  </si>
  <si>
    <t xml:space="preserve">IO Period (yrs)</t>
  </si>
  <si>
    <t xml:space="preserve">Opening Balance</t>
  </si>
  <si>
    <t xml:space="preserve">Interest Expense</t>
  </si>
  <si>
    <t xml:space="preserve">Annual PMT</t>
  </si>
  <si>
    <t xml:space="preserve">Principal Repaid</t>
  </si>
  <si>
    <t xml:space="preserve">Closing Balance</t>
  </si>
  <si>
    <t xml:space="preserve">Total Debt Service</t>
  </si>
  <si>
    <t xml:space="preserve">DSCR</t>
  </si>
  <si>
    <t xml:space="preserve">Cash Flow</t>
  </si>
  <si>
    <t xml:space="preserve">ACQUISITION (Year 0)</t>
  </si>
  <si>
    <t xml:space="preserve">Loan Proceeds</t>
  </si>
  <si>
    <t xml:space="preserve">Equity Invested</t>
  </si>
  <si>
    <t xml:space="preserve">UNLEVERED CASH FLOWS</t>
  </si>
  <si>
    <t xml:space="preserve">NOI</t>
  </si>
  <si>
    <t xml:space="preserve">Unlevered Op. CF</t>
  </si>
  <si>
    <t xml:space="preserve">Exit Value (Y5 only)</t>
  </si>
  <si>
    <t xml:space="preserve">Selling Costs (Y5 only)</t>
  </si>
  <si>
    <t xml:space="preserve">UNLEVERED TOTAL CF</t>
  </si>
  <si>
    <t xml:space="preserve">LEVERED CASH FLOWS</t>
  </si>
  <si>
    <t xml:space="preserve">Loan Payoff (Y5 only)</t>
  </si>
  <si>
    <t xml:space="preserve">LEVERED ANNUAL CF</t>
  </si>
  <si>
    <t xml:space="preserve">RETURN METRICS</t>
  </si>
  <si>
    <t xml:space="preserve">Going-In Cap Rate</t>
  </si>
  <si>
    <t xml:space="preserve">Yield on Cost</t>
  </si>
  <si>
    <t xml:space="preserve">Unlevered IRR</t>
  </si>
  <si>
    <t xml:space="preserve">Cash-on-Cash Y1</t>
  </si>
  <si>
    <t xml:space="preserve">Cash-on-Cash Y2</t>
  </si>
  <si>
    <t xml:space="preserve">Cash-on-Cash Y3</t>
  </si>
  <si>
    <t xml:space="preserve">Model Checks</t>
  </si>
  <si>
    <t xml:space="preserve">All results should be TRUE</t>
  </si>
  <si>
    <t xml:space="preserve">Check</t>
  </si>
  <si>
    <t xml:space="preserve">Result</t>
  </si>
  <si>
    <t xml:space="preserve">Note</t>
  </si>
  <si>
    <t xml:space="preserve">Reno Units = Total by Y4</t>
  </si>
  <si>
    <t xml:space="preserve">Renovation complete by Year 4</t>
  </si>
  <si>
    <t xml:space="preserve">Debt Declines Y3</t>
  </si>
  <si>
    <t xml:space="preserve">Principal reduces opening balance</t>
  </si>
  <si>
    <t xml:space="preserve">Debt Declines Y4</t>
  </si>
  <si>
    <t xml:space="preserve">Debt Declines Y5</t>
  </si>
  <si>
    <t xml:space="preserve">DSCR Y1 &gt;= 1.0x</t>
  </si>
  <si>
    <t xml:space="preserve">IO year — interest-only coverage</t>
  </si>
  <si>
    <t xml:space="preserve">DSCR Y3 &gt;= 1.20x</t>
  </si>
  <si>
    <t xml:space="preserve">Post-IO amortisation period</t>
  </si>
  <si>
    <t xml:space="preserve">Going-In Cap &gt; 4%</t>
  </si>
  <si>
    <t xml:space="preserve">Sanity floor — cap rate positive</t>
  </si>
  <si>
    <t xml:space="preserve">Levered IRR &gt; Unlev IRR</t>
  </si>
  <si>
    <t xml:space="preserve">Leverage amplification</t>
  </si>
  <si>
    <t xml:space="preserve">Levered IRR Positive</t>
  </si>
  <si>
    <t xml:space="preserve">Equity Multiple &gt; 1.0x</t>
  </si>
  <si>
    <t xml:space="preserve">Returns capital</t>
  </si>
  <si>
    <t xml:space="preserve">NOI Margin Y1 50-85%</t>
  </si>
  <si>
    <t xml:space="preserve">Plausible MF range</t>
  </si>
  <si>
    <t xml:space="preserve">Exit Proceeds Positive</t>
  </si>
  <si>
    <t xml:space="preserve">Net exit year is positive</t>
  </si>
  <si>
    <t xml:space="preserve">Total Reno Capex Matches</t>
  </si>
  <si>
    <t xml:space="preserve">Reno capex = units * cost per unit</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</si>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</sst>
</file>

<file path=xl/styles.xml><?xml version="1.0" encoding="utf-8"?>
<styleSheet xmlns="http://schemas.openxmlformats.org/spreadsheetml/2006/main">
  <numFmts count="6">
    <numFmt numFmtId="164" formatCode="General"/>
    <numFmt numFmtId="165" formatCode="\$#,##0.00"/>
    <numFmt numFmtId="166" formatCode="#,##0.00"/>
    <numFmt numFmtId="167" formatCode="0.00%"/>
    <numFmt numFmtId="168" formatCode="0.00\x"/>
    <numFmt numFmtId="169" formatCode="yyyy\-mm\-dd"/>
  </numFmts>
  <fonts count="31">
    <font>
      <sz val="11"/>
      <name val="Arial"/>
      <family val="0"/>
      <charset val="1"/>
    </font>
    <font>
      <sz val="10"/>
      <name val="Arial"/>
      <family val="0"/>
    </font>
    <font>
      <sz val="10"/>
      <name val="Arial"/>
      <family val="0"/>
    </font>
    <font>
      <sz val="10"/>
      <name val="Arial"/>
      <family val="0"/>
    </font>
    <font>
      <sz val="11"/>
      <color theme="0"/>
      <name val="Arial"/>
      <family val="0"/>
      <charset val="1"/>
    </font>
    <font>
      <sz val="11"/>
      <color theme="0"/>
      <name val="Calibri"/>
      <family val="0"/>
      <charset val="1"/>
    </font>
    <font>
      <b val="true"/>
      <sz val="18"/>
      <color theme="0"/>
      <name val="Arial"/>
      <family val="0"/>
      <charset val="1"/>
    </font>
    <font>
      <b val="true"/>
      <u val="single"/>
      <sz val="11"/>
      <color theme="0"/>
      <name val="Arial"/>
      <family val="0"/>
      <charset val="1"/>
    </font>
    <font>
      <i val="true"/>
      <sz val="12"/>
      <color theme="0"/>
      <name val="Arial"/>
      <family val="0"/>
      <charset val="1"/>
    </font>
    <font>
      <sz val="11"/>
      <color theme="1"/>
      <name val="Arial"/>
      <family val="0"/>
      <charset val="1"/>
    </font>
    <font>
      <sz val="10"/>
      <name val="Arial"/>
      <family val="0"/>
      <charset val="1"/>
    </font>
    <font>
      <sz val="10"/>
      <color rgb="FF000000"/>
      <name val="Arial"/>
      <family val="0"/>
      <charset val="1"/>
    </font>
    <font>
      <b val="true"/>
      <sz val="10"/>
      <name val="Arial"/>
      <family val="0"/>
      <charset val="1"/>
    </font>
    <font>
      <b val="true"/>
      <sz val="11"/>
      <color rgb="FF1F4E79"/>
      <name val="Arial"/>
      <family val="0"/>
      <charset val="1"/>
    </font>
    <font>
      <sz val="11"/>
      <color theme="1"/>
      <name val="Calibri"/>
      <family val="2"/>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4"/>
      <color theme="0"/>
      <name val="Arial"/>
      <family val="0"/>
      <charset val="1"/>
    </font>
    <font>
      <b val="true"/>
      <sz val="11"/>
      <color theme="0"/>
      <name val="Arial"/>
      <family val="0"/>
      <charset val="1"/>
    </font>
    <font>
      <sz val="10"/>
      <color theme="3"/>
      <name val="Arial"/>
      <family val="0"/>
      <charset val="1"/>
    </font>
    <font>
      <i val="true"/>
      <sz val="9"/>
      <color rgb="FF595959"/>
      <name val="Arial"/>
      <family val="0"/>
      <charset val="1"/>
    </font>
    <font>
      <i val="true"/>
      <sz val="9"/>
      <color theme="0"/>
      <name val="Arial"/>
      <family val="0"/>
      <charset val="1"/>
    </font>
    <font>
      <sz val="9"/>
      <color rgb="FFC0C0C0"/>
      <name val="Arial"/>
      <family val="0"/>
      <charset val="1"/>
    </font>
    <font>
      <i val="true"/>
      <sz val="10"/>
      <color theme="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i val="true"/>
      <sz val="10"/>
      <color rgb="FF808080"/>
      <name val="Arial"/>
      <family val="0"/>
      <charset val="1"/>
    </font>
  </fonts>
  <fills count="8">
    <fill>
      <patternFill patternType="none"/>
    </fill>
    <fill>
      <patternFill patternType="gray125"/>
    </fill>
    <fill>
      <patternFill patternType="solid">
        <fgColor theme="3"/>
        <bgColor rgb="FF1F4E79"/>
      </patternFill>
    </fill>
    <fill>
      <patternFill patternType="solid">
        <fgColor rgb="FFD6E4F0"/>
        <bgColor rgb="FFC6D9F1"/>
      </patternFill>
    </fill>
    <fill>
      <patternFill patternType="solid">
        <fgColor rgb="FFFFF2CC"/>
        <bgColor rgb="FFF2F2F2"/>
      </patternFill>
    </fill>
    <fill>
      <patternFill patternType="solid">
        <fgColor theme="3" tint="0.8"/>
        <bgColor rgb="FFD6E4F0"/>
      </patternFill>
    </fill>
    <fill>
      <patternFill patternType="solid">
        <fgColor rgb="FF1F4E79"/>
        <bgColor rgb="FF1F497D"/>
      </patternFill>
    </fill>
    <fill>
      <patternFill patternType="solid">
        <fgColor rgb="FFF2F2F2"/>
        <bgColor rgb="FFFFFFFF"/>
      </patternFill>
    </fill>
  </fills>
  <borders count="5">
    <border diagonalUp="false" diagonalDown="false">
      <left/>
      <right/>
      <top/>
      <bottom/>
      <diagonal/>
    </border>
    <border diagonalUp="false" diagonalDown="false">
      <left/>
      <right/>
      <top style="thin"/>
      <bottom/>
      <diagonal/>
    </border>
    <border diagonalUp="false" diagonalDown="false">
      <left/>
      <right/>
      <top/>
      <bottom style="thin"/>
      <diagonal/>
    </border>
    <border diagonalUp="false" diagonalDown="false">
      <left/>
      <right/>
      <top style="double"/>
      <bottom style="thin"/>
      <diagonal/>
    </border>
    <border diagonalUp="false" diagonalDown="false">
      <left/>
      <right/>
      <top/>
      <bottom style="thin">
        <color rgb="FF1F4E79"/>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5" fontId="11" fillId="0" borderId="0" xfId="0" applyFont="true" applyBorder="false" applyAlignment="true" applyProtection="false">
      <alignment horizontal="right" vertical="center" textRotation="0" wrapText="false" indent="0" shrinkToFit="false"/>
      <protection locked="true" hidden="false"/>
    </xf>
    <xf numFmtId="166" fontId="11" fillId="0" borderId="0" xfId="0" applyFont="true" applyBorder="false" applyAlignment="true" applyProtection="false">
      <alignment horizontal="right" vertical="center" textRotation="0" wrapText="false" indent="0" shrinkToFit="false"/>
      <protection locked="true" hidden="false"/>
    </xf>
    <xf numFmtId="167" fontId="11" fillId="0" borderId="0" xfId="0" applyFont="true" applyBorder="false" applyAlignment="true" applyProtection="false">
      <alignment horizontal="right" vertical="center" textRotation="0" wrapText="false" indent="0" shrinkToFit="false"/>
      <protection locked="true" hidden="false"/>
    </xf>
    <xf numFmtId="168" fontId="11" fillId="0" borderId="0" xfId="0" applyFont="true" applyBorder="false" applyAlignment="true" applyProtection="false">
      <alignment horizontal="right" vertical="center" textRotation="0" wrapText="false" indent="0" shrinkToFit="false"/>
      <protection locked="true" hidden="false"/>
    </xf>
    <xf numFmtId="164" fontId="11" fillId="0" borderId="0" xfId="0" applyFont="true" applyBorder="false" applyAlignment="true" applyProtection="false">
      <alignment horizontal="righ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4" fontId="13" fillId="3" borderId="0" xfId="0" applyFont="true" applyBorder="false" applyAlignment="true" applyProtection="false">
      <alignment horizontal="left" vertical="center" textRotation="0" wrapText="false" indent="0" shrinkToFit="false"/>
      <protection locked="true" hidden="false"/>
    </xf>
    <xf numFmtId="164" fontId="14" fillId="3"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2" borderId="0" xfId="0" applyFont="true" applyBorder="false" applyAlignment="true" applyProtection="false">
      <alignment horizontal="left" vertical="center"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5" fontId="20" fillId="4" borderId="0" xfId="0" applyFont="true" applyBorder="false" applyAlignment="true" applyProtection="false">
      <alignment horizontal="right"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6" fontId="20" fillId="4" borderId="0" xfId="0" applyFont="true" applyBorder="false" applyAlignment="true" applyProtection="false">
      <alignment horizontal="right" vertical="center" textRotation="0" wrapText="false" indent="0" shrinkToFit="false"/>
      <protection locked="true" hidden="false"/>
    </xf>
    <xf numFmtId="167" fontId="20" fillId="4" borderId="0" xfId="0" applyFont="true" applyBorder="false" applyAlignment="true" applyProtection="false">
      <alignment horizontal="right" vertical="center" textRotation="0" wrapText="false" indent="0" shrinkToFit="false"/>
      <protection locked="true" hidden="false"/>
    </xf>
    <xf numFmtId="164" fontId="12" fillId="5" borderId="0" xfId="0" applyFont="true" applyBorder="false" applyAlignment="true" applyProtection="false">
      <alignment horizontal="left" vertical="center" textRotation="0" wrapText="false" indent="0" shrinkToFit="false"/>
      <protection locked="true" hidden="false"/>
    </xf>
    <xf numFmtId="164" fontId="12" fillId="5" borderId="0" xfId="0" applyFont="true" applyBorder="false" applyAlignment="true" applyProtection="false">
      <alignment horizontal="center" vertical="center" textRotation="0" wrapText="false" indent="0" shrinkToFit="false"/>
      <protection locked="true" hidden="false"/>
    </xf>
    <xf numFmtId="166" fontId="12" fillId="0" borderId="1" xfId="0" applyFont="true" applyBorder="true" applyAlignment="true" applyProtection="false">
      <alignment horizontal="right" vertical="center" textRotation="0" wrapText="false" indent="0" shrinkToFit="false"/>
      <protection locked="true" hidden="false"/>
    </xf>
    <xf numFmtId="164" fontId="12" fillId="5" borderId="2" xfId="0" applyFont="true" applyBorder="true" applyAlignment="true" applyProtection="false">
      <alignment horizontal="center" vertical="center" textRotation="0" wrapText="false" indent="0" shrinkToFit="false"/>
      <protection locked="true" hidden="false"/>
    </xf>
    <xf numFmtId="165" fontId="12" fillId="0" borderId="1" xfId="0" applyFont="true" applyBorder="true" applyAlignment="true" applyProtection="false">
      <alignment horizontal="right" vertical="center" textRotation="0" wrapText="false" indent="0" shrinkToFit="false"/>
      <protection locked="true" hidden="false"/>
    </xf>
    <xf numFmtId="165" fontId="12" fillId="0" borderId="3" xfId="0" applyFont="true" applyBorder="true" applyAlignment="true" applyProtection="false">
      <alignment horizontal="right" vertical="center" textRotation="0" wrapText="false" indent="0" shrinkToFit="false"/>
      <protection locked="true" hidden="false"/>
    </xf>
    <xf numFmtId="164" fontId="22" fillId="2" borderId="0" xfId="0" applyFont="true" applyBorder="false" applyAlignment="false" applyProtection="false">
      <alignment horizontal="general" vertical="bottom" textRotation="0" wrapText="false" indent="0" shrinkToFit="false"/>
      <protection locked="true" hidden="false"/>
    </xf>
    <xf numFmtId="169" fontId="23"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false" applyAlignment="false" applyProtection="false">
      <alignment horizontal="general" vertical="bottom" textRotation="0" wrapText="false" indent="0" shrinkToFit="false"/>
      <protection locked="true" hidden="false"/>
    </xf>
    <xf numFmtId="164" fontId="24" fillId="2" borderId="0" xfId="0" applyFont="true" applyBorder="false" applyAlignment="false" applyProtection="false">
      <alignment horizontal="general" vertical="bottom" textRotation="0" wrapText="false" indent="0" shrinkToFit="false"/>
      <protection locked="true" hidden="false"/>
    </xf>
    <xf numFmtId="164" fontId="12" fillId="5"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64" fontId="14" fillId="0" borderId="4" xfId="0" applyFont="true" applyBorder="true" applyAlignment="false" applyProtection="false">
      <alignment horizontal="general" vertical="bottom" textRotation="0" wrapText="false" indent="0" shrinkToFit="false"/>
      <protection locked="true" hidden="false"/>
    </xf>
    <xf numFmtId="164" fontId="26" fillId="6" borderId="0" xfId="0" applyFont="true" applyBorder="false" applyAlignment="true" applyProtection="false">
      <alignment horizontal="left" vertical="center" textRotation="0" wrapText="false" indent="1" shrinkToFit="false"/>
      <protection locked="true" hidden="false"/>
    </xf>
    <xf numFmtId="164" fontId="27" fillId="0" borderId="0" xfId="0" applyFont="true" applyBorder="false" applyAlignment="true" applyProtection="false">
      <alignment horizontal="left" vertical="top" textRotation="0" wrapText="true" indent="1" shrinkToFit="false"/>
      <protection locked="true" hidden="false"/>
    </xf>
    <xf numFmtId="164" fontId="28"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9" fillId="7" borderId="0" xfId="0" applyFont="true" applyBorder="false" applyAlignment="true" applyProtection="false">
      <alignment horizontal="left" vertical="top" textRotation="0" wrapText="true" indent="1" shrinkToFit="false"/>
      <protection locked="true" hidden="false"/>
    </xf>
    <xf numFmtId="164" fontId="30" fillId="0" borderId="0" xfId="0" applyFont="true" applyBorder="fals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ill>
        <patternFill>
          <bgColor rgb="FFC6EFCE"/>
        </patternFill>
      </fill>
    </dxf>
    <dxf>
      <fill>
        <patternFill>
          <bgColor rgb="FFFFC7CE"/>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D6E4F0"/>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F2F2F2"/>
      <rgbColor rgb="FFC6EFCE"/>
      <rgbColor rgb="FFFFFF99"/>
      <rgbColor rgb="FFA9D18E"/>
      <rgbColor rgb="FFFF99CC"/>
      <rgbColor rgb="FFCC99FF"/>
      <rgbColor rgb="FFFFC7CE"/>
      <rgbColor rgb="FF2E75B6"/>
      <rgbColor rgb="FF33CCCC"/>
      <rgbColor rgb="FF99CC00"/>
      <rgbColor rgb="FFFFC000"/>
      <rgbColor rgb="FFFF9900"/>
      <rgbColor rgb="FFED7D31"/>
      <rgbColor rgb="FF595959"/>
      <rgbColor rgb="FF70AD47"/>
      <rgbColor rgb="FF1F4E79"/>
      <rgbColor rgb="FF339966"/>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3" min="3" style="0" width="35"/>
  </cols>
  <sheetData>
    <row r="1" customFormat="false" ht="15" hidden="false" customHeight="false" outlineLevel="0" collapsed="false">
      <c r="A1" s="1"/>
      <c r="B1" s="1"/>
      <c r="C1" s="1"/>
      <c r="D1" s="2"/>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3" t="s">
        <v>0</v>
      </c>
      <c r="C2" s="1"/>
      <c r="D2" s="4" t="s">
        <v>1</v>
      </c>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5" t="s">
        <v>2</v>
      </c>
      <c r="C3" s="1"/>
      <c r="D3" s="2"/>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row>
    <row r="5" customFormat="false" ht="15" hidden="false" customHeight="false" outlineLevel="0" collapsed="false">
      <c r="A5" s="6"/>
      <c r="B5" s="7" t="s">
        <v>3</v>
      </c>
      <c r="C5" s="8" t="n">
        <f aca="false">Purchase_Price</f>
        <v>18500000</v>
      </c>
    </row>
    <row r="6" customFormat="false" ht="15" hidden="false" customHeight="false" outlineLevel="0" collapsed="false">
      <c r="A6" s="6"/>
      <c r="B6" s="7" t="s">
        <v>4</v>
      </c>
      <c r="C6" s="9" t="n">
        <f aca="false">Total_Units</f>
        <v>150</v>
      </c>
    </row>
    <row r="7" customFormat="false" ht="15" hidden="false" customHeight="false" outlineLevel="0" collapsed="false">
      <c r="A7" s="6"/>
      <c r="B7" s="7" t="s">
        <v>5</v>
      </c>
      <c r="C7" s="10" t="n">
        <f aca="false">Going_In_Cap_Rate</f>
        <v>0.117575004324324</v>
      </c>
    </row>
    <row r="8" customFormat="false" ht="15" hidden="false" customHeight="false" outlineLevel="0" collapsed="false">
      <c r="A8" s="6"/>
      <c r="B8" s="7" t="s">
        <v>6</v>
      </c>
      <c r="C8" s="10" t="n">
        <f aca="false">IFERROR(Levered_IRR,0)</f>
        <v>0.563618958275452</v>
      </c>
    </row>
    <row r="9" customFormat="false" ht="15" hidden="false" customHeight="false" outlineLevel="0" collapsed="false">
      <c r="A9" s="6"/>
      <c r="B9" s="7" t="s">
        <v>7</v>
      </c>
      <c r="C9" s="11" t="n">
        <f aca="false">IFERROR(Equity_Multiple,0)</f>
        <v>8.21185108559203</v>
      </c>
    </row>
    <row r="10" customFormat="false" ht="15" hidden="false" customHeight="false" outlineLevel="0" collapsed="false">
      <c r="A10" s="6"/>
      <c r="B10" s="7" t="s">
        <v>8</v>
      </c>
      <c r="C10" s="12" t="s">
        <v>9</v>
      </c>
    </row>
    <row r="11" customFormat="false" ht="15" hidden="false" customHeight="false" outlineLevel="0" collapsed="false">
      <c r="A11" s="6"/>
      <c r="B11" s="7" t="s">
        <v>10</v>
      </c>
      <c r="C11" s="12" t="s">
        <v>11</v>
      </c>
    </row>
    <row r="12" customFormat="false" ht="15" hidden="false" customHeight="false" outlineLevel="0" collapsed="false">
      <c r="A12" s="6"/>
      <c r="B12" s="6"/>
      <c r="C12" s="6"/>
    </row>
    <row r="13" customFormat="false" ht="15" hidden="false" customHeight="false" outlineLevel="0" collapsed="false">
      <c r="A13" s="6"/>
      <c r="B13" s="6"/>
      <c r="C13" s="6"/>
    </row>
    <row r="14" customFormat="false" ht="15" hidden="false" customHeight="false" outlineLevel="0" collapsed="false">
      <c r="A14" s="6"/>
      <c r="B14" s="13" t="s">
        <v>12</v>
      </c>
      <c r="C14" s="13" t="s">
        <v>13</v>
      </c>
    </row>
    <row r="15" customFormat="false" ht="15" hidden="false" customHeight="false" outlineLevel="0" collapsed="false">
      <c r="A15" s="6"/>
      <c r="B15" s="7" t="s">
        <v>14</v>
      </c>
      <c r="C15" s="7" t="s">
        <v>15</v>
      </c>
    </row>
    <row r="16" customFormat="false" ht="15" hidden="false" customHeight="false" outlineLevel="0" collapsed="false">
      <c r="A16" s="6"/>
      <c r="B16" s="7" t="s">
        <v>16</v>
      </c>
      <c r="C16" s="7" t="s">
        <v>17</v>
      </c>
    </row>
    <row r="17" customFormat="false" ht="15" hidden="false" customHeight="false" outlineLevel="0" collapsed="false">
      <c r="A17" s="6"/>
      <c r="B17" s="7" t="s">
        <v>18</v>
      </c>
      <c r="C17" s="7" t="s">
        <v>19</v>
      </c>
    </row>
    <row r="18" customFormat="false" ht="15" hidden="false" customHeight="false" outlineLevel="0" collapsed="false">
      <c r="A18" s="6"/>
      <c r="B18" s="7" t="s">
        <v>20</v>
      </c>
      <c r="C18" s="7" t="s">
        <v>21</v>
      </c>
    </row>
    <row r="19" customFormat="false" ht="15" hidden="false" customHeight="false" outlineLevel="0" collapsed="false">
      <c r="A19" s="6"/>
      <c r="B19" s="7" t="s">
        <v>22</v>
      </c>
      <c r="C19" s="7" t="s">
        <v>23</v>
      </c>
    </row>
    <row r="20" customFormat="false" ht="15" hidden="false" customHeight="false" outlineLevel="0" collapsed="false">
      <c r="A20" s="6"/>
      <c r="B20" s="7" t="s">
        <v>24</v>
      </c>
      <c r="C20" s="7" t="s">
        <v>25</v>
      </c>
    </row>
    <row r="21" customFormat="false" ht="15" hidden="false" customHeight="false" outlineLevel="0" collapsed="false">
      <c r="A21" s="6"/>
      <c r="B21" s="7" t="s">
        <v>26</v>
      </c>
      <c r="C21" s="7" t="s">
        <v>27</v>
      </c>
    </row>
    <row r="22" customFormat="false" ht="15" hidden="false" customHeight="false" outlineLevel="0" collapsed="false">
      <c r="A22" s="6"/>
      <c r="B22" s="7" t="s">
        <v>28</v>
      </c>
      <c r="C22" s="7" t="s">
        <v>29</v>
      </c>
    </row>
    <row r="25" customFormat="false" ht="19.5" hidden="false" customHeight="true" outlineLevel="0" collapsed="false">
      <c r="B25" s="14" t="s">
        <v>30</v>
      </c>
      <c r="C25" s="15"/>
      <c r="D25" s="15"/>
      <c r="E25" s="15"/>
      <c r="F25" s="15"/>
      <c r="G25" s="15"/>
    </row>
    <row r="26" customFormat="false" ht="283.5" hidden="false" customHeight="true" outlineLevel="0" collapsed="false">
      <c r="B26" s="16" t="s">
        <v>31</v>
      </c>
      <c r="C26" s="16"/>
      <c r="D26" s="16"/>
      <c r="E26" s="16"/>
      <c r="F26" s="16"/>
      <c r="G26" s="16"/>
    </row>
    <row r="28" customFormat="false" ht="19.5" hidden="false" customHeight="true" outlineLevel="0" collapsed="false">
      <c r="B28" s="14" t="s">
        <v>32</v>
      </c>
      <c r="C28" s="15"/>
      <c r="D28" s="15"/>
      <c r="E28" s="15"/>
      <c r="F28" s="15"/>
      <c r="G28" s="15"/>
    </row>
    <row r="29" customFormat="false" ht="57" hidden="false" customHeight="true" outlineLevel="0" collapsed="false">
      <c r="B29" s="16" t="s">
        <v>33</v>
      </c>
      <c r="C29" s="16"/>
      <c r="D29" s="16"/>
      <c r="E29" s="16"/>
      <c r="F29" s="16"/>
      <c r="G29" s="16"/>
    </row>
    <row r="30" customFormat="false" ht="15" hidden="false" customHeight="false" outlineLevel="0" collapsed="false">
      <c r="B30" s="17" t="s">
        <v>34</v>
      </c>
      <c r="C30" s="17"/>
      <c r="D30" s="17"/>
      <c r="E30" s="17"/>
      <c r="F30" s="17"/>
      <c r="G30" s="17"/>
    </row>
    <row r="31" customFormat="false" ht="15" hidden="false" customHeight="false" outlineLevel="0" collapsed="false">
      <c r="B31" s="18" t="s">
        <v>35</v>
      </c>
    </row>
  </sheetData>
  <mergeCells count="3">
    <mergeCell ref="B26:G26"/>
    <mergeCell ref="B29:G29"/>
    <mergeCell ref="B30:G30"/>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2" customFormat="false" ht="31.5" hidden="false" customHeight="true" outlineLevel="0" collapsed="false">
      <c r="B2" s="38" t="s">
        <v>236</v>
      </c>
    </row>
    <row r="3" customFormat="false" ht="3.75" hidden="false" customHeight="true" outlineLevel="0" collapsed="false">
      <c r="B3" s="39"/>
    </row>
    <row r="5" customFormat="false" ht="19.5" hidden="false" customHeight="true" outlineLevel="0" collapsed="false">
      <c r="B5" s="40" t="s">
        <v>237</v>
      </c>
    </row>
    <row r="6" customFormat="false" ht="48" hidden="false" customHeight="true" outlineLevel="0" collapsed="false">
      <c r="B6" s="41" t="s">
        <v>238</v>
      </c>
    </row>
    <row r="8" customFormat="false" ht="19.5" hidden="false" customHeight="true" outlineLevel="0" collapsed="false">
      <c r="B8" s="40" t="s">
        <v>239</v>
      </c>
    </row>
    <row r="9" customFormat="false" ht="61.5" hidden="false" customHeight="true" outlineLevel="0" collapsed="false">
      <c r="B9" s="41" t="s">
        <v>240</v>
      </c>
    </row>
    <row r="11" customFormat="false" ht="19.5" hidden="false" customHeight="true" outlineLevel="0" collapsed="false">
      <c r="B11" s="40" t="s">
        <v>241</v>
      </c>
    </row>
    <row r="12" customFormat="false" ht="75.75" hidden="false" customHeight="true" outlineLevel="0" collapsed="false">
      <c r="B12" s="41" t="s">
        <v>242</v>
      </c>
    </row>
    <row r="14" customFormat="false" ht="19.5" hidden="false" customHeight="true" outlineLevel="0" collapsed="false">
      <c r="B14" s="40" t="s">
        <v>243</v>
      </c>
    </row>
    <row r="15" customFormat="false" ht="61.5" hidden="false" customHeight="true" outlineLevel="0" collapsed="false">
      <c r="B15" s="41" t="s">
        <v>244</v>
      </c>
    </row>
    <row r="17" customFormat="false" ht="19.5" hidden="false" customHeight="true" outlineLevel="0" collapsed="false">
      <c r="B17" s="40" t="s">
        <v>245</v>
      </c>
    </row>
    <row r="18" customFormat="false" ht="33.75" hidden="false" customHeight="true" outlineLevel="0" collapsed="false">
      <c r="B18" s="41" t="s">
        <v>246</v>
      </c>
    </row>
    <row r="20" customFormat="false" ht="19.5" hidden="false" customHeight="true" outlineLevel="0" collapsed="false">
      <c r="B20" s="40" t="s">
        <v>247</v>
      </c>
    </row>
    <row r="21" customFormat="false" ht="33.75" hidden="false" customHeight="true" outlineLevel="0" collapsed="false">
      <c r="B21" s="41" t="s">
        <v>248</v>
      </c>
    </row>
    <row r="23" customFormat="false" ht="21.75" hidden="false" customHeight="true" outlineLevel="0" collapsed="false">
      <c r="B23" s="42" t="s">
        <v>249</v>
      </c>
    </row>
    <row r="25" customFormat="false" ht="18" hidden="false" customHeight="true" outlineLevel="0" collapsed="false">
      <c r="B25" s="43" t="s">
        <v>250</v>
      </c>
    </row>
    <row r="26" customFormat="false" ht="201.75" hidden="false" customHeight="true" outlineLevel="0" collapsed="false">
      <c r="B26" s="44" t="s">
        <v>251</v>
      </c>
    </row>
    <row r="28" customFormat="false" ht="18" hidden="false" customHeight="true" outlineLevel="0" collapsed="false">
      <c r="B28" s="45" t="s">
        <v>252</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E75B6"/>
    <pageSetUpPr fitToPage="false"/>
  </sheetPr>
  <dimension ref="A1:AD6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0"/>
    <col collapsed="false" customWidth="true" hidden="false" outlineLevel="0" max="3" min="3" style="0" width="16"/>
    <col collapsed="false" customWidth="true" hidden="false" outlineLevel="0" max="4" min="4" style="0" width="14"/>
    <col collapsed="false" customWidth="true" hidden="false" outlineLevel="0" max="5" min="5" style="0" width="40"/>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9" t="s">
        <v>14</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6"/>
      <c r="C5" s="6"/>
      <c r="D5" s="6"/>
      <c r="E5" s="6"/>
      <c r="F5" s="6"/>
      <c r="G5" s="6"/>
    </row>
    <row r="6" customFormat="false" ht="15" hidden="false" customHeight="false" outlineLevel="0" collapsed="false">
      <c r="A6" s="6"/>
      <c r="B6" s="20" t="s">
        <v>36</v>
      </c>
      <c r="C6" s="21"/>
      <c r="D6" s="21"/>
      <c r="E6" s="21"/>
      <c r="F6" s="21"/>
      <c r="G6" s="21"/>
    </row>
    <row r="7" customFormat="false" ht="15" hidden="false" customHeight="false" outlineLevel="0" collapsed="false">
      <c r="A7" s="6"/>
      <c r="B7" s="7" t="s">
        <v>3</v>
      </c>
      <c r="C7" s="22" t="n">
        <v>18500000</v>
      </c>
      <c r="D7" s="7" t="s">
        <v>37</v>
      </c>
      <c r="E7" s="23" t="s">
        <v>38</v>
      </c>
      <c r="F7" s="6"/>
      <c r="G7" s="6"/>
    </row>
    <row r="8" customFormat="false" ht="15" hidden="false" customHeight="false" outlineLevel="0" collapsed="false">
      <c r="A8" s="6"/>
      <c r="B8" s="7" t="s">
        <v>4</v>
      </c>
      <c r="C8" s="24" t="n">
        <v>150</v>
      </c>
      <c r="D8" s="7" t="s">
        <v>39</v>
      </c>
      <c r="E8" s="23" t="s">
        <v>40</v>
      </c>
      <c r="F8" s="6"/>
      <c r="G8" s="6"/>
    </row>
    <row r="9" customFormat="false" ht="15" hidden="false" customHeight="false" outlineLevel="0" collapsed="false">
      <c r="A9" s="6"/>
      <c r="B9" s="7" t="s">
        <v>41</v>
      </c>
      <c r="C9" s="24" t="n">
        <v>5</v>
      </c>
      <c r="D9" s="7" t="s">
        <v>42</v>
      </c>
      <c r="E9" s="23" t="s">
        <v>43</v>
      </c>
      <c r="F9" s="6"/>
      <c r="G9" s="6"/>
    </row>
    <row r="10" customFormat="false" ht="15" hidden="false" customHeight="false" outlineLevel="0" collapsed="false">
      <c r="A10" s="6"/>
      <c r="B10" s="7" t="s">
        <v>44</v>
      </c>
      <c r="C10" s="25" t="n">
        <v>0.02</v>
      </c>
      <c r="D10" s="7" t="s">
        <v>45</v>
      </c>
      <c r="E10" s="23" t="s">
        <v>46</v>
      </c>
      <c r="F10" s="6"/>
      <c r="G10" s="6"/>
    </row>
    <row r="11" customFormat="false" ht="15" hidden="false" customHeight="false" outlineLevel="0" collapsed="false">
      <c r="A11" s="6"/>
      <c r="B11" s="7" t="s">
        <v>47</v>
      </c>
      <c r="C11" s="22" t="n">
        <v>185000</v>
      </c>
      <c r="D11" s="7" t="s">
        <v>37</v>
      </c>
      <c r="E11" s="23" t="s">
        <v>48</v>
      </c>
      <c r="F11" s="6"/>
      <c r="G11" s="6"/>
    </row>
    <row r="12" customFormat="false" ht="15" hidden="false" customHeight="false" outlineLevel="0" collapsed="false">
      <c r="A12" s="6"/>
      <c r="B12" s="20" t="s">
        <v>49</v>
      </c>
      <c r="C12" s="21"/>
      <c r="D12" s="21"/>
      <c r="E12" s="21"/>
      <c r="F12" s="21"/>
      <c r="G12" s="21"/>
    </row>
    <row r="13" customFormat="false" ht="15" hidden="false" customHeight="false" outlineLevel="0" collapsed="false">
      <c r="A13" s="6"/>
      <c r="B13" s="7" t="s">
        <v>50</v>
      </c>
      <c r="C13" s="24" t="n">
        <v>20</v>
      </c>
      <c r="D13" s="7" t="s">
        <v>51</v>
      </c>
      <c r="E13" s="23"/>
      <c r="F13" s="6"/>
      <c r="G13" s="6"/>
    </row>
    <row r="14" customFormat="false" ht="15" hidden="false" customHeight="false" outlineLevel="0" collapsed="false">
      <c r="A14" s="6"/>
      <c r="B14" s="7" t="s">
        <v>52</v>
      </c>
      <c r="C14" s="24" t="n">
        <v>60</v>
      </c>
      <c r="D14" s="7" t="s">
        <v>51</v>
      </c>
      <c r="E14" s="23"/>
      <c r="F14" s="6"/>
      <c r="G14" s="6"/>
    </row>
    <row r="15" customFormat="false" ht="15" hidden="false" customHeight="false" outlineLevel="0" collapsed="false">
      <c r="A15" s="6"/>
      <c r="B15" s="7" t="s">
        <v>53</v>
      </c>
      <c r="C15" s="24" t="n">
        <v>55</v>
      </c>
      <c r="D15" s="7" t="s">
        <v>51</v>
      </c>
      <c r="E15" s="23"/>
      <c r="F15" s="6"/>
      <c r="G15" s="6"/>
    </row>
    <row r="16" customFormat="false" ht="15" hidden="false" customHeight="false" outlineLevel="0" collapsed="false">
      <c r="A16" s="6"/>
      <c r="B16" s="7" t="s">
        <v>54</v>
      </c>
      <c r="C16" s="24" t="n">
        <v>15</v>
      </c>
      <c r="D16" s="7" t="s">
        <v>51</v>
      </c>
      <c r="E16" s="23"/>
      <c r="F16" s="6"/>
      <c r="G16" s="6"/>
    </row>
    <row r="17" customFormat="false" ht="15" hidden="false" customHeight="false" outlineLevel="0" collapsed="false">
      <c r="A17" s="6"/>
      <c r="B17" s="20" t="s">
        <v>55</v>
      </c>
      <c r="C17" s="21"/>
      <c r="D17" s="21"/>
      <c r="E17" s="21"/>
      <c r="F17" s="21"/>
      <c r="G17" s="21"/>
    </row>
    <row r="18" customFormat="false" ht="15" hidden="false" customHeight="false" outlineLevel="0" collapsed="false">
      <c r="A18" s="6"/>
      <c r="B18" s="7" t="s">
        <v>56</v>
      </c>
      <c r="C18" s="22" t="n">
        <v>1100</v>
      </c>
      <c r="D18" s="7" t="s">
        <v>57</v>
      </c>
      <c r="E18" s="23"/>
      <c r="F18" s="6"/>
      <c r="G18" s="6"/>
    </row>
    <row r="19" customFormat="false" ht="15" hidden="false" customHeight="false" outlineLevel="0" collapsed="false">
      <c r="A19" s="6"/>
      <c r="B19" s="7" t="s">
        <v>58</v>
      </c>
      <c r="C19" s="22" t="n">
        <v>1400</v>
      </c>
      <c r="D19" s="7" t="s">
        <v>57</v>
      </c>
      <c r="E19" s="23"/>
      <c r="F19" s="6"/>
      <c r="G19" s="6"/>
    </row>
    <row r="20" customFormat="false" ht="15" hidden="false" customHeight="false" outlineLevel="0" collapsed="false">
      <c r="A20" s="6"/>
      <c r="B20" s="7" t="s">
        <v>59</v>
      </c>
      <c r="C20" s="22" t="n">
        <v>1750</v>
      </c>
      <c r="D20" s="7" t="s">
        <v>57</v>
      </c>
      <c r="E20" s="23"/>
      <c r="F20" s="6"/>
      <c r="G20" s="6"/>
    </row>
    <row r="21" customFormat="false" ht="15" hidden="false" customHeight="false" outlineLevel="0" collapsed="false">
      <c r="A21" s="6"/>
      <c r="B21" s="7" t="s">
        <v>60</v>
      </c>
      <c r="C21" s="22" t="n">
        <v>2100</v>
      </c>
      <c r="D21" s="7" t="s">
        <v>57</v>
      </c>
      <c r="E21" s="23"/>
      <c r="F21" s="6"/>
      <c r="G21" s="6"/>
    </row>
    <row r="22" customFormat="false" ht="15" hidden="false" customHeight="false" outlineLevel="0" collapsed="false">
      <c r="A22" s="6"/>
      <c r="B22" s="20" t="s">
        <v>61</v>
      </c>
      <c r="C22" s="21"/>
      <c r="D22" s="21"/>
      <c r="E22" s="21"/>
      <c r="F22" s="21"/>
      <c r="G22" s="21"/>
    </row>
    <row r="23" customFormat="false" ht="15" hidden="false" customHeight="false" outlineLevel="0" collapsed="false">
      <c r="A23" s="6"/>
      <c r="B23" s="7" t="s">
        <v>62</v>
      </c>
      <c r="C23" s="22" t="n">
        <v>1250</v>
      </c>
      <c r="D23" s="7" t="s">
        <v>57</v>
      </c>
      <c r="E23" s="23"/>
      <c r="F23" s="6"/>
      <c r="G23" s="6"/>
    </row>
    <row r="24" customFormat="false" ht="15" hidden="false" customHeight="false" outlineLevel="0" collapsed="false">
      <c r="A24" s="6"/>
      <c r="B24" s="7" t="s">
        <v>63</v>
      </c>
      <c r="C24" s="22" t="n">
        <v>1600</v>
      </c>
      <c r="D24" s="7" t="s">
        <v>57</v>
      </c>
      <c r="E24" s="23"/>
      <c r="F24" s="6"/>
      <c r="G24" s="6"/>
    </row>
    <row r="25" customFormat="false" ht="15" hidden="false" customHeight="false" outlineLevel="0" collapsed="false">
      <c r="A25" s="6"/>
      <c r="B25" s="7" t="s">
        <v>64</v>
      </c>
      <c r="C25" s="22" t="n">
        <v>2000</v>
      </c>
      <c r="D25" s="7" t="s">
        <v>57</v>
      </c>
      <c r="E25" s="23"/>
      <c r="F25" s="6"/>
      <c r="G25" s="6"/>
    </row>
    <row r="26" customFormat="false" ht="15" hidden="false" customHeight="false" outlineLevel="0" collapsed="false">
      <c r="A26" s="6"/>
      <c r="B26" s="7" t="s">
        <v>65</v>
      </c>
      <c r="C26" s="22" t="n">
        <v>2400</v>
      </c>
      <c r="D26" s="7" t="s">
        <v>57</v>
      </c>
      <c r="E26" s="23"/>
      <c r="F26" s="6"/>
      <c r="G26" s="6"/>
    </row>
    <row r="27" customFormat="false" ht="15" hidden="false" customHeight="false" outlineLevel="0" collapsed="false">
      <c r="A27" s="6"/>
      <c r="B27" s="20" t="s">
        <v>66</v>
      </c>
      <c r="C27" s="21"/>
      <c r="D27" s="21"/>
      <c r="E27" s="21"/>
      <c r="F27" s="21"/>
      <c r="G27" s="21"/>
    </row>
    <row r="28" customFormat="false" ht="15" hidden="false" customHeight="false" outlineLevel="0" collapsed="false">
      <c r="A28" s="6"/>
      <c r="B28" s="7" t="s">
        <v>67</v>
      </c>
      <c r="C28" s="24" t="n">
        <v>30</v>
      </c>
      <c r="D28" s="7" t="s">
        <v>51</v>
      </c>
      <c r="E28" s="23" t="s">
        <v>68</v>
      </c>
      <c r="F28" s="6"/>
      <c r="G28" s="6"/>
    </row>
    <row r="29" customFormat="false" ht="15" hidden="false" customHeight="false" outlineLevel="0" collapsed="false">
      <c r="A29" s="6"/>
      <c r="B29" s="7" t="s">
        <v>69</v>
      </c>
      <c r="C29" s="24" t="n">
        <v>50</v>
      </c>
      <c r="D29" s="7" t="s">
        <v>51</v>
      </c>
      <c r="E29" s="23" t="s">
        <v>70</v>
      </c>
      <c r="F29" s="6"/>
      <c r="G29" s="6"/>
    </row>
    <row r="30" customFormat="false" ht="15" hidden="false" customHeight="false" outlineLevel="0" collapsed="false">
      <c r="A30" s="6"/>
      <c r="B30" s="7" t="s">
        <v>71</v>
      </c>
      <c r="C30" s="24" t="n">
        <v>40</v>
      </c>
      <c r="D30" s="7" t="s">
        <v>51</v>
      </c>
      <c r="E30" s="23" t="s">
        <v>72</v>
      </c>
      <c r="F30" s="6"/>
      <c r="G30" s="6"/>
    </row>
    <row r="31" customFormat="false" ht="15" hidden="false" customHeight="false" outlineLevel="0" collapsed="false">
      <c r="A31" s="6"/>
      <c r="B31" s="7" t="s">
        <v>73</v>
      </c>
      <c r="C31" s="24" t="n">
        <v>30</v>
      </c>
      <c r="D31" s="7" t="s">
        <v>51</v>
      </c>
      <c r="E31" s="23" t="s">
        <v>68</v>
      </c>
      <c r="F31" s="6"/>
      <c r="G31" s="6"/>
    </row>
    <row r="32" customFormat="false" ht="15" hidden="false" customHeight="false" outlineLevel="0" collapsed="false">
      <c r="A32" s="6"/>
      <c r="B32" s="7" t="s">
        <v>74</v>
      </c>
      <c r="C32" s="24" t="n">
        <v>0</v>
      </c>
      <c r="D32" s="7" t="s">
        <v>51</v>
      </c>
      <c r="E32" s="23" t="s">
        <v>75</v>
      </c>
      <c r="F32" s="6"/>
      <c r="G32" s="6"/>
    </row>
    <row r="33" customFormat="false" ht="15" hidden="false" customHeight="false" outlineLevel="0" collapsed="false">
      <c r="A33" s="6"/>
      <c r="B33" s="7" t="s">
        <v>76</v>
      </c>
      <c r="C33" s="22" t="n">
        <v>22000</v>
      </c>
      <c r="D33" s="7" t="s">
        <v>77</v>
      </c>
      <c r="E33" s="23" t="s">
        <v>78</v>
      </c>
      <c r="F33" s="6"/>
      <c r="G33" s="6"/>
    </row>
    <row r="34" customFormat="false" ht="15" hidden="false" customHeight="false" outlineLevel="0" collapsed="false">
      <c r="A34" s="6"/>
      <c r="B34" s="20" t="s">
        <v>79</v>
      </c>
      <c r="C34" s="21"/>
      <c r="D34" s="21"/>
      <c r="E34" s="21"/>
      <c r="F34" s="21"/>
      <c r="G34" s="21"/>
    </row>
    <row r="35" customFormat="false" ht="15" hidden="false" customHeight="false" outlineLevel="0" collapsed="false">
      <c r="A35" s="6"/>
      <c r="B35" s="7" t="s">
        <v>80</v>
      </c>
      <c r="C35" s="25" t="n">
        <v>0.03</v>
      </c>
      <c r="D35" s="7" t="s">
        <v>45</v>
      </c>
      <c r="E35" s="23" t="s">
        <v>81</v>
      </c>
      <c r="F35" s="6"/>
      <c r="G35" s="6"/>
    </row>
    <row r="36" customFormat="false" ht="15" hidden="false" customHeight="false" outlineLevel="0" collapsed="false">
      <c r="A36" s="6"/>
      <c r="B36" s="7" t="s">
        <v>82</v>
      </c>
      <c r="C36" s="25" t="n">
        <v>0.035</v>
      </c>
      <c r="D36" s="7" t="s">
        <v>45</v>
      </c>
      <c r="E36" s="23" t="s">
        <v>83</v>
      </c>
      <c r="F36" s="6"/>
      <c r="G36" s="6"/>
    </row>
    <row r="37" customFormat="false" ht="15" hidden="false" customHeight="false" outlineLevel="0" collapsed="false">
      <c r="A37" s="6"/>
      <c r="B37" s="7" t="s">
        <v>84</v>
      </c>
      <c r="C37" s="25" t="n">
        <v>0.055</v>
      </c>
      <c r="D37" s="7" t="s">
        <v>45</v>
      </c>
      <c r="E37" s="23" t="s">
        <v>85</v>
      </c>
      <c r="F37" s="6"/>
      <c r="G37" s="6"/>
    </row>
    <row r="38" customFormat="false" ht="15" hidden="false" customHeight="false" outlineLevel="0" collapsed="false">
      <c r="A38" s="6"/>
      <c r="B38" s="7" t="s">
        <v>86</v>
      </c>
      <c r="C38" s="25" t="n">
        <v>0.0075</v>
      </c>
      <c r="D38" s="7" t="s">
        <v>45</v>
      </c>
      <c r="E38" s="23" t="s">
        <v>85</v>
      </c>
      <c r="F38" s="6"/>
      <c r="G38" s="6"/>
    </row>
    <row r="39" customFormat="false" ht="15" hidden="false" customHeight="false" outlineLevel="0" collapsed="false">
      <c r="A39" s="6"/>
      <c r="B39" s="7" t="s">
        <v>87</v>
      </c>
      <c r="C39" s="25" t="n">
        <v>0.005</v>
      </c>
      <c r="D39" s="7" t="s">
        <v>45</v>
      </c>
      <c r="E39" s="23" t="s">
        <v>85</v>
      </c>
      <c r="F39" s="6"/>
      <c r="G39" s="6"/>
    </row>
    <row r="40" customFormat="false" ht="15" hidden="false" customHeight="false" outlineLevel="0" collapsed="false">
      <c r="A40" s="6"/>
      <c r="B40" s="7" t="s">
        <v>88</v>
      </c>
      <c r="C40" s="22" t="n">
        <v>85</v>
      </c>
      <c r="D40" s="7" t="s">
        <v>57</v>
      </c>
      <c r="E40" s="23" t="s">
        <v>89</v>
      </c>
      <c r="F40" s="6"/>
      <c r="G40" s="6"/>
    </row>
    <row r="41" customFormat="false" ht="15" hidden="false" customHeight="false" outlineLevel="0" collapsed="false">
      <c r="A41" s="6"/>
      <c r="B41" s="7" t="s">
        <v>90</v>
      </c>
      <c r="C41" s="25" t="n">
        <v>0.025</v>
      </c>
      <c r="D41" s="7" t="s">
        <v>45</v>
      </c>
      <c r="E41" s="23" t="s">
        <v>91</v>
      </c>
      <c r="F41" s="6"/>
      <c r="G41" s="6"/>
    </row>
    <row r="42" customFormat="false" ht="15" hidden="false" customHeight="false" outlineLevel="0" collapsed="false">
      <c r="A42" s="6"/>
      <c r="B42" s="20" t="s">
        <v>92</v>
      </c>
      <c r="C42" s="21"/>
      <c r="D42" s="21"/>
      <c r="E42" s="21"/>
      <c r="F42" s="21"/>
      <c r="G42" s="21"/>
    </row>
    <row r="43" customFormat="false" ht="15" hidden="false" customHeight="false" outlineLevel="0" collapsed="false">
      <c r="A43" s="6"/>
      <c r="B43" s="7" t="s">
        <v>93</v>
      </c>
      <c r="C43" s="25" t="n">
        <v>0.045</v>
      </c>
      <c r="D43" s="7" t="s">
        <v>45</v>
      </c>
      <c r="E43" s="23" t="s">
        <v>94</v>
      </c>
      <c r="F43" s="6"/>
      <c r="G43" s="6"/>
    </row>
    <row r="44" customFormat="false" ht="15" hidden="false" customHeight="false" outlineLevel="0" collapsed="false">
      <c r="A44" s="6"/>
      <c r="B44" s="7" t="s">
        <v>95</v>
      </c>
      <c r="C44" s="22" t="n">
        <v>850</v>
      </c>
      <c r="D44" s="7" t="s">
        <v>96</v>
      </c>
      <c r="E44" s="23"/>
      <c r="F44" s="6"/>
      <c r="G44" s="6"/>
    </row>
    <row r="45" customFormat="false" ht="15" hidden="false" customHeight="false" outlineLevel="0" collapsed="false">
      <c r="A45" s="6"/>
      <c r="B45" s="7" t="s">
        <v>97</v>
      </c>
      <c r="C45" s="22" t="n">
        <v>650</v>
      </c>
      <c r="D45" s="7" t="s">
        <v>96</v>
      </c>
      <c r="E45" s="23"/>
      <c r="F45" s="6"/>
      <c r="G45" s="6"/>
    </row>
    <row r="46" customFormat="false" ht="15" hidden="false" customHeight="false" outlineLevel="0" collapsed="false">
      <c r="A46" s="6"/>
      <c r="B46" s="7" t="s">
        <v>98</v>
      </c>
      <c r="C46" s="22" t="n">
        <v>1400</v>
      </c>
      <c r="D46" s="7" t="s">
        <v>96</v>
      </c>
      <c r="E46" s="23"/>
      <c r="F46" s="6"/>
      <c r="G46" s="6"/>
    </row>
    <row r="47" customFormat="false" ht="15" hidden="false" customHeight="false" outlineLevel="0" collapsed="false">
      <c r="A47" s="6"/>
      <c r="B47" s="7" t="s">
        <v>99</v>
      </c>
      <c r="C47" s="22" t="n">
        <v>400</v>
      </c>
      <c r="D47" s="7" t="s">
        <v>96</v>
      </c>
      <c r="E47" s="23" t="s">
        <v>100</v>
      </c>
      <c r="F47" s="6"/>
      <c r="G47" s="6"/>
    </row>
    <row r="48" customFormat="false" ht="15" hidden="false" customHeight="false" outlineLevel="0" collapsed="false">
      <c r="A48" s="6"/>
      <c r="B48" s="7" t="s">
        <v>101</v>
      </c>
      <c r="C48" s="22" t="n">
        <v>300</v>
      </c>
      <c r="D48" s="7" t="s">
        <v>96</v>
      </c>
      <c r="E48" s="23"/>
      <c r="F48" s="6"/>
      <c r="G48" s="6"/>
    </row>
    <row r="49" customFormat="false" ht="15" hidden="false" customHeight="false" outlineLevel="0" collapsed="false">
      <c r="A49" s="6"/>
      <c r="B49" s="7" t="s">
        <v>102</v>
      </c>
      <c r="C49" s="25" t="n">
        <v>0.03</v>
      </c>
      <c r="D49" s="7" t="s">
        <v>45</v>
      </c>
      <c r="E49" s="23"/>
      <c r="F49" s="6"/>
      <c r="G49" s="6"/>
    </row>
    <row r="50" customFormat="false" ht="15" hidden="false" customHeight="false" outlineLevel="0" collapsed="false">
      <c r="A50" s="6"/>
      <c r="B50" s="7" t="s">
        <v>103</v>
      </c>
      <c r="C50" s="25" t="n">
        <v>0.04</v>
      </c>
      <c r="D50" s="7" t="s">
        <v>45</v>
      </c>
      <c r="E50" s="23" t="s">
        <v>104</v>
      </c>
      <c r="F50" s="6"/>
      <c r="G50" s="6"/>
    </row>
    <row r="51" customFormat="false" ht="15" hidden="false" customHeight="false" outlineLevel="0" collapsed="false">
      <c r="A51" s="6"/>
      <c r="B51" s="7" t="s">
        <v>105</v>
      </c>
      <c r="C51" s="25" t="n">
        <v>0.025</v>
      </c>
      <c r="D51" s="7" t="s">
        <v>45</v>
      </c>
      <c r="E51" s="23"/>
      <c r="F51" s="6"/>
      <c r="G51" s="6"/>
    </row>
    <row r="52" customFormat="false" ht="15" hidden="false" customHeight="false" outlineLevel="0" collapsed="false">
      <c r="A52" s="6"/>
      <c r="B52" s="7" t="s">
        <v>106</v>
      </c>
      <c r="C52" s="25" t="n">
        <v>0.03</v>
      </c>
      <c r="D52" s="7" t="s">
        <v>45</v>
      </c>
      <c r="E52" s="23"/>
      <c r="F52" s="6"/>
      <c r="G52" s="6"/>
    </row>
    <row r="53" customFormat="false" ht="15" hidden="false" customHeight="false" outlineLevel="0" collapsed="false">
      <c r="A53" s="6"/>
      <c r="B53" s="7" t="s">
        <v>107</v>
      </c>
      <c r="C53" s="25" t="n">
        <v>0.025</v>
      </c>
      <c r="D53" s="7" t="s">
        <v>45</v>
      </c>
      <c r="E53" s="23"/>
      <c r="F53" s="6"/>
      <c r="G53" s="6"/>
    </row>
    <row r="54" customFormat="false" ht="15" hidden="false" customHeight="false" outlineLevel="0" collapsed="false">
      <c r="A54" s="6"/>
      <c r="B54" s="20" t="s">
        <v>108</v>
      </c>
      <c r="C54" s="21"/>
      <c r="D54" s="21"/>
      <c r="E54" s="21"/>
      <c r="F54" s="21"/>
      <c r="G54" s="21"/>
    </row>
    <row r="55" customFormat="false" ht="15" hidden="false" customHeight="false" outlineLevel="0" collapsed="false">
      <c r="A55" s="6"/>
      <c r="B55" s="7" t="s">
        <v>109</v>
      </c>
      <c r="C55" s="22" t="n">
        <v>350</v>
      </c>
      <c r="D55" s="7" t="s">
        <v>96</v>
      </c>
      <c r="E55" s="23" t="s">
        <v>110</v>
      </c>
      <c r="F55" s="6"/>
      <c r="G55" s="6"/>
    </row>
    <row r="56" customFormat="false" ht="15" hidden="false" customHeight="false" outlineLevel="0" collapsed="false">
      <c r="A56" s="6"/>
      <c r="B56" s="7" t="s">
        <v>111</v>
      </c>
      <c r="C56" s="25" t="n">
        <v>0.025</v>
      </c>
      <c r="D56" s="7" t="s">
        <v>45</v>
      </c>
      <c r="E56" s="23"/>
      <c r="F56" s="6"/>
      <c r="G56" s="6"/>
    </row>
    <row r="57" customFormat="false" ht="15" hidden="false" customHeight="false" outlineLevel="0" collapsed="false">
      <c r="A57" s="6"/>
      <c r="B57" s="20" t="s">
        <v>112</v>
      </c>
      <c r="C57" s="21"/>
      <c r="D57" s="21"/>
      <c r="E57" s="21"/>
      <c r="F57" s="21"/>
      <c r="G57" s="21"/>
    </row>
    <row r="58" customFormat="false" ht="15" hidden="false" customHeight="false" outlineLevel="0" collapsed="false">
      <c r="A58" s="6"/>
      <c r="B58" s="7" t="s">
        <v>113</v>
      </c>
      <c r="C58" s="25" t="n">
        <v>0.7</v>
      </c>
      <c r="D58" s="7" t="s">
        <v>45</v>
      </c>
      <c r="E58" s="23" t="s">
        <v>114</v>
      </c>
      <c r="F58" s="6"/>
      <c r="G58" s="6"/>
    </row>
    <row r="59" customFormat="false" ht="15" hidden="false" customHeight="false" outlineLevel="0" collapsed="false">
      <c r="A59" s="6"/>
      <c r="B59" s="7" t="s">
        <v>115</v>
      </c>
      <c r="C59" s="25" t="n">
        <v>0.0575</v>
      </c>
      <c r="D59" s="7" t="s">
        <v>45</v>
      </c>
      <c r="E59" s="23" t="s">
        <v>116</v>
      </c>
      <c r="F59" s="6"/>
      <c r="G59" s="6"/>
    </row>
    <row r="60" customFormat="false" ht="15" hidden="false" customHeight="false" outlineLevel="0" collapsed="false">
      <c r="A60" s="6"/>
      <c r="B60" s="7" t="s">
        <v>117</v>
      </c>
      <c r="C60" s="24" t="n">
        <v>2</v>
      </c>
      <c r="D60" s="7" t="s">
        <v>42</v>
      </c>
      <c r="E60" s="23" t="s">
        <v>118</v>
      </c>
      <c r="F60" s="6"/>
      <c r="G60" s="6"/>
    </row>
    <row r="61" customFormat="false" ht="15" hidden="false" customHeight="false" outlineLevel="0" collapsed="false">
      <c r="A61" s="6"/>
      <c r="B61" s="7" t="s">
        <v>119</v>
      </c>
      <c r="C61" s="24" t="n">
        <v>30</v>
      </c>
      <c r="D61" s="7" t="s">
        <v>42</v>
      </c>
      <c r="E61" s="23" t="s">
        <v>120</v>
      </c>
      <c r="F61" s="6"/>
      <c r="G61" s="6"/>
    </row>
    <row r="62" customFormat="false" ht="15" hidden="false" customHeight="false" outlineLevel="0" collapsed="false">
      <c r="A62" s="6"/>
      <c r="B62" s="7" t="s">
        <v>121</v>
      </c>
      <c r="C62" s="22" t="n">
        <v>12950000</v>
      </c>
      <c r="D62" s="7" t="s">
        <v>37</v>
      </c>
      <c r="E62" s="23" t="s">
        <v>122</v>
      </c>
      <c r="F62" s="6"/>
      <c r="G62" s="6"/>
    </row>
    <row r="63" customFormat="false" ht="15" hidden="false" customHeight="false" outlineLevel="0" collapsed="false">
      <c r="A63" s="6"/>
      <c r="B63" s="7" t="s">
        <v>123</v>
      </c>
      <c r="C63" s="22" t="n">
        <v>5735000</v>
      </c>
      <c r="D63" s="7" t="s">
        <v>37</v>
      </c>
      <c r="E63" s="23" t="s">
        <v>124</v>
      </c>
      <c r="F63" s="6"/>
      <c r="G63" s="6"/>
    </row>
    <row r="64" customFormat="false" ht="15" hidden="false" customHeight="false" outlineLevel="0" collapsed="false">
      <c r="A64" s="6"/>
      <c r="B64" s="20" t="s">
        <v>125</v>
      </c>
      <c r="C64" s="21"/>
      <c r="D64" s="21"/>
      <c r="E64" s="21"/>
      <c r="F64" s="21"/>
      <c r="G64" s="21"/>
    </row>
    <row r="65" customFormat="false" ht="15" hidden="false" customHeight="false" outlineLevel="0" collapsed="false">
      <c r="A65" s="6"/>
      <c r="B65" s="7" t="s">
        <v>126</v>
      </c>
      <c r="C65" s="25" t="n">
        <v>0.0525</v>
      </c>
      <c r="D65" s="7" t="s">
        <v>45</v>
      </c>
      <c r="E65" s="23" t="s">
        <v>127</v>
      </c>
      <c r="F65" s="6"/>
      <c r="G65" s="6"/>
    </row>
    <row r="66" customFormat="false" ht="15" hidden="false" customHeight="false" outlineLevel="0" collapsed="false">
      <c r="A66" s="6"/>
      <c r="B66" s="7" t="s">
        <v>128</v>
      </c>
      <c r="C66" s="25" t="n">
        <v>0.035</v>
      </c>
      <c r="D66" s="7" t="s">
        <v>45</v>
      </c>
      <c r="E66" s="23" t="s">
        <v>129</v>
      </c>
      <c r="F66" s="6"/>
      <c r="G66" s="6"/>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4"/>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9" t="s">
        <v>130</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6" t="s">
        <v>131</v>
      </c>
      <c r="C5" s="27" t="s">
        <v>132</v>
      </c>
      <c r="D5" s="27" t="s">
        <v>133</v>
      </c>
      <c r="E5" s="27" t="s">
        <v>134</v>
      </c>
      <c r="F5" s="27" t="s">
        <v>135</v>
      </c>
      <c r="G5" s="6"/>
    </row>
    <row r="6" customFormat="false" ht="15" hidden="false" customHeight="false" outlineLevel="0" collapsed="false">
      <c r="A6" s="6"/>
      <c r="B6" s="7" t="s">
        <v>136</v>
      </c>
      <c r="C6" s="9" t="n">
        <f aca="false">Units_Studio</f>
        <v>20</v>
      </c>
      <c r="D6" s="8" t="n">
        <f aca="false">Rent_Studio_IP</f>
        <v>1100</v>
      </c>
      <c r="E6" s="8" t="n">
        <f aca="false">Rent_Studio_Mkt</f>
        <v>1250</v>
      </c>
      <c r="F6" s="8" t="n">
        <f aca="false">E6-D6</f>
        <v>150</v>
      </c>
      <c r="G6" s="6"/>
    </row>
    <row r="7" customFormat="false" ht="15" hidden="false" customHeight="false" outlineLevel="0" collapsed="false">
      <c r="A7" s="6"/>
      <c r="B7" s="7" t="s">
        <v>52</v>
      </c>
      <c r="C7" s="9" t="n">
        <f aca="false">Units_1BR</f>
        <v>60</v>
      </c>
      <c r="D7" s="8" t="n">
        <f aca="false">Rent_1BR_IP</f>
        <v>1400</v>
      </c>
      <c r="E7" s="8" t="n">
        <f aca="false">Rent_1BR_Mkt</f>
        <v>1600</v>
      </c>
      <c r="F7" s="8" t="n">
        <f aca="false">E7-D7</f>
        <v>200</v>
      </c>
      <c r="G7" s="6"/>
    </row>
    <row r="8" customFormat="false" ht="15" hidden="false" customHeight="false" outlineLevel="0" collapsed="false">
      <c r="A8" s="6"/>
      <c r="B8" s="7" t="s">
        <v>53</v>
      </c>
      <c r="C8" s="9" t="n">
        <f aca="false">Units_2BR</f>
        <v>55</v>
      </c>
      <c r="D8" s="8" t="n">
        <f aca="false">Rent_2BR_IP</f>
        <v>1750</v>
      </c>
      <c r="E8" s="8" t="n">
        <f aca="false">Rent_2BR_Mkt</f>
        <v>2000</v>
      </c>
      <c r="F8" s="8" t="n">
        <f aca="false">E8-D8</f>
        <v>250</v>
      </c>
      <c r="G8" s="6"/>
    </row>
    <row r="9" customFormat="false" ht="15" hidden="false" customHeight="false" outlineLevel="0" collapsed="false">
      <c r="A9" s="6"/>
      <c r="B9" s="7" t="s">
        <v>54</v>
      </c>
      <c r="C9" s="9" t="n">
        <f aca="false">Units_3BR</f>
        <v>15</v>
      </c>
      <c r="D9" s="8" t="n">
        <f aca="false">Rent_3BR_IP</f>
        <v>2100</v>
      </c>
      <c r="E9" s="8" t="n">
        <f aca="false">Rent_3BR_Mkt</f>
        <v>2400</v>
      </c>
      <c r="F9" s="8" t="n">
        <f aca="false">E9-D9</f>
        <v>300</v>
      </c>
      <c r="G9" s="6"/>
    </row>
    <row r="10" customFormat="false" ht="15" hidden="false" customHeight="false" outlineLevel="0" collapsed="false">
      <c r="A10" s="6"/>
      <c r="B10" s="13" t="s">
        <v>137</v>
      </c>
      <c r="C10" s="28" t="n">
        <f aca="false">SUM(C6:C9)</f>
        <v>150</v>
      </c>
      <c r="D10" s="6"/>
      <c r="E10" s="6"/>
      <c r="F10" s="6"/>
      <c r="G10" s="6"/>
    </row>
    <row r="11" customFormat="false" ht="15" hidden="false" customHeight="false" outlineLevel="0" collapsed="false">
      <c r="A11" s="6"/>
      <c r="B11" s="6"/>
      <c r="C11" s="6"/>
      <c r="D11" s="6"/>
      <c r="E11" s="6"/>
      <c r="F11" s="6"/>
      <c r="G11" s="6"/>
    </row>
    <row r="12" customFormat="false" ht="15" hidden="false" customHeight="false" outlineLevel="0" collapsed="false">
      <c r="A12" s="6"/>
      <c r="B12" s="20" t="s">
        <v>138</v>
      </c>
      <c r="C12" s="21"/>
      <c r="D12" s="21"/>
      <c r="E12" s="21"/>
      <c r="F12" s="21"/>
      <c r="G12" s="21"/>
    </row>
    <row r="13" customFormat="false" ht="15" hidden="false" customHeight="false" outlineLevel="0" collapsed="false">
      <c r="A13" s="6"/>
      <c r="B13" s="6"/>
      <c r="C13" s="29" t="s">
        <v>139</v>
      </c>
      <c r="D13" s="29" t="s">
        <v>140</v>
      </c>
      <c r="E13" s="29" t="s">
        <v>141</v>
      </c>
      <c r="F13" s="29" t="s">
        <v>142</v>
      </c>
      <c r="G13" s="29" t="s">
        <v>143</v>
      </c>
    </row>
    <row r="14" customFormat="false" ht="15" hidden="false" customHeight="false" outlineLevel="0" collapsed="false">
      <c r="A14" s="6"/>
      <c r="B14" s="7" t="s">
        <v>144</v>
      </c>
      <c r="C14" s="9" t="n">
        <f aca="false">Reno_Units_Y1</f>
        <v>30</v>
      </c>
      <c r="D14" s="9" t="n">
        <f aca="false">Reno_Units_Y2</f>
        <v>50</v>
      </c>
      <c r="E14" s="9" t="n">
        <f aca="false">Reno_Units_Y3</f>
        <v>40</v>
      </c>
      <c r="F14" s="9" t="n">
        <f aca="false">Reno_Units_Y4</f>
        <v>30</v>
      </c>
      <c r="G14" s="9" t="n">
        <f aca="false">Reno_Units_Y5</f>
        <v>0</v>
      </c>
    </row>
    <row r="15" customFormat="false" ht="15" hidden="false" customHeight="false" outlineLevel="0" collapsed="false">
      <c r="A15" s="6"/>
      <c r="B15" s="7" t="s">
        <v>145</v>
      </c>
      <c r="C15" s="9" t="n">
        <f aca="false">C14</f>
        <v>30</v>
      </c>
      <c r="D15" s="9" t="n">
        <f aca="false">C15+D14</f>
        <v>80</v>
      </c>
      <c r="E15" s="9" t="n">
        <f aca="false">D15+E14</f>
        <v>120</v>
      </c>
      <c r="F15" s="9" t="n">
        <f aca="false">E15+F14</f>
        <v>150</v>
      </c>
      <c r="G15" s="9" t="n">
        <f aca="false">F15+G14</f>
        <v>150</v>
      </c>
    </row>
    <row r="16" customFormat="false" ht="15" hidden="false" customHeight="false" outlineLevel="0" collapsed="false">
      <c r="A16" s="6"/>
      <c r="B16" s="7" t="s">
        <v>146</v>
      </c>
      <c r="C16" s="9" t="n">
        <f aca="false">MAX(0,Total_Units-C15)</f>
        <v>120</v>
      </c>
      <c r="D16" s="9" t="n">
        <f aca="false">MAX(0,Total_Units-D15)</f>
        <v>70</v>
      </c>
      <c r="E16" s="9" t="n">
        <f aca="false">MAX(0,Total_Units-E15)</f>
        <v>30</v>
      </c>
      <c r="F16" s="9" t="n">
        <f aca="false">MAX(0,Total_Units-F15)</f>
        <v>0</v>
      </c>
      <c r="G16" s="9" t="n">
        <f aca="false">MAX(0,Total_Units-G15)</f>
        <v>0</v>
      </c>
    </row>
    <row r="17" customFormat="false" ht="15" hidden="false" customHeight="false" outlineLevel="0" collapsed="false">
      <c r="A17" s="6"/>
      <c r="B17" s="7" t="s">
        <v>147</v>
      </c>
      <c r="C17" s="8" t="n">
        <f aca="false">C14*Reno_Cost_Per_Unit</f>
        <v>660000</v>
      </c>
      <c r="D17" s="8" t="n">
        <f aca="false">D14*Reno_Cost_Per_Unit</f>
        <v>1100000</v>
      </c>
      <c r="E17" s="8" t="n">
        <f aca="false">E14*Reno_Cost_Per_Unit</f>
        <v>880000</v>
      </c>
      <c r="F17" s="8" t="n">
        <f aca="false">F14*Reno_Cost_Per_Unit</f>
        <v>660000</v>
      </c>
      <c r="G17" s="8" t="n">
        <f aca="false">G14*Reno_Cost_Per_Unit</f>
        <v>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AD2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9" t="s">
        <v>18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9" t="s">
        <v>139</v>
      </c>
      <c r="D4" s="29" t="s">
        <v>140</v>
      </c>
      <c r="E4" s="29" t="s">
        <v>141</v>
      </c>
      <c r="F4" s="29" t="s">
        <v>142</v>
      </c>
      <c r="G4" s="29" t="s">
        <v>143</v>
      </c>
    </row>
    <row r="5" customFormat="false" ht="15" hidden="false" customHeight="false" outlineLevel="0" collapsed="false">
      <c r="A5" s="6"/>
      <c r="B5" s="20" t="s">
        <v>148</v>
      </c>
      <c r="C5" s="21"/>
      <c r="D5" s="21"/>
      <c r="E5" s="21"/>
      <c r="F5" s="21"/>
      <c r="G5" s="21"/>
    </row>
    <row r="6" customFormat="false" ht="15" hidden="false" customHeight="false" outlineLevel="0" collapsed="false">
      <c r="A6" s="6"/>
      <c r="B6" s="7" t="s">
        <v>56</v>
      </c>
      <c r="C6" s="8" t="n">
        <f aca="false">Rent_Studio_IP</f>
        <v>1100</v>
      </c>
      <c r="D6" s="8" t="n">
        <f aca="false">C6*(1+Rent_Growth_IP)</f>
        <v>1133</v>
      </c>
      <c r="E6" s="8" t="n">
        <f aca="false">D6*(1+Rent_Growth_IP)</f>
        <v>1166.99</v>
      </c>
      <c r="F6" s="8" t="n">
        <f aca="false">E6*(1+Rent_Growth_IP)</f>
        <v>1201.9997</v>
      </c>
      <c r="G6" s="8" t="n">
        <f aca="false">F6*(1+Rent_Growth_IP)</f>
        <v>1238.059691</v>
      </c>
    </row>
    <row r="7" customFormat="false" ht="15" hidden="false" customHeight="false" outlineLevel="0" collapsed="false">
      <c r="A7" s="6"/>
      <c r="B7" s="7" t="s">
        <v>58</v>
      </c>
      <c r="C7" s="8" t="n">
        <f aca="false">Rent_1BR_IP</f>
        <v>1400</v>
      </c>
      <c r="D7" s="8" t="n">
        <f aca="false">C7*(1+Rent_Growth_IP)</f>
        <v>1442</v>
      </c>
      <c r="E7" s="8" t="n">
        <f aca="false">D7*(1+Rent_Growth_IP)</f>
        <v>1485.26</v>
      </c>
      <c r="F7" s="8" t="n">
        <f aca="false">E7*(1+Rent_Growth_IP)</f>
        <v>1529.8178</v>
      </c>
      <c r="G7" s="8" t="n">
        <f aca="false">F7*(1+Rent_Growth_IP)</f>
        <v>1575.712334</v>
      </c>
    </row>
    <row r="8" customFormat="false" ht="15" hidden="false" customHeight="false" outlineLevel="0" collapsed="false">
      <c r="A8" s="6"/>
      <c r="B8" s="7" t="s">
        <v>59</v>
      </c>
      <c r="C8" s="8" t="n">
        <f aca="false">Rent_2BR_IP</f>
        <v>1750</v>
      </c>
      <c r="D8" s="8" t="n">
        <f aca="false">C8*(1+Rent_Growth_IP)</f>
        <v>1802.5</v>
      </c>
      <c r="E8" s="8" t="n">
        <f aca="false">D8*(1+Rent_Growth_IP)</f>
        <v>1856.575</v>
      </c>
      <c r="F8" s="8" t="n">
        <f aca="false">E8*(1+Rent_Growth_IP)</f>
        <v>1912.27225</v>
      </c>
      <c r="G8" s="8" t="n">
        <f aca="false">F8*(1+Rent_Growth_IP)</f>
        <v>1969.6404175</v>
      </c>
    </row>
    <row r="9" customFormat="false" ht="15" hidden="false" customHeight="false" outlineLevel="0" collapsed="false">
      <c r="A9" s="6"/>
      <c r="B9" s="7" t="s">
        <v>60</v>
      </c>
      <c r="C9" s="8" t="n">
        <f aca="false">Rent_3BR_IP</f>
        <v>2100</v>
      </c>
      <c r="D9" s="8" t="n">
        <f aca="false">C9*(1+Rent_Growth_IP)</f>
        <v>2163</v>
      </c>
      <c r="E9" s="8" t="n">
        <f aca="false">D9*(1+Rent_Growth_IP)</f>
        <v>2227.89</v>
      </c>
      <c r="F9" s="8" t="n">
        <f aca="false">E9*(1+Rent_Growth_IP)</f>
        <v>2294.7267</v>
      </c>
      <c r="G9" s="8" t="n">
        <f aca="false">F9*(1+Rent_Growth_IP)</f>
        <v>2363.568501</v>
      </c>
    </row>
    <row r="10" customFormat="false" ht="15" hidden="false" customHeight="false" outlineLevel="0" collapsed="false">
      <c r="A10" s="6"/>
      <c r="B10" s="20" t="s">
        <v>149</v>
      </c>
      <c r="C10" s="21"/>
      <c r="D10" s="21"/>
      <c r="E10" s="21"/>
      <c r="F10" s="21"/>
      <c r="G10" s="21"/>
    </row>
    <row r="11" customFormat="false" ht="15" hidden="false" customHeight="false" outlineLevel="0" collapsed="false">
      <c r="A11" s="6"/>
      <c r="B11" s="7" t="s">
        <v>62</v>
      </c>
      <c r="C11" s="8" t="n">
        <f aca="false">Rent_Studio_Mkt</f>
        <v>1250</v>
      </c>
      <c r="D11" s="8" t="n">
        <f aca="false">C11*(1+Rent_Growth_Mkt)</f>
        <v>1293.75</v>
      </c>
      <c r="E11" s="8" t="n">
        <f aca="false">D11*(1+Rent_Growth_Mkt)</f>
        <v>1339.03125</v>
      </c>
      <c r="F11" s="8" t="n">
        <f aca="false">E11*(1+Rent_Growth_Mkt)</f>
        <v>1385.89734375</v>
      </c>
      <c r="G11" s="8" t="n">
        <f aca="false">F11*(1+Rent_Growth_Mkt)</f>
        <v>1434.40375078125</v>
      </c>
    </row>
    <row r="12" customFormat="false" ht="15" hidden="false" customHeight="false" outlineLevel="0" collapsed="false">
      <c r="A12" s="6"/>
      <c r="B12" s="7" t="s">
        <v>63</v>
      </c>
      <c r="C12" s="8" t="n">
        <f aca="false">Rent_1BR_Mkt</f>
        <v>1600</v>
      </c>
      <c r="D12" s="8" t="n">
        <f aca="false">C12*(1+Rent_Growth_Mkt)</f>
        <v>1656</v>
      </c>
      <c r="E12" s="8" t="n">
        <f aca="false">D12*(1+Rent_Growth_Mkt)</f>
        <v>1713.96</v>
      </c>
      <c r="F12" s="8" t="n">
        <f aca="false">E12*(1+Rent_Growth_Mkt)</f>
        <v>1773.9486</v>
      </c>
      <c r="G12" s="8" t="n">
        <f aca="false">F12*(1+Rent_Growth_Mkt)</f>
        <v>1836.036801</v>
      </c>
    </row>
    <row r="13" customFormat="false" ht="15" hidden="false" customHeight="false" outlineLevel="0" collapsed="false">
      <c r="A13" s="6"/>
      <c r="B13" s="7" t="s">
        <v>64</v>
      </c>
      <c r="C13" s="8" t="n">
        <f aca="false">Rent_2BR_Mkt</f>
        <v>2000</v>
      </c>
      <c r="D13" s="8" t="n">
        <f aca="false">C13*(1+Rent_Growth_Mkt)</f>
        <v>2070</v>
      </c>
      <c r="E13" s="8" t="n">
        <f aca="false">D13*(1+Rent_Growth_Mkt)</f>
        <v>2142.45</v>
      </c>
      <c r="F13" s="8" t="n">
        <f aca="false">E13*(1+Rent_Growth_Mkt)</f>
        <v>2217.43575</v>
      </c>
      <c r="G13" s="8" t="n">
        <f aca="false">F13*(1+Rent_Growth_Mkt)</f>
        <v>2295.04600125</v>
      </c>
    </row>
    <row r="14" customFormat="false" ht="15" hidden="false" customHeight="false" outlineLevel="0" collapsed="false">
      <c r="A14" s="6"/>
      <c r="B14" s="7" t="s">
        <v>65</v>
      </c>
      <c r="C14" s="8" t="n">
        <f aca="false">Rent_3BR_Mkt</f>
        <v>2400</v>
      </c>
      <c r="D14" s="8" t="n">
        <f aca="false">C14*(1+Rent_Growth_Mkt)</f>
        <v>2484</v>
      </c>
      <c r="E14" s="8" t="n">
        <f aca="false">D14*(1+Rent_Growth_Mkt)</f>
        <v>2570.94</v>
      </c>
      <c r="F14" s="8" t="n">
        <f aca="false">E14*(1+Rent_Growth_Mkt)</f>
        <v>2660.9229</v>
      </c>
      <c r="G14" s="8" t="n">
        <f aca="false">F14*(1+Rent_Growth_Mkt)</f>
        <v>2754.0552015</v>
      </c>
    </row>
    <row r="15" customFormat="false" ht="15" hidden="false" customHeight="false" outlineLevel="0" collapsed="false">
      <c r="A15" s="6"/>
      <c r="B15" s="20" t="s">
        <v>150</v>
      </c>
      <c r="C15" s="21"/>
      <c r="D15" s="21"/>
      <c r="E15" s="21"/>
      <c r="F15" s="21"/>
      <c r="G15" s="21"/>
    </row>
    <row r="16" customFormat="false" ht="15" hidden="false" customHeight="false" outlineLevel="0" collapsed="false">
      <c r="A16" s="6"/>
      <c r="B16" s="7" t="s">
        <v>151</v>
      </c>
      <c r="C16" s="8" t="n">
        <f aca="false">(MAX(0,Units_Studio-ROUND(UM_Reno_Cumul_Y1*(Units_Studio/Total_Units),0))*C6+ROUND(UM_Reno_Cumul_Y1*(Units_Studio/Total_Units),0)*C11)*12</f>
        <v>271200</v>
      </c>
      <c r="D16" s="8" t="n">
        <f aca="false">(MAX(0,Units_Studio-ROUND(UM_Reno_Cumul_Y2*(Units_Studio/Total_Units),0))*D6+ROUND(UM_Reno_Cumul_Y2*(Units_Studio/Total_Units),0)*D11)*12</f>
        <v>293139</v>
      </c>
      <c r="E16" s="8" t="n">
        <f aca="false">(MAX(0,Units_Studio-ROUND(UM_Reno_Cumul_Y3*(Units_Studio/Total_Units),0))*E6+ROUND(UM_Reno_Cumul_Y3*(Units_Studio/Total_Units),0)*E11)*12</f>
        <v>313109.52</v>
      </c>
      <c r="F16" s="8" t="n">
        <f aca="false">(MAX(0,Units_Studio-ROUND(UM_Reno_Cumul_Y4*(Units_Studio/Total_Units),0))*F6+ROUND(UM_Reno_Cumul_Y4*(Units_Studio/Total_Units),0)*F11)*12</f>
        <v>332615.3625</v>
      </c>
      <c r="G16" s="8" t="n">
        <f aca="false">(MAX(0,Units_Studio-ROUND(UM_Reno_Cumul_Y5*(Units_Studio/Total_Units),0))*G6+ROUND(UM_Reno_Cumul_Y5*(Units_Studio/Total_Units),0)*G11)*12</f>
        <v>344256.9001875</v>
      </c>
    </row>
    <row r="17" customFormat="false" ht="15" hidden="false" customHeight="false" outlineLevel="0" collapsed="false">
      <c r="A17" s="6"/>
      <c r="B17" s="7" t="s">
        <v>152</v>
      </c>
      <c r="C17" s="8" t="n">
        <f aca="false">(MAX(0,Units_1BR-ROUND(UM_Reno_Cumul_Y1*(Units_1BR/Total_Units),0))*C7+ROUND(UM_Reno_Cumul_Y1*(Units_1BR/Total_Units),0)*C12)*12</f>
        <v>1036800</v>
      </c>
      <c r="D17" s="8" t="n">
        <f aca="false">(MAX(0,Units_1BR-ROUND(UM_Reno_Cumul_Y2*(Units_1BR/Total_Units),0))*D7+ROUND(UM_Reno_Cumul_Y2*(Units_1BR/Total_Units),0)*D12)*12</f>
        <v>1120416</v>
      </c>
      <c r="E17" s="8" t="n">
        <f aca="false">(MAX(0,Units_1BR-ROUND(UM_Reno_Cumul_Y3*(Units_1BR/Total_Units),0))*E7+ROUND(UM_Reno_Cumul_Y3*(Units_1BR/Total_Units),0)*E12)*12</f>
        <v>1201118.4</v>
      </c>
      <c r="F17" s="8" t="n">
        <f aca="false">(MAX(0,Units_1BR-ROUND(UM_Reno_Cumul_Y4*(Units_1BR/Total_Units),0))*F7+ROUND(UM_Reno_Cumul_Y4*(Units_1BR/Total_Units),0)*F12)*12</f>
        <v>1277242.992</v>
      </c>
      <c r="G17" s="8" t="n">
        <f aca="false">(MAX(0,Units_1BR-ROUND(UM_Reno_Cumul_Y5*(Units_1BR/Total_Units),0))*G7+ROUND(UM_Reno_Cumul_Y5*(Units_1BR/Total_Units),0)*G12)*12</f>
        <v>1321946.49672</v>
      </c>
    </row>
    <row r="18" customFormat="false" ht="15" hidden="false" customHeight="false" outlineLevel="0" collapsed="false">
      <c r="A18" s="6"/>
      <c r="B18" s="7" t="s">
        <v>153</v>
      </c>
      <c r="C18" s="8" t="n">
        <f aca="false">(MAX(0,Units_2BR-ROUND(UM_Reno_Cumul_Y1*(Units_2BR/Total_Units),0))*C8+ROUND(UM_Reno_Cumul_Y1*(Units_2BR/Total_Units),0)*C13)*12</f>
        <v>1188000</v>
      </c>
      <c r="D18" s="8" t="n">
        <f aca="false">(MAX(0,Units_2BR-ROUND(UM_Reno_Cumul_Y2*(Units_2BR/Total_Units),0))*D8+ROUND(UM_Reno_Cumul_Y2*(Units_2BR/Total_Units),0)*D13)*12</f>
        <v>1282740</v>
      </c>
      <c r="E18" s="8" t="n">
        <f aca="false">(MAX(0,Units_2BR-ROUND(UM_Reno_Cumul_Y3*(Units_2BR/Total_Units),0))*E8+ROUND(UM_Reno_Cumul_Y3*(Units_2BR/Total_Units),0)*E13)*12</f>
        <v>1376281.5</v>
      </c>
      <c r="F18" s="8" t="n">
        <f aca="false">(MAX(0,Units_2BR-ROUND(UM_Reno_Cumul_Y4*(Units_2BR/Total_Units),0))*F8+ROUND(UM_Reno_Cumul_Y4*(Units_2BR/Total_Units),0)*F13)*12</f>
        <v>1463507.595</v>
      </c>
      <c r="G18" s="8" t="n">
        <f aca="false">(MAX(0,Units_2BR-ROUND(UM_Reno_Cumul_Y5*(Units_2BR/Total_Units),0))*G8+ROUND(UM_Reno_Cumul_Y5*(Units_2BR/Total_Units),0)*G13)*12</f>
        <v>1514730.360825</v>
      </c>
    </row>
    <row r="19" customFormat="false" ht="15" hidden="false" customHeight="false" outlineLevel="0" collapsed="false">
      <c r="A19" s="6"/>
      <c r="B19" s="7" t="s">
        <v>154</v>
      </c>
      <c r="C19" s="8" t="n">
        <f aca="false">(MAX(0,Units_3BR-ROUND(UM_Reno_Cumul_Y1*(Units_3BR/Total_Units),0))*C9+ROUND(UM_Reno_Cumul_Y1*(Units_3BR/Total_Units),0)*C14)*12</f>
        <v>388800</v>
      </c>
      <c r="D19" s="8" t="n">
        <f aca="false">(MAX(0,Units_3BR-ROUND(UM_Reno_Cumul_Y2*(Units_3BR/Total_Units),0))*D9+ROUND(UM_Reno_Cumul_Y2*(Units_3BR/Total_Units),0)*D14)*12</f>
        <v>420156</v>
      </c>
      <c r="E19" s="8" t="n">
        <f aca="false">(MAX(0,Units_3BR-ROUND(UM_Reno_Cumul_Y3*(Units_3BR/Total_Units),0))*E9+ROUND(UM_Reno_Cumul_Y3*(Units_3BR/Total_Units),0)*E14)*12</f>
        <v>450419.4</v>
      </c>
      <c r="F19" s="8" t="n">
        <f aca="false">(MAX(0,Units_3BR-ROUND(UM_Reno_Cumul_Y4*(Units_3BR/Total_Units),0))*F9+ROUND(UM_Reno_Cumul_Y4*(Units_3BR/Total_Units),0)*F14)*12</f>
        <v>478966.122</v>
      </c>
      <c r="G19" s="8" t="n">
        <f aca="false">(MAX(0,Units_3BR-ROUND(UM_Reno_Cumul_Y5*(Units_3BR/Total_Units),0))*G9+ROUND(UM_Reno_Cumul_Y5*(Units_3BR/Total_Units),0)*G14)*12</f>
        <v>495729.93627</v>
      </c>
    </row>
    <row r="20" customFormat="false" ht="15" hidden="false" customHeight="false" outlineLevel="0" collapsed="false">
      <c r="A20" s="6"/>
      <c r="B20" s="13" t="s">
        <v>155</v>
      </c>
      <c r="C20" s="30" t="n">
        <f aca="false">C16+C17+C18+C19</f>
        <v>2884800</v>
      </c>
      <c r="D20" s="30" t="n">
        <f aca="false">D16+D17+D18+D19</f>
        <v>3116451</v>
      </c>
      <c r="E20" s="30" t="n">
        <f aca="false">E16+E17+E18+E19</f>
        <v>3340928.82</v>
      </c>
      <c r="F20" s="30" t="n">
        <f aca="false">F16+F17+F18+F19</f>
        <v>3552332.0715</v>
      </c>
      <c r="G20" s="30" t="n">
        <f aca="false">G16+G17+G18+G19</f>
        <v>3676663.6940025</v>
      </c>
    </row>
    <row r="21" customFormat="false" ht="15" hidden="false" customHeight="false" outlineLevel="0" collapsed="false">
      <c r="A21" s="6"/>
      <c r="B21" s="20" t="s">
        <v>156</v>
      </c>
      <c r="C21" s="21"/>
      <c r="D21" s="21"/>
      <c r="E21" s="21"/>
      <c r="F21" s="21"/>
      <c r="G21" s="21"/>
    </row>
    <row r="22" customFormat="false" ht="15" hidden="false" customHeight="false" outlineLevel="0" collapsed="false">
      <c r="A22" s="6"/>
      <c r="B22" s="7" t="s">
        <v>157</v>
      </c>
      <c r="C22" s="8" t="n">
        <f aca="false">C20</f>
        <v>2884800</v>
      </c>
      <c r="D22" s="8" t="n">
        <f aca="false">D20</f>
        <v>3116451</v>
      </c>
      <c r="E22" s="8" t="n">
        <f aca="false">E20</f>
        <v>3340928.82</v>
      </c>
      <c r="F22" s="8" t="n">
        <f aca="false">F20</f>
        <v>3552332.0715</v>
      </c>
      <c r="G22" s="8" t="n">
        <f aca="false">G20</f>
        <v>3676663.6940025</v>
      </c>
    </row>
    <row r="23" customFormat="false" ht="15" hidden="false" customHeight="false" outlineLevel="0" collapsed="false">
      <c r="A23" s="6"/>
      <c r="B23" s="7" t="s">
        <v>158</v>
      </c>
      <c r="C23" s="8" t="n">
        <f aca="false">-C22*Vacancy_Rate</f>
        <v>-158664</v>
      </c>
      <c r="D23" s="8" t="n">
        <f aca="false">-D22*Vacancy_Rate</f>
        <v>-171404.805</v>
      </c>
      <c r="E23" s="8" t="n">
        <f aca="false">-E22*Vacancy_Rate</f>
        <v>-183751.0851</v>
      </c>
      <c r="F23" s="8" t="n">
        <f aca="false">-F22*Vacancy_Rate</f>
        <v>-195378.2639325</v>
      </c>
      <c r="G23" s="8" t="n">
        <f aca="false">-G22*Vacancy_Rate</f>
        <v>-202216.503170137</v>
      </c>
    </row>
    <row r="24" customFormat="false" ht="15" hidden="false" customHeight="false" outlineLevel="0" collapsed="false">
      <c r="A24" s="6"/>
      <c r="B24" s="7" t="s">
        <v>159</v>
      </c>
      <c r="C24" s="8" t="n">
        <f aca="false">-C22*Bad_Debt_Rate</f>
        <v>-21636</v>
      </c>
      <c r="D24" s="8" t="n">
        <f aca="false">-D22*Bad_Debt_Rate</f>
        <v>-23373.3825</v>
      </c>
      <c r="E24" s="8" t="n">
        <f aca="false">-E22*Bad_Debt_Rate</f>
        <v>-25056.96615</v>
      </c>
      <c r="F24" s="8" t="n">
        <f aca="false">-F22*Bad_Debt_Rate</f>
        <v>-26642.49053625</v>
      </c>
      <c r="G24" s="8" t="n">
        <f aca="false">-G22*Bad_Debt_Rate</f>
        <v>-27574.9777050187</v>
      </c>
    </row>
    <row r="25" customFormat="false" ht="15" hidden="false" customHeight="false" outlineLevel="0" collapsed="false">
      <c r="A25" s="6"/>
      <c r="B25" s="7" t="s">
        <v>160</v>
      </c>
      <c r="C25" s="8" t="n">
        <f aca="false">-C22*Concession_Rate</f>
        <v>-14424</v>
      </c>
      <c r="D25" s="8" t="n">
        <f aca="false">-D22*Concession_Rate</f>
        <v>-15582.255</v>
      </c>
      <c r="E25" s="8" t="n">
        <f aca="false">-E22*Concession_Rate</f>
        <v>-16704.6441</v>
      </c>
      <c r="F25" s="8" t="n">
        <f aca="false">-F22*Concession_Rate</f>
        <v>-17761.6603575</v>
      </c>
      <c r="G25" s="8" t="n">
        <f aca="false">-G22*Concession_Rate</f>
        <v>-18383.3184700125</v>
      </c>
    </row>
    <row r="26" customFormat="false" ht="15" hidden="false" customHeight="false" outlineLevel="0" collapsed="false">
      <c r="A26" s="6"/>
      <c r="B26" s="7" t="s">
        <v>161</v>
      </c>
      <c r="C26" s="8" t="n">
        <f aca="false">Other_Inc_Per_Unit*Total_Units*12</f>
        <v>153000</v>
      </c>
      <c r="D26" s="8" t="n">
        <f aca="false">C26*(1+Other_Inc_Growth)</f>
        <v>156825</v>
      </c>
      <c r="E26" s="8" t="n">
        <f aca="false">D26*(1+Other_Inc_Growth)</f>
        <v>160745.625</v>
      </c>
      <c r="F26" s="8" t="n">
        <f aca="false">E26*(1+Other_Inc_Growth)</f>
        <v>164764.265625</v>
      </c>
      <c r="G26" s="8" t="n">
        <f aca="false">F26*(1+Other_Inc_Growth)</f>
        <v>168883.372265625</v>
      </c>
    </row>
    <row r="27" customFormat="false" ht="15" hidden="false" customHeight="false" outlineLevel="0" collapsed="false">
      <c r="A27" s="6"/>
      <c r="B27" s="13" t="s">
        <v>162</v>
      </c>
      <c r="C27" s="31" t="n">
        <f aca="false">C22+C23+C24+C25+C26</f>
        <v>2843076</v>
      </c>
      <c r="D27" s="31" t="n">
        <f aca="false">D22+D23+D24+D25+D26</f>
        <v>3062915.5575</v>
      </c>
      <c r="E27" s="31" t="n">
        <f aca="false">E22+E23+E24+E25+E26</f>
        <v>3276161.74965</v>
      </c>
      <c r="F27" s="31" t="n">
        <f aca="false">F22+F23+F24+F25+F26</f>
        <v>3477313.92229875</v>
      </c>
      <c r="G27" s="31" t="n">
        <f aca="false">G22+G23+G24+G25+G26</f>
        <v>3597372.26692296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AD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9" t="s">
        <v>163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9" t="s">
        <v>139</v>
      </c>
      <c r="D4" s="29" t="s">
        <v>140</v>
      </c>
      <c r="E4" s="29" t="s">
        <v>141</v>
      </c>
      <c r="F4" s="29" t="s">
        <v>142</v>
      </c>
      <c r="G4" s="29" t="s">
        <v>143</v>
      </c>
    </row>
    <row r="5" customFormat="false" ht="15" hidden="false" customHeight="false" outlineLevel="0" collapsed="false">
      <c r="A5" s="6"/>
      <c r="B5" s="7" t="s">
        <v>164</v>
      </c>
      <c r="C5" s="8" t="n">
        <f aca="false">-Rev_EGI_Y1*Mgmt_Fee_Pct</f>
        <v>-127938.42</v>
      </c>
      <c r="D5" s="8" t="n">
        <f aca="false">-Rev_EGI_Y2*Mgmt_Fee_Pct</f>
        <v>-137831.2000875</v>
      </c>
      <c r="E5" s="8" t="n">
        <f aca="false">-Rev_EGI_Y3*Mgmt_Fee_Pct</f>
        <v>-147427.27873425</v>
      </c>
      <c r="F5" s="8" t="n">
        <f aca="false">-Rev_EGI_Y4*Mgmt_Fee_Pct</f>
        <v>-156479.126503444</v>
      </c>
      <c r="G5" s="8" t="n">
        <f aca="false">-Rev_EGI_Y5*Mgmt_Fee_Pct</f>
        <v>-161881.752011533</v>
      </c>
    </row>
    <row r="6" customFormat="false" ht="15" hidden="false" customHeight="false" outlineLevel="0" collapsed="false">
      <c r="A6" s="6"/>
      <c r="B6" s="7" t="s">
        <v>165</v>
      </c>
      <c r="C6" s="8" t="n">
        <f aca="false">-Total_Units*Repairs_Per_Unit</f>
        <v>-127500</v>
      </c>
      <c r="D6" s="8" t="n">
        <f aca="false">C6*(1+Repairs_Growth)</f>
        <v>-131325</v>
      </c>
      <c r="E6" s="8" t="n">
        <f aca="false">D6*(1+Repairs_Growth)</f>
        <v>-135264.75</v>
      </c>
      <c r="F6" s="8" t="n">
        <f aca="false">E6*(1+Repairs_Growth)</f>
        <v>-139322.6925</v>
      </c>
      <c r="G6" s="8" t="n">
        <f aca="false">F6*(1+Repairs_Growth)</f>
        <v>-143502.373275</v>
      </c>
    </row>
    <row r="7" customFormat="false" ht="15" hidden="false" customHeight="false" outlineLevel="0" collapsed="false">
      <c r="A7" s="6"/>
      <c r="B7" s="7" t="s">
        <v>166</v>
      </c>
      <c r="C7" s="8" t="n">
        <f aca="false">-Total_Units*Insurance_Per_Unit</f>
        <v>-97500</v>
      </c>
      <c r="D7" s="8" t="n">
        <f aca="false">C7*(1+Insurance_Growth)</f>
        <v>-101400</v>
      </c>
      <c r="E7" s="8" t="n">
        <f aca="false">D7*(1+Insurance_Growth)</f>
        <v>-105456</v>
      </c>
      <c r="F7" s="8" t="n">
        <f aca="false">E7*(1+Insurance_Growth)</f>
        <v>-109674.24</v>
      </c>
      <c r="G7" s="8" t="n">
        <f aca="false">F7*(1+Insurance_Growth)</f>
        <v>-114061.2096</v>
      </c>
    </row>
    <row r="8" customFormat="false" ht="15" hidden="false" customHeight="false" outlineLevel="0" collapsed="false">
      <c r="A8" s="6"/>
      <c r="B8" s="7" t="s">
        <v>167</v>
      </c>
      <c r="C8" s="8" t="n">
        <f aca="false">-Total_Units*Tax_Per_Unit</f>
        <v>-210000</v>
      </c>
      <c r="D8" s="8" t="n">
        <f aca="false">C8*(1+Tax_Growth)</f>
        <v>-215250</v>
      </c>
      <c r="E8" s="8" t="n">
        <f aca="false">D8*(1+Tax_Growth)</f>
        <v>-220631.25</v>
      </c>
      <c r="F8" s="8" t="n">
        <f aca="false">E8*(1+Tax_Growth)</f>
        <v>-226147.03125</v>
      </c>
      <c r="G8" s="8" t="n">
        <f aca="false">F8*(1+Tax_Growth)</f>
        <v>-231800.70703125</v>
      </c>
    </row>
    <row r="9" customFormat="false" ht="15" hidden="false" customHeight="false" outlineLevel="0" collapsed="false">
      <c r="A9" s="6"/>
      <c r="B9" s="7" t="s">
        <v>168</v>
      </c>
      <c r="C9" s="8" t="n">
        <f aca="false">-Total_Units*Utilities_Per_Unit</f>
        <v>-60000</v>
      </c>
      <c r="D9" s="8" t="n">
        <f aca="false">C9*(1+Utilities_Growth)</f>
        <v>-61800</v>
      </c>
      <c r="E9" s="8" t="n">
        <f aca="false">D9*(1+Utilities_Growth)</f>
        <v>-63654</v>
      </c>
      <c r="F9" s="8" t="n">
        <f aca="false">E9*(1+Utilities_Growth)</f>
        <v>-65563.62</v>
      </c>
      <c r="G9" s="8" t="n">
        <f aca="false">F9*(1+Utilities_Growth)</f>
        <v>-67530.5286</v>
      </c>
    </row>
    <row r="10" customFormat="false" ht="15" hidden="false" customHeight="false" outlineLevel="0" collapsed="false">
      <c r="A10" s="6"/>
      <c r="B10" s="7" t="s">
        <v>169</v>
      </c>
      <c r="C10" s="8" t="n">
        <f aca="false">-Total_Units*Admin_Per_Unit</f>
        <v>-45000</v>
      </c>
      <c r="D10" s="8" t="n">
        <f aca="false">C10*(1+Admin_Growth)</f>
        <v>-46125</v>
      </c>
      <c r="E10" s="8" t="n">
        <f aca="false">D10*(1+Admin_Growth)</f>
        <v>-47278.125</v>
      </c>
      <c r="F10" s="8" t="n">
        <f aca="false">E10*(1+Admin_Growth)</f>
        <v>-48460.078125</v>
      </c>
      <c r="G10" s="8" t="n">
        <f aca="false">F10*(1+Admin_Growth)</f>
        <v>-49671.580078125</v>
      </c>
    </row>
    <row r="11" customFormat="false" ht="15" hidden="false" customHeight="false" outlineLevel="0" collapsed="false">
      <c r="A11" s="6"/>
      <c r="B11" s="13" t="s">
        <v>170</v>
      </c>
      <c r="C11" s="30" t="n">
        <f aca="false">SUM(C5:C10)</f>
        <v>-667938.42</v>
      </c>
      <c r="D11" s="30" t="n">
        <f aca="false">SUM(D5:D10)</f>
        <v>-693731.2000875</v>
      </c>
      <c r="E11" s="30" t="n">
        <f aca="false">SUM(E5:E10)</f>
        <v>-719711.40373425</v>
      </c>
      <c r="F11" s="30" t="n">
        <f aca="false">SUM(F5:F10)</f>
        <v>-745646.788378444</v>
      </c>
      <c r="G11" s="30" t="n">
        <f aca="false">SUM(G5:G10)</f>
        <v>-768448.150595908</v>
      </c>
    </row>
    <row r="12" customFormat="false" ht="15" hidden="false" customHeight="false" outlineLevel="0" collapsed="false">
      <c r="A12" s="6"/>
      <c r="B12" s="6"/>
      <c r="C12" s="6"/>
      <c r="D12" s="6"/>
      <c r="E12" s="6"/>
      <c r="F12" s="6"/>
      <c r="G12" s="6"/>
    </row>
    <row r="13" customFormat="false" ht="15" hidden="false" customHeight="false" outlineLevel="0" collapsed="false">
      <c r="A13" s="6"/>
      <c r="B13" s="13" t="s">
        <v>171</v>
      </c>
      <c r="C13" s="31" t="n">
        <f aca="false">Rev_EGI_Y1+C11</f>
        <v>2175137.58</v>
      </c>
      <c r="D13" s="31" t="n">
        <f aca="false">Rev_EGI_Y2+D11</f>
        <v>2369184.3574125</v>
      </c>
      <c r="E13" s="31" t="n">
        <f aca="false">Rev_EGI_Y3+E11</f>
        <v>2556450.34591575</v>
      </c>
      <c r="F13" s="31" t="n">
        <f aca="false">Rev_EGI_Y4+F11</f>
        <v>2731667.13392031</v>
      </c>
      <c r="G13" s="31" t="n">
        <f aca="false">Rev_EGI_Y5+G11</f>
        <v>2828924.11632705</v>
      </c>
    </row>
    <row r="14" customFormat="false" ht="15" hidden="false" customHeight="false" outlineLevel="0" collapsed="false">
      <c r="A14" s="6"/>
      <c r="B14" s="7" t="s">
        <v>172</v>
      </c>
      <c r="C14" s="10" t="n">
        <f aca="false">C13/Rev_EGI_Y1</f>
        <v>0.765064873397686</v>
      </c>
      <c r="D14" s="10" t="n">
        <f aca="false">D13/Rev_EGI_Y2</f>
        <v>0.773506259946084</v>
      </c>
      <c r="E14" s="10" t="n">
        <f aca="false">E13/Rev_EGI_Y3</f>
        <v>0.780318720890036</v>
      </c>
      <c r="F14" s="10" t="n">
        <f aca="false">F13/Rev_EGI_Y4</f>
        <v>0.785568169846018</v>
      </c>
      <c r="G14" s="10" t="n">
        <f aca="false">G13/Rev_EGI_Y5</f>
        <v>0.786386258196957</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AD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9" t="s">
        <v>173</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29" t="s">
        <v>139</v>
      </c>
      <c r="D4" s="29" t="s">
        <v>140</v>
      </c>
      <c r="E4" s="29" t="s">
        <v>141</v>
      </c>
      <c r="F4" s="29" t="s">
        <v>142</v>
      </c>
      <c r="G4" s="29" t="s">
        <v>143</v>
      </c>
    </row>
    <row r="5" customFormat="false" ht="15" hidden="false" customHeight="false" outlineLevel="0" collapsed="false">
      <c r="A5" s="6"/>
      <c r="B5" s="7" t="s">
        <v>174</v>
      </c>
      <c r="C5" s="8" t="n">
        <f aca="false">-Total_Units*Cap_Reserves_Per_Unit</f>
        <v>-52500</v>
      </c>
      <c r="D5" s="8" t="n">
        <f aca="false">C5*(1+Cap_Reserves_Growth)</f>
        <v>-53812.5</v>
      </c>
      <c r="E5" s="8" t="n">
        <f aca="false">D5*(1+Cap_Reserves_Growth)</f>
        <v>-55157.8125</v>
      </c>
      <c r="F5" s="8" t="n">
        <f aca="false">E5*(1+Cap_Reserves_Growth)</f>
        <v>-56536.7578125</v>
      </c>
      <c r="G5" s="8" t="n">
        <f aca="false">F5*(1+Cap_Reserves_Growth)</f>
        <v>-57950.1767578125</v>
      </c>
    </row>
    <row r="6" customFormat="false" ht="15" hidden="false" customHeight="false" outlineLevel="0" collapsed="false">
      <c r="A6" s="6"/>
      <c r="B6" s="7" t="s">
        <v>175</v>
      </c>
      <c r="C6" s="8" t="n">
        <f aca="false">-UM_Reno_Capex_Y1</f>
        <v>-660000</v>
      </c>
      <c r="D6" s="8" t="n">
        <f aca="false">-UM_Reno_Capex_Y2</f>
        <v>-1100000</v>
      </c>
      <c r="E6" s="8" t="n">
        <f aca="false">-UM_Reno_Capex_Y3</f>
        <v>-880000</v>
      </c>
      <c r="F6" s="8" t="n">
        <f aca="false">-UM_Reno_Capex_Y4</f>
        <v>-660000</v>
      </c>
      <c r="G6" s="8" t="n">
        <f aca="false">-UM_Reno_Capex_Y5</f>
        <v>-0</v>
      </c>
    </row>
    <row r="7" customFormat="false" ht="15" hidden="false" customHeight="false" outlineLevel="0" collapsed="false">
      <c r="A7" s="6"/>
      <c r="B7" s="13" t="s">
        <v>176</v>
      </c>
      <c r="C7" s="30" t="n">
        <f aca="false">C5+C6</f>
        <v>-712500</v>
      </c>
      <c r="D7" s="30" t="n">
        <f aca="false">D5+D6</f>
        <v>-1153812.5</v>
      </c>
      <c r="E7" s="30" t="n">
        <f aca="false">E5+E6</f>
        <v>-935157.8125</v>
      </c>
      <c r="F7" s="30" t="n">
        <f aca="false">F5+F6</f>
        <v>-716536.7578125</v>
      </c>
      <c r="G7" s="30" t="n">
        <f aca="false">G5+G6</f>
        <v>-57950.1767578125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9" t="s">
        <v>177</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32" t="s">
        <v>178</v>
      </c>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6"/>
      <c r="C4" s="6"/>
      <c r="D4" s="6"/>
      <c r="E4" s="6"/>
      <c r="F4" s="6"/>
      <c r="G4" s="6"/>
    </row>
    <row r="5" customFormat="false" ht="15" hidden="false" customHeight="false" outlineLevel="0" collapsed="false">
      <c r="A5" s="6"/>
      <c r="B5" s="20" t="s">
        <v>179</v>
      </c>
      <c r="C5" s="21"/>
      <c r="D5" s="21"/>
      <c r="E5" s="21"/>
      <c r="F5" s="21"/>
      <c r="G5" s="21"/>
    </row>
    <row r="6" customFormat="false" ht="15" hidden="false" customHeight="false" outlineLevel="0" collapsed="false">
      <c r="A6" s="6"/>
      <c r="B6" s="7" t="s">
        <v>121</v>
      </c>
      <c r="C6" s="8" t="n">
        <f aca="false">Loan_Amount</f>
        <v>12950000</v>
      </c>
      <c r="D6" s="6"/>
      <c r="E6" s="6"/>
      <c r="F6" s="6"/>
      <c r="G6" s="6"/>
    </row>
    <row r="7" customFormat="false" ht="15" hidden="false" customHeight="false" outlineLevel="0" collapsed="false">
      <c r="A7" s="6"/>
      <c r="B7" s="7" t="s">
        <v>123</v>
      </c>
      <c r="C7" s="8" t="n">
        <f aca="false">Equity_Contribution</f>
        <v>5735000</v>
      </c>
      <c r="D7" s="6"/>
      <c r="E7" s="6"/>
      <c r="F7" s="6"/>
      <c r="G7" s="6"/>
    </row>
    <row r="8" customFormat="false" ht="15" hidden="false" customHeight="false" outlineLevel="0" collapsed="false">
      <c r="A8" s="6"/>
      <c r="B8" s="7" t="s">
        <v>180</v>
      </c>
      <c r="C8" s="9" t="n">
        <f aca="false">IO_Period</f>
        <v>2</v>
      </c>
      <c r="D8" s="6"/>
      <c r="E8" s="6"/>
      <c r="F8" s="6"/>
      <c r="G8" s="6"/>
    </row>
    <row r="9" customFormat="false" ht="15" hidden="false" customHeight="false" outlineLevel="0" collapsed="false">
      <c r="A9" s="6"/>
      <c r="B9" s="6"/>
      <c r="C9" s="6"/>
      <c r="D9" s="6"/>
      <c r="E9" s="6"/>
      <c r="F9" s="6"/>
      <c r="G9" s="6"/>
    </row>
    <row r="10" customFormat="false" ht="15" hidden="false" customHeight="false" outlineLevel="0" collapsed="false">
      <c r="A10" s="6"/>
      <c r="B10" s="6"/>
      <c r="C10" s="29" t="s">
        <v>139</v>
      </c>
      <c r="D10" s="29" t="s">
        <v>140</v>
      </c>
      <c r="E10" s="29" t="s">
        <v>141</v>
      </c>
      <c r="F10" s="29" t="s">
        <v>142</v>
      </c>
      <c r="G10" s="29" t="s">
        <v>143</v>
      </c>
    </row>
    <row r="11" customFormat="false" ht="15" hidden="false" customHeight="false" outlineLevel="0" collapsed="false">
      <c r="A11" s="6"/>
      <c r="B11" s="7" t="s">
        <v>181</v>
      </c>
      <c r="C11" s="8" t="n">
        <f aca="false">Loan_Amount</f>
        <v>12950000</v>
      </c>
      <c r="D11" s="8" t="n">
        <f aca="false">C15</f>
        <v>12950000</v>
      </c>
      <c r="E11" s="8" t="n">
        <f aca="false">D15</f>
        <v>12950000</v>
      </c>
      <c r="F11" s="8" t="n">
        <f aca="false">E15</f>
        <v>12787752.7810867</v>
      </c>
      <c r="G11" s="8" t="n">
        <f aca="false">F15</f>
        <v>12627538.3158449</v>
      </c>
    </row>
    <row r="12" customFormat="false" ht="15" hidden="false" customHeight="false" outlineLevel="0" collapsed="false">
      <c r="A12" s="6"/>
      <c r="B12" s="7" t="s">
        <v>182</v>
      </c>
      <c r="C12" s="8" t="n">
        <f aca="false">-C11*Interest_Rate</f>
        <v>-744625</v>
      </c>
      <c r="D12" s="8" t="n">
        <f aca="false">-D11*Interest_Rate</f>
        <v>-744625</v>
      </c>
      <c r="E12" s="8" t="n">
        <f aca="false">-E11*Interest_Rate</f>
        <v>-744625</v>
      </c>
      <c r="F12" s="8" t="n">
        <f aca="false">-F11*Interest_Rate</f>
        <v>-735295.784912486</v>
      </c>
      <c r="G12" s="8" t="n">
        <f aca="false">-G11*Interest_Rate</f>
        <v>-726083.45316108</v>
      </c>
    </row>
    <row r="13" customFormat="false" ht="15" hidden="false" customHeight="false" outlineLevel="0" collapsed="false">
      <c r="A13" s="6"/>
      <c r="B13" s="7" t="s">
        <v>183</v>
      </c>
      <c r="C13" s="8" t="n">
        <f aca="false">IF(1&lt;=IO_Period,0,-PMT(Interest_Rate/12,Amort_Years*12,C11)*12)</f>
        <v>0</v>
      </c>
      <c r="D13" s="8" t="n">
        <f aca="false">IF(2&lt;=IO_Period,0,-PMT(Interest_Rate/12,Amort_Years*12,D11)*12)</f>
        <v>0</v>
      </c>
      <c r="E13" s="8" t="n">
        <f aca="false">IF(3&lt;=IO_Period,0,-PMT(Interest_Rate/12,Amort_Years*12,E11)*12)</f>
        <v>906872.218913281</v>
      </c>
      <c r="F13" s="8" t="n">
        <f aca="false">IF(4&lt;=IO_Period,0,-PMT(Interest_Rate/12,Amort_Years*12,F11)*12)</f>
        <v>895510.250154332</v>
      </c>
      <c r="G13" s="8" t="n">
        <f aca="false">IF(5&lt;=IO_Period,0,-PMT(Interest_Rate/12,Amort_Years*12,G11)*12)</f>
        <v>884290.63257936</v>
      </c>
    </row>
    <row r="14" customFormat="false" ht="15" hidden="false" customHeight="false" outlineLevel="0" collapsed="false">
      <c r="A14" s="6"/>
      <c r="B14" s="7" t="s">
        <v>184</v>
      </c>
      <c r="C14" s="8" t="n">
        <f aca="false">IF(1&lt;=IO_Period,0,C13+C12)</f>
        <v>0</v>
      </c>
      <c r="D14" s="8" t="n">
        <f aca="false">IF(2&lt;=IO_Period,0,D13+D12)</f>
        <v>0</v>
      </c>
      <c r="E14" s="8" t="n">
        <f aca="false">IF(3&lt;=IO_Period,0,E13+E12)</f>
        <v>162247.218913281</v>
      </c>
      <c r="F14" s="8" t="n">
        <f aca="false">IF(4&lt;=IO_Period,0,F13+F12)</f>
        <v>160214.465241845</v>
      </c>
      <c r="G14" s="8" t="n">
        <f aca="false">IF(5&lt;=IO_Period,0,G13+G12)</f>
        <v>158207.17941828</v>
      </c>
    </row>
    <row r="15" customFormat="false" ht="15" hidden="false" customHeight="false" outlineLevel="0" collapsed="false">
      <c r="A15" s="6"/>
      <c r="B15" s="13" t="s">
        <v>185</v>
      </c>
      <c r="C15" s="31" t="n">
        <f aca="false">C11-C14</f>
        <v>12950000</v>
      </c>
      <c r="D15" s="31" t="n">
        <f aca="false">D11-D14</f>
        <v>12950000</v>
      </c>
      <c r="E15" s="31" t="n">
        <f aca="false">E11-E14</f>
        <v>12787752.7810867</v>
      </c>
      <c r="F15" s="31" t="n">
        <f aca="false">F11-F14</f>
        <v>12627538.3158449</v>
      </c>
      <c r="G15" s="31" t="n">
        <f aca="false">G11-G14</f>
        <v>12469331.1364266</v>
      </c>
    </row>
    <row r="16" customFormat="false" ht="15" hidden="false" customHeight="false" outlineLevel="0" collapsed="false">
      <c r="A16" s="6"/>
      <c r="B16" s="6"/>
      <c r="C16" s="6"/>
      <c r="D16" s="6"/>
      <c r="E16" s="6"/>
      <c r="F16" s="6"/>
      <c r="G16" s="6"/>
    </row>
    <row r="17" customFormat="false" ht="15" hidden="false" customHeight="false" outlineLevel="0" collapsed="false">
      <c r="A17" s="6"/>
      <c r="B17" s="13" t="s">
        <v>186</v>
      </c>
      <c r="C17" s="30" t="n">
        <f aca="false">IF(1&lt;=IO_Period,-C12,C13)</f>
        <v>744625</v>
      </c>
      <c r="D17" s="30" t="n">
        <f aca="false">IF(2&lt;=IO_Period,-D12,D13)</f>
        <v>744625</v>
      </c>
      <c r="E17" s="30" t="n">
        <f aca="false">IF(3&lt;=IO_Period,-E12,E13)</f>
        <v>906872.218913281</v>
      </c>
      <c r="F17" s="30" t="n">
        <f aca="false">IF(4&lt;=IO_Period,-F12,F13)</f>
        <v>895510.250154332</v>
      </c>
      <c r="G17" s="30" t="n">
        <f aca="false">IF(5&lt;=IO_Period,-G12,G13)</f>
        <v>884290.63257936</v>
      </c>
    </row>
    <row r="18" customFormat="false" ht="15" hidden="false" customHeight="false" outlineLevel="0" collapsed="false">
      <c r="A18" s="6"/>
      <c r="B18" s="7" t="s">
        <v>187</v>
      </c>
      <c r="C18" s="11" t="n">
        <f aca="false">IFERROR(OE_NOI_Y1/C17,0)</f>
        <v>2.92111811985899</v>
      </c>
      <c r="D18" s="11" t="n">
        <f aca="false">IFERROR(OE_NOI_Y2/D17,0)</f>
        <v>3.18171476570421</v>
      </c>
      <c r="E18" s="11" t="n">
        <f aca="false">IFERROR(OE_NOI_Y3/E17,0)</f>
        <v>2.81897525649113</v>
      </c>
      <c r="F18" s="11" t="n">
        <f aca="false">IFERROR(OE_NOI_Y4/F17,0)</f>
        <v>3.05040297802234</v>
      </c>
      <c r="G18" s="11" t="n">
        <f aca="false">IFERROR(OE_NOI_Y5/G17,0)</f>
        <v>3.19908863907723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28"/>
    <col collapsed="false" customWidth="true" hidden="false" outlineLevel="0" max="7" min="3" style="0" width="16"/>
  </cols>
  <sheetData>
    <row r="1" customFormat="false" ht="15" hidden="false" customHeight="false" outlineLevel="0" collapsed="false">
      <c r="A1" s="1"/>
      <c r="B1" s="1"/>
      <c r="C1" s="1"/>
      <c r="D1" s="1"/>
      <c r="E1" s="1"/>
      <c r="F1" s="1"/>
      <c r="G1" s="1"/>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9" t="s">
        <v>188</v>
      </c>
      <c r="C2" s="1"/>
      <c r="D2" s="1"/>
      <c r="E2" s="1"/>
      <c r="F2" s="1"/>
      <c r="G2" s="1"/>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1"/>
      <c r="C3" s="1"/>
      <c r="D3" s="1"/>
      <c r="E3" s="1"/>
      <c r="F3" s="1"/>
      <c r="G3" s="1"/>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20" t="s">
        <v>189</v>
      </c>
      <c r="C4" s="21"/>
      <c r="D4" s="21"/>
      <c r="E4" s="21"/>
      <c r="F4" s="21"/>
      <c r="G4" s="21"/>
    </row>
    <row r="5" customFormat="false" ht="15" hidden="false" customHeight="false" outlineLevel="0" collapsed="false">
      <c r="A5" s="6"/>
      <c r="B5" s="7" t="s">
        <v>3</v>
      </c>
      <c r="C5" s="8" t="n">
        <f aca="false">-Purchase_Price</f>
        <v>-18500000</v>
      </c>
      <c r="D5" s="6"/>
      <c r="E5" s="6"/>
      <c r="F5" s="6"/>
      <c r="G5" s="6"/>
    </row>
    <row r="6" customFormat="false" ht="15" hidden="false" customHeight="false" outlineLevel="0" collapsed="false">
      <c r="A6" s="6"/>
      <c r="B6" s="7" t="s">
        <v>47</v>
      </c>
      <c r="C6" s="8" t="n">
        <f aca="false">-Acquisition_Costs</f>
        <v>-185000</v>
      </c>
      <c r="D6" s="6"/>
      <c r="E6" s="6"/>
      <c r="F6" s="6"/>
      <c r="G6" s="6"/>
    </row>
    <row r="7" customFormat="false" ht="15" hidden="false" customHeight="false" outlineLevel="0" collapsed="false">
      <c r="A7" s="6"/>
      <c r="B7" s="7" t="s">
        <v>190</v>
      </c>
      <c r="C7" s="8" t="n">
        <f aca="false">Loan_Amount</f>
        <v>12950000</v>
      </c>
      <c r="D7" s="6"/>
      <c r="E7" s="6"/>
      <c r="F7" s="6"/>
      <c r="G7" s="6"/>
    </row>
    <row r="8" customFormat="false" ht="15" hidden="false" customHeight="false" outlineLevel="0" collapsed="false">
      <c r="A8" s="6"/>
      <c r="B8" s="7" t="s">
        <v>191</v>
      </c>
      <c r="C8" s="8" t="n">
        <f aca="false">-(Purchase_Price+Acquisition_Costs-Loan_Amount)</f>
        <v>-5735000</v>
      </c>
      <c r="D8" s="6"/>
      <c r="E8" s="6"/>
      <c r="F8" s="6"/>
      <c r="G8" s="6"/>
    </row>
    <row r="9" customFormat="false" ht="15" hidden="false" customHeight="false" outlineLevel="0" collapsed="false">
      <c r="A9" s="6"/>
      <c r="B9" s="6"/>
      <c r="C9" s="6"/>
      <c r="D9" s="6"/>
      <c r="E9" s="6"/>
      <c r="F9" s="6"/>
      <c r="G9" s="6"/>
    </row>
    <row r="10" customFormat="false" ht="15" hidden="false" customHeight="false" outlineLevel="0" collapsed="false">
      <c r="A10" s="6"/>
      <c r="B10" s="6"/>
      <c r="C10" s="29" t="s">
        <v>139</v>
      </c>
      <c r="D10" s="29" t="s">
        <v>140</v>
      </c>
      <c r="E10" s="29" t="s">
        <v>141</v>
      </c>
      <c r="F10" s="29" t="s">
        <v>142</v>
      </c>
      <c r="G10" s="29" t="s">
        <v>143</v>
      </c>
    </row>
    <row r="11" customFormat="false" ht="15" hidden="false" customHeight="false" outlineLevel="0" collapsed="false">
      <c r="A11" s="6"/>
      <c r="B11" s="20" t="s">
        <v>192</v>
      </c>
      <c r="C11" s="21"/>
      <c r="D11" s="21"/>
      <c r="E11" s="21"/>
      <c r="F11" s="21"/>
      <c r="G11" s="21"/>
    </row>
    <row r="12" customFormat="false" ht="15" hidden="false" customHeight="false" outlineLevel="0" collapsed="false">
      <c r="A12" s="6"/>
      <c r="B12" s="7" t="s">
        <v>193</v>
      </c>
      <c r="C12" s="8" t="n">
        <f aca="false">OE_NOI_Y1</f>
        <v>2175137.58</v>
      </c>
      <c r="D12" s="8" t="n">
        <f aca="false">OE_NOI_Y2</f>
        <v>2369184.3574125</v>
      </c>
      <c r="E12" s="8" t="n">
        <f aca="false">OE_NOI_Y3</f>
        <v>2556450.34591575</v>
      </c>
      <c r="F12" s="8" t="n">
        <f aca="false">OE_NOI_Y4</f>
        <v>2731667.13392031</v>
      </c>
      <c r="G12" s="8" t="n">
        <f aca="false">OE_NOI_Y5</f>
        <v>2828924.11632705</v>
      </c>
    </row>
    <row r="13" customFormat="false" ht="15" hidden="false" customHeight="false" outlineLevel="0" collapsed="false">
      <c r="A13" s="6"/>
      <c r="B13" s="7" t="s">
        <v>174</v>
      </c>
      <c r="C13" s="8" t="n">
        <f aca="false">CR_Reserves_Y1</f>
        <v>-52500</v>
      </c>
      <c r="D13" s="8" t="n">
        <f aca="false">CR_Reserves_Y2</f>
        <v>-53812.5</v>
      </c>
      <c r="E13" s="8" t="n">
        <f aca="false">CR_Reserves_Y3</f>
        <v>-55157.8125</v>
      </c>
      <c r="F13" s="8" t="n">
        <f aca="false">CR_Reserves_Y4</f>
        <v>-56536.7578125</v>
      </c>
      <c r="G13" s="8" t="n">
        <f aca="false">CR_Reserves_Y5</f>
        <v>-57950.1767578125</v>
      </c>
    </row>
    <row r="14" customFormat="false" ht="15" hidden="false" customHeight="false" outlineLevel="0" collapsed="false">
      <c r="A14" s="6"/>
      <c r="B14" s="7" t="s">
        <v>175</v>
      </c>
      <c r="C14" s="8" t="n">
        <f aca="false">CR_Reno_Capex_Y1</f>
        <v>-660000</v>
      </c>
      <c r="D14" s="8" t="n">
        <f aca="false">CR_Reno_Capex_Y2</f>
        <v>-1100000</v>
      </c>
      <c r="E14" s="8" t="n">
        <f aca="false">CR_Reno_Capex_Y3</f>
        <v>-880000</v>
      </c>
      <c r="F14" s="8" t="n">
        <f aca="false">CR_Reno_Capex_Y4</f>
        <v>-660000</v>
      </c>
      <c r="G14" s="8" t="n">
        <f aca="false">CR_Reno_Capex_Y5</f>
        <v>-0</v>
      </c>
    </row>
    <row r="15" customFormat="false" ht="15" hidden="false" customHeight="false" outlineLevel="0" collapsed="false">
      <c r="A15" s="6"/>
      <c r="B15" s="13" t="s">
        <v>194</v>
      </c>
      <c r="C15" s="30" t="n">
        <f aca="false">C12+C13+C14</f>
        <v>1462637.58</v>
      </c>
      <c r="D15" s="30" t="n">
        <f aca="false">D12+D13+D14</f>
        <v>1215371.8574125</v>
      </c>
      <c r="E15" s="30" t="n">
        <f aca="false">E12+E13+E14</f>
        <v>1621292.53341575</v>
      </c>
      <c r="F15" s="30" t="n">
        <f aca="false">F12+F13+F14</f>
        <v>2015130.37610781</v>
      </c>
      <c r="G15" s="30" t="n">
        <f aca="false">G12+G13+G14</f>
        <v>2770973.93956924</v>
      </c>
    </row>
    <row r="16" customFormat="false" ht="15" hidden="false" customHeight="false" outlineLevel="0" collapsed="false">
      <c r="A16" s="6"/>
      <c r="B16" s="7" t="s">
        <v>195</v>
      </c>
      <c r="C16" s="8" t="n">
        <v>0</v>
      </c>
      <c r="D16" s="8" t="n">
        <v>0</v>
      </c>
      <c r="E16" s="8" t="n">
        <v>0</v>
      </c>
      <c r="F16" s="8" t="n">
        <v>0</v>
      </c>
      <c r="G16" s="8" t="n">
        <f aca="false">OE_NOI_Y5*(1+Exit_Growth_Rate)/Exit_Cap_Rate</f>
        <v>55770218.2933047</v>
      </c>
    </row>
    <row r="17" customFormat="false" ht="15" hidden="false" customHeight="false" outlineLevel="0" collapsed="false">
      <c r="A17" s="6"/>
      <c r="B17" s="7" t="s">
        <v>196</v>
      </c>
      <c r="C17" s="8" t="n">
        <v>0</v>
      </c>
      <c r="D17" s="8" t="n">
        <v>0</v>
      </c>
      <c r="E17" s="8" t="n">
        <v>0</v>
      </c>
      <c r="F17" s="8" t="n">
        <v>0</v>
      </c>
      <c r="G17" s="8" t="n">
        <f aca="false">-G16*Selling_Cost_Pct</f>
        <v>-1115404.36586609</v>
      </c>
    </row>
    <row r="18" customFormat="false" ht="15" hidden="false" customHeight="false" outlineLevel="0" collapsed="false">
      <c r="A18" s="6"/>
      <c r="B18" s="13" t="s">
        <v>197</v>
      </c>
      <c r="C18" s="31" t="n">
        <f aca="false">C15+C16+C17</f>
        <v>1462637.58</v>
      </c>
      <c r="D18" s="31" t="n">
        <f aca="false">D15+D16+D17</f>
        <v>1215371.8574125</v>
      </c>
      <c r="E18" s="31" t="n">
        <f aca="false">E15+E16+E17</f>
        <v>1621292.53341575</v>
      </c>
      <c r="F18" s="31" t="n">
        <f aca="false">F15+F16+F17</f>
        <v>2015130.37610781</v>
      </c>
      <c r="G18" s="31" t="n">
        <f aca="false">G15+G16+G17</f>
        <v>57425787.8670078</v>
      </c>
    </row>
    <row r="19" customFormat="false" ht="15" hidden="false" customHeight="false" outlineLevel="0" collapsed="false">
      <c r="A19" s="6"/>
      <c r="B19" s="20" t="s">
        <v>198</v>
      </c>
      <c r="C19" s="21"/>
      <c r="D19" s="21"/>
      <c r="E19" s="21"/>
      <c r="F19" s="21"/>
      <c r="G19" s="21"/>
    </row>
    <row r="20" customFormat="false" ht="15" hidden="false" customHeight="false" outlineLevel="0" collapsed="false">
      <c r="A20" s="6"/>
      <c r="B20" s="7" t="s">
        <v>182</v>
      </c>
      <c r="C20" s="8" t="n">
        <f aca="false">DS_Interest_Y1</f>
        <v>-744625</v>
      </c>
      <c r="D20" s="8" t="n">
        <f aca="false">DS_Interest_Y2</f>
        <v>-744625</v>
      </c>
      <c r="E20" s="8" t="n">
        <f aca="false">DS_Interest_Y3</f>
        <v>-744625</v>
      </c>
      <c r="F20" s="8" t="n">
        <f aca="false">DS_Interest_Y4</f>
        <v>-735295.784912486</v>
      </c>
      <c r="G20" s="8" t="n">
        <f aca="false">DS_Interest_Y5</f>
        <v>-726083.45316108</v>
      </c>
    </row>
    <row r="21" customFormat="false" ht="15" hidden="false" customHeight="false" outlineLevel="0" collapsed="false">
      <c r="A21" s="6"/>
      <c r="B21" s="7" t="s">
        <v>184</v>
      </c>
      <c r="C21" s="8" t="n">
        <f aca="false">-DS_Principal_Y1</f>
        <v>-0</v>
      </c>
      <c r="D21" s="8" t="n">
        <f aca="false">-DS_Principal_Y2</f>
        <v>-0</v>
      </c>
      <c r="E21" s="8" t="n">
        <f aca="false">-DS_Principal_Y3</f>
        <v>-162247.218913281</v>
      </c>
      <c r="F21" s="8" t="n">
        <f aca="false">-DS_Principal_Y4</f>
        <v>-160214.465241845</v>
      </c>
      <c r="G21" s="8" t="n">
        <f aca="false">-DS_Principal_Y5</f>
        <v>-158207.17941828</v>
      </c>
    </row>
    <row r="22" customFormat="false" ht="15" hidden="false" customHeight="false" outlineLevel="0" collapsed="false">
      <c r="A22" s="6"/>
      <c r="B22" s="7" t="s">
        <v>199</v>
      </c>
      <c r="C22" s="8" t="n">
        <v>0</v>
      </c>
      <c r="D22" s="8" t="n">
        <v>0</v>
      </c>
      <c r="E22" s="8" t="n">
        <v>0</v>
      </c>
      <c r="F22" s="8" t="n">
        <v>0</v>
      </c>
      <c r="G22" s="8" t="n">
        <f aca="false">-DS_Closing_Y5</f>
        <v>-12469331.1364266</v>
      </c>
    </row>
    <row r="23" customFormat="false" ht="15" hidden="false" customHeight="false" outlineLevel="0" collapsed="false">
      <c r="A23" s="6"/>
      <c r="B23" s="13" t="s">
        <v>200</v>
      </c>
      <c r="C23" s="31" t="n">
        <f aca="false">C18+C20+C21+C22</f>
        <v>718012.58</v>
      </c>
      <c r="D23" s="31" t="n">
        <f aca="false">D18+D20+D21+D22</f>
        <v>470746.8574125</v>
      </c>
      <c r="E23" s="31" t="n">
        <f aca="false">E18+E20+E21+E22</f>
        <v>714420.314502469</v>
      </c>
      <c r="F23" s="31" t="n">
        <f aca="false">F18+F20+F21+F22</f>
        <v>1119620.12595347</v>
      </c>
      <c r="G23" s="31" t="n">
        <f aca="false">G18+G20+G21+G22</f>
        <v>44072166.0980018</v>
      </c>
    </row>
    <row r="24" customFormat="false" ht="15" hidden="false" customHeight="false" outlineLevel="0" collapsed="false">
      <c r="A24" s="6"/>
      <c r="B24" s="6"/>
      <c r="C24" s="6"/>
      <c r="D24" s="6"/>
      <c r="E24" s="6"/>
      <c r="F24" s="6"/>
      <c r="G24" s="6"/>
    </row>
    <row r="25" customFormat="false" ht="15" hidden="false" customHeight="false" outlineLevel="0" collapsed="false">
      <c r="A25" s="6"/>
      <c r="B25" s="20" t="s">
        <v>201</v>
      </c>
      <c r="C25" s="21"/>
      <c r="D25" s="21"/>
      <c r="E25" s="21"/>
      <c r="F25" s="21"/>
      <c r="G25" s="21"/>
    </row>
    <row r="26" customFormat="false" ht="15" hidden="false" customHeight="false" outlineLevel="0" collapsed="false">
      <c r="A26" s="6"/>
      <c r="B26" s="7" t="s">
        <v>202</v>
      </c>
      <c r="C26" s="10" t="n">
        <f aca="false">OE_NOI_Y1/Purchase_Price</f>
        <v>0.117575004324324</v>
      </c>
      <c r="D26" s="6"/>
      <c r="E26" s="6"/>
      <c r="F26" s="6"/>
      <c r="G26" s="6"/>
    </row>
    <row r="27" customFormat="false" ht="15" hidden="false" customHeight="false" outlineLevel="0" collapsed="false">
      <c r="A27" s="6"/>
      <c r="B27" s="7" t="s">
        <v>203</v>
      </c>
      <c r="C27" s="10" t="n">
        <f aca="false">OE_NOI_Y1*(1+Exit_Growth_Rate)/(Purchase_Price+Acquisition_Costs+ABS(UM_Reno_Capex_Y1)+ABS(UM_Reno_Capex_Y2)+ABS(UM_Reno_Capex_Y3)+ABS(UM_Reno_Capex_Y4))</f>
        <v>0.102400154437116</v>
      </c>
      <c r="D27" s="6"/>
      <c r="E27" s="6"/>
      <c r="F27" s="6"/>
      <c r="G27" s="6"/>
    </row>
    <row r="28" customFormat="false" ht="15" hidden="false" customHeight="false" outlineLevel="0" collapsed="false">
      <c r="A28" s="6"/>
      <c r="B28" s="7" t="s">
        <v>204</v>
      </c>
      <c r="C28" s="10" t="n">
        <f aca="false">IFERROR(XIRR(B36:G36,B35:G35),0)</f>
        <v>0.300875151460725</v>
      </c>
      <c r="D28" s="6"/>
      <c r="E28" s="6"/>
      <c r="F28" s="6"/>
      <c r="G28" s="6"/>
    </row>
    <row r="29" customFormat="false" ht="15" hidden="false" customHeight="false" outlineLevel="0" collapsed="false">
      <c r="A29" s="6"/>
      <c r="B29" s="7" t="s">
        <v>6</v>
      </c>
      <c r="C29" s="10" t="n">
        <f aca="false">IFERROR(XIRR(B37:G37,B35:G35),0)</f>
        <v>0.563618958275452</v>
      </c>
      <c r="D29" s="6"/>
      <c r="E29" s="6"/>
      <c r="F29" s="6"/>
      <c r="G29" s="6"/>
    </row>
    <row r="30" customFormat="false" ht="15" hidden="false" customHeight="false" outlineLevel="0" collapsed="false">
      <c r="A30" s="6"/>
      <c r="B30" s="7" t="s">
        <v>7</v>
      </c>
      <c r="C30" s="11" t="n">
        <f aca="false">IFERROR((C23+D23+E23+F23+G23)/ABS(CF_Equity_Y0),0)</f>
        <v>8.21185108559203</v>
      </c>
      <c r="D30" s="6"/>
      <c r="E30" s="6"/>
      <c r="F30" s="6"/>
      <c r="G30" s="6"/>
    </row>
    <row r="31" customFormat="false" ht="15" hidden="false" customHeight="false" outlineLevel="0" collapsed="false">
      <c r="A31" s="6"/>
      <c r="B31" s="7" t="s">
        <v>205</v>
      </c>
      <c r="C31" s="10" t="n">
        <f aca="false">IFERROR(C23/ABS(CF_Equity_Y0),0)</f>
        <v>0.125198357454228</v>
      </c>
      <c r="D31" s="6"/>
      <c r="E31" s="6"/>
      <c r="F31" s="6"/>
      <c r="G31" s="6"/>
    </row>
    <row r="32" customFormat="false" ht="15" hidden="false" customHeight="false" outlineLevel="0" collapsed="false">
      <c r="A32" s="6"/>
      <c r="B32" s="7" t="s">
        <v>206</v>
      </c>
      <c r="C32" s="10" t="n">
        <f aca="false">IFERROR(D23/ABS(CF_Equity_Y0),0)</f>
        <v>0.0820831486333915</v>
      </c>
      <c r="D32" s="6"/>
      <c r="E32" s="6"/>
      <c r="F32" s="6"/>
      <c r="G32" s="6"/>
    </row>
    <row r="33" customFormat="false" ht="15" hidden="false" customHeight="false" outlineLevel="0" collapsed="false">
      <c r="A33" s="6"/>
      <c r="B33" s="7" t="s">
        <v>207</v>
      </c>
      <c r="C33" s="10" t="n">
        <f aca="false">IFERROR(E23/ABS(CF_Equity_Y0),0)</f>
        <v>0.124571981604615</v>
      </c>
      <c r="D33" s="6"/>
      <c r="E33" s="6"/>
      <c r="F33" s="6"/>
      <c r="G33" s="6"/>
    </row>
    <row r="34" customFormat="false" ht="15" hidden="false" customHeight="false" outlineLevel="0" collapsed="false">
      <c r="A34" s="6"/>
      <c r="B34" s="6"/>
      <c r="C34" s="6"/>
      <c r="D34" s="6"/>
      <c r="E34" s="6"/>
      <c r="F34" s="6"/>
      <c r="G34" s="6"/>
    </row>
    <row r="35" customFormat="false" ht="15" hidden="false" customHeight="false" outlineLevel="0" collapsed="false">
      <c r="A35" s="6"/>
      <c r="B35" s="33" t="n">
        <v>46023</v>
      </c>
      <c r="C35" s="33" t="n">
        <v>46388</v>
      </c>
      <c r="D35" s="33" t="n">
        <v>46753</v>
      </c>
      <c r="E35" s="33" t="n">
        <v>47119</v>
      </c>
      <c r="F35" s="33" t="n">
        <v>47484</v>
      </c>
      <c r="G35" s="33" t="n">
        <v>47849</v>
      </c>
    </row>
    <row r="36" customFormat="false" ht="15" hidden="false" customHeight="false" outlineLevel="0" collapsed="false">
      <c r="A36" s="6"/>
      <c r="B36" s="34" t="n">
        <f aca="false">-(Purchase_Price+Acquisition_Costs)</f>
        <v>-18685000</v>
      </c>
      <c r="C36" s="34" t="n">
        <f aca="false">C18</f>
        <v>1462637.58</v>
      </c>
      <c r="D36" s="34" t="n">
        <f aca="false">D18</f>
        <v>1215371.8574125</v>
      </c>
      <c r="E36" s="34" t="n">
        <f aca="false">E18</f>
        <v>1621292.53341575</v>
      </c>
      <c r="F36" s="34" t="n">
        <f aca="false">F18</f>
        <v>2015130.37610781</v>
      </c>
      <c r="G36" s="34" t="n">
        <f aca="false">G18</f>
        <v>57425787.8670078</v>
      </c>
    </row>
    <row r="37" customFormat="false" ht="15" hidden="false" customHeight="false" outlineLevel="0" collapsed="false">
      <c r="A37" s="6"/>
      <c r="B37" s="34" t="n">
        <f aca="false">CF_Equity_Y0</f>
        <v>-5735000</v>
      </c>
      <c r="C37" s="34" t="n">
        <f aca="false">C23</f>
        <v>718012.58</v>
      </c>
      <c r="D37" s="34" t="n">
        <f aca="false">D23</f>
        <v>470746.8574125</v>
      </c>
      <c r="E37" s="34" t="n">
        <f aca="false">E23</f>
        <v>714420.314502469</v>
      </c>
      <c r="F37" s="34" t="n">
        <f aca="false">F23</f>
        <v>1119620.12595347</v>
      </c>
      <c r="G37" s="34" t="n">
        <f aca="false">G23</f>
        <v>44072166.0980018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AD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12"/>
    <col collapsed="false" customWidth="true" hidden="false" outlineLevel="0" max="4" min="4" style="0" width="45"/>
  </cols>
  <sheetData>
    <row r="1" customFormat="false" ht="15" hidden="false" customHeight="false" outlineLevel="0" collapsed="false">
      <c r="A1" s="1"/>
      <c r="B1" s="1"/>
      <c r="C1" s="1"/>
      <c r="D1" s="1"/>
      <c r="E1" s="2"/>
      <c r="F1" s="2"/>
      <c r="G1" s="2"/>
      <c r="H1" s="2"/>
      <c r="I1" s="2"/>
      <c r="J1" s="2"/>
      <c r="K1" s="2"/>
      <c r="L1" s="2"/>
      <c r="M1" s="2"/>
      <c r="N1" s="2"/>
      <c r="O1" s="2"/>
      <c r="P1" s="2"/>
      <c r="Q1" s="2"/>
      <c r="R1" s="2"/>
      <c r="S1" s="2"/>
      <c r="T1" s="2"/>
      <c r="U1" s="2"/>
      <c r="V1" s="2"/>
      <c r="W1" s="2"/>
      <c r="X1" s="2"/>
      <c r="Y1" s="2"/>
      <c r="Z1" s="2"/>
      <c r="AA1" s="2"/>
      <c r="AB1" s="2"/>
      <c r="AC1" s="2"/>
      <c r="AD1" s="2"/>
    </row>
    <row r="2" customFormat="false" ht="21.75" hidden="false" customHeight="true" outlineLevel="0" collapsed="false">
      <c r="A2" s="1"/>
      <c r="B2" s="19" t="s">
        <v>208</v>
      </c>
      <c r="C2" s="1"/>
      <c r="D2" s="1"/>
      <c r="E2" s="2"/>
      <c r="F2" s="2"/>
      <c r="G2" s="2"/>
      <c r="H2" s="2"/>
      <c r="I2" s="2"/>
      <c r="J2" s="2"/>
      <c r="K2" s="2"/>
      <c r="L2" s="2"/>
      <c r="M2" s="2"/>
      <c r="N2" s="2"/>
      <c r="O2" s="2"/>
      <c r="P2" s="2"/>
      <c r="Q2" s="2"/>
      <c r="R2" s="2"/>
      <c r="S2" s="2"/>
      <c r="T2" s="2"/>
      <c r="U2" s="2"/>
      <c r="V2" s="2"/>
      <c r="W2" s="2"/>
      <c r="X2" s="2"/>
      <c r="Y2" s="2"/>
      <c r="Z2" s="2"/>
      <c r="AA2" s="2"/>
      <c r="AB2" s="2"/>
      <c r="AC2" s="2"/>
      <c r="AD2" s="2"/>
    </row>
    <row r="3" customFormat="false" ht="15" hidden="false" customHeight="false" outlineLevel="0" collapsed="false">
      <c r="A3" s="1"/>
      <c r="B3" s="35" t="s">
        <v>209</v>
      </c>
      <c r="C3" s="1"/>
      <c r="D3" s="1"/>
      <c r="E3" s="2"/>
      <c r="F3" s="2"/>
      <c r="G3" s="2"/>
      <c r="H3" s="2"/>
      <c r="I3" s="2"/>
      <c r="J3" s="2"/>
      <c r="K3" s="2"/>
      <c r="L3" s="2"/>
      <c r="M3" s="2"/>
      <c r="N3" s="2"/>
      <c r="O3" s="2"/>
      <c r="P3" s="2"/>
      <c r="Q3" s="2"/>
      <c r="R3" s="2"/>
      <c r="S3" s="2"/>
      <c r="T3" s="2"/>
      <c r="U3" s="2"/>
      <c r="V3" s="2"/>
      <c r="W3" s="2"/>
      <c r="X3" s="2"/>
      <c r="Y3" s="2"/>
      <c r="Z3" s="2"/>
      <c r="AA3" s="2"/>
      <c r="AB3" s="2"/>
      <c r="AC3" s="2"/>
      <c r="AD3" s="2"/>
    </row>
    <row r="4" customFormat="false" ht="15" hidden="false" customHeight="false" outlineLevel="0" collapsed="false">
      <c r="A4" s="6"/>
      <c r="B4" s="36" t="s">
        <v>210</v>
      </c>
      <c r="C4" s="36" t="s">
        <v>211</v>
      </c>
      <c r="D4" s="36" t="s">
        <v>212</v>
      </c>
    </row>
    <row r="5" customFormat="false" ht="15" hidden="false" customHeight="false" outlineLevel="0" collapsed="false">
      <c r="A5" s="6"/>
      <c r="B5" s="7" t="s">
        <v>213</v>
      </c>
      <c r="C5" s="37" t="b">
        <f aca="false">ABS(UM_Reno_Cumul_Y4-Total_Units)&lt;1</f>
        <v>1</v>
      </c>
      <c r="D5" s="23" t="s">
        <v>214</v>
      </c>
    </row>
    <row r="6" customFormat="false" ht="15" hidden="false" customHeight="false" outlineLevel="0" collapsed="false">
      <c r="A6" s="6"/>
      <c r="B6" s="7" t="s">
        <v>215</v>
      </c>
      <c r="C6" s="37" t="b">
        <f aca="false">DS_Closing_Y3&lt;DS_Closing_Y2</f>
        <v>1</v>
      </c>
      <c r="D6" s="23" t="s">
        <v>216</v>
      </c>
    </row>
    <row r="7" customFormat="false" ht="15" hidden="false" customHeight="false" outlineLevel="0" collapsed="false">
      <c r="A7" s="6"/>
      <c r="B7" s="7" t="s">
        <v>217</v>
      </c>
      <c r="C7" s="37" t="b">
        <f aca="false">DS_Closing_Y4&lt;DS_Closing_Y3</f>
        <v>1</v>
      </c>
      <c r="D7" s="23"/>
    </row>
    <row r="8" customFormat="false" ht="15" hidden="false" customHeight="false" outlineLevel="0" collapsed="false">
      <c r="A8" s="6"/>
      <c r="B8" s="7" t="s">
        <v>218</v>
      </c>
      <c r="C8" s="37" t="b">
        <f aca="false">DS_Closing_Y5&lt;DS_Closing_Y4</f>
        <v>1</v>
      </c>
      <c r="D8" s="23"/>
    </row>
    <row r="9" customFormat="false" ht="15" hidden="false" customHeight="false" outlineLevel="0" collapsed="false">
      <c r="A9" s="6"/>
      <c r="B9" s="7" t="s">
        <v>219</v>
      </c>
      <c r="C9" s="37" t="b">
        <f aca="false">DS_DSCR_Y1&gt;=1</f>
        <v>1</v>
      </c>
      <c r="D9" s="23" t="s">
        <v>220</v>
      </c>
    </row>
    <row r="10" customFormat="false" ht="15" hidden="false" customHeight="false" outlineLevel="0" collapsed="false">
      <c r="A10" s="6"/>
      <c r="B10" s="7" t="s">
        <v>221</v>
      </c>
      <c r="C10" s="37" t="b">
        <f aca="false">DS_DSCR_Y3&gt;=1.2</f>
        <v>1</v>
      </c>
      <c r="D10" s="23" t="s">
        <v>222</v>
      </c>
    </row>
    <row r="11" customFormat="false" ht="15" hidden="false" customHeight="false" outlineLevel="0" collapsed="false">
      <c r="A11" s="6"/>
      <c r="B11" s="7" t="s">
        <v>223</v>
      </c>
      <c r="C11" s="37" t="b">
        <f aca="false">Going_In_Cap_Rate&gt;=0.04</f>
        <v>1</v>
      </c>
      <c r="D11" s="23" t="s">
        <v>224</v>
      </c>
    </row>
    <row r="12" customFormat="false" ht="15" hidden="false" customHeight="false" outlineLevel="0" collapsed="false">
      <c r="A12" s="6"/>
      <c r="B12" s="7" t="s">
        <v>225</v>
      </c>
      <c r="C12" s="37" t="b">
        <f aca="false">Levered_IRR&gt;Unlev_IRR</f>
        <v>1</v>
      </c>
      <c r="D12" s="23" t="s">
        <v>226</v>
      </c>
    </row>
    <row r="13" customFormat="false" ht="15" hidden="false" customHeight="false" outlineLevel="0" collapsed="false">
      <c r="A13" s="6"/>
      <c r="B13" s="7" t="s">
        <v>227</v>
      </c>
      <c r="C13" s="37" t="b">
        <f aca="false">Levered_IRR&gt;0</f>
        <v>1</v>
      </c>
      <c r="D13" s="23"/>
    </row>
    <row r="14" customFormat="false" ht="15" hidden="false" customHeight="false" outlineLevel="0" collapsed="false">
      <c r="A14" s="6"/>
      <c r="B14" s="7" t="s">
        <v>228</v>
      </c>
      <c r="C14" s="37" t="b">
        <f aca="false">Equity_Multiple&gt;1</f>
        <v>1</v>
      </c>
      <c r="D14" s="23" t="s">
        <v>229</v>
      </c>
    </row>
    <row r="15" customFormat="false" ht="15" hidden="false" customHeight="false" outlineLevel="0" collapsed="false">
      <c r="A15" s="6"/>
      <c r="B15" s="7" t="s">
        <v>230</v>
      </c>
      <c r="C15" s="37" t="b">
        <f aca="false">AND(OE_NOI_Margin_Y1&gt;=0.5,OE_NOI_Margin_Y1&lt;=0.85)</f>
        <v>1</v>
      </c>
      <c r="D15" s="23" t="s">
        <v>231</v>
      </c>
    </row>
    <row r="16" customFormat="false" ht="15" hidden="false" customHeight="false" outlineLevel="0" collapsed="false">
      <c r="A16" s="6"/>
      <c r="B16" s="7" t="s">
        <v>232</v>
      </c>
      <c r="C16" s="37" t="b">
        <f aca="false">CF_Unlev_Op_Y5+CF_Exit_Value+CF_Selling_Costs&gt;0</f>
        <v>1</v>
      </c>
      <c r="D16" s="23" t="s">
        <v>233</v>
      </c>
    </row>
    <row r="17" customFormat="false" ht="15" hidden="false" customHeight="false" outlineLevel="0" collapsed="false">
      <c r="A17" s="6"/>
      <c r="B17" s="7" t="s">
        <v>234</v>
      </c>
      <c r="C17" s="37" t="b">
        <f aca="false">ABS((ABS(CR_Reno_Capex_Y1)+ABS(CR_Reno_Capex_Y2)+ABS(CR_Reno_Capex_Y3)+ABS(CR_Reno_Capex_Y4)+ABS(CR_Reno_Capex_Y5))-(Total_Units*Reno_Cost_Per_Unit))&lt;1</f>
        <v>1</v>
      </c>
      <c r="D17" s="23" t="s">
        <v>235</v>
      </c>
    </row>
  </sheetData>
  <conditionalFormatting sqref="C5:C17">
    <cfRule type="cellIs" priority="2" operator="equal" aboveAverage="0" equalAverage="0" bottom="0" percent="0" rank="0" text="" dxfId="0">
      <formula>"TRUE"</formula>
    </cfRule>
    <cfRule type="cellIs" priority="3" operator="equal" aboveAverage="0" equalAverage="0" bottom="0" percent="0" rank="0" text="" dxfId="1">
      <formula>"FALSE"</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2026-05-15T18:53:31Z</dcterms:created>
  <dc:creator>openpyxl</dc:creator>
  <dc:description/>
  <dc:language>en-GB</dc:language>
  <cp:lastModifiedBy/>
  <dcterms:modified xsi:type="dcterms:W3CDTF">2026-05-15T18:53:31Z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