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Detail" sheetId="3" state="visible" r:id="rId5"/>
    <sheet name="Expenditure_Detail" sheetId="4" state="visible" r:id="rId6"/>
    <sheet name="Capital_Budget" sheetId="5" state="visible" r:id="rId7"/>
    <sheet name="Debt_Schedule" sheetId="6" state="visible" r:id="rId8"/>
    <sheet name="Operating_Statement" sheetId="7" state="visible" r:id="rId9"/>
    <sheet name="Cash_Flow" sheetId="8" state="visible" r:id="rId10"/>
    <sheet name="Key_Metrics" sheetId="9" state="visible" r:id="rId11"/>
    <sheet name="Disclaimer" sheetId="10" state="visible" r:id="rId12"/>
  </sheets>
  <definedNames>
    <definedName function="false" hidden="false" name="Admin_FTE" vbProcedure="false">Assumptions!$C$44</definedName>
    <definedName function="false" hidden="false" name="Assessed_Value" vbProcedure="false">Assumptions!$C$14</definedName>
    <definedName function="false" hidden="false" name="Avg_Salary" vbProcedure="false">Assumptions!$C$46</definedName>
    <definedName function="false" hidden="false" name="Avg_Usage_Rate" vbProcedure="false">Assumptions!$C$27</definedName>
    <definedName function="false" hidden="false" name="AV_Growth" vbProcedure="false">Assumptions!$C$15</definedName>
    <definedName function="false" hidden="false" name="Benefits_Rate" vbProcedure="false">Assumptions!$C$48</definedName>
    <definedName function="false" hidden="false" name="Buildings_CapEx" vbProcedure="false">Assumptions!$C$62</definedName>
    <definedName function="false" hidden="false" name="Buildings_Life" vbProcedure="false">Assumptions!$C$67</definedName>
    <definedName function="false" hidden="false" name="Charges_Base" vbProcedure="false">Assumptions!$C$35</definedName>
    <definedName function="false" hidden="false" name="Charges_Growth" vbProcedure="false">Assumptions!$C$36</definedName>
    <definedName function="false" hidden="false" name="COLA_Rate" vbProcedure="false">Assumptions!$C$47</definedName>
    <definedName function="false" hidden="false" name="Collection_Rate" vbProcedure="false">Assumptions!$C$18</definedName>
    <definedName function="false" hidden="false" name="Conn_Growth" vbProcedure="false">Assumptions!$C$26</definedName>
    <definedName function="false" hidden="false" name="Existing_Bond_Rate" vbProcedure="false">Assumptions!$C$76</definedName>
    <definedName function="false" hidden="false" name="Existing_Debt" vbProcedure="false">Assumptions!$C$75</definedName>
    <definedName function="false" hidden="false" name="Existing_Remain" vbProcedure="false">Assumptions!$C$77</definedName>
    <definedName function="false" hidden="false" name="Fire_FTE" vbProcedure="false">Assumptions!$C$42</definedName>
    <definedName function="false" hidden="false" name="Grant_Funding_Pct" vbProcedure="false">Assumptions!$C$71</definedName>
    <definedName function="false" hidden="false" name="Inflation_Rate" vbProcedure="false">Assumptions!$C$11</definedName>
    <definedName function="false" hidden="false" name="Insurance_Base" vbProcedure="false">Assumptions!$C$55</definedName>
    <definedName function="false" hidden="false" name="Intergov_Base" vbProcedure="false">Assumptions!$C$33</definedName>
    <definedName function="false" hidden="false" name="Intergov_Growth" vbProcedure="false">Assumptions!$C$34</definedName>
    <definedName function="false" hidden="false" name="IT_Base" vbProcedure="false">Assumptions!$C$56</definedName>
    <definedName function="false" hidden="false" name="IT_CapEx" vbProcedure="false">Assumptions!$C$64</definedName>
    <definedName function="false" hidden="false" name="IT_Life" vbProcedure="false">Assumptions!$C$69</definedName>
    <definedName function="false" hidden="false" name="Legal_Debt_Limit_Pct" vbProcedure="false">Assumptions!$C$82</definedName>
    <definedName function="false" hidden="false" name="Materials_Base" vbProcedure="false">Assumptions!$C$53</definedName>
    <definedName function="false" hidden="false" name="Millage_Rate" vbProcedure="false">Assumptions!$C$17</definedName>
    <definedName function="false" hidden="false" name="Model_Start_Year" vbProcedure="false">Assumptions!$C$8</definedName>
    <definedName function="false" hidden="false" name="New_Bond_Amount" vbProcedure="false">Assumptions!$C$78</definedName>
    <definedName function="false" hidden="false" name="New_Bond_Rate" vbProcedure="false">Assumptions!$C$79</definedName>
    <definedName function="false" hidden="false" name="New_Bond_Tenor" vbProcedure="false">Assumptions!$C$80</definedName>
    <definedName function="false" hidden="false" name="New_Bond_Year" vbProcedure="false">Assumptions!$C$81</definedName>
    <definedName function="false" hidden="false" name="New_Constr_Growth" vbProcedure="false">Assumptions!$C$16</definedName>
    <definedName function="false" hidden="false" name="Open_Cash" vbProcedure="false">Assumptions!$C$85</definedName>
    <definedName function="false" hidden="false" name="Open_Fund_Balance" vbProcedure="false">Assumptions!$C$86</definedName>
    <definedName function="false" hidden="false" name="Open_Net_Assets" vbProcedure="false">Assumptions!$C$87</definedName>
    <definedName function="false" hidden="false" name="OpEx_Escalation" vbProcedure="false">Assumptions!$C$58</definedName>
    <definedName function="false" hidden="false" name="Other_OpEx_Base" vbProcedure="false">Assumptions!$C$57</definedName>
    <definedName function="false" hidden="false" name="Other_Rev_Base" vbProcedure="false">Assumptions!$C$37</definedName>
    <definedName function="false" hidden="false" name="Other_Rev_Growth" vbProcedure="false">Assumptions!$C$38</definedName>
    <definedName function="false" hidden="false" name="Parks_CapEx" vbProcedure="false">Assumptions!$C$65</definedName>
    <definedName function="false" hidden="false" name="Parks_FTE" vbProcedure="false">Assumptions!$C$45</definedName>
    <definedName function="false" hidden="false" name="Parks_Life" vbProcedure="false">Assumptions!$C$70</definedName>
    <definedName function="false" hidden="false" name="PayGo_Pct" vbProcedure="false">Assumptions!$C$72</definedName>
    <definedName function="false" hidden="false" name="Pension_Rate" vbProcedure="false">Assumptions!$C$49</definedName>
    <definedName function="false" hidden="false" name="Permits_Base" vbProcedure="false">Assumptions!$C$31</definedName>
    <definedName function="false" hidden="false" name="Permits_Growth" vbProcedure="false">Assumptions!$C$32</definedName>
    <definedName function="false" hidden="false" name="Police_FTE" vbProcedure="false">Assumptions!$C$41</definedName>
    <definedName function="false" hidden="false" name="Population" vbProcedure="false">Assumptions!$C$9</definedName>
    <definedName function="false" hidden="false" name="Pop_Growth" vbProcedure="false">Assumptions!$C$10</definedName>
    <definedName function="false" hidden="false" name="Prof_Services_Base" vbProcedure="false">Assumptions!$C$54</definedName>
    <definedName function="false" hidden="false" name="PW_FTE" vbProcedure="false">Assumptions!$C$43</definedName>
    <definedName function="false" hidden="false" name="Roads_CapEx" vbProcedure="false">Assumptions!$C$61</definedName>
    <definedName function="false" hidden="false" name="Roads_Life" vbProcedure="false">Assumptions!$C$66</definedName>
    <definedName function="false" hidden="false" name="Sales_Tax_Base" vbProcedure="false">Assumptions!$C$21</definedName>
    <definedName function="false" hidden="false" name="Sales_Tax_Growth" vbProcedure="false">Assumptions!$C$22</definedName>
    <definedName function="false" hidden="false" name="Usage_Rate_Increase" vbProcedure="false">Assumptions!$C$28</definedName>
    <definedName function="false" hidden="false" name="Utilities_Base" vbProcedure="false">Assumptions!$C$52</definedName>
    <definedName function="false" hidden="false" name="Utility_Connections" vbProcedure="false">Assumptions!$C$25</definedName>
    <definedName function="false" hidden="false" name="Vehicles_CapEx" vbProcedure="false">Assumptions!$C$63</definedName>
    <definedName function="false" hidden="false" name="Vehicles_Life" vbProcedure="false">Assumptions!$C$68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<sst xmlns="http://schemas.openxmlformats.org/spreadsheetml/2006/main" count="400" uniqueCount="298">
  <si>
    <t xml:space="preserve">Municipal Budget Model</t>
  </si>
  <si>
    <t xml:space="preserve">FINAMODEL.com</t>
  </si>
  <si>
    <t xml:space="preserve">Five-Year Financial Plan</t>
  </si>
  <si>
    <t xml:space="preserve">Municipality</t>
  </si>
  <si>
    <t xml:space="preserve">[City Name]</t>
  </si>
  <si>
    <t xml:space="preserve">Currency</t>
  </si>
  <si>
    <t xml:space="preserve">USD ($)</t>
  </si>
  <si>
    <t xml:space="preserve">Projection Period</t>
  </si>
  <si>
    <t xml:space="preserve">5 Years (FY2026-FY2030)</t>
  </si>
  <si>
    <t xml:space="preserve">Date Prepared</t>
  </si>
  <si>
    <t xml:space="preserve">April 2026</t>
  </si>
  <si>
    <t xml:space="preserve">Sheet Navigation</t>
  </si>
  <si>
    <t xml:space="preserve">Assumptions</t>
  </si>
  <si>
    <t xml:space="preserve">All model inputs and drivers</t>
  </si>
  <si>
    <t xml:space="preserve">Revenue_Detail</t>
  </si>
  <si>
    <t xml:space="preserve">Revenue by category with growth drivers</t>
  </si>
  <si>
    <t xml:space="preserve">Expenditure_Detail</t>
  </si>
  <si>
    <t xml:space="preserve">Personnel and operating costs by department</t>
  </si>
  <si>
    <t xml:space="preserve">Capital_Budget</t>
  </si>
  <si>
    <t xml:space="preserve">Capital expenditure, funding, depreciation</t>
  </si>
  <si>
    <t xml:space="preserve">Debt_Schedule</t>
  </si>
  <si>
    <t xml:space="preserve">Bond amortisation and debt service</t>
  </si>
  <si>
    <t xml:space="preserve">Operating_Statement</t>
  </si>
  <si>
    <t xml:space="preserve">Surplus/deficit and fund balance</t>
  </si>
  <si>
    <t xml:space="preserve">Cash_Flow</t>
  </si>
  <si>
    <t xml:space="preserve">Cash receipts and disbursements</t>
  </si>
  <si>
    <t xml:space="preserve">Key_Metrics</t>
  </si>
  <si>
    <t xml:space="preserve">Financial health indicators</t>
  </si>
  <si>
    <t xml:space="preserve">Tab Colour Legend</t>
  </si>
  <si>
    <t xml:space="preserve">Dark Blue</t>
  </si>
  <si>
    <t xml:space="preserve">Cover</t>
  </si>
  <si>
    <t xml:space="preserve">Light Blue</t>
  </si>
  <si>
    <t xml:space="preserve">Assumptions / Inputs</t>
  </si>
  <si>
    <t xml:space="preserve">Green</t>
  </si>
  <si>
    <t xml:space="preserve">Revenue Drivers</t>
  </si>
  <si>
    <t xml:space="preserve">Orange</t>
  </si>
  <si>
    <t xml:space="preserve">Expenditure Schedules</t>
  </si>
  <si>
    <t xml:space="preserve">Red</t>
  </si>
  <si>
    <t xml:space="preserve">Debt Schedule</t>
  </si>
  <si>
    <t xml:space="preserve">Grey</t>
  </si>
  <si>
    <t xml:space="preserve">Summary Statements</t>
  </si>
  <si>
    <t xml:space="preserve">About this model</t>
  </si>
  <si>
    <t xml:space="preserve">A Municipal Budget Model projects a mid-size city's revenues and expenditures over a 5-year forecast period to assess budget balance, reserve adequacy, and debt capacity. Revenue streams include Property Tax (assessed value Ã millage rate, typically growing 2-4% annually but capped by state law), Sales Tax (taxable sales base Ã rate, 2-5% growth tracking economic activity and inflation), Utility Fees (water/sewer connections Ã usage Ã rates, 3-5% growth with rate studies), Licenses/Permits (building permits, business licenses, tied to construction cycles), Intergovernmental Revenue (federal/state grants, often population-based or discretionary), and Charges for Services (recreation fees, court fines, ambulance, facility rentals, 2-4% growth). Expenditures are split by: Personnel (50-65% of budget: salaries 70%, benefits 30%, driven by headcount and union COLA), Operating &amp; Maintenance (20-30%: utilities, supplies, contracts, insurance), and Capital Outlay &amp; Debt Service (10-20%: funded by pay-as-you-go revenue, GO bonds, grants, impact fees).
The Revenue_Detail sheet models each source independently with growth drivers tied to economic forecasts. Property tax assessment growth (new construction, reassessment cycles) must be distinguished from millage rate changes (political decision). Expenditure_Detail builds bottom-up by department (Police, Fire, Public Works, Parks, Admin) with personnel headcount Ã salary + benefits Ã escalation, then non-personnel operating costs and capital by function. The Debt_Schedule models existing GO bonds, new bond issuance for capital, and annual debt service (principal + interest). Fund Balance Roll-Forward (GASB 54 unassigned, assigned, committed, restricted) tracks whether the city maintains minimum 15-25% of expenditures in reserves (GFOA standard) and whether the operating deficit (revenue shortfall after debt service) can be absorbed without compromising fund balance sustainability.
This model applies to city managers, finance directors, municipal finance investors/creditors, and bond rating agencies assessing financial stability. Key metrics include Fund Balance Ratio (unassigned fund balance / total expenditures, target 15-25%), Debt Service Coverage (revenues minus operating expenditures / debt service, minimum 1.25Ã), and Debt-to-Revenue (total outstanding debt / total revenue, AA-rated cities typically 1-3Ã). Structural budget imbalances (recurring deficits) or depleting reserves signal need for tax increases, expenditure reductions, or bond issuanceâall politically sensitive.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</si>
  <si>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</si>
  <si>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</si>
  <si>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</si>
  <si>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</si>
  <si>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</si>
  <si>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</si>
  <si>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</si>
  <si>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</si>
  <si>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</si>
  <si>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</si>
  <si>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</si>
  <si>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fiscal year</t>
  </si>
  <si>
    <t xml:space="preserve">Population</t>
  </si>
  <si>
    <t xml:space="preserve">City population</t>
  </si>
  <si>
    <t xml:space="preserve">Population Growth</t>
  </si>
  <si>
    <t xml:space="preserve">%</t>
  </si>
  <si>
    <t xml:space="preserve">Annual</t>
  </si>
  <si>
    <t xml:space="preserve">Inflation Rate</t>
  </si>
  <si>
    <t xml:space="preserve">General CPI</t>
  </si>
  <si>
    <t xml:space="preserve">Property Tax</t>
  </si>
  <si>
    <t xml:space="preserve">Assessed Valuation</t>
  </si>
  <si>
    <t xml:space="preserve">$</t>
  </si>
  <si>
    <t xml:space="preserve">Total assessed value</t>
  </si>
  <si>
    <t xml:space="preserve">AV Growth Rate</t>
  </si>
  <si>
    <t xml:space="preserve">Existing property appreciation</t>
  </si>
  <si>
    <t xml:space="preserve">New Construction Growth</t>
  </si>
  <si>
    <t xml:space="preserve">New development additions</t>
  </si>
  <si>
    <t xml:space="preserve">Millage Rate</t>
  </si>
  <si>
    <t xml:space="preserve">mills</t>
  </si>
  <si>
    <t xml:space="preserve">Rate per $1,000 assessed</t>
  </si>
  <si>
    <t xml:space="preserve">Collection Rate</t>
  </si>
  <si>
    <t xml:space="preserve">Typical 96%-98%</t>
  </si>
  <si>
    <t xml:space="preserve">Sales Tax</t>
  </si>
  <si>
    <t xml:space="preserve">Sales Tax Revenue Base</t>
  </si>
  <si>
    <t xml:space="preserve">FY0 sales tax collections</t>
  </si>
  <si>
    <t xml:space="preserve">Sales Tax Growth</t>
  </si>
  <si>
    <t xml:space="preserve">Tracks consumer spending</t>
  </si>
  <si>
    <t xml:space="preserve">Utility Fees</t>
  </si>
  <si>
    <t xml:space="preserve">Water/Sewer Connections</t>
  </si>
  <si>
    <t xml:space="preserve">Active connections</t>
  </si>
  <si>
    <t xml:space="preserve">Connection Growth</t>
  </si>
  <si>
    <t xml:space="preserve">New hookups</t>
  </si>
  <si>
    <t xml:space="preserve">Avg Annual Rate/Conn</t>
  </si>
  <si>
    <t xml:space="preserve">Water + sewer combined</t>
  </si>
  <si>
    <t xml:space="preserve">Rate Increase</t>
  </si>
  <si>
    <t xml:space="preserve">Annual rate study increase</t>
  </si>
  <si>
    <t xml:space="preserve">Other Revenue</t>
  </si>
  <si>
    <t xml:space="preserve">Permits and Licences</t>
  </si>
  <si>
    <t xml:space="preserve">Building permits, business licences</t>
  </si>
  <si>
    <t xml:space="preserve">Permits Growth</t>
  </si>
  <si>
    <t xml:space="preserve">Tracks construction activity</t>
  </si>
  <si>
    <t xml:space="preserve">Intergovernmental Rev</t>
  </si>
  <si>
    <t xml:space="preserve">State/federal grants and shared taxes</t>
  </si>
  <si>
    <t xml:space="preserve">Intergov Growth</t>
  </si>
  <si>
    <t xml:space="preserve">Population-based formulas</t>
  </si>
  <si>
    <t xml:space="preserve">Charges for Services</t>
  </si>
  <si>
    <t xml:space="preserve">Recreation, ambulance, court</t>
  </si>
  <si>
    <t xml:space="preserve">Charges Growth</t>
  </si>
  <si>
    <t xml:space="preserve">Annual fee increases</t>
  </si>
  <si>
    <t xml:space="preserve">Interest income, misc</t>
  </si>
  <si>
    <t xml:space="preserve">Other Revenue Growth</t>
  </si>
  <si>
    <t xml:space="preserve">Personnel</t>
  </si>
  <si>
    <t xml:space="preserve">Police FTEs</t>
  </si>
  <si>
    <t xml:space="preserve">Sworn + civilian</t>
  </si>
  <si>
    <t xml:space="preserve">Fire FTEs</t>
  </si>
  <si>
    <t xml:space="preserve">Firefighters + EMS</t>
  </si>
  <si>
    <t xml:space="preserve">Public Works FTEs</t>
  </si>
  <si>
    <t xml:space="preserve">Roads, water, sewer</t>
  </si>
  <si>
    <t xml:space="preserve">Admin FTEs</t>
  </si>
  <si>
    <t xml:space="preserve">Finance, HR, legal, IT, exec</t>
  </si>
  <si>
    <t xml:space="preserve">Parks and Rec FTEs</t>
  </si>
  <si>
    <t xml:space="preserve">Seasonal average</t>
  </si>
  <si>
    <t xml:space="preserve">Avg Annual Salary</t>
  </si>
  <si>
    <t xml:space="preserve">Blended average all depts</t>
  </si>
  <si>
    <t xml:space="preserve">COLA / Merit Increase</t>
  </si>
  <si>
    <t xml:space="preserve">Annual salary escalation</t>
  </si>
  <si>
    <t xml:space="preserve">Benefits Rate</t>
  </si>
  <si>
    <t xml:space="preserve">Health, dental, life as % salary</t>
  </si>
  <si>
    <t xml:space="preserve">Pension Contribution</t>
  </si>
  <si>
    <t xml:space="preserve">Employer pension as % salary</t>
  </si>
  <si>
    <t xml:space="preserve">Operating Costs</t>
  </si>
  <si>
    <t xml:space="preserve">Utilities and Energy</t>
  </si>
  <si>
    <t xml:space="preserve">Electric, gas, water for muni buildings</t>
  </si>
  <si>
    <t xml:space="preserve">Materials and Supplies</t>
  </si>
  <si>
    <t xml:space="preserve">Road salt, fuel, parts, supplies</t>
  </si>
  <si>
    <t xml:space="preserve">Professional Services</t>
  </si>
  <si>
    <t xml:space="preserve">Legal, audit, consulting, contracts</t>
  </si>
  <si>
    <t xml:space="preserve">Insurance Premiums</t>
  </si>
  <si>
    <t xml:space="preserve">Property, liability, workers comp</t>
  </si>
  <si>
    <t xml:space="preserve">IT and Technology</t>
  </si>
  <si>
    <t xml:space="preserve">Software, maintenance, telecom</t>
  </si>
  <si>
    <t xml:space="preserve">Other Operating</t>
  </si>
  <si>
    <t xml:space="preserve">Training, travel, memberships</t>
  </si>
  <si>
    <t xml:space="preserve">OpEx Escalation</t>
  </si>
  <si>
    <t xml:space="preserve">Tracks inflation + demand</t>
  </si>
  <si>
    <t xml:space="preserve">Capital Budget</t>
  </si>
  <si>
    <t xml:space="preserve">Roads/Infrastructure</t>
  </si>
  <si>
    <t xml:space="preserve">Annual capital program</t>
  </si>
  <si>
    <t xml:space="preserve">Buildings</t>
  </si>
  <si>
    <t xml:space="preserve">Facility improvements</t>
  </si>
  <si>
    <t xml:space="preserve">Vehicles/Equipment</t>
  </si>
  <si>
    <t xml:space="preserve">Fleet replacement</t>
  </si>
  <si>
    <t xml:space="preserve">IT Capital</t>
  </si>
  <si>
    <t xml:space="preserve">Systems and hardware</t>
  </si>
  <si>
    <t xml:space="preserve">Parks and Recreation</t>
  </si>
  <si>
    <t xml:space="preserve">Park improvements</t>
  </si>
  <si>
    <t xml:space="preserve">Roads Useful Life</t>
  </si>
  <si>
    <t xml:space="preserve">years</t>
  </si>
  <si>
    <t xml:space="preserve">Straight-line</t>
  </si>
  <si>
    <t xml:space="preserve">Buildings Useful Life</t>
  </si>
  <si>
    <t xml:space="preserve">Vehicles Useful Life</t>
  </si>
  <si>
    <t xml:space="preserve">IT Useful Life</t>
  </si>
  <si>
    <t xml:space="preserve">Parks Useful Life</t>
  </si>
  <si>
    <t xml:space="preserve">Grant Funding %</t>
  </si>
  <si>
    <t xml:space="preserve">State/federal capital grants</t>
  </si>
  <si>
    <t xml:space="preserve">Pay-As-You-Go %</t>
  </si>
  <si>
    <t xml:space="preserve">From current revenue</t>
  </si>
  <si>
    <t xml:space="preserve">Debt</t>
  </si>
  <si>
    <t xml:space="preserve">Existing GO Bonds</t>
  </si>
  <si>
    <t xml:space="preserve">Outstanding principal</t>
  </si>
  <si>
    <t xml:space="preserve">Existing Bond Rate</t>
  </si>
  <si>
    <t xml:space="preserve">Weighted average coupon</t>
  </si>
  <si>
    <t xml:space="preserve">Remaining Years</t>
  </si>
  <si>
    <t xml:space="preserve">Until maturity</t>
  </si>
  <si>
    <t xml:space="preserve">New Bond Issuance</t>
  </si>
  <si>
    <t xml:space="preserve">Planned GO bond issue</t>
  </si>
  <si>
    <t xml:space="preserve">New Bond Rate</t>
  </si>
  <si>
    <t xml:space="preserve">Expected coupon</t>
  </si>
  <si>
    <t xml:space="preserve">New Bond Tenor</t>
  </si>
  <si>
    <t xml:space="preserve">Level debt service</t>
  </si>
  <si>
    <t xml:space="preserve">Issuance Year</t>
  </si>
  <si>
    <t xml:space="preserve">Year # of issuance (1-5)</t>
  </si>
  <si>
    <t xml:space="preserve">Legal Debt Limit</t>
  </si>
  <si>
    <t xml:space="preserve">% of assessed value</t>
  </si>
  <si>
    <t xml:space="preserve">Opening Balances</t>
  </si>
  <si>
    <t xml:space="preserve">Opening Cash</t>
  </si>
  <si>
    <t xml:space="preserve">Cash and investments</t>
  </si>
  <si>
    <t xml:space="preserve">Opening Fund Balance</t>
  </si>
  <si>
    <t xml:space="preserve">Unrestricted fund balance</t>
  </si>
  <si>
    <t xml:space="preserve">Opening Net Cap Assets</t>
  </si>
  <si>
    <t xml:space="preserve">Net of accum depreciation</t>
  </si>
  <si>
    <t xml:space="preserve">Revenue Detail</t>
  </si>
  <si>
    <t xml:space="preserve">Annual Projections</t>
  </si>
  <si>
    <t xml:space="preserve">Year #</t>
  </si>
  <si>
    <t xml:space="preserve">Property Tax Revenue</t>
  </si>
  <si>
    <t xml:space="preserve">Sales Tax Revenue</t>
  </si>
  <si>
    <t xml:space="preserve">Active Connections</t>
  </si>
  <si>
    <t xml:space="preserve">Utility Fee Revenue</t>
  </si>
  <si>
    <t xml:space="preserve">Intergovernmental</t>
  </si>
  <si>
    <t xml:space="preserve">Total Other Revenue</t>
  </si>
  <si>
    <t xml:space="preserve">TOTAL REVENUE</t>
  </si>
  <si>
    <t xml:space="preserve">Expenditure Detail</t>
  </si>
  <si>
    <t xml:space="preserve">Salaries by Department</t>
  </si>
  <si>
    <t xml:space="preserve">Police</t>
  </si>
  <si>
    <t xml:space="preserve">Fire</t>
  </si>
  <si>
    <t xml:space="preserve">Public Works</t>
  </si>
  <si>
    <t xml:space="preserve">Administration</t>
  </si>
  <si>
    <t xml:space="preserve">Total Salaries</t>
  </si>
  <si>
    <t xml:space="preserve">Benefits and Pension</t>
  </si>
  <si>
    <t xml:space="preserve">Health and Benefits</t>
  </si>
  <si>
    <t xml:space="preserve">TOTAL PERSONNEL</t>
  </si>
  <si>
    <t xml:space="preserve">Total Operating Costs</t>
  </si>
  <si>
    <t xml:space="preserve">TOTAL EXPENDITURE</t>
  </si>
  <si>
    <t xml:space="preserve">Five-Year Plan</t>
  </si>
  <si>
    <t xml:space="preserve">Capital Expenditure</t>
  </si>
  <si>
    <t xml:space="preserve">Total Capital Outlay</t>
  </si>
  <si>
    <t xml:space="preserve">Funding Sources</t>
  </si>
  <si>
    <t xml:space="preserve">Grant Funding</t>
  </si>
  <si>
    <t xml:space="preserve">Pay-As-You-Go</t>
  </si>
  <si>
    <t xml:space="preserve">Bond Funded</t>
  </si>
  <si>
    <t xml:space="preserve">Total Funding</t>
  </si>
  <si>
    <t xml:space="preserve">Depreciation</t>
  </si>
  <si>
    <t xml:space="preserve">Roads Depreciation</t>
  </si>
  <si>
    <t xml:space="preserve">Buildings Depreciation</t>
  </si>
  <si>
    <t xml:space="preserve">Vehicles Depreciation</t>
  </si>
  <si>
    <t xml:space="preserve">IT Depreciation</t>
  </si>
  <si>
    <t xml:space="preserve">Parks Depreciation</t>
  </si>
  <si>
    <t xml:space="preserve">Total Depreciation</t>
  </si>
  <si>
    <t xml:space="preserve">Net Capital Assets</t>
  </si>
  <si>
    <t xml:space="preserve">Opening Net Assets</t>
  </si>
  <si>
    <t xml:space="preserve">Plus: Capital Outlay</t>
  </si>
  <si>
    <t xml:space="preserve">Less: Depreciation</t>
  </si>
  <si>
    <t xml:space="preserve">Closing Net Assets</t>
  </si>
  <si>
    <t xml:space="preserve">Bond Amortisation</t>
  </si>
  <si>
    <t xml:space="preserve">Opening Balance</t>
  </si>
  <si>
    <t xml:space="preserve">Principal Repayment</t>
  </si>
  <si>
    <t xml:space="preserve">Interest Expense</t>
  </si>
  <si>
    <t xml:space="preserve">Closing Balance</t>
  </si>
  <si>
    <t xml:space="preserve">New GO Bond</t>
  </si>
  <si>
    <t xml:space="preserve">Issuance</t>
  </si>
  <si>
    <t xml:space="preserve">Total Debt</t>
  </si>
  <si>
    <t xml:space="preserve">Total Opening Debt</t>
  </si>
  <si>
    <t xml:space="preserve">Total Closing Debt</t>
  </si>
  <si>
    <t xml:space="preserve">Total Principal Repay</t>
  </si>
  <si>
    <t xml:space="preserve">Total Interest</t>
  </si>
  <si>
    <t xml:space="preserve">TOTAL DEBT SERVICE</t>
  </si>
  <si>
    <t xml:space="preserve">Debt Metrics</t>
  </si>
  <si>
    <t xml:space="preserve">Debt Headroom</t>
  </si>
  <si>
    <t xml:space="preserve">Operating Statement</t>
  </si>
  <si>
    <t xml:space="preserve">Surplus and Fund Balance</t>
  </si>
  <si>
    <t xml:space="preserve">Operating Performance</t>
  </si>
  <si>
    <t xml:space="preserve">Total Revenue</t>
  </si>
  <si>
    <t xml:space="preserve">Total Expenditure</t>
  </si>
  <si>
    <t xml:space="preserve">Operating Surplus</t>
  </si>
  <si>
    <t xml:space="preserve">Less: Debt Service</t>
  </si>
  <si>
    <t xml:space="preserve">NET SURPLUS / (DEFICIT)</t>
  </si>
  <si>
    <t xml:space="preserve">Fund Balance</t>
  </si>
  <si>
    <t xml:space="preserve">Plus: Net Surplus</t>
  </si>
  <si>
    <t xml:space="preserve">Closing Fund Balance</t>
  </si>
  <si>
    <t xml:space="preserve">Fund Balance Ratio</t>
  </si>
  <si>
    <t xml:space="preserve">Cash Flow Statement</t>
  </si>
  <si>
    <t xml:space="preserve">Receipts and Disbursements</t>
  </si>
  <si>
    <t xml:space="preserve">Cash Receipts</t>
  </si>
  <si>
    <t xml:space="preserve">Total Cash Receipts</t>
  </si>
  <si>
    <t xml:space="preserve">Cash Disbursements</t>
  </si>
  <si>
    <t xml:space="preserve">Personnel Costs</t>
  </si>
  <si>
    <t xml:space="preserve">Total Disbursements</t>
  </si>
  <si>
    <t xml:space="preserve">Net Operating Cash</t>
  </si>
  <si>
    <t xml:space="preserve">Capital Outlays</t>
  </si>
  <si>
    <t xml:space="preserve">Pay-As-You-Go CapEx</t>
  </si>
  <si>
    <t xml:space="preserve">Grant-Funded CapEx</t>
  </si>
  <si>
    <t xml:space="preserve">Financing Activities</t>
  </si>
  <si>
    <t xml:space="preserve">Bond Proceeds</t>
  </si>
  <si>
    <t xml:space="preserve">Debt Service Payments</t>
  </si>
  <si>
    <t xml:space="preserve">Net Financing</t>
  </si>
  <si>
    <t xml:space="preserve">NET CHANGE IN CASH</t>
  </si>
  <si>
    <t xml:space="preserve">Cash Balance</t>
  </si>
  <si>
    <t xml:space="preserve">Closing Cash</t>
  </si>
  <si>
    <t xml:space="preserve">Key Metrics</t>
  </si>
  <si>
    <t xml:space="preserve">Financial Health</t>
  </si>
  <si>
    <t xml:space="preserve">Financial Indicators</t>
  </si>
  <si>
    <t xml:space="preserve">Reserve Months</t>
  </si>
  <si>
    <t xml:space="preserve">Debt Service Coverage</t>
  </si>
  <si>
    <t xml:space="preserve">Debt to Revenue</t>
  </si>
  <si>
    <t xml:space="preserve">Revenue per Capita</t>
  </si>
  <si>
    <t xml:space="preserve">Expenditure per Capita</t>
  </si>
  <si>
    <t xml:space="preserve">Capital % of Budget</t>
  </si>
  <si>
    <t xml:space="preserve">Personnel % of OpEx</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</si>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</sst>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0.00"/>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8" fontId="10" fillId="0" borderId="2" xfId="0" applyFont="true" applyBorder="tru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1" fillId="11"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4" fillId="12"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6"/>
      <c r="C19" s="6"/>
      <c r="D19" s="6"/>
    </row>
    <row r="20" customFormat="false" ht="15" hidden="false" customHeight="false" outlineLevel="0" collapsed="false">
      <c r="A20" s="6"/>
      <c r="B20" s="9" t="s">
        <v>28</v>
      </c>
      <c r="C20" s="10"/>
      <c r="D20" s="10"/>
    </row>
    <row r="21" customFormat="false" ht="15" hidden="false" customHeight="false" outlineLevel="0" collapsed="false">
      <c r="A21" s="6"/>
      <c r="B21" s="7" t="s">
        <v>29</v>
      </c>
      <c r="C21" s="8" t="s">
        <v>30</v>
      </c>
      <c r="D21" s="11"/>
    </row>
    <row r="22" customFormat="false" ht="15" hidden="false" customHeight="false" outlineLevel="0" collapsed="false">
      <c r="A22" s="6"/>
      <c r="B22" s="7" t="s">
        <v>31</v>
      </c>
      <c r="C22" s="8" t="s">
        <v>32</v>
      </c>
      <c r="D22" s="12"/>
    </row>
    <row r="23" customFormat="false" ht="15" hidden="false" customHeight="false" outlineLevel="0" collapsed="false">
      <c r="A23" s="6"/>
      <c r="B23" s="7" t="s">
        <v>33</v>
      </c>
      <c r="C23" s="8" t="s">
        <v>34</v>
      </c>
      <c r="D23" s="13"/>
    </row>
    <row r="24" customFormat="false" ht="15" hidden="false" customHeight="false" outlineLevel="0" collapsed="false">
      <c r="A24" s="6"/>
      <c r="B24" s="7" t="s">
        <v>35</v>
      </c>
      <c r="C24" s="8" t="s">
        <v>36</v>
      </c>
      <c r="D24" s="14"/>
    </row>
    <row r="25" customFormat="false" ht="15" hidden="false" customHeight="false" outlineLevel="0" collapsed="false">
      <c r="A25" s="6"/>
      <c r="B25" s="7" t="s">
        <v>37</v>
      </c>
      <c r="C25" s="8" t="s">
        <v>38</v>
      </c>
      <c r="D25" s="15"/>
    </row>
    <row r="26" customFormat="false" ht="15" hidden="false" customHeight="false" outlineLevel="0" collapsed="false">
      <c r="A26" s="6"/>
      <c r="B26" s="7" t="s">
        <v>39</v>
      </c>
      <c r="C26" s="8" t="s">
        <v>40</v>
      </c>
      <c r="D26" s="16"/>
    </row>
    <row r="29" customFormat="false" ht="19.5" hidden="false" customHeight="true" outlineLevel="0" collapsed="false">
      <c r="B29" s="17" t="s">
        <v>41</v>
      </c>
      <c r="C29" s="18"/>
      <c r="D29" s="18"/>
      <c r="E29" s="18"/>
      <c r="F29" s="18"/>
      <c r="G29" s="18"/>
    </row>
    <row r="30" customFormat="false" ht="346.5" hidden="false" customHeight="true" outlineLevel="0" collapsed="false">
      <c r="B30" s="19" t="s">
        <v>42</v>
      </c>
      <c r="C30" s="19"/>
      <c r="D30" s="19"/>
      <c r="E30" s="19"/>
      <c r="F30" s="19"/>
      <c r="G30" s="19"/>
    </row>
    <row r="32" customFormat="false" ht="19.5" hidden="false" customHeight="true" outlineLevel="0" collapsed="false">
      <c r="B32" s="17" t="s">
        <v>43</v>
      </c>
      <c r="C32" s="18"/>
      <c r="D32" s="18"/>
      <c r="E32" s="18"/>
      <c r="F32" s="18"/>
      <c r="G32" s="18"/>
    </row>
    <row r="33" customFormat="false" ht="57" hidden="false" customHeight="true" outlineLevel="0" collapsed="false">
      <c r="B33" s="19" t="s">
        <v>44</v>
      </c>
      <c r="C33" s="19"/>
      <c r="D33" s="19"/>
      <c r="E33" s="19"/>
      <c r="F33" s="19"/>
      <c r="G33" s="19"/>
    </row>
    <row r="34" customFormat="false" ht="15" hidden="false" customHeight="false" outlineLevel="0" collapsed="false">
      <c r="B34" s="20" t="s">
        <v>45</v>
      </c>
      <c r="C34" s="20"/>
      <c r="D34" s="20"/>
      <c r="E34" s="20"/>
      <c r="F34" s="20"/>
      <c r="G34" s="20"/>
    </row>
    <row r="35" customFormat="false" ht="15" hidden="false" customHeight="false" outlineLevel="0" collapsed="false">
      <c r="B35" s="21" t="s">
        <v>46</v>
      </c>
    </row>
  </sheetData>
  <mergeCells count="3">
    <mergeCell ref="B30:G30"/>
    <mergeCell ref="B33:G33"/>
    <mergeCell ref="B34:G3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281</v>
      </c>
    </row>
    <row r="3" customFormat="false" ht="3.75" hidden="false" customHeight="true" outlineLevel="0" collapsed="false">
      <c r="B3" s="40"/>
    </row>
    <row r="5" customFormat="false" ht="19.5" hidden="false" customHeight="true" outlineLevel="0" collapsed="false">
      <c r="B5" s="41" t="s">
        <v>282</v>
      </c>
    </row>
    <row r="6" customFormat="false" ht="48" hidden="false" customHeight="true" outlineLevel="0" collapsed="false">
      <c r="B6" s="42" t="s">
        <v>283</v>
      </c>
    </row>
    <row r="8" customFormat="false" ht="19.5" hidden="false" customHeight="true" outlineLevel="0" collapsed="false">
      <c r="B8" s="41" t="s">
        <v>284</v>
      </c>
    </row>
    <row r="9" customFormat="false" ht="61.5" hidden="false" customHeight="true" outlineLevel="0" collapsed="false">
      <c r="B9" s="42" t="s">
        <v>285</v>
      </c>
    </row>
    <row r="11" customFormat="false" ht="19.5" hidden="false" customHeight="true" outlineLevel="0" collapsed="false">
      <c r="B11" s="41" t="s">
        <v>286</v>
      </c>
    </row>
    <row r="12" customFormat="false" ht="75.75" hidden="false" customHeight="true" outlineLevel="0" collapsed="false">
      <c r="B12" s="42" t="s">
        <v>287</v>
      </c>
    </row>
    <row r="14" customFormat="false" ht="19.5" hidden="false" customHeight="true" outlineLevel="0" collapsed="false">
      <c r="B14" s="41" t="s">
        <v>288</v>
      </c>
    </row>
    <row r="15" customFormat="false" ht="61.5" hidden="false" customHeight="true" outlineLevel="0" collapsed="false">
      <c r="B15" s="42" t="s">
        <v>289</v>
      </c>
    </row>
    <row r="17" customFormat="false" ht="19.5" hidden="false" customHeight="true" outlineLevel="0" collapsed="false">
      <c r="B17" s="41" t="s">
        <v>290</v>
      </c>
    </row>
    <row r="18" customFormat="false" ht="33.75" hidden="false" customHeight="true" outlineLevel="0" collapsed="false">
      <c r="B18" s="42" t="s">
        <v>291</v>
      </c>
    </row>
    <row r="20" customFormat="false" ht="19.5" hidden="false" customHeight="true" outlineLevel="0" collapsed="false">
      <c r="B20" s="41" t="s">
        <v>292</v>
      </c>
    </row>
    <row r="21" customFormat="false" ht="33.75" hidden="false" customHeight="true" outlineLevel="0" collapsed="false">
      <c r="B21" s="42" t="s">
        <v>293</v>
      </c>
    </row>
    <row r="23" customFormat="false" ht="21.75" hidden="false" customHeight="true" outlineLevel="0" collapsed="false">
      <c r="B23" s="43" t="s">
        <v>294</v>
      </c>
    </row>
    <row r="25" customFormat="false" ht="18" hidden="false" customHeight="true" outlineLevel="0" collapsed="false">
      <c r="B25" s="44" t="s">
        <v>295</v>
      </c>
    </row>
    <row r="26" customFormat="false" ht="201.75" hidden="false" customHeight="true" outlineLevel="0" collapsed="false">
      <c r="B26" s="45" t="s">
        <v>296</v>
      </c>
    </row>
    <row r="28" customFormat="false" ht="18" hidden="false" customHeight="true" outlineLevel="0" collapsed="false">
      <c r="B28" s="46" t="s">
        <v>297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8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t="s">
        <v>48</v>
      </c>
      <c r="C5" s="22" t="s">
        <v>49</v>
      </c>
      <c r="D5" s="22" t="s">
        <v>50</v>
      </c>
      <c r="E5" s="22" t="s">
        <v>51</v>
      </c>
      <c r="F5" s="6"/>
      <c r="G5" s="6"/>
    </row>
    <row r="6" customFormat="false" ht="15" hidden="false" customHeight="false" outlineLevel="0" collapsed="false">
      <c r="A6" s="6"/>
      <c r="B6" s="6"/>
      <c r="C6" s="6"/>
      <c r="D6" s="6"/>
      <c r="E6" s="6"/>
      <c r="F6" s="6"/>
      <c r="G6" s="6"/>
    </row>
    <row r="7" customFormat="false" ht="15" hidden="false" customHeight="false" outlineLevel="0" collapsed="false">
      <c r="A7" s="6"/>
      <c r="B7" s="9" t="s">
        <v>52</v>
      </c>
      <c r="C7" s="10"/>
      <c r="D7" s="10"/>
      <c r="E7" s="10"/>
      <c r="F7" s="10"/>
      <c r="G7" s="10"/>
    </row>
    <row r="8" customFormat="false" ht="15" hidden="false" customHeight="false" outlineLevel="0" collapsed="false">
      <c r="A8" s="6"/>
      <c r="B8" s="8" t="s">
        <v>53</v>
      </c>
      <c r="C8" s="23" t="n">
        <v>2026</v>
      </c>
      <c r="D8" s="24"/>
      <c r="E8" s="24" t="s">
        <v>54</v>
      </c>
      <c r="F8" s="6"/>
      <c r="G8" s="6"/>
    </row>
    <row r="9" customFormat="false" ht="15" hidden="false" customHeight="false" outlineLevel="0" collapsed="false">
      <c r="A9" s="6"/>
      <c r="B9" s="8" t="s">
        <v>55</v>
      </c>
      <c r="C9" s="23" t="n">
        <v>100000</v>
      </c>
      <c r="D9" s="24"/>
      <c r="E9" s="24" t="s">
        <v>56</v>
      </c>
      <c r="F9" s="6"/>
      <c r="G9" s="6"/>
    </row>
    <row r="10" customFormat="false" ht="15" hidden="false" customHeight="false" outlineLevel="0" collapsed="false">
      <c r="A10" s="6"/>
      <c r="B10" s="8" t="s">
        <v>57</v>
      </c>
      <c r="C10" s="25" t="n">
        <v>0.012</v>
      </c>
      <c r="D10" s="24" t="s">
        <v>58</v>
      </c>
      <c r="E10" s="24" t="s">
        <v>59</v>
      </c>
      <c r="F10" s="6"/>
      <c r="G10" s="6"/>
    </row>
    <row r="11" customFormat="false" ht="15" hidden="false" customHeight="false" outlineLevel="0" collapsed="false">
      <c r="A11" s="6"/>
      <c r="B11" s="8" t="s">
        <v>60</v>
      </c>
      <c r="C11" s="25" t="n">
        <v>0.025</v>
      </c>
      <c r="D11" s="24" t="s">
        <v>58</v>
      </c>
      <c r="E11" s="24" t="s">
        <v>61</v>
      </c>
      <c r="F11" s="6"/>
      <c r="G11" s="6"/>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62</v>
      </c>
      <c r="C13" s="10"/>
      <c r="D13" s="10"/>
      <c r="E13" s="10"/>
      <c r="F13" s="10"/>
      <c r="G13" s="10"/>
    </row>
    <row r="14" customFormat="false" ht="15" hidden="false" customHeight="false" outlineLevel="0" collapsed="false">
      <c r="A14" s="6"/>
      <c r="B14" s="8" t="s">
        <v>63</v>
      </c>
      <c r="C14" s="23" t="n">
        <v>8000000000</v>
      </c>
      <c r="D14" s="24" t="s">
        <v>64</v>
      </c>
      <c r="E14" s="24" t="s">
        <v>65</v>
      </c>
      <c r="F14" s="6"/>
      <c r="G14" s="6"/>
    </row>
    <row r="15" customFormat="false" ht="15" hidden="false" customHeight="false" outlineLevel="0" collapsed="false">
      <c r="A15" s="6"/>
      <c r="B15" s="8" t="s">
        <v>66</v>
      </c>
      <c r="C15" s="25" t="n">
        <v>0.03</v>
      </c>
      <c r="D15" s="24" t="s">
        <v>58</v>
      </c>
      <c r="E15" s="24" t="s">
        <v>67</v>
      </c>
      <c r="F15" s="6"/>
      <c r="G15" s="6"/>
    </row>
    <row r="16" customFormat="false" ht="15" hidden="false" customHeight="false" outlineLevel="0" collapsed="false">
      <c r="A16" s="6"/>
      <c r="B16" s="8" t="s">
        <v>68</v>
      </c>
      <c r="C16" s="25" t="n">
        <v>0.01</v>
      </c>
      <c r="D16" s="24" t="s">
        <v>58</v>
      </c>
      <c r="E16" s="24" t="s">
        <v>69</v>
      </c>
      <c r="F16" s="6"/>
      <c r="G16" s="6"/>
    </row>
    <row r="17" customFormat="false" ht="15" hidden="false" customHeight="false" outlineLevel="0" collapsed="false">
      <c r="A17" s="6"/>
      <c r="B17" s="8" t="s">
        <v>70</v>
      </c>
      <c r="C17" s="23" t="n">
        <v>8.5</v>
      </c>
      <c r="D17" s="24" t="s">
        <v>71</v>
      </c>
      <c r="E17" s="24" t="s">
        <v>72</v>
      </c>
      <c r="F17" s="6"/>
      <c r="G17" s="6"/>
    </row>
    <row r="18" customFormat="false" ht="15" hidden="false" customHeight="false" outlineLevel="0" collapsed="false">
      <c r="A18" s="6"/>
      <c r="B18" s="8" t="s">
        <v>73</v>
      </c>
      <c r="C18" s="25" t="n">
        <v>0.97</v>
      </c>
      <c r="D18" s="24" t="s">
        <v>58</v>
      </c>
      <c r="E18" s="24" t="s">
        <v>74</v>
      </c>
      <c r="F18" s="6"/>
      <c r="G18" s="6"/>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75</v>
      </c>
      <c r="C20" s="10"/>
      <c r="D20" s="10"/>
      <c r="E20" s="10"/>
      <c r="F20" s="10"/>
      <c r="G20" s="10"/>
    </row>
    <row r="21" customFormat="false" ht="15" hidden="false" customHeight="false" outlineLevel="0" collapsed="false">
      <c r="A21" s="6"/>
      <c r="B21" s="8" t="s">
        <v>76</v>
      </c>
      <c r="C21" s="23" t="n">
        <v>28000000</v>
      </c>
      <c r="D21" s="24" t="s">
        <v>64</v>
      </c>
      <c r="E21" s="24" t="s">
        <v>77</v>
      </c>
      <c r="F21" s="6"/>
      <c r="G21" s="6"/>
    </row>
    <row r="22" customFormat="false" ht="15" hidden="false" customHeight="false" outlineLevel="0" collapsed="false">
      <c r="A22" s="6"/>
      <c r="B22" s="8" t="s">
        <v>78</v>
      </c>
      <c r="C22" s="25" t="n">
        <v>0.035</v>
      </c>
      <c r="D22" s="24" t="s">
        <v>58</v>
      </c>
      <c r="E22" s="24" t="s">
        <v>79</v>
      </c>
      <c r="F22" s="6"/>
      <c r="G22" s="6"/>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80</v>
      </c>
      <c r="C24" s="10"/>
      <c r="D24" s="10"/>
      <c r="E24" s="10"/>
      <c r="F24" s="10"/>
      <c r="G24" s="10"/>
    </row>
    <row r="25" customFormat="false" ht="15" hidden="false" customHeight="false" outlineLevel="0" collapsed="false">
      <c r="A25" s="6"/>
      <c r="B25" s="8" t="s">
        <v>81</v>
      </c>
      <c r="C25" s="23" t="n">
        <v>38000</v>
      </c>
      <c r="D25" s="24"/>
      <c r="E25" s="24" t="s">
        <v>82</v>
      </c>
      <c r="F25" s="6"/>
      <c r="G25" s="6"/>
    </row>
    <row r="26" customFormat="false" ht="15" hidden="false" customHeight="false" outlineLevel="0" collapsed="false">
      <c r="A26" s="6"/>
      <c r="B26" s="8" t="s">
        <v>83</v>
      </c>
      <c r="C26" s="25" t="n">
        <v>0.01</v>
      </c>
      <c r="D26" s="24" t="s">
        <v>58</v>
      </c>
      <c r="E26" s="24" t="s">
        <v>84</v>
      </c>
      <c r="F26" s="6"/>
      <c r="G26" s="6"/>
    </row>
    <row r="27" customFormat="false" ht="15" hidden="false" customHeight="false" outlineLevel="0" collapsed="false">
      <c r="A27" s="6"/>
      <c r="B27" s="8" t="s">
        <v>85</v>
      </c>
      <c r="C27" s="23" t="n">
        <v>780</v>
      </c>
      <c r="D27" s="24" t="s">
        <v>64</v>
      </c>
      <c r="E27" s="24" t="s">
        <v>86</v>
      </c>
      <c r="F27" s="6"/>
      <c r="G27" s="6"/>
    </row>
    <row r="28" customFormat="false" ht="15" hidden="false" customHeight="false" outlineLevel="0" collapsed="false">
      <c r="A28" s="6"/>
      <c r="B28" s="8" t="s">
        <v>87</v>
      </c>
      <c r="C28" s="25" t="n">
        <v>0.04</v>
      </c>
      <c r="D28" s="24" t="s">
        <v>58</v>
      </c>
      <c r="E28" s="24" t="s">
        <v>88</v>
      </c>
      <c r="F28" s="6"/>
      <c r="G28" s="6"/>
    </row>
    <row r="29" customFormat="false" ht="15" hidden="false" customHeight="false" outlineLevel="0" collapsed="false">
      <c r="A29" s="6"/>
      <c r="B29" s="6"/>
      <c r="C29" s="6"/>
      <c r="D29" s="6"/>
      <c r="E29" s="6"/>
      <c r="F29" s="6"/>
      <c r="G29" s="6"/>
    </row>
    <row r="30" customFormat="false" ht="15" hidden="false" customHeight="false" outlineLevel="0" collapsed="false">
      <c r="A30" s="6"/>
      <c r="B30" s="9" t="s">
        <v>89</v>
      </c>
      <c r="C30" s="10"/>
      <c r="D30" s="10"/>
      <c r="E30" s="10"/>
      <c r="F30" s="10"/>
      <c r="G30" s="10"/>
    </row>
    <row r="31" customFormat="false" ht="15" hidden="false" customHeight="false" outlineLevel="0" collapsed="false">
      <c r="A31" s="6"/>
      <c r="B31" s="8" t="s">
        <v>90</v>
      </c>
      <c r="C31" s="23" t="n">
        <v>6500000</v>
      </c>
      <c r="D31" s="24" t="s">
        <v>64</v>
      </c>
      <c r="E31" s="24" t="s">
        <v>91</v>
      </c>
      <c r="F31" s="6"/>
      <c r="G31" s="6"/>
    </row>
    <row r="32" customFormat="false" ht="15" hidden="false" customHeight="false" outlineLevel="0" collapsed="false">
      <c r="A32" s="6"/>
      <c r="B32" s="8" t="s">
        <v>92</v>
      </c>
      <c r="C32" s="25" t="n">
        <v>0.02</v>
      </c>
      <c r="D32" s="24" t="s">
        <v>58</v>
      </c>
      <c r="E32" s="24" t="s">
        <v>93</v>
      </c>
      <c r="F32" s="6"/>
      <c r="G32" s="6"/>
    </row>
    <row r="33" customFormat="false" ht="15" hidden="false" customHeight="false" outlineLevel="0" collapsed="false">
      <c r="A33" s="6"/>
      <c r="B33" s="8" t="s">
        <v>94</v>
      </c>
      <c r="C33" s="23" t="n">
        <v>12000000</v>
      </c>
      <c r="D33" s="24" t="s">
        <v>64</v>
      </c>
      <c r="E33" s="24" t="s">
        <v>95</v>
      </c>
      <c r="F33" s="6"/>
      <c r="G33" s="6"/>
    </row>
    <row r="34" customFormat="false" ht="15" hidden="false" customHeight="false" outlineLevel="0" collapsed="false">
      <c r="A34" s="6"/>
      <c r="B34" s="8" t="s">
        <v>96</v>
      </c>
      <c r="C34" s="25" t="n">
        <v>0.02</v>
      </c>
      <c r="D34" s="24" t="s">
        <v>58</v>
      </c>
      <c r="E34" s="24" t="s">
        <v>97</v>
      </c>
      <c r="F34" s="6"/>
      <c r="G34" s="6"/>
    </row>
    <row r="35" customFormat="false" ht="15" hidden="false" customHeight="false" outlineLevel="0" collapsed="false">
      <c r="A35" s="6"/>
      <c r="B35" s="8" t="s">
        <v>98</v>
      </c>
      <c r="C35" s="23" t="n">
        <v>5500000</v>
      </c>
      <c r="D35" s="24" t="s">
        <v>64</v>
      </c>
      <c r="E35" s="24" t="s">
        <v>99</v>
      </c>
      <c r="F35" s="6"/>
      <c r="G35" s="6"/>
    </row>
    <row r="36" customFormat="false" ht="15" hidden="false" customHeight="false" outlineLevel="0" collapsed="false">
      <c r="A36" s="6"/>
      <c r="B36" s="8" t="s">
        <v>100</v>
      </c>
      <c r="C36" s="25" t="n">
        <v>0.03</v>
      </c>
      <c r="D36" s="24" t="s">
        <v>58</v>
      </c>
      <c r="E36" s="24" t="s">
        <v>101</v>
      </c>
      <c r="F36" s="6"/>
      <c r="G36" s="6"/>
    </row>
    <row r="37" customFormat="false" ht="15" hidden="false" customHeight="false" outlineLevel="0" collapsed="false">
      <c r="A37" s="6"/>
      <c r="B37" s="8" t="s">
        <v>89</v>
      </c>
      <c r="C37" s="23" t="n">
        <v>2000000</v>
      </c>
      <c r="D37" s="24" t="s">
        <v>64</v>
      </c>
      <c r="E37" s="24" t="s">
        <v>102</v>
      </c>
      <c r="F37" s="6"/>
      <c r="G37" s="6"/>
    </row>
    <row r="38" customFormat="false" ht="15" hidden="false" customHeight="false" outlineLevel="0" collapsed="false">
      <c r="A38" s="6"/>
      <c r="B38" s="8" t="s">
        <v>103</v>
      </c>
      <c r="C38" s="25" t="n">
        <v>0.02</v>
      </c>
      <c r="D38" s="24" t="s">
        <v>58</v>
      </c>
      <c r="E38" s="24"/>
      <c r="F38" s="6"/>
      <c r="G38" s="6"/>
    </row>
    <row r="39" customFormat="false" ht="15" hidden="false" customHeight="false" outlineLevel="0" collapsed="false">
      <c r="A39" s="6"/>
      <c r="B39" s="6"/>
      <c r="C39" s="6"/>
      <c r="D39" s="6"/>
      <c r="E39" s="6"/>
      <c r="F39" s="6"/>
      <c r="G39" s="6"/>
    </row>
    <row r="40" customFormat="false" ht="15" hidden="false" customHeight="false" outlineLevel="0" collapsed="false">
      <c r="A40" s="6"/>
      <c r="B40" s="9" t="s">
        <v>104</v>
      </c>
      <c r="C40" s="10"/>
      <c r="D40" s="10"/>
      <c r="E40" s="10"/>
      <c r="F40" s="10"/>
      <c r="G40" s="10"/>
    </row>
    <row r="41" customFormat="false" ht="15" hidden="false" customHeight="false" outlineLevel="0" collapsed="false">
      <c r="A41" s="6"/>
      <c r="B41" s="8" t="s">
        <v>105</v>
      </c>
      <c r="C41" s="23" t="n">
        <v>200</v>
      </c>
      <c r="D41" s="24"/>
      <c r="E41" s="24" t="s">
        <v>106</v>
      </c>
      <c r="F41" s="6"/>
      <c r="G41" s="6"/>
    </row>
    <row r="42" customFormat="false" ht="15" hidden="false" customHeight="false" outlineLevel="0" collapsed="false">
      <c r="A42" s="6"/>
      <c r="B42" s="8" t="s">
        <v>107</v>
      </c>
      <c r="C42" s="23" t="n">
        <v>130</v>
      </c>
      <c r="D42" s="24"/>
      <c r="E42" s="24" t="s">
        <v>108</v>
      </c>
      <c r="F42" s="6"/>
      <c r="G42" s="6"/>
    </row>
    <row r="43" customFormat="false" ht="15" hidden="false" customHeight="false" outlineLevel="0" collapsed="false">
      <c r="A43" s="6"/>
      <c r="B43" s="8" t="s">
        <v>109</v>
      </c>
      <c r="C43" s="23" t="n">
        <v>120</v>
      </c>
      <c r="D43" s="24"/>
      <c r="E43" s="24" t="s">
        <v>110</v>
      </c>
      <c r="F43" s="6"/>
      <c r="G43" s="6"/>
    </row>
    <row r="44" customFormat="false" ht="15" hidden="false" customHeight="false" outlineLevel="0" collapsed="false">
      <c r="A44" s="6"/>
      <c r="B44" s="8" t="s">
        <v>111</v>
      </c>
      <c r="C44" s="23" t="n">
        <v>100</v>
      </c>
      <c r="D44" s="24"/>
      <c r="E44" s="24" t="s">
        <v>112</v>
      </c>
      <c r="F44" s="6"/>
      <c r="G44" s="6"/>
    </row>
    <row r="45" customFormat="false" ht="15" hidden="false" customHeight="false" outlineLevel="0" collapsed="false">
      <c r="A45" s="6"/>
      <c r="B45" s="8" t="s">
        <v>113</v>
      </c>
      <c r="C45" s="23" t="n">
        <v>60</v>
      </c>
      <c r="D45" s="24"/>
      <c r="E45" s="24" t="s">
        <v>114</v>
      </c>
      <c r="F45" s="6"/>
      <c r="G45" s="6"/>
    </row>
    <row r="46" customFormat="false" ht="15" hidden="false" customHeight="false" outlineLevel="0" collapsed="false">
      <c r="A46" s="6"/>
      <c r="B46" s="8" t="s">
        <v>115</v>
      </c>
      <c r="C46" s="23" t="n">
        <v>65000</v>
      </c>
      <c r="D46" s="24" t="s">
        <v>64</v>
      </c>
      <c r="E46" s="24" t="s">
        <v>116</v>
      </c>
      <c r="F46" s="6"/>
      <c r="G46" s="6"/>
    </row>
    <row r="47" customFormat="false" ht="15" hidden="false" customHeight="false" outlineLevel="0" collapsed="false">
      <c r="A47" s="6"/>
      <c r="B47" s="8" t="s">
        <v>117</v>
      </c>
      <c r="C47" s="25" t="n">
        <v>0.03</v>
      </c>
      <c r="D47" s="24" t="s">
        <v>58</v>
      </c>
      <c r="E47" s="24" t="s">
        <v>118</v>
      </c>
      <c r="F47" s="6"/>
      <c r="G47" s="6"/>
    </row>
    <row r="48" customFormat="false" ht="15" hidden="false" customHeight="false" outlineLevel="0" collapsed="false">
      <c r="A48" s="6"/>
      <c r="B48" s="8" t="s">
        <v>119</v>
      </c>
      <c r="C48" s="25" t="n">
        <v>0.2</v>
      </c>
      <c r="D48" s="24" t="s">
        <v>58</v>
      </c>
      <c r="E48" s="24" t="s">
        <v>120</v>
      </c>
      <c r="F48" s="6"/>
      <c r="G48" s="6"/>
    </row>
    <row r="49" customFormat="false" ht="15" hidden="false" customHeight="false" outlineLevel="0" collapsed="false">
      <c r="A49" s="6"/>
      <c r="B49" s="8" t="s">
        <v>121</v>
      </c>
      <c r="C49" s="25" t="n">
        <v>0.18</v>
      </c>
      <c r="D49" s="24" t="s">
        <v>58</v>
      </c>
      <c r="E49" s="24" t="s">
        <v>122</v>
      </c>
      <c r="F49" s="6"/>
      <c r="G49" s="6"/>
    </row>
    <row r="50" customFormat="false" ht="15" hidden="false" customHeight="false" outlineLevel="0" collapsed="false">
      <c r="A50" s="6"/>
      <c r="B50" s="6"/>
      <c r="C50" s="6"/>
      <c r="D50" s="6"/>
      <c r="E50" s="6"/>
      <c r="F50" s="6"/>
      <c r="G50" s="6"/>
    </row>
    <row r="51" customFormat="false" ht="15" hidden="false" customHeight="false" outlineLevel="0" collapsed="false">
      <c r="A51" s="6"/>
      <c r="B51" s="9" t="s">
        <v>123</v>
      </c>
      <c r="C51" s="10"/>
      <c r="D51" s="10"/>
      <c r="E51" s="10"/>
      <c r="F51" s="10"/>
      <c r="G51" s="10"/>
    </row>
    <row r="52" customFormat="false" ht="15" hidden="false" customHeight="false" outlineLevel="0" collapsed="false">
      <c r="A52" s="6"/>
      <c r="B52" s="8" t="s">
        <v>124</v>
      </c>
      <c r="C52" s="23" t="n">
        <v>4200000</v>
      </c>
      <c r="D52" s="24" t="s">
        <v>64</v>
      </c>
      <c r="E52" s="24" t="s">
        <v>125</v>
      </c>
      <c r="F52" s="6"/>
      <c r="G52" s="6"/>
    </row>
    <row r="53" customFormat="false" ht="15" hidden="false" customHeight="false" outlineLevel="0" collapsed="false">
      <c r="A53" s="6"/>
      <c r="B53" s="8" t="s">
        <v>126</v>
      </c>
      <c r="C53" s="23" t="n">
        <v>5800000</v>
      </c>
      <c r="D53" s="24" t="s">
        <v>64</v>
      </c>
      <c r="E53" s="24" t="s">
        <v>127</v>
      </c>
      <c r="F53" s="6"/>
      <c r="G53" s="6"/>
    </row>
    <row r="54" customFormat="false" ht="15" hidden="false" customHeight="false" outlineLevel="0" collapsed="false">
      <c r="A54" s="6"/>
      <c r="B54" s="8" t="s">
        <v>128</v>
      </c>
      <c r="C54" s="23" t="n">
        <v>7500000</v>
      </c>
      <c r="D54" s="24" t="s">
        <v>64</v>
      </c>
      <c r="E54" s="24" t="s">
        <v>129</v>
      </c>
      <c r="F54" s="6"/>
      <c r="G54" s="6"/>
    </row>
    <row r="55" customFormat="false" ht="15" hidden="false" customHeight="false" outlineLevel="0" collapsed="false">
      <c r="A55" s="6"/>
      <c r="B55" s="8" t="s">
        <v>130</v>
      </c>
      <c r="C55" s="23" t="n">
        <v>3200000</v>
      </c>
      <c r="D55" s="24" t="s">
        <v>64</v>
      </c>
      <c r="E55" s="24" t="s">
        <v>131</v>
      </c>
      <c r="F55" s="6"/>
      <c r="G55" s="6"/>
    </row>
    <row r="56" customFormat="false" ht="15" hidden="false" customHeight="false" outlineLevel="0" collapsed="false">
      <c r="A56" s="6"/>
      <c r="B56" s="8" t="s">
        <v>132</v>
      </c>
      <c r="C56" s="23" t="n">
        <v>2800000</v>
      </c>
      <c r="D56" s="24" t="s">
        <v>64</v>
      </c>
      <c r="E56" s="24" t="s">
        <v>133</v>
      </c>
      <c r="F56" s="6"/>
      <c r="G56" s="6"/>
    </row>
    <row r="57" customFormat="false" ht="15" hidden="false" customHeight="false" outlineLevel="0" collapsed="false">
      <c r="A57" s="6"/>
      <c r="B57" s="8" t="s">
        <v>134</v>
      </c>
      <c r="C57" s="23" t="n">
        <v>3500000</v>
      </c>
      <c r="D57" s="24" t="s">
        <v>64</v>
      </c>
      <c r="E57" s="24" t="s">
        <v>135</v>
      </c>
      <c r="F57" s="6"/>
      <c r="G57" s="6"/>
    </row>
    <row r="58" customFormat="false" ht="15" hidden="false" customHeight="false" outlineLevel="0" collapsed="false">
      <c r="A58" s="6"/>
      <c r="B58" s="8" t="s">
        <v>136</v>
      </c>
      <c r="C58" s="25" t="n">
        <v>0.03</v>
      </c>
      <c r="D58" s="24" t="s">
        <v>58</v>
      </c>
      <c r="E58" s="24" t="s">
        <v>137</v>
      </c>
      <c r="F58" s="6"/>
      <c r="G58" s="6"/>
    </row>
    <row r="59" customFormat="false" ht="15" hidden="false" customHeight="false" outlineLevel="0" collapsed="false">
      <c r="A59" s="6"/>
      <c r="B59" s="6"/>
      <c r="C59" s="6"/>
      <c r="D59" s="6"/>
      <c r="E59" s="6"/>
      <c r="F59" s="6"/>
      <c r="G59" s="6"/>
    </row>
    <row r="60" customFormat="false" ht="15" hidden="false" customHeight="false" outlineLevel="0" collapsed="false">
      <c r="A60" s="6"/>
      <c r="B60" s="9" t="s">
        <v>138</v>
      </c>
      <c r="C60" s="10"/>
      <c r="D60" s="10"/>
      <c r="E60" s="10"/>
      <c r="F60" s="10"/>
      <c r="G60" s="10"/>
    </row>
    <row r="61" customFormat="false" ht="15" hidden="false" customHeight="false" outlineLevel="0" collapsed="false">
      <c r="A61" s="6"/>
      <c r="B61" s="8" t="s">
        <v>139</v>
      </c>
      <c r="C61" s="23" t="n">
        <v>8000000</v>
      </c>
      <c r="D61" s="24" t="s">
        <v>64</v>
      </c>
      <c r="E61" s="24" t="s">
        <v>140</v>
      </c>
      <c r="F61" s="6"/>
      <c r="G61" s="6"/>
    </row>
    <row r="62" customFormat="false" ht="15" hidden="false" customHeight="false" outlineLevel="0" collapsed="false">
      <c r="A62" s="6"/>
      <c r="B62" s="8" t="s">
        <v>141</v>
      </c>
      <c r="C62" s="23" t="n">
        <v>3000000</v>
      </c>
      <c r="D62" s="24" t="s">
        <v>64</v>
      </c>
      <c r="E62" s="24" t="s">
        <v>142</v>
      </c>
      <c r="F62" s="6"/>
      <c r="G62" s="6"/>
    </row>
    <row r="63" customFormat="false" ht="15" hidden="false" customHeight="false" outlineLevel="0" collapsed="false">
      <c r="A63" s="6"/>
      <c r="B63" s="8" t="s">
        <v>143</v>
      </c>
      <c r="C63" s="23" t="n">
        <v>2500000</v>
      </c>
      <c r="D63" s="24" t="s">
        <v>64</v>
      </c>
      <c r="E63" s="24" t="s">
        <v>144</v>
      </c>
      <c r="F63" s="6"/>
      <c r="G63" s="6"/>
    </row>
    <row r="64" customFormat="false" ht="15" hidden="false" customHeight="false" outlineLevel="0" collapsed="false">
      <c r="A64" s="6"/>
      <c r="B64" s="8" t="s">
        <v>145</v>
      </c>
      <c r="C64" s="23" t="n">
        <v>1200000</v>
      </c>
      <c r="D64" s="24" t="s">
        <v>64</v>
      </c>
      <c r="E64" s="24" t="s">
        <v>146</v>
      </c>
      <c r="F64" s="6"/>
      <c r="G64" s="6"/>
    </row>
    <row r="65" customFormat="false" ht="15" hidden="false" customHeight="false" outlineLevel="0" collapsed="false">
      <c r="A65" s="6"/>
      <c r="B65" s="8" t="s">
        <v>147</v>
      </c>
      <c r="C65" s="23" t="n">
        <v>1800000</v>
      </c>
      <c r="D65" s="24" t="s">
        <v>64</v>
      </c>
      <c r="E65" s="24" t="s">
        <v>148</v>
      </c>
      <c r="F65" s="6"/>
      <c r="G65" s="6"/>
    </row>
    <row r="66" customFormat="false" ht="15" hidden="false" customHeight="false" outlineLevel="0" collapsed="false">
      <c r="A66" s="6"/>
      <c r="B66" s="8" t="s">
        <v>149</v>
      </c>
      <c r="C66" s="23" t="n">
        <v>25</v>
      </c>
      <c r="D66" s="24" t="s">
        <v>150</v>
      </c>
      <c r="E66" s="24" t="s">
        <v>151</v>
      </c>
      <c r="F66" s="6"/>
      <c r="G66" s="6"/>
    </row>
    <row r="67" customFormat="false" ht="15" hidden="false" customHeight="false" outlineLevel="0" collapsed="false">
      <c r="A67" s="6"/>
      <c r="B67" s="8" t="s">
        <v>152</v>
      </c>
      <c r="C67" s="23" t="n">
        <v>40</v>
      </c>
      <c r="D67" s="24" t="s">
        <v>150</v>
      </c>
      <c r="E67" s="24" t="s">
        <v>151</v>
      </c>
      <c r="F67" s="6"/>
      <c r="G67" s="6"/>
    </row>
    <row r="68" customFormat="false" ht="15" hidden="false" customHeight="false" outlineLevel="0" collapsed="false">
      <c r="A68" s="6"/>
      <c r="B68" s="8" t="s">
        <v>153</v>
      </c>
      <c r="C68" s="23" t="n">
        <v>7</v>
      </c>
      <c r="D68" s="24" t="s">
        <v>150</v>
      </c>
      <c r="E68" s="24" t="s">
        <v>151</v>
      </c>
      <c r="F68" s="6"/>
      <c r="G68" s="6"/>
    </row>
    <row r="69" customFormat="false" ht="15" hidden="false" customHeight="false" outlineLevel="0" collapsed="false">
      <c r="A69" s="6"/>
      <c r="B69" s="8" t="s">
        <v>154</v>
      </c>
      <c r="C69" s="23" t="n">
        <v>4</v>
      </c>
      <c r="D69" s="24" t="s">
        <v>150</v>
      </c>
      <c r="E69" s="24" t="s">
        <v>151</v>
      </c>
      <c r="F69" s="6"/>
      <c r="G69" s="6"/>
    </row>
    <row r="70" customFormat="false" ht="15" hidden="false" customHeight="false" outlineLevel="0" collapsed="false">
      <c r="A70" s="6"/>
      <c r="B70" s="8" t="s">
        <v>155</v>
      </c>
      <c r="C70" s="23" t="n">
        <v>20</v>
      </c>
      <c r="D70" s="24" t="s">
        <v>150</v>
      </c>
      <c r="E70" s="24" t="s">
        <v>151</v>
      </c>
      <c r="F70" s="6"/>
      <c r="G70" s="6"/>
    </row>
    <row r="71" customFormat="false" ht="15" hidden="false" customHeight="false" outlineLevel="0" collapsed="false">
      <c r="A71" s="6"/>
      <c r="B71" s="8" t="s">
        <v>156</v>
      </c>
      <c r="C71" s="25" t="n">
        <v>0.15</v>
      </c>
      <c r="D71" s="24" t="s">
        <v>58</v>
      </c>
      <c r="E71" s="24" t="s">
        <v>157</v>
      </c>
      <c r="F71" s="6"/>
      <c r="G71" s="6"/>
    </row>
    <row r="72" customFormat="false" ht="15" hidden="false" customHeight="false" outlineLevel="0" collapsed="false">
      <c r="A72" s="6"/>
      <c r="B72" s="8" t="s">
        <v>158</v>
      </c>
      <c r="C72" s="25" t="n">
        <v>0.45</v>
      </c>
      <c r="D72" s="24" t="s">
        <v>58</v>
      </c>
      <c r="E72" s="24" t="s">
        <v>159</v>
      </c>
      <c r="F72" s="6"/>
      <c r="G72" s="6"/>
    </row>
    <row r="73" customFormat="false" ht="15" hidden="false" customHeight="false" outlineLevel="0" collapsed="false">
      <c r="A73" s="6"/>
      <c r="B73" s="6"/>
      <c r="C73" s="6"/>
      <c r="D73" s="6"/>
      <c r="E73" s="6"/>
      <c r="F73" s="6"/>
      <c r="G73" s="6"/>
    </row>
    <row r="74" customFormat="false" ht="15" hidden="false" customHeight="false" outlineLevel="0" collapsed="false">
      <c r="A74" s="6"/>
      <c r="B74" s="9" t="s">
        <v>160</v>
      </c>
      <c r="C74" s="10"/>
      <c r="D74" s="10"/>
      <c r="E74" s="10"/>
      <c r="F74" s="10"/>
      <c r="G74" s="10"/>
    </row>
    <row r="75" customFormat="false" ht="15" hidden="false" customHeight="false" outlineLevel="0" collapsed="false">
      <c r="A75" s="6"/>
      <c r="B75" s="8" t="s">
        <v>161</v>
      </c>
      <c r="C75" s="23" t="n">
        <v>45000000</v>
      </c>
      <c r="D75" s="24" t="s">
        <v>64</v>
      </c>
      <c r="E75" s="24" t="s">
        <v>162</v>
      </c>
      <c r="F75" s="6"/>
      <c r="G75" s="6"/>
    </row>
    <row r="76" customFormat="false" ht="15" hidden="false" customHeight="false" outlineLevel="0" collapsed="false">
      <c r="A76" s="6"/>
      <c r="B76" s="8" t="s">
        <v>163</v>
      </c>
      <c r="C76" s="25" t="n">
        <v>0.035</v>
      </c>
      <c r="D76" s="24" t="s">
        <v>58</v>
      </c>
      <c r="E76" s="24" t="s">
        <v>164</v>
      </c>
      <c r="F76" s="6"/>
      <c r="G76" s="6"/>
    </row>
    <row r="77" customFormat="false" ht="15" hidden="false" customHeight="false" outlineLevel="0" collapsed="false">
      <c r="A77" s="6"/>
      <c r="B77" s="8" t="s">
        <v>165</v>
      </c>
      <c r="C77" s="23" t="n">
        <v>12</v>
      </c>
      <c r="D77" s="24" t="s">
        <v>150</v>
      </c>
      <c r="E77" s="24" t="s">
        <v>166</v>
      </c>
      <c r="F77" s="6"/>
      <c r="G77" s="6"/>
    </row>
    <row r="78" customFormat="false" ht="15" hidden="false" customHeight="false" outlineLevel="0" collapsed="false">
      <c r="A78" s="6"/>
      <c r="B78" s="8" t="s">
        <v>167</v>
      </c>
      <c r="C78" s="23" t="n">
        <v>20000000</v>
      </c>
      <c r="D78" s="24" t="s">
        <v>64</v>
      </c>
      <c r="E78" s="24" t="s">
        <v>168</v>
      </c>
      <c r="F78" s="6"/>
      <c r="G78" s="6"/>
    </row>
    <row r="79" customFormat="false" ht="15" hidden="false" customHeight="false" outlineLevel="0" collapsed="false">
      <c r="A79" s="6"/>
      <c r="B79" s="8" t="s">
        <v>169</v>
      </c>
      <c r="C79" s="25" t="n">
        <v>0.04</v>
      </c>
      <c r="D79" s="24" t="s">
        <v>58</v>
      </c>
      <c r="E79" s="24" t="s">
        <v>170</v>
      </c>
      <c r="F79" s="6"/>
      <c r="G79" s="6"/>
    </row>
    <row r="80" customFormat="false" ht="15" hidden="false" customHeight="false" outlineLevel="0" collapsed="false">
      <c r="A80" s="6"/>
      <c r="B80" s="8" t="s">
        <v>171</v>
      </c>
      <c r="C80" s="23" t="n">
        <v>20</v>
      </c>
      <c r="D80" s="24" t="s">
        <v>150</v>
      </c>
      <c r="E80" s="24" t="s">
        <v>172</v>
      </c>
      <c r="F80" s="6"/>
      <c r="G80" s="6"/>
    </row>
    <row r="81" customFormat="false" ht="15" hidden="false" customHeight="false" outlineLevel="0" collapsed="false">
      <c r="A81" s="6"/>
      <c r="B81" s="8" t="s">
        <v>173</v>
      </c>
      <c r="C81" s="23" t="n">
        <v>2</v>
      </c>
      <c r="D81" s="24"/>
      <c r="E81" s="24" t="s">
        <v>174</v>
      </c>
      <c r="F81" s="6"/>
      <c r="G81" s="6"/>
    </row>
    <row r="82" customFormat="false" ht="15" hidden="false" customHeight="false" outlineLevel="0" collapsed="false">
      <c r="A82" s="6"/>
      <c r="B82" s="8" t="s">
        <v>175</v>
      </c>
      <c r="C82" s="25" t="n">
        <v>0.1</v>
      </c>
      <c r="D82" s="24" t="s">
        <v>58</v>
      </c>
      <c r="E82" s="24" t="s">
        <v>176</v>
      </c>
      <c r="F82" s="6"/>
      <c r="G82" s="6"/>
    </row>
    <row r="83" customFormat="false" ht="15" hidden="false" customHeight="false" outlineLevel="0" collapsed="false">
      <c r="A83" s="6"/>
      <c r="B83" s="6"/>
      <c r="C83" s="6"/>
      <c r="D83" s="6"/>
      <c r="E83" s="6"/>
      <c r="F83" s="6"/>
      <c r="G83" s="6"/>
    </row>
    <row r="84" customFormat="false" ht="15" hidden="false" customHeight="false" outlineLevel="0" collapsed="false">
      <c r="A84" s="6"/>
      <c r="B84" s="9" t="s">
        <v>177</v>
      </c>
      <c r="C84" s="10"/>
      <c r="D84" s="10"/>
      <c r="E84" s="10"/>
      <c r="F84" s="10"/>
      <c r="G84" s="10"/>
    </row>
    <row r="85" customFormat="false" ht="15" hidden="false" customHeight="false" outlineLevel="0" collapsed="false">
      <c r="A85" s="6"/>
      <c r="B85" s="8" t="s">
        <v>178</v>
      </c>
      <c r="C85" s="23" t="n">
        <v>25000000</v>
      </c>
      <c r="D85" s="24" t="s">
        <v>64</v>
      </c>
      <c r="E85" s="24" t="s">
        <v>179</v>
      </c>
      <c r="F85" s="6"/>
      <c r="G85" s="6"/>
    </row>
    <row r="86" customFormat="false" ht="15" hidden="false" customHeight="false" outlineLevel="0" collapsed="false">
      <c r="A86" s="6"/>
      <c r="B86" s="8" t="s">
        <v>180</v>
      </c>
      <c r="C86" s="23" t="n">
        <v>32000000</v>
      </c>
      <c r="D86" s="24" t="s">
        <v>64</v>
      </c>
      <c r="E86" s="24" t="s">
        <v>181</v>
      </c>
      <c r="F86" s="6"/>
      <c r="G86" s="6"/>
    </row>
    <row r="87" customFormat="false" ht="15" hidden="false" customHeight="false" outlineLevel="0" collapsed="false">
      <c r="A87" s="6"/>
      <c r="B87" s="8" t="s">
        <v>182</v>
      </c>
      <c r="C87" s="23" t="n">
        <v>180000000</v>
      </c>
      <c r="D87" s="24" t="s">
        <v>64</v>
      </c>
      <c r="E87" s="24" t="s">
        <v>183</v>
      </c>
      <c r="F87" s="6"/>
      <c r="G87"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62</v>
      </c>
      <c r="C8" s="10"/>
      <c r="D8" s="10"/>
      <c r="E8" s="10"/>
      <c r="F8" s="10"/>
      <c r="G8" s="10"/>
    </row>
    <row r="9" customFormat="false" ht="15" hidden="false" customHeight="false" outlineLevel="0" collapsed="false">
      <c r="A9" s="6"/>
      <c r="B9" s="29" t="s">
        <v>63</v>
      </c>
      <c r="C9" s="30" t="n">
        <f aca="false">Assessed_Value*(1+AV_Growth+New_Constr_Growth)^(C6)</f>
        <v>8320000000</v>
      </c>
      <c r="D9" s="30" t="n">
        <f aca="false">C9*(1+AV_Growth+New_Constr_Growth)</f>
        <v>8652800000</v>
      </c>
      <c r="E9" s="30" t="n">
        <f aca="false">D9*(1+AV_Growth+New_Constr_Growth)</f>
        <v>8998912000</v>
      </c>
      <c r="F9" s="30" t="n">
        <f aca="false">E9*(1+AV_Growth+New_Constr_Growth)</f>
        <v>9358868480</v>
      </c>
      <c r="G9" s="30" t="n">
        <f aca="false">F9*(1+AV_Growth+New_Constr_Growth)</f>
        <v>9733223219.2</v>
      </c>
    </row>
    <row r="10" customFormat="false" ht="15" hidden="false" customHeight="false" outlineLevel="0" collapsed="false">
      <c r="A10" s="6"/>
      <c r="B10" s="7" t="s">
        <v>187</v>
      </c>
      <c r="C10" s="31" t="n">
        <f aca="false">C9*Millage_Rate/1000*Collection_Rate</f>
        <v>68598400</v>
      </c>
      <c r="D10" s="31" t="n">
        <f aca="false">D9*Millage_Rate/1000*Collection_Rate</f>
        <v>71342336</v>
      </c>
      <c r="E10" s="31" t="n">
        <f aca="false">E9*Millage_Rate/1000*Collection_Rate</f>
        <v>74196029.44</v>
      </c>
      <c r="F10" s="31" t="n">
        <f aca="false">F9*Millage_Rate/1000*Collection_Rate</f>
        <v>77163870.6176</v>
      </c>
      <c r="G10" s="31" t="n">
        <f aca="false">G9*Millage_Rate/1000*Collection_Rate</f>
        <v>80250425.442304</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9" t="s">
        <v>75</v>
      </c>
      <c r="C12" s="10"/>
      <c r="D12" s="10"/>
      <c r="E12" s="10"/>
      <c r="F12" s="10"/>
      <c r="G12" s="10"/>
    </row>
    <row r="13" customFormat="false" ht="15" hidden="false" customHeight="false" outlineLevel="0" collapsed="false">
      <c r="A13" s="6"/>
      <c r="B13" s="7" t="s">
        <v>188</v>
      </c>
      <c r="C13" s="31" t="n">
        <f aca="false">Sales_Tax_Base*(1+Sales_Tax_Growth)^(C6)</f>
        <v>28980000</v>
      </c>
      <c r="D13" s="31" t="n">
        <f aca="false">C13*(1+Sales_Tax_Growth)</f>
        <v>29994300</v>
      </c>
      <c r="E13" s="31" t="n">
        <f aca="false">D13*(1+Sales_Tax_Growth)</f>
        <v>31044100.5</v>
      </c>
      <c r="F13" s="31" t="n">
        <f aca="false">E13*(1+Sales_Tax_Growth)</f>
        <v>32130644.0175</v>
      </c>
      <c r="G13" s="31" t="n">
        <f aca="false">F13*(1+Sales_Tax_Growth)</f>
        <v>33255216.5581125</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80</v>
      </c>
      <c r="C15" s="10"/>
      <c r="D15" s="10"/>
      <c r="E15" s="10"/>
      <c r="F15" s="10"/>
      <c r="G15" s="10"/>
    </row>
    <row r="16" customFormat="false" ht="15" hidden="false" customHeight="false" outlineLevel="0" collapsed="false">
      <c r="A16" s="6"/>
      <c r="B16" s="32" t="s">
        <v>189</v>
      </c>
      <c r="C16" s="33" t="n">
        <f aca="false">Utility_Connections*(1+Conn_Growth)^(C6)</f>
        <v>38380</v>
      </c>
      <c r="D16" s="33" t="n">
        <f aca="false">C16*(1+Conn_Growth)</f>
        <v>38763.8</v>
      </c>
      <c r="E16" s="33" t="n">
        <f aca="false">D16*(1+Conn_Growth)</f>
        <v>39151.438</v>
      </c>
      <c r="F16" s="33" t="n">
        <f aca="false">E16*(1+Conn_Growth)</f>
        <v>39542.95238</v>
      </c>
      <c r="G16" s="33" t="n">
        <f aca="false">F16*(1+Conn_Growth)</f>
        <v>39938.3819038</v>
      </c>
    </row>
    <row r="17" customFormat="false" ht="15" hidden="false" customHeight="false" outlineLevel="0" collapsed="false">
      <c r="A17" s="6"/>
      <c r="B17" s="7" t="s">
        <v>190</v>
      </c>
      <c r="C17" s="31" t="n">
        <f aca="false">C16*Avg_Usage_Rate*(1+Usage_Rate_Increase)^(C6)</f>
        <v>31133856</v>
      </c>
      <c r="D17" s="31" t="n">
        <f aca="false">D16*Avg_Usage_Rate*(1+Usage_Rate_Increase)^(D6)</f>
        <v>32703002.3424</v>
      </c>
      <c r="E17" s="31" t="n">
        <f aca="false">E16*Avg_Usage_Rate*(1+Usage_Rate_Increase)^(E6)</f>
        <v>34351233.660457</v>
      </c>
      <c r="F17" s="31" t="n">
        <f aca="false">F16*Avg_Usage_Rate*(1+Usage_Rate_Increase)^(F6)</f>
        <v>36082535.836944</v>
      </c>
      <c r="G17" s="31" t="n">
        <f aca="false">G16*Avg_Usage_Rate*(1+Usage_Rate_Increase)^(G6)</f>
        <v>37901095.643126</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89</v>
      </c>
      <c r="C19" s="10"/>
      <c r="D19" s="10"/>
      <c r="E19" s="10"/>
      <c r="F19" s="10"/>
      <c r="G19" s="10"/>
    </row>
    <row r="20" customFormat="false" ht="15" hidden="false" customHeight="false" outlineLevel="0" collapsed="false">
      <c r="A20" s="6"/>
      <c r="B20" s="29" t="s">
        <v>90</v>
      </c>
      <c r="C20" s="34" t="n">
        <f aca="false">Permits_Base*(1+Permits_Growth)^(C6)</f>
        <v>6630000</v>
      </c>
      <c r="D20" s="34" t="n">
        <f aca="false">C20*(1+Permits_Growth)</f>
        <v>6762600</v>
      </c>
      <c r="E20" s="34" t="n">
        <f aca="false">D20*(1+Permits_Growth)</f>
        <v>6897852</v>
      </c>
      <c r="F20" s="34" t="n">
        <f aca="false">E20*(1+Permits_Growth)</f>
        <v>7035809.04</v>
      </c>
      <c r="G20" s="34" t="n">
        <f aca="false">F20*(1+Permits_Growth)</f>
        <v>7176525.2208</v>
      </c>
    </row>
    <row r="21" customFormat="false" ht="15" hidden="false" customHeight="false" outlineLevel="0" collapsed="false">
      <c r="A21" s="6"/>
      <c r="B21" s="29" t="s">
        <v>191</v>
      </c>
      <c r="C21" s="34" t="n">
        <f aca="false">Intergov_Base*(1+Intergov_Growth)^(C6)</f>
        <v>12240000</v>
      </c>
      <c r="D21" s="34" t="n">
        <f aca="false">C21*(1+Intergov_Growth)</f>
        <v>12484800</v>
      </c>
      <c r="E21" s="34" t="n">
        <f aca="false">D21*(1+Intergov_Growth)</f>
        <v>12734496</v>
      </c>
      <c r="F21" s="34" t="n">
        <f aca="false">E21*(1+Intergov_Growth)</f>
        <v>12989185.92</v>
      </c>
      <c r="G21" s="34" t="n">
        <f aca="false">F21*(1+Intergov_Growth)</f>
        <v>13248969.6384</v>
      </c>
    </row>
    <row r="22" customFormat="false" ht="15" hidden="false" customHeight="false" outlineLevel="0" collapsed="false">
      <c r="A22" s="6"/>
      <c r="B22" s="29" t="s">
        <v>98</v>
      </c>
      <c r="C22" s="34" t="n">
        <f aca="false">Charges_Base*(1+Charges_Growth)^(C6)</f>
        <v>5665000</v>
      </c>
      <c r="D22" s="34" t="n">
        <f aca="false">C22*(1+Charges_Growth)</f>
        <v>5834950</v>
      </c>
      <c r="E22" s="34" t="n">
        <f aca="false">D22*(1+Charges_Growth)</f>
        <v>6009998.5</v>
      </c>
      <c r="F22" s="34" t="n">
        <f aca="false">E22*(1+Charges_Growth)</f>
        <v>6190298.455</v>
      </c>
      <c r="G22" s="34" t="n">
        <f aca="false">F22*(1+Charges_Growth)</f>
        <v>6376007.40865</v>
      </c>
    </row>
    <row r="23" customFormat="false" ht="15" hidden="false" customHeight="false" outlineLevel="0" collapsed="false">
      <c r="A23" s="6"/>
      <c r="B23" s="29" t="s">
        <v>89</v>
      </c>
      <c r="C23" s="34" t="n">
        <f aca="false">Other_Rev_Base*(1+Other_Rev_Growth)^(C6)</f>
        <v>2040000</v>
      </c>
      <c r="D23" s="34" t="n">
        <f aca="false">C23*(1+Other_Rev_Growth)</f>
        <v>2080800</v>
      </c>
      <c r="E23" s="34" t="n">
        <f aca="false">D23*(1+Other_Rev_Growth)</f>
        <v>2122416</v>
      </c>
      <c r="F23" s="34" t="n">
        <f aca="false">E23*(1+Other_Rev_Growth)</f>
        <v>2164864.32</v>
      </c>
      <c r="G23" s="34" t="n">
        <f aca="false">F23*(1+Other_Rev_Growth)</f>
        <v>2208161.6064</v>
      </c>
    </row>
    <row r="24" customFormat="false" ht="15" hidden="false" customHeight="false" outlineLevel="0" collapsed="false">
      <c r="A24" s="6"/>
      <c r="B24" s="7" t="s">
        <v>192</v>
      </c>
      <c r="C24" s="31" t="n">
        <f aca="false">SUM(C20:C23)</f>
        <v>26575000</v>
      </c>
      <c r="D24" s="31" t="n">
        <f aca="false">SUM(D20:D23)</f>
        <v>27163150</v>
      </c>
      <c r="E24" s="31" t="n">
        <f aca="false">SUM(E20:E23)</f>
        <v>27764762.5</v>
      </c>
      <c r="F24" s="31" t="n">
        <f aca="false">SUM(F20:F23)</f>
        <v>28380157.735</v>
      </c>
      <c r="G24" s="31" t="n">
        <f aca="false">SUM(G20:G23)</f>
        <v>29009663.87425</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7" t="s">
        <v>193</v>
      </c>
      <c r="C26" s="35" t="n">
        <f aca="false">C10+C13+C17+C24</f>
        <v>155287256</v>
      </c>
      <c r="D26" s="35" t="n">
        <f aca="false">D10+D13+D17+D24</f>
        <v>161202788.3424</v>
      </c>
      <c r="E26" s="35" t="n">
        <f aca="false">E10+E13+E17+E24</f>
        <v>167356126.100457</v>
      </c>
      <c r="F26" s="35" t="n">
        <f aca="false">F10+F13+F17+F24</f>
        <v>173757208.207044</v>
      </c>
      <c r="G26" s="35" t="n">
        <f aca="false">G10+G13+G17+G24</f>
        <v>180416401.517792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195</v>
      </c>
      <c r="C8" s="10"/>
      <c r="D8" s="10"/>
      <c r="E8" s="10"/>
      <c r="F8" s="10"/>
      <c r="G8" s="10"/>
    </row>
    <row r="9" customFormat="false" ht="15" hidden="false" customHeight="false" outlineLevel="0" collapsed="false">
      <c r="A9" s="6"/>
      <c r="B9" s="29" t="s">
        <v>196</v>
      </c>
      <c r="C9" s="34" t="n">
        <f aca="false">Police_FTE*Avg_Salary*(1+COLA_Rate)^(C6)</f>
        <v>13390000</v>
      </c>
      <c r="D9" s="34" t="n">
        <f aca="false">Police_FTE*Avg_Salary*(1+COLA_Rate)^(D6)</f>
        <v>13791700</v>
      </c>
      <c r="E9" s="34" t="n">
        <f aca="false">Police_FTE*Avg_Salary*(1+COLA_Rate)^(E6)</f>
        <v>14205451</v>
      </c>
      <c r="F9" s="34" t="n">
        <f aca="false">Police_FTE*Avg_Salary*(1+COLA_Rate)^(F6)</f>
        <v>14631614.53</v>
      </c>
      <c r="G9" s="34" t="n">
        <f aca="false">Police_FTE*Avg_Salary*(1+COLA_Rate)^(G6)</f>
        <v>15070562.9659</v>
      </c>
    </row>
    <row r="10" customFormat="false" ht="15" hidden="false" customHeight="false" outlineLevel="0" collapsed="false">
      <c r="A10" s="6"/>
      <c r="B10" s="29" t="s">
        <v>197</v>
      </c>
      <c r="C10" s="34" t="n">
        <f aca="false">Fire_FTE*Avg_Salary*(1+COLA_Rate)^(C6)</f>
        <v>8703500</v>
      </c>
      <c r="D10" s="34" t="n">
        <f aca="false">Fire_FTE*Avg_Salary*(1+COLA_Rate)^(D6)</f>
        <v>8964605</v>
      </c>
      <c r="E10" s="34" t="n">
        <f aca="false">Fire_FTE*Avg_Salary*(1+COLA_Rate)^(E6)</f>
        <v>9233543.15</v>
      </c>
      <c r="F10" s="34" t="n">
        <f aca="false">Fire_FTE*Avg_Salary*(1+COLA_Rate)^(F6)</f>
        <v>9510549.4445</v>
      </c>
      <c r="G10" s="34" t="n">
        <f aca="false">Fire_FTE*Avg_Salary*(1+COLA_Rate)^(G6)</f>
        <v>9795865.927835</v>
      </c>
    </row>
    <row r="11" customFormat="false" ht="15" hidden="false" customHeight="false" outlineLevel="0" collapsed="false">
      <c r="A11" s="6"/>
      <c r="B11" s="29" t="s">
        <v>198</v>
      </c>
      <c r="C11" s="34" t="n">
        <f aca="false">PW_FTE*Avg_Salary*(1+COLA_Rate)^(C6)</f>
        <v>8034000</v>
      </c>
      <c r="D11" s="34" t="n">
        <f aca="false">PW_FTE*Avg_Salary*(1+COLA_Rate)^(D6)</f>
        <v>8275020</v>
      </c>
      <c r="E11" s="34" t="n">
        <f aca="false">PW_FTE*Avg_Salary*(1+COLA_Rate)^(E6)</f>
        <v>8523270.6</v>
      </c>
      <c r="F11" s="34" t="n">
        <f aca="false">PW_FTE*Avg_Salary*(1+COLA_Rate)^(F6)</f>
        <v>8778968.718</v>
      </c>
      <c r="G11" s="34" t="n">
        <f aca="false">PW_FTE*Avg_Salary*(1+COLA_Rate)^(G6)</f>
        <v>9042337.77954</v>
      </c>
    </row>
    <row r="12" customFormat="false" ht="15" hidden="false" customHeight="false" outlineLevel="0" collapsed="false">
      <c r="A12" s="6"/>
      <c r="B12" s="29" t="s">
        <v>199</v>
      </c>
      <c r="C12" s="34" t="n">
        <f aca="false">Admin_FTE*Avg_Salary*(1+COLA_Rate)^(C6)</f>
        <v>6695000</v>
      </c>
      <c r="D12" s="34" t="n">
        <f aca="false">Admin_FTE*Avg_Salary*(1+COLA_Rate)^(D6)</f>
        <v>6895850</v>
      </c>
      <c r="E12" s="34" t="n">
        <f aca="false">Admin_FTE*Avg_Salary*(1+COLA_Rate)^(E6)</f>
        <v>7102725.5</v>
      </c>
      <c r="F12" s="34" t="n">
        <f aca="false">Admin_FTE*Avg_Salary*(1+COLA_Rate)^(F6)</f>
        <v>7315807.265</v>
      </c>
      <c r="G12" s="34" t="n">
        <f aca="false">Admin_FTE*Avg_Salary*(1+COLA_Rate)^(G6)</f>
        <v>7535281.48295</v>
      </c>
    </row>
    <row r="13" customFormat="false" ht="15" hidden="false" customHeight="false" outlineLevel="0" collapsed="false">
      <c r="A13" s="6"/>
      <c r="B13" s="29" t="s">
        <v>147</v>
      </c>
      <c r="C13" s="34" t="n">
        <f aca="false">Parks_FTE*Avg_Salary*(1+COLA_Rate)^(C6)</f>
        <v>4017000</v>
      </c>
      <c r="D13" s="34" t="n">
        <f aca="false">Parks_FTE*Avg_Salary*(1+COLA_Rate)^(D6)</f>
        <v>4137510</v>
      </c>
      <c r="E13" s="34" t="n">
        <f aca="false">Parks_FTE*Avg_Salary*(1+COLA_Rate)^(E6)</f>
        <v>4261635.3</v>
      </c>
      <c r="F13" s="34" t="n">
        <f aca="false">Parks_FTE*Avg_Salary*(1+COLA_Rate)^(F6)</f>
        <v>4389484.359</v>
      </c>
      <c r="G13" s="34" t="n">
        <f aca="false">Parks_FTE*Avg_Salary*(1+COLA_Rate)^(G6)</f>
        <v>4521168.88977</v>
      </c>
    </row>
    <row r="14" customFormat="false" ht="15" hidden="false" customHeight="false" outlineLevel="0" collapsed="false">
      <c r="A14" s="6"/>
      <c r="B14" s="7" t="s">
        <v>200</v>
      </c>
      <c r="C14" s="31" t="n">
        <f aca="false">SUM(C9:C13)</f>
        <v>40839500</v>
      </c>
      <c r="D14" s="31" t="n">
        <f aca="false">SUM(D9:D13)</f>
        <v>42064685</v>
      </c>
      <c r="E14" s="31" t="n">
        <f aca="false">SUM(E9:E13)</f>
        <v>43326625.55</v>
      </c>
      <c r="F14" s="31" t="n">
        <f aca="false">SUM(F9:F13)</f>
        <v>44626424.3165</v>
      </c>
      <c r="G14" s="31" t="n">
        <f aca="false">SUM(G9:G13)</f>
        <v>45965217.045995</v>
      </c>
    </row>
    <row r="15" customFormat="false" ht="15" hidden="false" customHeight="false" outlineLevel="0" collapsed="false">
      <c r="A15" s="6"/>
      <c r="B15" s="9" t="s">
        <v>201</v>
      </c>
      <c r="C15" s="10"/>
      <c r="D15" s="10"/>
      <c r="E15" s="10"/>
      <c r="F15" s="10"/>
      <c r="G15" s="10"/>
    </row>
    <row r="16" customFormat="false" ht="15" hidden="false" customHeight="false" outlineLevel="0" collapsed="false">
      <c r="A16" s="6"/>
      <c r="B16" s="29" t="s">
        <v>202</v>
      </c>
      <c r="C16" s="34" t="n">
        <f aca="false">C14*Benefits_Rate</f>
        <v>8167900</v>
      </c>
      <c r="D16" s="34" t="n">
        <f aca="false">D14*Benefits_Rate</f>
        <v>8412937</v>
      </c>
      <c r="E16" s="34" t="n">
        <f aca="false">E14*Benefits_Rate</f>
        <v>8665325.11</v>
      </c>
      <c r="F16" s="34" t="n">
        <f aca="false">F14*Benefits_Rate</f>
        <v>8925284.8633</v>
      </c>
      <c r="G16" s="34" t="n">
        <f aca="false">G14*Benefits_Rate</f>
        <v>9193043.409199</v>
      </c>
    </row>
    <row r="17" customFormat="false" ht="15" hidden="false" customHeight="false" outlineLevel="0" collapsed="false">
      <c r="A17" s="6"/>
      <c r="B17" s="29" t="s">
        <v>121</v>
      </c>
      <c r="C17" s="34" t="n">
        <f aca="false">C14*Pension_Rate</f>
        <v>7351110</v>
      </c>
      <c r="D17" s="34" t="n">
        <f aca="false">D14*Pension_Rate</f>
        <v>7571643.3</v>
      </c>
      <c r="E17" s="34" t="n">
        <f aca="false">E14*Pension_Rate</f>
        <v>7798792.599</v>
      </c>
      <c r="F17" s="34" t="n">
        <f aca="false">F14*Pension_Rate</f>
        <v>8032756.37697</v>
      </c>
      <c r="G17" s="34" t="n">
        <f aca="false">G14*Pension_Rate</f>
        <v>8273739.0682791</v>
      </c>
    </row>
    <row r="18" customFormat="false" ht="15" hidden="false" customHeight="false" outlineLevel="0" collapsed="false">
      <c r="A18" s="6"/>
      <c r="B18" s="7" t="s">
        <v>203</v>
      </c>
      <c r="C18" s="35" t="n">
        <f aca="false">C14+C16+C17</f>
        <v>56358510</v>
      </c>
      <c r="D18" s="35" t="n">
        <f aca="false">D14+D16+D17</f>
        <v>58049265.3</v>
      </c>
      <c r="E18" s="35" t="n">
        <f aca="false">E14+E16+E17</f>
        <v>59790743.259</v>
      </c>
      <c r="F18" s="35" t="n">
        <f aca="false">F14+F16+F17</f>
        <v>61584465.55677</v>
      </c>
      <c r="G18" s="35" t="n">
        <f aca="false">G14+G16+G17</f>
        <v>63431999.5234731</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123</v>
      </c>
      <c r="C20" s="10"/>
      <c r="D20" s="10"/>
      <c r="E20" s="10"/>
      <c r="F20" s="10"/>
      <c r="G20" s="10"/>
    </row>
    <row r="21" customFormat="false" ht="15" hidden="false" customHeight="false" outlineLevel="0" collapsed="false">
      <c r="A21" s="6"/>
      <c r="B21" s="29" t="s">
        <v>124</v>
      </c>
      <c r="C21" s="34" t="n">
        <f aca="false">Utilities_Base*(1+OpEx_Escalation)^(C6)</f>
        <v>4326000</v>
      </c>
      <c r="D21" s="34" t="n">
        <f aca="false">Utilities_Base*(1+OpEx_Escalation)^(D6)</f>
        <v>4455780</v>
      </c>
      <c r="E21" s="34" t="n">
        <f aca="false">Utilities_Base*(1+OpEx_Escalation)^(E6)</f>
        <v>4589453.4</v>
      </c>
      <c r="F21" s="34" t="n">
        <f aca="false">Utilities_Base*(1+OpEx_Escalation)^(F6)</f>
        <v>4727137.002</v>
      </c>
      <c r="G21" s="34" t="n">
        <f aca="false">Utilities_Base*(1+OpEx_Escalation)^(G6)</f>
        <v>4868951.11206</v>
      </c>
    </row>
    <row r="22" customFormat="false" ht="15" hidden="false" customHeight="false" outlineLevel="0" collapsed="false">
      <c r="A22" s="6"/>
      <c r="B22" s="29" t="s">
        <v>126</v>
      </c>
      <c r="C22" s="34" t="n">
        <f aca="false">Materials_Base*(1+OpEx_Escalation)^(C6)</f>
        <v>5974000</v>
      </c>
      <c r="D22" s="34" t="n">
        <f aca="false">Materials_Base*(1+OpEx_Escalation)^(D6)</f>
        <v>6153220</v>
      </c>
      <c r="E22" s="34" t="n">
        <f aca="false">Materials_Base*(1+OpEx_Escalation)^(E6)</f>
        <v>6337816.6</v>
      </c>
      <c r="F22" s="34" t="n">
        <f aca="false">Materials_Base*(1+OpEx_Escalation)^(F6)</f>
        <v>6527951.098</v>
      </c>
      <c r="G22" s="34" t="n">
        <f aca="false">Materials_Base*(1+OpEx_Escalation)^(G6)</f>
        <v>6723789.63094</v>
      </c>
    </row>
    <row r="23" customFormat="false" ht="15" hidden="false" customHeight="false" outlineLevel="0" collapsed="false">
      <c r="A23" s="6"/>
      <c r="B23" s="29" t="s">
        <v>128</v>
      </c>
      <c r="C23" s="34" t="n">
        <f aca="false">Prof_Services_Base*(1+OpEx_Escalation)^(C6)</f>
        <v>7725000</v>
      </c>
      <c r="D23" s="34" t="n">
        <f aca="false">Prof_Services_Base*(1+OpEx_Escalation)^(D6)</f>
        <v>7956750</v>
      </c>
      <c r="E23" s="34" t="n">
        <f aca="false">Prof_Services_Base*(1+OpEx_Escalation)^(E6)</f>
        <v>8195452.5</v>
      </c>
      <c r="F23" s="34" t="n">
        <f aca="false">Prof_Services_Base*(1+OpEx_Escalation)^(F6)</f>
        <v>8441316.075</v>
      </c>
      <c r="G23" s="34" t="n">
        <f aca="false">Prof_Services_Base*(1+OpEx_Escalation)^(G6)</f>
        <v>8694555.55725</v>
      </c>
    </row>
    <row r="24" customFormat="false" ht="15" hidden="false" customHeight="false" outlineLevel="0" collapsed="false">
      <c r="A24" s="6"/>
      <c r="B24" s="29" t="s">
        <v>130</v>
      </c>
      <c r="C24" s="34" t="n">
        <f aca="false">Insurance_Base*(1+OpEx_Escalation)^(C6)</f>
        <v>3296000</v>
      </c>
      <c r="D24" s="34" t="n">
        <f aca="false">Insurance_Base*(1+OpEx_Escalation)^(D6)</f>
        <v>3394880</v>
      </c>
      <c r="E24" s="34" t="n">
        <f aca="false">Insurance_Base*(1+OpEx_Escalation)^(E6)</f>
        <v>3496726.4</v>
      </c>
      <c r="F24" s="34" t="n">
        <f aca="false">Insurance_Base*(1+OpEx_Escalation)^(F6)</f>
        <v>3601628.192</v>
      </c>
      <c r="G24" s="34" t="n">
        <f aca="false">Insurance_Base*(1+OpEx_Escalation)^(G6)</f>
        <v>3709677.03776</v>
      </c>
    </row>
    <row r="25" customFormat="false" ht="15" hidden="false" customHeight="false" outlineLevel="0" collapsed="false">
      <c r="A25" s="6"/>
      <c r="B25" s="29" t="s">
        <v>132</v>
      </c>
      <c r="C25" s="34" t="n">
        <f aca="false">IT_Base*(1+OpEx_Escalation)^(C6)</f>
        <v>2884000</v>
      </c>
      <c r="D25" s="34" t="n">
        <f aca="false">IT_Base*(1+OpEx_Escalation)^(D6)</f>
        <v>2970520</v>
      </c>
      <c r="E25" s="34" t="n">
        <f aca="false">IT_Base*(1+OpEx_Escalation)^(E6)</f>
        <v>3059635.6</v>
      </c>
      <c r="F25" s="34" t="n">
        <f aca="false">IT_Base*(1+OpEx_Escalation)^(F6)</f>
        <v>3151424.668</v>
      </c>
      <c r="G25" s="34" t="n">
        <f aca="false">IT_Base*(1+OpEx_Escalation)^(G6)</f>
        <v>3245967.40804</v>
      </c>
    </row>
    <row r="26" customFormat="false" ht="15" hidden="false" customHeight="false" outlineLevel="0" collapsed="false">
      <c r="A26" s="6"/>
      <c r="B26" s="29" t="s">
        <v>134</v>
      </c>
      <c r="C26" s="34" t="n">
        <f aca="false">Other_OpEx_Base*(1+OpEx_Escalation)^(C6)</f>
        <v>3605000</v>
      </c>
      <c r="D26" s="34" t="n">
        <f aca="false">Other_OpEx_Base*(1+OpEx_Escalation)^(D6)</f>
        <v>3713150</v>
      </c>
      <c r="E26" s="34" t="n">
        <f aca="false">Other_OpEx_Base*(1+OpEx_Escalation)^(E6)</f>
        <v>3824544.5</v>
      </c>
      <c r="F26" s="34" t="n">
        <f aca="false">Other_OpEx_Base*(1+OpEx_Escalation)^(F6)</f>
        <v>3939280.835</v>
      </c>
      <c r="G26" s="34" t="n">
        <f aca="false">Other_OpEx_Base*(1+OpEx_Escalation)^(G6)</f>
        <v>4057459.26005</v>
      </c>
    </row>
    <row r="27" customFormat="false" ht="15" hidden="false" customHeight="false" outlineLevel="0" collapsed="false">
      <c r="A27" s="6"/>
      <c r="B27" s="7" t="s">
        <v>204</v>
      </c>
      <c r="C27" s="31" t="n">
        <f aca="false">SUM(C21:C26)</f>
        <v>27810000</v>
      </c>
      <c r="D27" s="31" t="n">
        <f aca="false">SUM(D21:D26)</f>
        <v>28644300</v>
      </c>
      <c r="E27" s="31" t="n">
        <f aca="false">SUM(E21:E26)</f>
        <v>29503629</v>
      </c>
      <c r="F27" s="31" t="n">
        <f aca="false">SUM(F21:F26)</f>
        <v>30388737.87</v>
      </c>
      <c r="G27" s="31" t="n">
        <f aca="false">SUM(G21:G26)</f>
        <v>31300400.0061</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205</v>
      </c>
      <c r="C29" s="35" t="n">
        <f aca="false">C18+C27</f>
        <v>84168510</v>
      </c>
      <c r="D29" s="35" t="n">
        <f aca="false">D18+D27</f>
        <v>86693565.3</v>
      </c>
      <c r="E29" s="35" t="n">
        <f aca="false">E18+E27</f>
        <v>89294372.259</v>
      </c>
      <c r="F29" s="35" t="n">
        <f aca="false">F18+F27</f>
        <v>91973203.42677</v>
      </c>
      <c r="G29" s="35" t="n">
        <f aca="false">G18+G27</f>
        <v>94732399.5295731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207</v>
      </c>
      <c r="C8" s="10"/>
      <c r="D8" s="10"/>
      <c r="E8" s="10"/>
      <c r="F8" s="10"/>
      <c r="G8" s="10"/>
    </row>
    <row r="9" customFormat="false" ht="15" hidden="false" customHeight="false" outlineLevel="0" collapsed="false">
      <c r="A9" s="6"/>
      <c r="B9" s="29" t="s">
        <v>139</v>
      </c>
      <c r="C9" s="34" t="n">
        <f aca="false">Roads_CapEx*(1+Inflation_Rate)^(C6-1)</f>
        <v>8000000</v>
      </c>
      <c r="D9" s="34" t="n">
        <f aca="false">Roads_CapEx*(1+Inflation_Rate)^(D6-1)</f>
        <v>8200000</v>
      </c>
      <c r="E9" s="34" t="n">
        <f aca="false">Roads_CapEx*(1+Inflation_Rate)^(E6-1)</f>
        <v>8405000</v>
      </c>
      <c r="F9" s="34" t="n">
        <f aca="false">Roads_CapEx*(1+Inflation_Rate)^(F6-1)</f>
        <v>8615125</v>
      </c>
      <c r="G9" s="34" t="n">
        <f aca="false">Roads_CapEx*(1+Inflation_Rate)^(G6-1)</f>
        <v>8830503.125</v>
      </c>
    </row>
    <row r="10" customFormat="false" ht="15" hidden="false" customHeight="false" outlineLevel="0" collapsed="false">
      <c r="A10" s="6"/>
      <c r="B10" s="29" t="s">
        <v>141</v>
      </c>
      <c r="C10" s="34" t="n">
        <f aca="false">Buildings_CapEx*(1+Inflation_Rate)^(C6-1)</f>
        <v>3000000</v>
      </c>
      <c r="D10" s="34" t="n">
        <f aca="false">Buildings_CapEx*(1+Inflation_Rate)^(D6-1)</f>
        <v>3075000</v>
      </c>
      <c r="E10" s="34" t="n">
        <f aca="false">Buildings_CapEx*(1+Inflation_Rate)^(E6-1)</f>
        <v>3151875</v>
      </c>
      <c r="F10" s="34" t="n">
        <f aca="false">Buildings_CapEx*(1+Inflation_Rate)^(F6-1)</f>
        <v>3230671.875</v>
      </c>
      <c r="G10" s="34" t="n">
        <f aca="false">Buildings_CapEx*(1+Inflation_Rate)^(G6-1)</f>
        <v>3311438.671875</v>
      </c>
    </row>
    <row r="11" customFormat="false" ht="15" hidden="false" customHeight="false" outlineLevel="0" collapsed="false">
      <c r="A11" s="6"/>
      <c r="B11" s="29" t="s">
        <v>143</v>
      </c>
      <c r="C11" s="34" t="n">
        <f aca="false">Vehicles_CapEx*(1+Inflation_Rate)^(C6-1)</f>
        <v>2500000</v>
      </c>
      <c r="D11" s="34" t="n">
        <f aca="false">Vehicles_CapEx*(1+Inflation_Rate)^(D6-1)</f>
        <v>2562500</v>
      </c>
      <c r="E11" s="34" t="n">
        <f aca="false">Vehicles_CapEx*(1+Inflation_Rate)^(E6-1)</f>
        <v>2626562.5</v>
      </c>
      <c r="F11" s="34" t="n">
        <f aca="false">Vehicles_CapEx*(1+Inflation_Rate)^(F6-1)</f>
        <v>2692226.5625</v>
      </c>
      <c r="G11" s="34" t="n">
        <f aca="false">Vehicles_CapEx*(1+Inflation_Rate)^(G6-1)</f>
        <v>2759532.2265625</v>
      </c>
    </row>
    <row r="12" customFormat="false" ht="15" hidden="false" customHeight="false" outlineLevel="0" collapsed="false">
      <c r="A12" s="6"/>
      <c r="B12" s="29" t="s">
        <v>145</v>
      </c>
      <c r="C12" s="34" t="n">
        <f aca="false">IT_CapEx*(1+Inflation_Rate)^(C6-1)</f>
        <v>1200000</v>
      </c>
      <c r="D12" s="34" t="n">
        <f aca="false">IT_CapEx*(1+Inflation_Rate)^(D6-1)</f>
        <v>1230000</v>
      </c>
      <c r="E12" s="34" t="n">
        <f aca="false">IT_CapEx*(1+Inflation_Rate)^(E6-1)</f>
        <v>1260750</v>
      </c>
      <c r="F12" s="34" t="n">
        <f aca="false">IT_CapEx*(1+Inflation_Rate)^(F6-1)</f>
        <v>1292268.75</v>
      </c>
      <c r="G12" s="34" t="n">
        <f aca="false">IT_CapEx*(1+Inflation_Rate)^(G6-1)</f>
        <v>1324575.46875</v>
      </c>
    </row>
    <row r="13" customFormat="false" ht="15" hidden="false" customHeight="false" outlineLevel="0" collapsed="false">
      <c r="A13" s="6"/>
      <c r="B13" s="29" t="s">
        <v>147</v>
      </c>
      <c r="C13" s="34" t="n">
        <f aca="false">Parks_CapEx*(1+Inflation_Rate)^(C6-1)</f>
        <v>1800000</v>
      </c>
      <c r="D13" s="34" t="n">
        <f aca="false">Parks_CapEx*(1+Inflation_Rate)^(D6-1)</f>
        <v>1845000</v>
      </c>
      <c r="E13" s="34" t="n">
        <f aca="false">Parks_CapEx*(1+Inflation_Rate)^(E6-1)</f>
        <v>1891125</v>
      </c>
      <c r="F13" s="34" t="n">
        <f aca="false">Parks_CapEx*(1+Inflation_Rate)^(F6-1)</f>
        <v>1938403.125</v>
      </c>
      <c r="G13" s="34" t="n">
        <f aca="false">Parks_CapEx*(1+Inflation_Rate)^(G6-1)</f>
        <v>1986863.203125</v>
      </c>
    </row>
    <row r="14" customFormat="false" ht="15" hidden="false" customHeight="false" outlineLevel="0" collapsed="false">
      <c r="A14" s="6"/>
      <c r="B14" s="7" t="s">
        <v>208</v>
      </c>
      <c r="C14" s="31" t="n">
        <f aca="false">SUM(C9:C13)</f>
        <v>16500000</v>
      </c>
      <c r="D14" s="31" t="n">
        <f aca="false">SUM(D9:D13)</f>
        <v>16912500</v>
      </c>
      <c r="E14" s="31" t="n">
        <f aca="false">SUM(E9:E13)</f>
        <v>17335312.5</v>
      </c>
      <c r="F14" s="31" t="n">
        <f aca="false">SUM(F9:F13)</f>
        <v>17768695.3125</v>
      </c>
      <c r="G14" s="31" t="n">
        <f aca="false">SUM(G9:G13)</f>
        <v>18212912.6953125</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209</v>
      </c>
      <c r="C16" s="10"/>
      <c r="D16" s="10"/>
      <c r="E16" s="10"/>
      <c r="F16" s="10"/>
      <c r="G16" s="10"/>
    </row>
    <row r="17" customFormat="false" ht="15" hidden="false" customHeight="false" outlineLevel="0" collapsed="false">
      <c r="A17" s="6"/>
      <c r="B17" s="29" t="s">
        <v>210</v>
      </c>
      <c r="C17" s="34" t="n">
        <f aca="false">C14*Grant_Funding_Pct</f>
        <v>2475000</v>
      </c>
      <c r="D17" s="34" t="n">
        <f aca="false">D14*Grant_Funding_Pct</f>
        <v>2536875</v>
      </c>
      <c r="E17" s="34" t="n">
        <f aca="false">E14*Grant_Funding_Pct</f>
        <v>2600296.875</v>
      </c>
      <c r="F17" s="34" t="n">
        <f aca="false">F14*Grant_Funding_Pct</f>
        <v>2665304.296875</v>
      </c>
      <c r="G17" s="34" t="n">
        <f aca="false">G14*Grant_Funding_Pct</f>
        <v>2731936.90429687</v>
      </c>
    </row>
    <row r="18" customFormat="false" ht="15" hidden="false" customHeight="false" outlineLevel="0" collapsed="false">
      <c r="A18" s="6"/>
      <c r="B18" s="29" t="s">
        <v>211</v>
      </c>
      <c r="C18" s="34" t="n">
        <f aca="false">C14*PayGo_Pct</f>
        <v>7425000</v>
      </c>
      <c r="D18" s="34" t="n">
        <f aca="false">D14*PayGo_Pct</f>
        <v>7610625</v>
      </c>
      <c r="E18" s="34" t="n">
        <f aca="false">E14*PayGo_Pct</f>
        <v>7800890.625</v>
      </c>
      <c r="F18" s="34" t="n">
        <f aca="false">F14*PayGo_Pct</f>
        <v>7995912.890625</v>
      </c>
      <c r="G18" s="34" t="n">
        <f aca="false">G14*PayGo_Pct</f>
        <v>8195810.71289062</v>
      </c>
    </row>
    <row r="19" customFormat="false" ht="15" hidden="false" customHeight="false" outlineLevel="0" collapsed="false">
      <c r="A19" s="6"/>
      <c r="B19" s="29" t="s">
        <v>212</v>
      </c>
      <c r="C19" s="34" t="n">
        <f aca="false">C14-C17-C18</f>
        <v>6600000</v>
      </c>
      <c r="D19" s="34" t="n">
        <f aca="false">D14-D17-D18</f>
        <v>6765000</v>
      </c>
      <c r="E19" s="34" t="n">
        <f aca="false">E14-E17-E18</f>
        <v>6934125</v>
      </c>
      <c r="F19" s="34" t="n">
        <f aca="false">F14-F17-F18</f>
        <v>7107478.125</v>
      </c>
      <c r="G19" s="34" t="n">
        <f aca="false">G14-G17-G18</f>
        <v>7285165.078125</v>
      </c>
    </row>
    <row r="20" customFormat="false" ht="15" hidden="false" customHeight="false" outlineLevel="0" collapsed="false">
      <c r="A20" s="6"/>
      <c r="B20" s="7" t="s">
        <v>213</v>
      </c>
      <c r="C20" s="31" t="n">
        <f aca="false">C17+C18+C19</f>
        <v>16500000</v>
      </c>
      <c r="D20" s="31" t="n">
        <f aca="false">D17+D18+D19</f>
        <v>16912500</v>
      </c>
      <c r="E20" s="31" t="n">
        <f aca="false">E17+E18+E19</f>
        <v>17335312.5</v>
      </c>
      <c r="F20" s="31" t="n">
        <f aca="false">F17+F18+F19</f>
        <v>17768695.3125</v>
      </c>
      <c r="G20" s="31" t="n">
        <f aca="false">G17+G18+G19</f>
        <v>18212912.6953125</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214</v>
      </c>
      <c r="C22" s="10"/>
      <c r="D22" s="10"/>
      <c r="E22" s="10"/>
      <c r="F22" s="10"/>
      <c r="G22" s="10"/>
    </row>
    <row r="23" customFormat="false" ht="15" hidden="false" customHeight="false" outlineLevel="0" collapsed="false">
      <c r="A23" s="6"/>
      <c r="B23" s="29" t="s">
        <v>215</v>
      </c>
      <c r="C23" s="34" t="n">
        <f aca="false">SUM($C$9:C9)/Roads_Life</f>
        <v>320000</v>
      </c>
      <c r="D23" s="34" t="n">
        <f aca="false">SUM($C$9:D9)/Roads_Life</f>
        <v>648000</v>
      </c>
      <c r="E23" s="34" t="n">
        <f aca="false">SUM($C$9:E9)/Roads_Life</f>
        <v>984200</v>
      </c>
      <c r="F23" s="34" t="n">
        <f aca="false">SUM($C$9:F9)/Roads_Life</f>
        <v>1328805</v>
      </c>
      <c r="G23" s="34" t="n">
        <f aca="false">SUM($C$9:G9)/Roads_Life</f>
        <v>1682025.125</v>
      </c>
    </row>
    <row r="24" customFormat="false" ht="15" hidden="false" customHeight="false" outlineLevel="0" collapsed="false">
      <c r="A24" s="6"/>
      <c r="B24" s="29" t="s">
        <v>216</v>
      </c>
      <c r="C24" s="34" t="n">
        <f aca="false">SUM($C$10:C10)/Buildings_Life</f>
        <v>75000</v>
      </c>
      <c r="D24" s="34" t="n">
        <f aca="false">SUM($C$10:D10)/Buildings_Life</f>
        <v>151875</v>
      </c>
      <c r="E24" s="34" t="n">
        <f aca="false">SUM($C$10:E10)/Buildings_Life</f>
        <v>230671.875</v>
      </c>
      <c r="F24" s="34" t="n">
        <f aca="false">SUM($C$10:F10)/Buildings_Life</f>
        <v>311438.671875</v>
      </c>
      <c r="G24" s="34" t="n">
        <f aca="false">SUM($C$10:G10)/Buildings_Life</f>
        <v>394224.638671875</v>
      </c>
    </row>
    <row r="25" customFormat="false" ht="15" hidden="false" customHeight="false" outlineLevel="0" collapsed="false">
      <c r="A25" s="6"/>
      <c r="B25" s="29" t="s">
        <v>217</v>
      </c>
      <c r="C25" s="34" t="n">
        <f aca="false">SUM($C$11:C11)/Vehicles_Life</f>
        <v>357142.857142857</v>
      </c>
      <c r="D25" s="34" t="n">
        <f aca="false">SUM($C$11:D11)/Vehicles_Life</f>
        <v>723214.285714286</v>
      </c>
      <c r="E25" s="34" t="n">
        <f aca="false">SUM($C$11:E11)/Vehicles_Life</f>
        <v>1098437.5</v>
      </c>
      <c r="F25" s="34" t="n">
        <f aca="false">SUM($C$11:F11)/Vehicles_Life</f>
        <v>1483041.29464286</v>
      </c>
      <c r="G25" s="34" t="n">
        <f aca="false">SUM($C$11:G11)/Vehicles_Life</f>
        <v>1877260.18415179</v>
      </c>
    </row>
    <row r="26" customFormat="false" ht="15" hidden="false" customHeight="false" outlineLevel="0" collapsed="false">
      <c r="A26" s="6"/>
      <c r="B26" s="29" t="s">
        <v>218</v>
      </c>
      <c r="C26" s="34" t="n">
        <f aca="false">SUM($C$12:C12)/IT_Life</f>
        <v>300000</v>
      </c>
      <c r="D26" s="34" t="n">
        <f aca="false">SUM($C$12:D12)/IT_Life</f>
        <v>607500</v>
      </c>
      <c r="E26" s="34" t="n">
        <f aca="false">SUM($C$12:E12)/IT_Life</f>
        <v>922687.5</v>
      </c>
      <c r="F26" s="34" t="n">
        <f aca="false">SUM($C$12:F12)/IT_Life</f>
        <v>1245754.6875</v>
      </c>
      <c r="G26" s="34" t="n">
        <f aca="false">SUM($C$12:G12)/IT_Life</f>
        <v>1576898.5546875</v>
      </c>
    </row>
    <row r="27" customFormat="false" ht="15" hidden="false" customHeight="false" outlineLevel="0" collapsed="false">
      <c r="A27" s="6"/>
      <c r="B27" s="29" t="s">
        <v>219</v>
      </c>
      <c r="C27" s="34" t="n">
        <f aca="false">SUM($C$13:C13)/Parks_Life</f>
        <v>90000</v>
      </c>
      <c r="D27" s="34" t="n">
        <f aca="false">SUM($C$13:D13)/Parks_Life</f>
        <v>182250</v>
      </c>
      <c r="E27" s="34" t="n">
        <f aca="false">SUM($C$13:E13)/Parks_Life</f>
        <v>276806.25</v>
      </c>
      <c r="F27" s="34" t="n">
        <f aca="false">SUM($C$13:F13)/Parks_Life</f>
        <v>373726.40625</v>
      </c>
      <c r="G27" s="34" t="n">
        <f aca="false">SUM($C$13:G13)/Parks_Life</f>
        <v>473069.56640625</v>
      </c>
    </row>
    <row r="28" customFormat="false" ht="15" hidden="false" customHeight="false" outlineLevel="0" collapsed="false">
      <c r="A28" s="6"/>
      <c r="B28" s="7" t="s">
        <v>220</v>
      </c>
      <c r="C28" s="31" t="n">
        <f aca="false">SUM(C23:C27)</f>
        <v>1142142.85714286</v>
      </c>
      <c r="D28" s="31" t="n">
        <f aca="false">SUM(D23:D27)</f>
        <v>2312839.28571429</v>
      </c>
      <c r="E28" s="31" t="n">
        <f aca="false">SUM(E23:E27)</f>
        <v>3512803.125</v>
      </c>
      <c r="F28" s="31" t="n">
        <f aca="false">SUM(F23:F27)</f>
        <v>4742766.06026786</v>
      </c>
      <c r="G28" s="31" t="n">
        <f aca="false">SUM(G23:G27)</f>
        <v>6003478.06891741</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9" t="s">
        <v>221</v>
      </c>
      <c r="C30" s="10"/>
      <c r="D30" s="10"/>
      <c r="E30" s="10"/>
      <c r="F30" s="10"/>
      <c r="G30" s="10"/>
    </row>
    <row r="31" customFormat="false" ht="15" hidden="false" customHeight="false" outlineLevel="0" collapsed="false">
      <c r="A31" s="6"/>
      <c r="B31" s="29" t="s">
        <v>222</v>
      </c>
      <c r="C31" s="34" t="n">
        <f aca="false">Open_Net_Assets</f>
        <v>180000000</v>
      </c>
      <c r="D31" s="34" t="n">
        <f aca="false">C34</f>
        <v>195357857.142857</v>
      </c>
      <c r="E31" s="34" t="n">
        <f aca="false">D34</f>
        <v>209957517.857143</v>
      </c>
      <c r="F31" s="34" t="n">
        <f aca="false">E34</f>
        <v>223780027.232143</v>
      </c>
      <c r="G31" s="34" t="n">
        <f aca="false">F34</f>
        <v>236805956.484375</v>
      </c>
    </row>
    <row r="32" customFormat="false" ht="15" hidden="false" customHeight="false" outlineLevel="0" collapsed="false">
      <c r="A32" s="6"/>
      <c r="B32" s="29" t="s">
        <v>223</v>
      </c>
      <c r="C32" s="34" t="n">
        <f aca="false">C14</f>
        <v>16500000</v>
      </c>
      <c r="D32" s="34" t="n">
        <f aca="false">D14</f>
        <v>16912500</v>
      </c>
      <c r="E32" s="34" t="n">
        <f aca="false">E14</f>
        <v>17335312.5</v>
      </c>
      <c r="F32" s="34" t="n">
        <f aca="false">F14</f>
        <v>17768695.3125</v>
      </c>
      <c r="G32" s="34" t="n">
        <f aca="false">G14</f>
        <v>18212912.6953125</v>
      </c>
    </row>
    <row r="33" customFormat="false" ht="15" hidden="false" customHeight="false" outlineLevel="0" collapsed="false">
      <c r="A33" s="6"/>
      <c r="B33" s="29" t="s">
        <v>224</v>
      </c>
      <c r="C33" s="34" t="n">
        <f aca="false">C28</f>
        <v>1142142.85714286</v>
      </c>
      <c r="D33" s="34" t="n">
        <f aca="false">D28</f>
        <v>2312839.28571429</v>
      </c>
      <c r="E33" s="34" t="n">
        <f aca="false">E28</f>
        <v>3512803.125</v>
      </c>
      <c r="F33" s="34" t="n">
        <f aca="false">F28</f>
        <v>4742766.06026786</v>
      </c>
      <c r="G33" s="34" t="n">
        <f aca="false">G28</f>
        <v>6003478.06891741</v>
      </c>
    </row>
    <row r="34" customFormat="false" ht="15" hidden="false" customHeight="false" outlineLevel="0" collapsed="false">
      <c r="A34" s="6"/>
      <c r="B34" s="7" t="s">
        <v>225</v>
      </c>
      <c r="C34" s="35" t="n">
        <f aca="false">C31+C32-C33</f>
        <v>195357857.142857</v>
      </c>
      <c r="D34" s="35" t="n">
        <f aca="false">D31+D32-D33</f>
        <v>209957517.857143</v>
      </c>
      <c r="E34" s="35" t="n">
        <f aca="false">E31+E32-E33</f>
        <v>223780027.232143</v>
      </c>
      <c r="F34" s="35" t="n">
        <f aca="false">F31+F32-F33</f>
        <v>236805956.484375</v>
      </c>
      <c r="G34" s="35" t="n">
        <f aca="false">G31+G32-G33</f>
        <v>249015391.11077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161</v>
      </c>
      <c r="C8" s="10"/>
      <c r="D8" s="10"/>
      <c r="E8" s="10"/>
      <c r="F8" s="10"/>
      <c r="G8" s="10"/>
    </row>
    <row r="9" customFormat="false" ht="15" hidden="false" customHeight="false" outlineLevel="0" collapsed="false">
      <c r="A9" s="6"/>
      <c r="B9" s="29" t="s">
        <v>227</v>
      </c>
      <c r="C9" s="34" t="n">
        <f aca="false">Existing_Debt</f>
        <v>45000000</v>
      </c>
      <c r="D9" s="34" t="n">
        <f aca="false">MAX(0,C12)</f>
        <v>41250000</v>
      </c>
      <c r="E9" s="34" t="n">
        <f aca="false">MAX(0,D12)</f>
        <v>37500000</v>
      </c>
      <c r="F9" s="34" t="n">
        <f aca="false">MAX(0,E12)</f>
        <v>33750000</v>
      </c>
      <c r="G9" s="34" t="n">
        <f aca="false">MAX(0,F12)</f>
        <v>30000000</v>
      </c>
    </row>
    <row r="10" customFormat="false" ht="15" hidden="false" customHeight="false" outlineLevel="0" collapsed="false">
      <c r="A10" s="6"/>
      <c r="B10" s="29" t="s">
        <v>228</v>
      </c>
      <c r="C10" s="34" t="n">
        <f aca="false">MIN(Existing_Debt/Existing_Remain,C9)</f>
        <v>3750000</v>
      </c>
      <c r="D10" s="34" t="n">
        <f aca="false">MIN(Existing_Debt/Existing_Remain,D9)</f>
        <v>3750000</v>
      </c>
      <c r="E10" s="34" t="n">
        <f aca="false">MIN(Existing_Debt/Existing_Remain,E9)</f>
        <v>3750000</v>
      </c>
      <c r="F10" s="34" t="n">
        <f aca="false">MIN(Existing_Debt/Existing_Remain,F9)</f>
        <v>3750000</v>
      </c>
      <c r="G10" s="34" t="n">
        <f aca="false">MIN(Existing_Debt/Existing_Remain,G9)</f>
        <v>3750000</v>
      </c>
    </row>
    <row r="11" customFormat="false" ht="15" hidden="false" customHeight="false" outlineLevel="0" collapsed="false">
      <c r="A11" s="6"/>
      <c r="B11" s="29" t="s">
        <v>229</v>
      </c>
      <c r="C11" s="34" t="n">
        <f aca="false">C9*Existing_Bond_Rate</f>
        <v>1575000</v>
      </c>
      <c r="D11" s="34" t="n">
        <f aca="false">D9*Existing_Bond_Rate</f>
        <v>1443750</v>
      </c>
      <c r="E11" s="34" t="n">
        <f aca="false">E9*Existing_Bond_Rate</f>
        <v>1312500</v>
      </c>
      <c r="F11" s="34" t="n">
        <f aca="false">F9*Existing_Bond_Rate</f>
        <v>1181250</v>
      </c>
      <c r="G11" s="34" t="n">
        <f aca="false">G9*Existing_Bond_Rate</f>
        <v>1050000</v>
      </c>
    </row>
    <row r="12" customFormat="false" ht="15" hidden="false" customHeight="false" outlineLevel="0" collapsed="false">
      <c r="A12" s="6"/>
      <c r="B12" s="7" t="s">
        <v>230</v>
      </c>
      <c r="C12" s="31" t="n">
        <f aca="false">MAX(0,C9-C10)</f>
        <v>41250000</v>
      </c>
      <c r="D12" s="31" t="n">
        <f aca="false">MAX(0,D9-D10)</f>
        <v>37500000</v>
      </c>
      <c r="E12" s="31" t="n">
        <f aca="false">MAX(0,E9-E10)</f>
        <v>33750000</v>
      </c>
      <c r="F12" s="31" t="n">
        <f aca="false">MAX(0,F9-F10)</f>
        <v>30000000</v>
      </c>
      <c r="G12" s="31" t="n">
        <f aca="false">MAX(0,G9-G10)</f>
        <v>26250000</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231</v>
      </c>
      <c r="C14" s="10"/>
      <c r="D14" s="10"/>
      <c r="E14" s="10"/>
      <c r="F14" s="10"/>
      <c r="G14" s="10"/>
    </row>
    <row r="15" customFormat="false" ht="15" hidden="false" customHeight="false" outlineLevel="0" collapsed="false">
      <c r="A15" s="6"/>
      <c r="B15" s="29" t="s">
        <v>227</v>
      </c>
      <c r="C15" s="34" t="n">
        <f aca="false">0</f>
        <v>0</v>
      </c>
      <c r="D15" s="34" t="n">
        <f aca="false">C19</f>
        <v>0</v>
      </c>
      <c r="E15" s="34" t="n">
        <f aca="false">D19</f>
        <v>19000000</v>
      </c>
      <c r="F15" s="34" t="n">
        <f aca="false">E19</f>
        <v>18000000</v>
      </c>
      <c r="G15" s="34" t="n">
        <f aca="false">F19</f>
        <v>17000000</v>
      </c>
    </row>
    <row r="16" customFormat="false" ht="15" hidden="false" customHeight="false" outlineLevel="0" collapsed="false">
      <c r="A16" s="6"/>
      <c r="B16" s="29" t="s">
        <v>232</v>
      </c>
      <c r="C16" s="34" t="n">
        <f aca="false">IF(C6=New_Bond_Year,New_Bond_Amount,0)</f>
        <v>0</v>
      </c>
      <c r="D16" s="34" t="n">
        <f aca="false">IF(D6=New_Bond_Year,New_Bond_Amount,0)</f>
        <v>20000000</v>
      </c>
      <c r="E16" s="34" t="n">
        <f aca="false">IF(E6=New_Bond_Year,New_Bond_Amount,0)</f>
        <v>0</v>
      </c>
      <c r="F16" s="34" t="n">
        <f aca="false">IF(F6=New_Bond_Year,New_Bond_Amount,0)</f>
        <v>0</v>
      </c>
      <c r="G16" s="34" t="n">
        <f aca="false">IF(G6=New_Bond_Year,New_Bond_Amount,0)</f>
        <v>0</v>
      </c>
    </row>
    <row r="17" customFormat="false" ht="15" hidden="false" customHeight="false" outlineLevel="0" collapsed="false">
      <c r="A17" s="6"/>
      <c r="B17" s="29" t="s">
        <v>228</v>
      </c>
      <c r="C17" s="34" t="n">
        <f aca="false">IF((C15+C16)&gt;0,MIN(New_Bond_Amount/New_Bond_Tenor,C15+C16),0)</f>
        <v>0</v>
      </c>
      <c r="D17" s="34" t="n">
        <f aca="false">IF((D15+D16)&gt;0,MIN(New_Bond_Amount/New_Bond_Tenor,D15+D16),0)</f>
        <v>1000000</v>
      </c>
      <c r="E17" s="34" t="n">
        <f aca="false">IF((E15+E16)&gt;0,MIN(New_Bond_Amount/New_Bond_Tenor,E15+E16),0)</f>
        <v>1000000</v>
      </c>
      <c r="F17" s="34" t="n">
        <f aca="false">IF((F15+F16)&gt;0,MIN(New_Bond_Amount/New_Bond_Tenor,F15+F16),0)</f>
        <v>1000000</v>
      </c>
      <c r="G17" s="34" t="n">
        <f aca="false">IF((G15+G16)&gt;0,MIN(New_Bond_Amount/New_Bond_Tenor,G15+G16),0)</f>
        <v>1000000</v>
      </c>
    </row>
    <row r="18" customFormat="false" ht="15" hidden="false" customHeight="false" outlineLevel="0" collapsed="false">
      <c r="A18" s="6"/>
      <c r="B18" s="29" t="s">
        <v>229</v>
      </c>
      <c r="C18" s="34" t="n">
        <f aca="false">(C15+C16)*New_Bond_Rate</f>
        <v>0</v>
      </c>
      <c r="D18" s="34" t="n">
        <f aca="false">(D15+D16)*New_Bond_Rate</f>
        <v>800000</v>
      </c>
      <c r="E18" s="34" t="n">
        <f aca="false">(E15+E16)*New_Bond_Rate</f>
        <v>760000</v>
      </c>
      <c r="F18" s="34" t="n">
        <f aca="false">(F15+F16)*New_Bond_Rate</f>
        <v>720000</v>
      </c>
      <c r="G18" s="34" t="n">
        <f aca="false">(G15+G16)*New_Bond_Rate</f>
        <v>680000</v>
      </c>
    </row>
    <row r="19" customFormat="false" ht="15" hidden="false" customHeight="false" outlineLevel="0" collapsed="false">
      <c r="A19" s="6"/>
      <c r="B19" s="7" t="s">
        <v>230</v>
      </c>
      <c r="C19" s="31" t="n">
        <f aca="false">MAX(0,C15+C16-C17)</f>
        <v>0</v>
      </c>
      <c r="D19" s="31" t="n">
        <f aca="false">MAX(0,D15+D16-D17)</f>
        <v>19000000</v>
      </c>
      <c r="E19" s="31" t="n">
        <f aca="false">MAX(0,E15+E16-E17)</f>
        <v>18000000</v>
      </c>
      <c r="F19" s="31" t="n">
        <f aca="false">MAX(0,F15+F16-F17)</f>
        <v>17000000</v>
      </c>
      <c r="G19" s="31" t="n">
        <f aca="false">MAX(0,G15+G16-G17)</f>
        <v>16000000</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233</v>
      </c>
      <c r="C21" s="10"/>
      <c r="D21" s="10"/>
      <c r="E21" s="10"/>
      <c r="F21" s="10"/>
      <c r="G21" s="10"/>
    </row>
    <row r="22" customFormat="false" ht="15" hidden="false" customHeight="false" outlineLevel="0" collapsed="false">
      <c r="A22" s="6"/>
      <c r="B22" s="29" t="s">
        <v>234</v>
      </c>
      <c r="C22" s="34" t="n">
        <f aca="false">C9+C15</f>
        <v>45000000</v>
      </c>
      <c r="D22" s="34" t="n">
        <f aca="false">D9+D15</f>
        <v>41250000</v>
      </c>
      <c r="E22" s="34" t="n">
        <f aca="false">E9+E15</f>
        <v>56500000</v>
      </c>
      <c r="F22" s="34" t="n">
        <f aca="false">F9+F15</f>
        <v>51750000</v>
      </c>
      <c r="G22" s="34" t="n">
        <f aca="false">G9+G15</f>
        <v>47000000</v>
      </c>
    </row>
    <row r="23" customFormat="false" ht="15" hidden="false" customHeight="false" outlineLevel="0" collapsed="false">
      <c r="A23" s="6"/>
      <c r="B23" s="29" t="s">
        <v>235</v>
      </c>
      <c r="C23" s="34" t="n">
        <f aca="false">C12+C19</f>
        <v>41250000</v>
      </c>
      <c r="D23" s="34" t="n">
        <f aca="false">D12+D19</f>
        <v>56500000</v>
      </c>
      <c r="E23" s="34" t="n">
        <f aca="false">E12+E19</f>
        <v>51750000</v>
      </c>
      <c r="F23" s="34" t="n">
        <f aca="false">F12+F19</f>
        <v>47000000</v>
      </c>
      <c r="G23" s="34" t="n">
        <f aca="false">G12+G19</f>
        <v>42250000</v>
      </c>
    </row>
    <row r="24" customFormat="false" ht="15" hidden="false" customHeight="false" outlineLevel="0" collapsed="false">
      <c r="A24" s="6"/>
      <c r="B24" s="29" t="s">
        <v>236</v>
      </c>
      <c r="C24" s="34" t="n">
        <f aca="false">C10+C17</f>
        <v>3750000</v>
      </c>
      <c r="D24" s="34" t="n">
        <f aca="false">D10+D17</f>
        <v>4750000</v>
      </c>
      <c r="E24" s="34" t="n">
        <f aca="false">E10+E17</f>
        <v>4750000</v>
      </c>
      <c r="F24" s="34" t="n">
        <f aca="false">F10+F17</f>
        <v>4750000</v>
      </c>
      <c r="G24" s="34" t="n">
        <f aca="false">G10+G17</f>
        <v>4750000</v>
      </c>
    </row>
    <row r="25" customFormat="false" ht="15" hidden="false" customHeight="false" outlineLevel="0" collapsed="false">
      <c r="A25" s="6"/>
      <c r="B25" s="29" t="s">
        <v>237</v>
      </c>
      <c r="C25" s="34" t="n">
        <f aca="false">C11+C18</f>
        <v>1575000</v>
      </c>
      <c r="D25" s="34" t="n">
        <f aca="false">D11+D18</f>
        <v>2243750</v>
      </c>
      <c r="E25" s="34" t="n">
        <f aca="false">E11+E18</f>
        <v>2072500</v>
      </c>
      <c r="F25" s="34" t="n">
        <f aca="false">F11+F18</f>
        <v>1901250</v>
      </c>
      <c r="G25" s="34" t="n">
        <f aca="false">G11+G18</f>
        <v>1730000</v>
      </c>
    </row>
    <row r="26" customFormat="false" ht="15" hidden="false" customHeight="false" outlineLevel="0" collapsed="false">
      <c r="A26" s="6"/>
      <c r="B26" s="7" t="s">
        <v>238</v>
      </c>
      <c r="C26" s="35" t="n">
        <f aca="false">C24+C25</f>
        <v>5325000</v>
      </c>
      <c r="D26" s="35" t="n">
        <f aca="false">D24+D25</f>
        <v>6993750</v>
      </c>
      <c r="E26" s="35" t="n">
        <f aca="false">E24+E25</f>
        <v>6822500</v>
      </c>
      <c r="F26" s="35" t="n">
        <f aca="false">F24+F25</f>
        <v>6651250</v>
      </c>
      <c r="G26" s="35" t="n">
        <f aca="false">G24+G25</f>
        <v>6480000</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239</v>
      </c>
      <c r="C28" s="10"/>
      <c r="D28" s="10"/>
      <c r="E28" s="10"/>
      <c r="F28" s="10"/>
      <c r="G28" s="10"/>
    </row>
    <row r="29" customFormat="false" ht="15" hidden="false" customHeight="false" outlineLevel="0" collapsed="false">
      <c r="A29" s="6"/>
      <c r="B29" s="29" t="s">
        <v>175</v>
      </c>
      <c r="C29" s="34" t="n">
        <f aca="false">Revenue_Detail!C$9*Legal_Debt_Limit_Pct</f>
        <v>832000000</v>
      </c>
      <c r="D29" s="34" t="n">
        <f aca="false">Revenue_Detail!D$9*Legal_Debt_Limit_Pct</f>
        <v>865280000</v>
      </c>
      <c r="E29" s="34" t="n">
        <f aca="false">Revenue_Detail!E$9*Legal_Debt_Limit_Pct</f>
        <v>899891200</v>
      </c>
      <c r="F29" s="34" t="n">
        <f aca="false">Revenue_Detail!F$9*Legal_Debt_Limit_Pct</f>
        <v>935886848</v>
      </c>
      <c r="G29" s="34" t="n">
        <f aca="false">Revenue_Detail!G$9*Legal_Debt_Limit_Pct</f>
        <v>973322321.92</v>
      </c>
    </row>
    <row r="30" customFormat="false" ht="15" hidden="false" customHeight="false" outlineLevel="0" collapsed="false">
      <c r="A30" s="6"/>
      <c r="B30" s="29" t="s">
        <v>240</v>
      </c>
      <c r="C30" s="34" t="n">
        <f aca="false">C29-C23</f>
        <v>790750000</v>
      </c>
      <c r="D30" s="34" t="n">
        <f aca="false">D29-D23</f>
        <v>808780000</v>
      </c>
      <c r="E30" s="34" t="n">
        <f aca="false">E29-E23</f>
        <v>848141200</v>
      </c>
      <c r="F30" s="34" t="n">
        <f aca="false">F29-F23</f>
        <v>888886848</v>
      </c>
      <c r="G30" s="34" t="n">
        <f aca="false">G29-G23</f>
        <v>931072321.92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243</v>
      </c>
      <c r="C8" s="10"/>
      <c r="D8" s="10"/>
      <c r="E8" s="10"/>
      <c r="F8" s="10"/>
      <c r="G8" s="10"/>
    </row>
    <row r="9" customFormat="false" ht="15" hidden="false" customHeight="false" outlineLevel="0" collapsed="false">
      <c r="A9" s="6"/>
      <c r="B9" s="29" t="s">
        <v>244</v>
      </c>
      <c r="C9" s="34" t="n">
        <f aca="false">Revenue_Detail!C$26</f>
        <v>155287256</v>
      </c>
      <c r="D9" s="34" t="n">
        <f aca="false">Revenue_Detail!D$26</f>
        <v>161202788.3424</v>
      </c>
      <c r="E9" s="34" t="n">
        <f aca="false">Revenue_Detail!E$26</f>
        <v>167356126.100457</v>
      </c>
      <c r="F9" s="34" t="n">
        <f aca="false">Revenue_Detail!F$26</f>
        <v>173757208.207044</v>
      </c>
      <c r="G9" s="34" t="n">
        <f aca="false">Revenue_Detail!G$26</f>
        <v>180416401.517792</v>
      </c>
    </row>
    <row r="10" customFormat="false" ht="15" hidden="false" customHeight="false" outlineLevel="0" collapsed="false">
      <c r="A10" s="6"/>
      <c r="B10" s="29" t="s">
        <v>245</v>
      </c>
      <c r="C10" s="34" t="n">
        <f aca="false">Expenditure_Detail!C$29</f>
        <v>84168510</v>
      </c>
      <c r="D10" s="34" t="n">
        <f aca="false">Expenditure_Detail!D$29</f>
        <v>86693565.3</v>
      </c>
      <c r="E10" s="34" t="n">
        <f aca="false">Expenditure_Detail!E$29</f>
        <v>89294372.259</v>
      </c>
      <c r="F10" s="34" t="n">
        <f aca="false">Expenditure_Detail!F$29</f>
        <v>91973203.42677</v>
      </c>
      <c r="G10" s="34" t="n">
        <f aca="false">Expenditure_Detail!G$29</f>
        <v>94732399.5295731</v>
      </c>
    </row>
    <row r="11" customFormat="false" ht="15" hidden="false" customHeight="false" outlineLevel="0" collapsed="false">
      <c r="A11" s="6"/>
      <c r="B11" s="7" t="s">
        <v>246</v>
      </c>
      <c r="C11" s="31" t="n">
        <f aca="false">C9-C10</f>
        <v>71118746</v>
      </c>
      <c r="D11" s="31" t="n">
        <f aca="false">D9-D10</f>
        <v>74509223.0424</v>
      </c>
      <c r="E11" s="31" t="n">
        <f aca="false">E9-E10</f>
        <v>78061753.841457</v>
      </c>
      <c r="F11" s="31" t="n">
        <f aca="false">F9-F10</f>
        <v>81784004.780274</v>
      </c>
      <c r="G11" s="31" t="n">
        <f aca="false">G9-G10</f>
        <v>85684001.9882194</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9" t="s">
        <v>247</v>
      </c>
      <c r="C13" s="34" t="n">
        <f aca="false">Debt_Schedule!C$26</f>
        <v>5325000</v>
      </c>
      <c r="D13" s="34" t="n">
        <f aca="false">Debt_Schedule!D$26</f>
        <v>6993750</v>
      </c>
      <c r="E13" s="34" t="n">
        <f aca="false">Debt_Schedule!E$26</f>
        <v>6822500</v>
      </c>
      <c r="F13" s="34" t="n">
        <f aca="false">Debt_Schedule!F$26</f>
        <v>6651250</v>
      </c>
      <c r="G13" s="34" t="n">
        <f aca="false">Debt_Schedule!G$26</f>
        <v>6480000</v>
      </c>
    </row>
    <row r="14" customFormat="false" ht="15" hidden="false" customHeight="false" outlineLevel="0" collapsed="false">
      <c r="A14" s="6"/>
      <c r="B14" s="7" t="s">
        <v>248</v>
      </c>
      <c r="C14" s="35" t="n">
        <f aca="false">C11-C13</f>
        <v>65793746</v>
      </c>
      <c r="D14" s="35" t="n">
        <f aca="false">D11-D13</f>
        <v>67515473.0424</v>
      </c>
      <c r="E14" s="35" t="n">
        <f aca="false">E11-E13</f>
        <v>71239253.841457</v>
      </c>
      <c r="F14" s="35" t="n">
        <f aca="false">F11-F13</f>
        <v>75132754.780274</v>
      </c>
      <c r="G14" s="35" t="n">
        <f aca="false">G11-G13</f>
        <v>79204001.9882194</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249</v>
      </c>
      <c r="C16" s="10"/>
      <c r="D16" s="10"/>
      <c r="E16" s="10"/>
      <c r="F16" s="10"/>
      <c r="G16" s="10"/>
    </row>
    <row r="17" customFormat="false" ht="15" hidden="false" customHeight="false" outlineLevel="0" collapsed="false">
      <c r="A17" s="6"/>
      <c r="B17" s="29" t="s">
        <v>180</v>
      </c>
      <c r="C17" s="34" t="n">
        <f aca="false">Open_Fund_Balance</f>
        <v>32000000</v>
      </c>
      <c r="D17" s="34" t="n">
        <f aca="false">C19</f>
        <v>97793746</v>
      </c>
      <c r="E17" s="34" t="n">
        <f aca="false">D19</f>
        <v>165309219.0424</v>
      </c>
      <c r="F17" s="34" t="n">
        <f aca="false">E19</f>
        <v>236548472.883857</v>
      </c>
      <c r="G17" s="34" t="n">
        <f aca="false">F19</f>
        <v>311681227.664131</v>
      </c>
    </row>
    <row r="18" customFormat="false" ht="15" hidden="false" customHeight="false" outlineLevel="0" collapsed="false">
      <c r="A18" s="6"/>
      <c r="B18" s="29" t="s">
        <v>250</v>
      </c>
      <c r="C18" s="34" t="n">
        <f aca="false">C14</f>
        <v>65793746</v>
      </c>
      <c r="D18" s="34" t="n">
        <f aca="false">D14</f>
        <v>67515473.0424</v>
      </c>
      <c r="E18" s="34" t="n">
        <f aca="false">E14</f>
        <v>71239253.841457</v>
      </c>
      <c r="F18" s="34" t="n">
        <f aca="false">F14</f>
        <v>75132754.780274</v>
      </c>
      <c r="G18" s="34" t="n">
        <f aca="false">G14</f>
        <v>79204001.9882194</v>
      </c>
    </row>
    <row r="19" customFormat="false" ht="15" hidden="false" customHeight="false" outlineLevel="0" collapsed="false">
      <c r="A19" s="6"/>
      <c r="B19" s="7" t="s">
        <v>251</v>
      </c>
      <c r="C19" s="35" t="n">
        <f aca="false">C17+C18</f>
        <v>97793746</v>
      </c>
      <c r="D19" s="35" t="n">
        <f aca="false">D17+D18</f>
        <v>165309219.0424</v>
      </c>
      <c r="E19" s="35" t="n">
        <f aca="false">E17+E18</f>
        <v>236548472.883857</v>
      </c>
      <c r="F19" s="35" t="n">
        <f aca="false">F17+F18</f>
        <v>311681227.664131</v>
      </c>
      <c r="G19" s="35" t="n">
        <f aca="false">G17+G18</f>
        <v>390885229.65235</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24" t="s">
        <v>252</v>
      </c>
      <c r="C21" s="36" t="n">
        <f aca="false">IFERROR(C19/C10,0)</f>
        <v>1.16188044673715</v>
      </c>
      <c r="D21" s="36" t="n">
        <f aca="false">IFERROR(D19/D10,0)</f>
        <v>1.90682224765302</v>
      </c>
      <c r="E21" s="36" t="n">
        <f aca="false">IFERROR(E19/E10,0)</f>
        <v>2.64908601628044</v>
      </c>
      <c r="F21" s="36" t="n">
        <f aca="false">IFERROR(F19/F10,0)</f>
        <v>3.38882648479559</v>
      </c>
      <c r="G21" s="36" t="n">
        <f aca="false">IFERROR(G19/G10,0)</f>
        <v>4.12620425106329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255</v>
      </c>
      <c r="C8" s="10"/>
      <c r="D8" s="10"/>
      <c r="E8" s="10"/>
      <c r="F8" s="10"/>
      <c r="G8" s="10"/>
    </row>
    <row r="9" customFormat="false" ht="15" hidden="false" customHeight="false" outlineLevel="0" collapsed="false">
      <c r="A9" s="6"/>
      <c r="B9" s="29" t="s">
        <v>62</v>
      </c>
      <c r="C9" s="34" t="n">
        <f aca="false">Revenue_Detail!C$10</f>
        <v>68598400</v>
      </c>
      <c r="D9" s="34" t="n">
        <f aca="false">Revenue_Detail!D$10</f>
        <v>71342336</v>
      </c>
      <c r="E9" s="34" t="n">
        <f aca="false">Revenue_Detail!E$10</f>
        <v>74196029.44</v>
      </c>
      <c r="F9" s="34" t="n">
        <f aca="false">Revenue_Detail!F$10</f>
        <v>77163870.6176</v>
      </c>
      <c r="G9" s="34" t="n">
        <f aca="false">Revenue_Detail!G$10</f>
        <v>80250425.442304</v>
      </c>
    </row>
    <row r="10" customFormat="false" ht="15" hidden="false" customHeight="false" outlineLevel="0" collapsed="false">
      <c r="A10" s="6"/>
      <c r="B10" s="29" t="s">
        <v>75</v>
      </c>
      <c r="C10" s="34" t="n">
        <f aca="false">Revenue_Detail!C$13</f>
        <v>28980000</v>
      </c>
      <c r="D10" s="34" t="n">
        <f aca="false">Revenue_Detail!D$13</f>
        <v>29994300</v>
      </c>
      <c r="E10" s="34" t="n">
        <f aca="false">Revenue_Detail!E$13</f>
        <v>31044100.5</v>
      </c>
      <c r="F10" s="34" t="n">
        <f aca="false">Revenue_Detail!F$13</f>
        <v>32130644.0175</v>
      </c>
      <c r="G10" s="34" t="n">
        <f aca="false">Revenue_Detail!G$13</f>
        <v>33255216.5581125</v>
      </c>
    </row>
    <row r="11" customFormat="false" ht="15" hidden="false" customHeight="false" outlineLevel="0" collapsed="false">
      <c r="A11" s="6"/>
      <c r="B11" s="29" t="s">
        <v>80</v>
      </c>
      <c r="C11" s="34" t="n">
        <f aca="false">Revenue_Detail!C$17</f>
        <v>31133856</v>
      </c>
      <c r="D11" s="34" t="n">
        <f aca="false">Revenue_Detail!D$17</f>
        <v>32703002.3424</v>
      </c>
      <c r="E11" s="34" t="n">
        <f aca="false">Revenue_Detail!E$17</f>
        <v>34351233.660457</v>
      </c>
      <c r="F11" s="34" t="n">
        <f aca="false">Revenue_Detail!F$17</f>
        <v>36082535.836944</v>
      </c>
      <c r="G11" s="34" t="n">
        <f aca="false">Revenue_Detail!G$17</f>
        <v>37901095.643126</v>
      </c>
    </row>
    <row r="12" customFormat="false" ht="15" hidden="false" customHeight="false" outlineLevel="0" collapsed="false">
      <c r="A12" s="6"/>
      <c r="B12" s="29" t="s">
        <v>89</v>
      </c>
      <c r="C12" s="34" t="n">
        <f aca="false">Revenue_Detail!C$24</f>
        <v>26575000</v>
      </c>
      <c r="D12" s="34" t="n">
        <f aca="false">Revenue_Detail!D$24</f>
        <v>27163150</v>
      </c>
      <c r="E12" s="34" t="n">
        <f aca="false">Revenue_Detail!E$24</f>
        <v>27764762.5</v>
      </c>
      <c r="F12" s="34" t="n">
        <f aca="false">Revenue_Detail!F$24</f>
        <v>28380157.735</v>
      </c>
      <c r="G12" s="34" t="n">
        <f aca="false">Revenue_Detail!G$24</f>
        <v>29009663.87425</v>
      </c>
    </row>
    <row r="13" customFormat="false" ht="15" hidden="false" customHeight="false" outlineLevel="0" collapsed="false">
      <c r="A13" s="6"/>
      <c r="B13" s="7" t="s">
        <v>256</v>
      </c>
      <c r="C13" s="31" t="n">
        <f aca="false">SUM(C9:C12)</f>
        <v>155287256</v>
      </c>
      <c r="D13" s="31" t="n">
        <f aca="false">SUM(D9:D12)</f>
        <v>161202788.3424</v>
      </c>
      <c r="E13" s="31" t="n">
        <f aca="false">SUM(E9:E12)</f>
        <v>167356126.100457</v>
      </c>
      <c r="F13" s="31" t="n">
        <f aca="false">SUM(F9:F12)</f>
        <v>173757208.207044</v>
      </c>
      <c r="G13" s="31" t="n">
        <f aca="false">SUM(G9:G12)</f>
        <v>180416401.517792</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257</v>
      </c>
      <c r="C15" s="10"/>
      <c r="D15" s="10"/>
      <c r="E15" s="10"/>
      <c r="F15" s="10"/>
      <c r="G15" s="10"/>
    </row>
    <row r="16" customFormat="false" ht="15" hidden="false" customHeight="false" outlineLevel="0" collapsed="false">
      <c r="A16" s="6"/>
      <c r="B16" s="29" t="s">
        <v>258</v>
      </c>
      <c r="C16" s="34" t="n">
        <f aca="false">Expenditure_Detail!C$18</f>
        <v>56358510</v>
      </c>
      <c r="D16" s="34" t="n">
        <f aca="false">Expenditure_Detail!D$18</f>
        <v>58049265.3</v>
      </c>
      <c r="E16" s="34" t="n">
        <f aca="false">Expenditure_Detail!E$18</f>
        <v>59790743.259</v>
      </c>
      <c r="F16" s="34" t="n">
        <f aca="false">Expenditure_Detail!F$18</f>
        <v>61584465.55677</v>
      </c>
      <c r="G16" s="34" t="n">
        <f aca="false">Expenditure_Detail!G$18</f>
        <v>63431999.5234731</v>
      </c>
    </row>
    <row r="17" customFormat="false" ht="15" hidden="false" customHeight="false" outlineLevel="0" collapsed="false">
      <c r="A17" s="6"/>
      <c r="B17" s="29" t="s">
        <v>123</v>
      </c>
      <c r="C17" s="34" t="n">
        <f aca="false">Expenditure_Detail!C$27</f>
        <v>27810000</v>
      </c>
      <c r="D17" s="34" t="n">
        <f aca="false">Expenditure_Detail!D$27</f>
        <v>28644300</v>
      </c>
      <c r="E17" s="34" t="n">
        <f aca="false">Expenditure_Detail!E$27</f>
        <v>29503629</v>
      </c>
      <c r="F17" s="34" t="n">
        <f aca="false">Expenditure_Detail!F$27</f>
        <v>30388737.87</v>
      </c>
      <c r="G17" s="34" t="n">
        <f aca="false">Expenditure_Detail!G$27</f>
        <v>31300400.0061</v>
      </c>
    </row>
    <row r="18" customFormat="false" ht="15" hidden="false" customHeight="false" outlineLevel="0" collapsed="false">
      <c r="A18" s="6"/>
      <c r="B18" s="7" t="s">
        <v>259</v>
      </c>
      <c r="C18" s="31" t="n">
        <f aca="false">C16+C17</f>
        <v>84168510</v>
      </c>
      <c r="D18" s="31" t="n">
        <f aca="false">D16+D17</f>
        <v>86693565.3</v>
      </c>
      <c r="E18" s="31" t="n">
        <f aca="false">E16+E17</f>
        <v>89294372.259</v>
      </c>
      <c r="F18" s="31" t="n">
        <f aca="false">F16+F17</f>
        <v>91973203.42677</v>
      </c>
      <c r="G18" s="31" t="n">
        <f aca="false">G16+G17</f>
        <v>94732399.5295731</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7" t="s">
        <v>260</v>
      </c>
      <c r="C20" s="35" t="n">
        <f aca="false">C13-C18</f>
        <v>71118746</v>
      </c>
      <c r="D20" s="35" t="n">
        <f aca="false">D13-D18</f>
        <v>74509223.0424</v>
      </c>
      <c r="E20" s="35" t="n">
        <f aca="false">E13-E18</f>
        <v>78061753.841457</v>
      </c>
      <c r="F20" s="35" t="n">
        <f aca="false">F13-F18</f>
        <v>81784004.780274</v>
      </c>
      <c r="G20" s="35" t="n">
        <f aca="false">G13-G18</f>
        <v>85684001.9882194</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261</v>
      </c>
      <c r="C22" s="10"/>
      <c r="D22" s="10"/>
      <c r="E22" s="10"/>
      <c r="F22" s="10"/>
      <c r="G22" s="10"/>
    </row>
    <row r="23" customFormat="false" ht="15" hidden="false" customHeight="false" outlineLevel="0" collapsed="false">
      <c r="A23" s="6"/>
      <c r="B23" s="29" t="s">
        <v>262</v>
      </c>
      <c r="C23" s="34" t="n">
        <f aca="false">Capital_Budget!C$18</f>
        <v>7425000</v>
      </c>
      <c r="D23" s="34" t="n">
        <f aca="false">Capital_Budget!D$18</f>
        <v>7610625</v>
      </c>
      <c r="E23" s="34" t="n">
        <f aca="false">Capital_Budget!E$18</f>
        <v>7800890.625</v>
      </c>
      <c r="F23" s="34" t="n">
        <f aca="false">Capital_Budget!F$18</f>
        <v>7995912.890625</v>
      </c>
      <c r="G23" s="34" t="n">
        <f aca="false">Capital_Budget!G$18</f>
        <v>8195810.71289062</v>
      </c>
    </row>
    <row r="24" customFormat="false" ht="15" hidden="false" customHeight="false" outlineLevel="0" collapsed="false">
      <c r="A24" s="6"/>
      <c r="B24" s="29" t="s">
        <v>263</v>
      </c>
      <c r="C24" s="34" t="n">
        <f aca="false">Capital_Budget!C$17</f>
        <v>2475000</v>
      </c>
      <c r="D24" s="34" t="n">
        <f aca="false">Capital_Budget!D$17</f>
        <v>2536875</v>
      </c>
      <c r="E24" s="34" t="n">
        <f aca="false">Capital_Budget!E$17</f>
        <v>2600296.875</v>
      </c>
      <c r="F24" s="34" t="n">
        <f aca="false">Capital_Budget!F$17</f>
        <v>2665304.296875</v>
      </c>
      <c r="G24" s="34" t="n">
        <f aca="false">Capital_Budget!G$17</f>
        <v>2731936.90429687</v>
      </c>
    </row>
    <row r="25" customFormat="false" ht="15" hidden="false" customHeight="false" outlineLevel="0" collapsed="false">
      <c r="A25" s="6"/>
      <c r="B25" s="7" t="s">
        <v>208</v>
      </c>
      <c r="C25" s="31" t="n">
        <f aca="false">C23+C24+Capital_Budget!C$19</f>
        <v>16500000</v>
      </c>
      <c r="D25" s="31" t="n">
        <f aca="false">D23+D24+Capital_Budget!D$19</f>
        <v>16912500</v>
      </c>
      <c r="E25" s="31" t="n">
        <f aca="false">E23+E24+Capital_Budget!E$19</f>
        <v>17335312.5</v>
      </c>
      <c r="F25" s="31" t="n">
        <f aca="false">F23+F24+Capital_Budget!F$19</f>
        <v>17768695.3125</v>
      </c>
      <c r="G25" s="31" t="n">
        <f aca="false">G23+G24+Capital_Budget!G$19</f>
        <v>18212912.6953125</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9" t="s">
        <v>264</v>
      </c>
      <c r="C27" s="10"/>
      <c r="D27" s="10"/>
      <c r="E27" s="10"/>
      <c r="F27" s="10"/>
      <c r="G27" s="10"/>
    </row>
    <row r="28" customFormat="false" ht="15" hidden="false" customHeight="false" outlineLevel="0" collapsed="false">
      <c r="A28" s="6"/>
      <c r="B28" s="29" t="s">
        <v>265</v>
      </c>
      <c r="C28" s="34" t="n">
        <f aca="false">Debt_Schedule!C$16</f>
        <v>0</v>
      </c>
      <c r="D28" s="34" t="n">
        <f aca="false">Debt_Schedule!D$16</f>
        <v>20000000</v>
      </c>
      <c r="E28" s="34" t="n">
        <f aca="false">Debt_Schedule!E$16</f>
        <v>0</v>
      </c>
      <c r="F28" s="34" t="n">
        <f aca="false">Debt_Schedule!F$16</f>
        <v>0</v>
      </c>
      <c r="G28" s="34" t="n">
        <f aca="false">Debt_Schedule!G$16</f>
        <v>0</v>
      </c>
    </row>
    <row r="29" customFormat="false" ht="15" hidden="false" customHeight="false" outlineLevel="0" collapsed="false">
      <c r="A29" s="6"/>
      <c r="B29" s="29" t="s">
        <v>266</v>
      </c>
      <c r="C29" s="34" t="n">
        <f aca="false">Debt_Schedule!C$26</f>
        <v>5325000</v>
      </c>
      <c r="D29" s="34" t="n">
        <f aca="false">Debt_Schedule!D$26</f>
        <v>6993750</v>
      </c>
      <c r="E29" s="34" t="n">
        <f aca="false">Debt_Schedule!E$26</f>
        <v>6822500</v>
      </c>
      <c r="F29" s="34" t="n">
        <f aca="false">Debt_Schedule!F$26</f>
        <v>6651250</v>
      </c>
      <c r="G29" s="34" t="n">
        <f aca="false">Debt_Schedule!G$26</f>
        <v>6480000</v>
      </c>
    </row>
    <row r="30" customFormat="false" ht="15" hidden="false" customHeight="false" outlineLevel="0" collapsed="false">
      <c r="A30" s="6"/>
      <c r="B30" s="7" t="s">
        <v>267</v>
      </c>
      <c r="C30" s="31" t="n">
        <f aca="false">C28-C29</f>
        <v>-5325000</v>
      </c>
      <c r="D30" s="31" t="n">
        <f aca="false">D28-D29</f>
        <v>13006250</v>
      </c>
      <c r="E30" s="31" t="n">
        <f aca="false">E28-E29</f>
        <v>-6822500</v>
      </c>
      <c r="F30" s="31" t="n">
        <f aca="false">F28-F29</f>
        <v>-6651250</v>
      </c>
      <c r="G30" s="31" t="n">
        <f aca="false">G28-G29</f>
        <v>-6480000</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268</v>
      </c>
      <c r="C32" s="35" t="n">
        <f aca="false">C20-C25+C30</f>
        <v>49293746</v>
      </c>
      <c r="D32" s="35" t="n">
        <f aca="false">D20-D25+D30</f>
        <v>70602973.0424</v>
      </c>
      <c r="E32" s="35" t="n">
        <f aca="false">E20-E25+E30</f>
        <v>53903941.341457</v>
      </c>
      <c r="F32" s="35" t="n">
        <f aca="false">F20-F25+F30</f>
        <v>57364059.467774</v>
      </c>
      <c r="G32" s="35" t="n">
        <f aca="false">G20-G25+G30</f>
        <v>60991089.2929069</v>
      </c>
    </row>
    <row r="33" customFormat="false" ht="15" hidden="false" customHeight="false" outlineLevel="0" collapsed="false">
      <c r="A33" s="6"/>
      <c r="B33" s="9" t="s">
        <v>269</v>
      </c>
      <c r="C33" s="10"/>
      <c r="D33" s="10"/>
      <c r="E33" s="10"/>
      <c r="F33" s="10"/>
      <c r="G33" s="10"/>
    </row>
    <row r="34" customFormat="false" ht="15" hidden="false" customHeight="false" outlineLevel="0" collapsed="false">
      <c r="A34" s="6"/>
      <c r="B34" s="29" t="s">
        <v>178</v>
      </c>
      <c r="C34" s="34" t="n">
        <f aca="false">Open_Cash</f>
        <v>25000000</v>
      </c>
      <c r="D34" s="34" t="n">
        <f aca="false">C35</f>
        <v>74293746</v>
      </c>
      <c r="E34" s="34" t="n">
        <f aca="false">D35</f>
        <v>144896719.0424</v>
      </c>
      <c r="F34" s="34" t="n">
        <f aca="false">E35</f>
        <v>198800660.383857</v>
      </c>
      <c r="G34" s="34" t="n">
        <f aca="false">F35</f>
        <v>256164719.851631</v>
      </c>
    </row>
    <row r="35" customFormat="false" ht="15" hidden="false" customHeight="false" outlineLevel="0" collapsed="false">
      <c r="A35" s="6"/>
      <c r="B35" s="7" t="s">
        <v>270</v>
      </c>
      <c r="C35" s="35" t="n">
        <f aca="false">C34+C32</f>
        <v>74293746</v>
      </c>
      <c r="D35" s="35" t="n">
        <f aca="false">D34+D32</f>
        <v>144896719.0424</v>
      </c>
      <c r="E35" s="35" t="n">
        <f aca="false">E34+E32</f>
        <v>198800660.383857</v>
      </c>
      <c r="F35" s="35" t="n">
        <f aca="false">F34+F32</f>
        <v>256164719.851631</v>
      </c>
      <c r="G35" s="35" t="n">
        <f aca="false">G34+G32</f>
        <v>317155809.144538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272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4" t="s">
        <v>186</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273</v>
      </c>
      <c r="C8" s="10"/>
      <c r="D8" s="10"/>
      <c r="E8" s="10"/>
      <c r="F8" s="10"/>
      <c r="G8" s="10"/>
    </row>
    <row r="9" customFormat="false" ht="15" hidden="false" customHeight="false" outlineLevel="0" collapsed="false">
      <c r="A9" s="6"/>
      <c r="B9" s="29" t="s">
        <v>252</v>
      </c>
      <c r="C9" s="37" t="n">
        <f aca="false">Operating_Statement!C$21</f>
        <v>1.16188044673715</v>
      </c>
      <c r="D9" s="37" t="n">
        <f aca="false">Operating_Statement!D$21</f>
        <v>1.90682224765302</v>
      </c>
      <c r="E9" s="37" t="n">
        <f aca="false">Operating_Statement!E$21</f>
        <v>2.64908601628044</v>
      </c>
      <c r="F9" s="37" t="n">
        <f aca="false">Operating_Statement!F$21</f>
        <v>3.38882648479559</v>
      </c>
      <c r="G9" s="37" t="n">
        <f aca="false">Operating_Statement!G$21</f>
        <v>4.12620425106329</v>
      </c>
    </row>
    <row r="10" customFormat="false" ht="15" hidden="false" customHeight="false" outlineLevel="0" collapsed="false">
      <c r="A10" s="6"/>
      <c r="B10" s="29" t="s">
        <v>274</v>
      </c>
      <c r="C10" s="38" t="n">
        <f aca="false">IFERROR(Cash_Flow!C$35/(Operating_Statement!C$10/12),0)</f>
        <v>10.5921436888927</v>
      </c>
      <c r="D10" s="38" t="n">
        <f aca="false">IFERROR(Cash_Flow!D$35/(Operating_Statement!D$10/12),0)</f>
        <v>20.0563977556106</v>
      </c>
      <c r="E10" s="38" t="n">
        <f aca="false">IFERROR(Cash_Flow!E$35/(Operating_Statement!E$10/12),0)</f>
        <v>26.7162181026009</v>
      </c>
      <c r="F10" s="38" t="n">
        <f aca="false">IFERROR(Cash_Flow!F$35/(Operating_Statement!F$10/12),0)</f>
        <v>33.4225244276405</v>
      </c>
      <c r="G10" s="38" t="n">
        <f aca="false">IFERROR(Cash_Flow!G$35/(Operating_Statement!G$10/12),0)</f>
        <v>40.1749531167144</v>
      </c>
    </row>
    <row r="11" customFormat="false" ht="15" hidden="false" customHeight="false" outlineLevel="0" collapsed="false">
      <c r="A11" s="6"/>
      <c r="B11" s="29" t="s">
        <v>275</v>
      </c>
      <c r="C11" s="38" t="n">
        <f aca="false">IFERROR(Operating_Statement!C$11/Debt_Schedule!C$26,0)</f>
        <v>13.3556330516432</v>
      </c>
      <c r="D11" s="38" t="n">
        <f aca="false">IFERROR(Operating_Statement!D$11/Debt_Schedule!D$26,0)</f>
        <v>10.6536869408257</v>
      </c>
      <c r="E11" s="38" t="n">
        <f aca="false">IFERROR(Operating_Statement!E$11/Debt_Schedule!E$26,0)</f>
        <v>11.4418107499387</v>
      </c>
      <c r="F11" s="38" t="n">
        <f aca="false">IFERROR(Operating_Statement!F$11/Debt_Schedule!F$26,0)</f>
        <v>12.2960352986693</v>
      </c>
      <c r="G11" s="38" t="n">
        <f aca="false">IFERROR(Operating_Statement!G$11/Debt_Schedule!G$26,0)</f>
        <v>13.2228398129968</v>
      </c>
    </row>
    <row r="12" customFormat="false" ht="15" hidden="false" customHeight="false" outlineLevel="0" collapsed="false">
      <c r="A12" s="6"/>
      <c r="B12" s="29" t="s">
        <v>276</v>
      </c>
      <c r="C12" s="38" t="n">
        <f aca="false">IFERROR(Debt_Schedule!C$23/Operating_Statement!C$9,0)</f>
        <v>0.265636737118982</v>
      </c>
      <c r="D12" s="38" t="n">
        <f aca="false">IFERROR(Debt_Schedule!D$23/Operating_Statement!D$9,0)</f>
        <v>0.350490215342877</v>
      </c>
      <c r="E12" s="38" t="n">
        <f aca="false">IFERROR(Debt_Schedule!E$23/Operating_Statement!E$9,0)</f>
        <v>0.30922082869519</v>
      </c>
      <c r="F12" s="38" t="n">
        <f aca="false">IFERROR(Debt_Schedule!F$23/Operating_Statement!F$9,0)</f>
        <v>0.270492375452972</v>
      </c>
      <c r="G12" s="38" t="n">
        <f aca="false">IFERROR(Debt_Schedule!G$23/Operating_Statement!G$9,0)</f>
        <v>0.234180482730853</v>
      </c>
    </row>
    <row r="13" customFormat="false" ht="15" hidden="false" customHeight="false" outlineLevel="0" collapsed="false">
      <c r="A13" s="6"/>
      <c r="B13" s="29" t="s">
        <v>277</v>
      </c>
      <c r="C13" s="34" t="n">
        <f aca="false">IFERROR(Operating_Statement!C$9/(Population*(1+Pop_Growth)^(C6)),0)</f>
        <v>1534.4590513834</v>
      </c>
      <c r="D13" s="34" t="n">
        <f aca="false">IFERROR(Operating_Statement!D$9/(Population*(1+Pop_Growth)^(D6)),0)</f>
        <v>1574.02463269228</v>
      </c>
      <c r="E13" s="34" t="n">
        <f aca="false">IFERROR(Operating_Statement!E$9/(Population*(1+Pop_Growth)^(E6)),0)</f>
        <v>1614.73060533647</v>
      </c>
      <c r="F13" s="34" t="n">
        <f aca="false">IFERROR(Operating_Statement!F$9/(Population*(1+Pop_Growth)^(F6)),0)</f>
        <v>1656.61191271451</v>
      </c>
      <c r="G13" s="34" t="n">
        <f aca="false">IFERROR(Operating_Statement!G$9/(Population*(1+Pop_Growth)^(G6)),0)</f>
        <v>1699.70461602525</v>
      </c>
    </row>
    <row r="14" customFormat="false" ht="15" hidden="false" customHeight="false" outlineLevel="0" collapsed="false">
      <c r="A14" s="6"/>
      <c r="B14" s="29" t="s">
        <v>278</v>
      </c>
      <c r="C14" s="34" t="n">
        <f aca="false">IFERROR(Operating_Statement!C$10/(Population*(1+Pop_Growth)^(C6)),0)</f>
        <v>831.704644268775</v>
      </c>
      <c r="D14" s="34" t="n">
        <f aca="false">IFERROR(Operating_Statement!D$10/(Population*(1+Pop_Growth)^(D6)),0)</f>
        <v>846.497809878298</v>
      </c>
      <c r="E14" s="34" t="n">
        <f aca="false">IFERROR(Operating_Statement!E$10/(Population*(1+Pop_Growth)^(E6)),0)</f>
        <v>861.554095034237</v>
      </c>
      <c r="F14" s="34" t="n">
        <f aca="false">IFERROR(Operating_Statement!F$10/(Population*(1+Pop_Growth)^(F6)),0)</f>
        <v>876.878179728521</v>
      </c>
      <c r="G14" s="34" t="n">
        <f aca="false">IFERROR(Operating_Statement!G$10/(Population*(1+Pop_Growth)^(G6)),0)</f>
        <v>892.474827194048</v>
      </c>
    </row>
    <row r="15" customFormat="false" ht="15" hidden="false" customHeight="false" outlineLevel="0" collapsed="false">
      <c r="A15" s="6"/>
      <c r="B15" s="29" t="s">
        <v>279</v>
      </c>
      <c r="C15" s="37" t="n">
        <f aca="false">IFERROR(Capital_Budget!C$14/(Operating_Statement!C$10+Debt_Schedule!C$26+Capital_Budget!C$14),0)</f>
        <v>0.155669908468924</v>
      </c>
      <c r="D15" s="37" t="n">
        <f aca="false">IFERROR(Capital_Budget!D$14/(Operating_Statement!D$10+Debt_Schedule!D$26+Capital_Budget!D$14),0)</f>
        <v>0.15291616856796</v>
      </c>
      <c r="E15" s="37" t="n">
        <f aca="false">IFERROR(Capital_Budget!E$14/(Operating_Statement!E$10+Debt_Schedule!E$26+Capital_Budget!E$14),0)</f>
        <v>0.152798401695167</v>
      </c>
      <c r="F15" s="37" t="n">
        <f aca="false">IFERROR(Capital_Budget!F$14/(Operating_Statement!F$10+Debt_Schedule!F$26+Capital_Budget!F$14),0)</f>
        <v>0.152661007155183</v>
      </c>
      <c r="G15" s="37" t="n">
        <f aca="false">IFERROR(Capital_Budget!G$14/(Operating_Statement!G$10+Debt_Schedule!G$26+Capital_Budget!G$14),0)</f>
        <v>0.152504627000819</v>
      </c>
    </row>
    <row r="16" customFormat="false" ht="15" hidden="false" customHeight="false" outlineLevel="0" collapsed="false">
      <c r="A16" s="6"/>
      <c r="B16" s="29" t="s">
        <v>280</v>
      </c>
      <c r="C16" s="37" t="n">
        <f aca="false">IFERROR(Expenditure_Detail!C$18/Expenditure_Detail!C$29,0)</f>
        <v>0.669591394691435</v>
      </c>
      <c r="D16" s="37" t="n">
        <f aca="false">IFERROR(Expenditure_Detail!D$18/Expenditure_Detail!D$29,0)</f>
        <v>0.669591394691435</v>
      </c>
      <c r="E16" s="37" t="n">
        <f aca="false">IFERROR(Expenditure_Detail!E$18/Expenditure_Detail!E$29,0)</f>
        <v>0.669591394691435</v>
      </c>
      <c r="F16" s="37" t="n">
        <f aca="false">IFERROR(Expenditure_Detail!F$18/Expenditure_Detail!F$29,0)</f>
        <v>0.669591394691435</v>
      </c>
      <c r="G16" s="37" t="n">
        <f aca="false">IFERROR(Expenditure_Detail!G$18/Expenditure_Detail!G$29,0)</f>
        <v>0.669591394691435</v>
      </c>
    </row>
    <row r="17" customFormat="false" ht="15" hidden="false" customHeight="false" outlineLevel="0" collapsed="false">
      <c r="A17" s="6"/>
      <c r="B17" s="32" t="s">
        <v>55</v>
      </c>
      <c r="C17" s="33" t="n">
        <f aca="false">Population*(1+Pop_Growth)^(C6)</f>
        <v>101200</v>
      </c>
      <c r="D17" s="33" t="n">
        <f aca="false">Population*(1+Pop_Growth)^(D6)</f>
        <v>102414.4</v>
      </c>
      <c r="E17" s="33" t="n">
        <f aca="false">Population*(1+Pop_Growth)^(E6)</f>
        <v>103643.3728</v>
      </c>
      <c r="F17" s="33" t="n">
        <f aca="false">Population*(1+Pop_Growth)^(F6)</f>
        <v>104887.0932736</v>
      </c>
      <c r="G17" s="33" t="n">
        <f aca="false">Population*(1+Pop_Growth)^(G6)</f>
        <v>106145.738392883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2026-05-15T18:53:31Z</dcterms:created>
  <dc:creator>openpyxl</dc:creator>
  <dc:description/>
  <dc:language>en-GB</dc:language>
  <cp:lastModifiedBy/>
  <dcterms:modified xsi:type="dcterms:W3CDTF">2026-05-15T18:53:32Z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