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Build" sheetId="3" state="visible" r:id="rId5"/>
    <sheet name="Debt_Schedule" sheetId="4" state="visible" r:id="rId6"/>
    <sheet name="Income_Statement" sheetId="5" state="visible" r:id="rId7"/>
    <sheet name="Balance_Sheet" sheetId="6" state="visible" r:id="rId8"/>
    <sheet name="Cash_Flow" sheetId="7" state="visible" r:id="rId9"/>
    <sheet name="Valuation" sheetId="8" state="visible" r:id="rId10"/>
    <sheet name="Checks" sheetId="9" state="visible" r:id="rId11"/>
    <sheet name="Disclaimer" sheetId="10" state="visible" r:id="rId12"/>
  </sheets>
  <definedNames>
    <definedName function="false" hidden="false" name="Accrued_Liab_Pct" vbProcedure="false">Assumptions!$C$33</definedName>
    <definedName function="false" hidden="false" name="Artist_Royalty_Pct" vbProcedure="false">Assumptions!$C$23</definedName>
    <definedName function="false" hidden="false" name="AR_Growth" vbProcedure="false">Assumptions!$C$25</definedName>
    <definedName function="false" hidden="false" name="Blended_DSO" vbProcedure="false">Assumptions!$C$31</definedName>
    <definedName function="false" hidden="false" name="BS_Accrued" vbProcedure="false">Balance_Sheet!$C$23</definedName>
    <definedName function="false" hidden="false" name="BS_Accum_Amort" vbProcedure="false">Balance_Sheet!$C$17</definedName>
    <definedName function="false" hidden="false" name="BS_Accum_Depr" vbProcedure="false">Balance_Sheet!$C$13</definedName>
    <definedName function="false" hidden="false" name="BS_AP" vbProcedure="false">Balance_Sheet!$C$22</definedName>
    <definedName function="false" hidden="false" name="BS_AR" vbProcedure="false">Balance_Sheet!$C$9</definedName>
    <definedName function="false" hidden="false" name="BS_Cash" vbProcedure="false">Balance_Sheet!$C$8</definedName>
    <definedName function="false" hidden="false" name="BS_Check" vbProcedure="false">Balance_Sheet!$C$35</definedName>
    <definedName function="false" hidden="false" name="BS_Intang_Gross" vbProcedure="false">Balance_Sheet!$C$16</definedName>
    <definedName function="false" hidden="false" name="BS_LTLIAB" vbProcedure="false">Balance_Sheet!$C$27</definedName>
    <definedName function="false" hidden="false" name="BS_LT_Debt" vbProcedure="false">Balance_Sheet!$C$26</definedName>
    <definedName function="false" hidden="false" name="BS_Net_Intang" vbProcedure="false">Balance_Sheet!$C$18</definedName>
    <definedName function="false" hidden="false" name="BS_Net_PPE" vbProcedure="false">Balance_Sheet!$C$14</definedName>
    <definedName function="false" hidden="false" name="BS_PPE_Gross" vbProcedure="false">Balance_Sheet!$C$12</definedName>
    <definedName function="false" hidden="false" name="BS_RE" vbProcedure="false">Balance_Sheet!$C$31</definedName>
    <definedName function="false" hidden="false" name="BS_Share_Cap" vbProcedure="false">Balance_Sheet!$C$30</definedName>
    <definedName function="false" hidden="false" name="BS_TCA" vbProcedure="false">Balance_Sheet!$C$10</definedName>
    <definedName function="false" hidden="false" name="BS_TCL" vbProcedure="false">Balance_Sheet!$C$24</definedName>
    <definedName function="false" hidden="false" name="BS_Total_Assets" vbProcedure="false">Balance_Sheet!$C$20</definedName>
    <definedName function="false" hidden="false" name="BS_Total_Equity" vbProcedure="false">Balance_Sheet!$C$32</definedName>
    <definedName function="false" hidden="false" name="BS_Total_LE" vbProcedure="false">Balance_Sheet!$C$34</definedName>
    <definedName function="false" hidden="false" name="BS_Total_Liab" vbProcedure="false">Balance_Sheet!$C$28</definedName>
    <definedName function="false" hidden="false" name="Capex_Annual" vbProcedure="false">Assumptions!$C$34</definedName>
    <definedName function="false" hidden="false" name="Catalogue_Cost" vbProcedure="false">Assumptions!$C$38</definedName>
    <definedName function="false" hidden="false" name="Catalogue_Life" vbProcedure="false">Assumptions!$C$39</definedName>
    <definedName function="false" hidden="false" name="CF_Accrued_Chg" vbProcedure="false">Cash_Flow!$C$14</definedName>
    <definedName function="false" hidden="false" name="CF_AP_Chg" vbProcedure="false">Cash_Flow!$C$13</definedName>
    <definedName function="false" hidden="false" name="CF_AR_Chg" vbProcedure="false">Cash_Flow!$C$12</definedName>
    <definedName function="false" hidden="false" name="CF_Cat_Purchase" vbProcedure="false">Cash_Flow!$C$18</definedName>
    <definedName function="false" hidden="false" name="CF_CFF" vbProcedure="false">Cash_Flow!$C$24</definedName>
    <definedName function="false" hidden="false" name="CF_CFI" vbProcedure="false">Cash_Flow!$C$19</definedName>
    <definedName function="false" hidden="false" name="CF_CFO" vbProcedure="false">Cash_Flow!$C$15</definedName>
    <definedName function="false" hidden="false" name="CF_Closing" vbProcedure="false">Cash_Flow!$C$28</definedName>
    <definedName function="false" hidden="false" name="CF_Debt_Proc" vbProcedure="false">Cash_Flow!$C$21</definedName>
    <definedName function="false" hidden="false" name="CF_Debt_Repay" vbProcedure="false">Cash_Flow!$C$22</definedName>
    <definedName function="false" hidden="false" name="CF_Net_Change" vbProcedure="false">Cash_Flow!$C$26</definedName>
    <definedName function="false" hidden="false" name="CF_Opening" vbProcedure="false">Cash_Flow!$C$27</definedName>
    <definedName function="false" hidden="false" name="Distrib_Fee_Pct" vbProcedure="false">Assumptions!$C$21</definedName>
    <definedName function="false" hidden="false" name="Dividend_Payout" vbProcedure="false">Assumptions!$C$48</definedName>
    <definedName function="false" hidden="false" name="DPO" vbProcedure="false">Assumptions!$C$32</definedName>
    <definedName function="false" hidden="false" name="DS_Closing" vbProcedure="false">Debt_Schedule!$C$10</definedName>
    <definedName function="false" hidden="false" name="DS_Debt_Svc" vbProcedure="false">Debt_Schedule!$C$12</definedName>
    <definedName function="false" hidden="false" name="DS_Interest" vbProcedure="false">Debt_Schedule!$C$11</definedName>
    <definedName function="false" hidden="false" name="DS_Opening" vbProcedure="false">Debt_Schedule!$C$8</definedName>
    <definedName function="false" hidden="false" name="DS_Repayment" vbProcedure="false">Debt_Schedule!$C$9</definedName>
    <definedName function="false" hidden="false" name="Existing_PPE_Gross" vbProcedure="false">Assumptions!$C$35</definedName>
    <definedName function="false" hidden="false" name="Existing_PPE_Life" vbProcedure="false">Assumptions!$C$36</definedName>
    <definedName function="false" hidden="false" name="GA_Base" vbProcedure="false">Assumptions!$C$29</definedName>
    <definedName function="false" hidden="false" name="GA_Growth" vbProcedure="false">Assumptions!$C$30</definedName>
    <definedName function="false" hidden="false" name="IS_ANR" vbProcedure="false">Income_Statement!$C$23</definedName>
    <definedName function="false" hidden="false" name="IS_Artist_Roy" vbProcedure="false">Income_Statement!$C$17</definedName>
    <definedName function="false" hidden="false" name="IS_CapEx" vbProcedure="false">Income_Statement!$C$35</definedName>
    <definedName function="false" hidden="false" name="IS_Cat_Amort" vbProcedure="false">Income_Statement!$C$31</definedName>
    <definedName function="false" hidden="false" name="IS_Depr_Exist" vbProcedure="false">Income_Statement!$C$32</definedName>
    <definedName function="false" hidden="false" name="IS_Depr_New" vbProcedure="false">Income_Statement!$C$33</definedName>
    <definedName function="false" hidden="false" name="IS_Distrib" vbProcedure="false">Income_Statement!$C$15</definedName>
    <definedName function="false" hidden="false" name="IS_Dividends" vbProcedure="false">Income_Statement!$C$50</definedName>
    <definedName function="false" hidden="false" name="IS_EBIT" vbProcedure="false">Income_Statement!$C$37</definedName>
    <definedName function="false" hidden="false" name="IS_EBITDA" vbProcedure="false">Income_Statement!$C$28</definedName>
    <definedName function="false" hidden="false" name="IS_EBITDA_Margin" vbProcedure="false">Income_Statement!$C$29</definedName>
    <definedName function="false" hidden="false" name="IS_EBT" vbProcedure="false">Income_Statement!$C$39</definedName>
    <definedName function="false" hidden="false" name="IS_GA" vbProcedure="false">Income_Statement!$C$26</definedName>
    <definedName function="false" hidden="false" name="IS_GP" vbProcedure="false">Income_Statement!$C$20</definedName>
    <definedName function="false" hidden="false" name="IS_GP_Margin" vbProcedure="false">Income_Statement!$C$21</definedName>
    <definedName function="false" hidden="false" name="IS_Interest" vbProcedure="false">Income_Statement!$C$38</definedName>
    <definedName function="false" hidden="false" name="IS_Mech_Rev" vbProcedure="false">Income_Statement!$C$12</definedName>
    <definedName function="false" hidden="false" name="IS_Mktg" vbProcedure="false">Income_Statement!$C$24</definedName>
    <definedName function="false" hidden="false" name="IS_Net_Income" vbProcedure="false">Income_Statement!$C$49</definedName>
    <definedName function="false" hidden="false" name="IS_NOL_Add" vbProcedure="false">Income_Statement!$C$46</definedName>
    <definedName function="false" hidden="false" name="IS_NOL_Close" vbProcedure="false">Income_Statement!$C$47</definedName>
    <definedName function="false" hidden="false" name="IS_NOL_Open" vbProcedure="false">Income_Statement!$C$41</definedName>
    <definedName function="false" hidden="false" name="IS_NOL_Used" vbProcedure="false">Income_Statement!$C$43</definedName>
    <definedName function="false" hidden="false" name="IS_Perf_Rev" vbProcedure="false">Income_Statement!$C$11</definedName>
    <definedName function="false" hidden="false" name="IS_Phys_Mfg" vbProcedure="false">Income_Statement!$C$16</definedName>
    <definedName function="false" hidden="false" name="IS_Phys_Rev" vbProcedure="false">Income_Statement!$C$9</definedName>
    <definedName function="false" hidden="false" name="IS_Staff" vbProcedure="false">Income_Statement!$C$25</definedName>
    <definedName function="false" hidden="false" name="IS_Stream_Rev" vbProcedure="false">Income_Statement!$C$8</definedName>
    <definedName function="false" hidden="false" name="IS_Sync_Rev" vbProcedure="false">Income_Statement!$C$10</definedName>
    <definedName function="false" hidden="false" name="IS_Tax" vbProcedure="false">Income_Statement!$C$45</definedName>
    <definedName function="false" hidden="false" name="IS_Total_COGS" vbProcedure="false">Income_Statement!$C$19</definedName>
    <definedName function="false" hidden="false" name="IS_Total_DA" vbProcedure="false">Income_Statement!$C$34</definedName>
    <definedName function="false" hidden="false" name="IS_Total_OpEx" vbProcedure="false">Income_Statement!$C$27</definedName>
    <definedName function="false" hidden="false" name="IS_Total_Rev" vbProcedure="false">Income_Statement!$C$13</definedName>
    <definedName function="false" hidden="false" name="IS_Writer_Roy" vbProcedure="false">Income_Statement!$C$18</definedName>
    <definedName function="false" hidden="false" name="Mech_Rate" vbProcedure="false">Assumptions!$C$20</definedName>
    <definedName function="false" hidden="false" name="Mktg_Pct" vbProcedure="false">Assumptions!$C$26</definedName>
    <definedName function="false" hidden="false" name="Model_Start_Year" vbProcedure="false">Assumptions!$C$7</definedName>
    <definedName function="false" hidden="false" name="New_Asset_Life" vbProcedure="false">Assumptions!$C$37</definedName>
    <definedName function="false" hidden="false" name="NOL_Opening" vbProcedure="false">Assumptions!$C$46</definedName>
    <definedName function="false" hidden="false" name="Opening_AR" vbProcedure="false">Assumptions!$C$52</definedName>
    <definedName function="false" hidden="false" name="Open_Cash" vbProcedure="false">Assumptions!$C$43</definedName>
    <definedName function="false" hidden="false" name="Open_Ret_Earnings" vbProcedure="false">Assumptions!$C$45</definedName>
    <definedName function="false" hidden="false" name="Open_Share_Capital" vbProcedure="false">Assumptions!$C$44</definedName>
    <definedName function="false" hidden="false" name="Perf_Growth" vbProcedure="false">Assumptions!$C$19</definedName>
    <definedName function="false" hidden="false" name="Perf_Rev_Y1" vbProcedure="false">Assumptions!$C$18</definedName>
    <definedName function="false" hidden="false" name="Per_Stream_Rate" vbProcedure="false">Assumptions!$C$10</definedName>
    <definedName function="false" hidden="false" name="Physical_Growth" vbProcedure="false">Assumptions!$C$12</definedName>
    <definedName function="false" hidden="false" name="Physical_Units_Y1" vbProcedure="false">Assumptions!$C$11</definedName>
    <definedName function="false" hidden="false" name="Price_Esc" vbProcedure="false">Assumptions!$C$14</definedName>
    <definedName function="false" hidden="false" name="RB_Mech_Rev" vbProcedure="false">Revenue_Build!$C$18</definedName>
    <definedName function="false" hidden="false" name="RB_Perf_Rev" vbProcedure="false">Revenue_Build!$C$17</definedName>
    <definedName function="false" hidden="false" name="RB_Phys_Rev" vbProcedure="false">Revenue_Build!$C$11</definedName>
    <definedName function="false" hidden="false" name="RB_Stream_Rev" vbProcedure="false">Revenue_Build!$C$8</definedName>
    <definedName function="false" hidden="false" name="RB_Sync_Rev" vbProcedure="false">Revenue_Build!$C$14</definedName>
    <definedName function="false" hidden="false" name="RB_Total_Rev" vbProcedure="false">Revenue_Build!$C$19</definedName>
    <definedName function="false" hidden="false" name="Staff_Base" vbProcedure="false">Assumptions!$C$27</definedName>
    <definedName function="false" hidden="false" name="Staff_Growth" vbProcedure="false">Assumptions!$C$28</definedName>
    <definedName function="false" hidden="false" name="Stream_Count_Base" vbProcedure="false">Assumptions!$C$8</definedName>
    <definedName function="false" hidden="false" name="Stream_Growth" vbProcedure="false">Assumptions!$C$9</definedName>
    <definedName function="false" hidden="false" name="Sync_Fee" vbProcedure="false">Assumptions!$C$17</definedName>
    <definedName function="false" hidden="false" name="Sync_Growth" vbProcedure="false">Assumptions!$C$16</definedName>
    <definedName function="false" hidden="false" name="Sync_Placements_Y1" vbProcedure="false">Assumptions!$C$15</definedName>
    <definedName function="false" hidden="false" name="Tax_Rate" vbProcedure="false">Assumptions!$C$47</definedName>
    <definedName function="false" hidden="false" name="Terminal_Growth" vbProcedure="false">Assumptions!$C$51</definedName>
    <definedName function="false" hidden="false" name="Term_Loan_Amt" vbProcedure="false">Assumptions!$C$40</definedName>
    <definedName function="false" hidden="false" name="Term_Loan_Rate" vbProcedure="false">Assumptions!$C$41</definedName>
    <definedName function="false" hidden="false" name="Term_Loan_Tenor" vbProcedure="false">Assumptions!$C$42</definedName>
    <definedName function="false" hidden="false" name="Unit_Mfg_Cost" vbProcedure="false">Assumptions!$C$22</definedName>
    <definedName function="false" hidden="false" name="Valuation_Multiple" vbProcedure="false">Assumptions!$C$49</definedName>
    <definedName function="false" hidden="false" name="VAL_EQ_DCF" vbProcedure="false">Valuation!$C$31</definedName>
    <definedName function="false" hidden="false" name="VAL_EQ_NLS" vbProcedure="false">Valuation!$C$12</definedName>
    <definedName function="false" hidden="false" name="VAL_EV_DCF" vbProcedure="false">Valuation!$C$29</definedName>
    <definedName function="false" hidden="false" name="VAL_EV_NLS" vbProcedure="false">Valuation!$C$10</definedName>
    <definedName function="false" hidden="false" name="VAL_Net_Debt" vbProcedure="false">Valuation!$C$11</definedName>
    <definedName function="false" hidden="false" name="VAL_NLS" vbProcedure="false">Valuation!$C$8</definedName>
    <definedName function="false" hidden="false" name="VAL_PV_TV" vbProcedure="false">Valuation!$C$28</definedName>
    <definedName function="false" hidden="false" name="VAL_PV_UFCF" vbProcedure="false">Valuation!$C$25</definedName>
    <definedName function="false" hidden="false" name="VAL_TV" vbProcedure="false">Valuation!$C$27</definedName>
    <definedName function="false" hidden="false" name="Vinyl_Price" vbProcedure="false">Assumptions!$C$13</definedName>
    <definedName function="false" hidden="false" name="WACC" vbProcedure="false">Assumptions!$C$50</definedName>
    <definedName function="false" hidden="false" name="Writer_Royalty_Pct" vbProcedure="false">Assumptions!$C$24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<sst xmlns="http://schemas.openxmlformats.org/spreadsheetml/2006/main" count="308" uniqueCount="247">
  <si>
    <t xml:space="preserve">Music Royalties &amp; Catalogue Model</t>
  </si>
  <si>
    <t xml:space="preserve">FINAMODEL.com</t>
  </si>
  <si>
    <t xml:space="preserve">Independent Label -- 5-Year Projection</t>
  </si>
  <si>
    <t xml:space="preserve">Rebuild v1</t>
  </si>
  <si>
    <t xml:space="preserve">About this model</t>
  </si>
  <si>
    <t xml:space="preserve">A Music Royalties &amp; Catalogue Model values an independent music label's catalogue (mix of owned and acquired recordings) on the basis of streaming, physical, sync, and publishing revenue streams with their respective royalty economics. Streaming dominates (55% of revenue at $0.004/stream) and grows 8% annually; physical (vinyl resurgence) contributes 11% at $18/unit wholesale and 3% growth. Sync licensing (12 placements Year 1 Ã $25K average) and publishing (performance royalties + mechanical royalties at 15% of streaming revenue) complete the revenue mix. A typical independent label with $5M catalogue acquisition, 250M annual streams, 18K vinyl units, and $200K annual performance royalties generates $5-7M total revenue with 50% gross margin after distribution fees (10% of streaming), artist royalties (20% of total revenue), writer royalties (75% of publishing revenue), and manufacturing costs.
The Revenue_Build sheet forecasts each stream independently: streaming volumes escalate per annual growth assumptions, physical units grow modestly (vinyl trend), sync placements scale with catalogue profile, publishing (performance royalties grow 3% annually; mechanical royalties scale with streaming). Critically, mechanical royalties appear ONLY as publishing revenueâthey are not double-booked as COGS. Artist Royalties (20% of total label revenue) represent the recorded side; writer royalties (75% of performance + mechanical) represent the composition side. No separate mechanical royalty expense line in COGS. The Income_Statement produces ~50% gross profit, with OpEx (A&amp;R 8% of revenue, marketing 15%, staff $320K base plus 4%, G&amp;A $120K base plus 3%) yielding 20-28% EBITDA margin. A $5M term loan at 8.5% ($714K annual amortization) is drawn in Year 1 to acquire the catalogue; DSCR must exceed 1.25Ã (typically 2.5-3.5Ã).
This model suits music investors, independent labels, publishing acquirers, and PE sponsors evaluating music catalogue investments or label acquisitions. Typical catalogue multiples are 10-15Ã NLS (net label share = gross profit) depending on streaming quality (top-tier labels command 15Ã; niche catalogues 8Ã). Sensitivities include streaming royalty rate changes (MLC statutory mechanical rates), artist contract renegotiations (payouts), and churn risk (cover versions, playlist decay). Non-recourse catalogue securitizations typically lend at 4-6Ã EBITDA.</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</si>
  <si>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</si>
  <si>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</si>
  <si>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</si>
  <si>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</si>
  <si>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</si>
  <si>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t>
  </si>
  <si>
    <t xml:space="preserve">Parameter</t>
  </si>
  <si>
    <t xml:space="preserve">Value</t>
  </si>
  <si>
    <t xml:space="preserve">Unit</t>
  </si>
  <si>
    <t xml:space="preserve">Notes</t>
  </si>
  <si>
    <t xml:space="preserve">Model Start Year</t>
  </si>
  <si>
    <t xml:space="preserve">year</t>
  </si>
  <si>
    <t xml:space="preserve">Stream Count Base</t>
  </si>
  <si>
    <t xml:space="preserve">streams</t>
  </si>
  <si>
    <t xml:space="preserve">Stream Growth</t>
  </si>
  <si>
    <t xml:space="preserve">%</t>
  </si>
  <si>
    <t xml:space="preserve">Per-Stream Rate</t>
  </si>
  <si>
    <t xml:space="preserve">$/stream</t>
  </si>
  <si>
    <t xml:space="preserve">Physical Units Y1</t>
  </si>
  <si>
    <t xml:space="preserve">units</t>
  </si>
  <si>
    <t xml:space="preserve">Physical Growth</t>
  </si>
  <si>
    <t xml:space="preserve">Vinyl Price</t>
  </si>
  <si>
    <t xml:space="preserve">$/unit</t>
  </si>
  <si>
    <t xml:space="preserve">Price Escalation</t>
  </si>
  <si>
    <t xml:space="preserve">Sync Placements Y1</t>
  </si>
  <si>
    <t xml:space="preserve">deals</t>
  </si>
  <si>
    <t xml:space="preserve">Sync Growth</t>
  </si>
  <si>
    <t xml:space="preserve">Avg Sync Fee</t>
  </si>
  <si>
    <t xml:space="preserve">$/deal</t>
  </si>
  <si>
    <t xml:space="preserve">Performance Rev Y1</t>
  </si>
  <si>
    <t xml:space="preserve">$</t>
  </si>
  <si>
    <t xml:space="preserve">Performance Growth</t>
  </si>
  <si>
    <t xml:space="preserve">Mechanical Rate</t>
  </si>
  <si>
    <t xml:space="preserve">Distribution Fee %</t>
  </si>
  <si>
    <t xml:space="preserve">Unit Mfg Cost</t>
  </si>
  <si>
    <t xml:space="preserve">Artist Royalty %</t>
  </si>
  <si>
    <t xml:space="preserve">Writer Royalty %</t>
  </si>
  <si>
    <t xml:space="preserve">A&amp;R Spend %</t>
  </si>
  <si>
    <t xml:space="preserve">Marketing %</t>
  </si>
  <si>
    <t xml:space="preserve">Staff Base</t>
  </si>
  <si>
    <t xml:space="preserve">Staff Growth</t>
  </si>
  <si>
    <t xml:space="preserve">G&amp;A Base</t>
  </si>
  <si>
    <t xml:space="preserve">G&amp;A Growth</t>
  </si>
  <si>
    <t xml:space="preserve">Blended DSO</t>
  </si>
  <si>
    <t xml:space="preserve">days</t>
  </si>
  <si>
    <t xml:space="preserve">DPO</t>
  </si>
  <si>
    <t xml:space="preserve">Accrued Liab %</t>
  </si>
  <si>
    <t xml:space="preserve">Capex Annual</t>
  </si>
  <si>
    <t xml:space="preserve">Existing PPE Gross</t>
  </si>
  <si>
    <t xml:space="preserve">Existing PPE Life</t>
  </si>
  <si>
    <t xml:space="preserve">yrs</t>
  </si>
  <si>
    <t xml:space="preserve">New Asset Life</t>
  </si>
  <si>
    <t xml:space="preserve">Catalogue Cost</t>
  </si>
  <si>
    <t xml:space="preserve">Catalogue Life</t>
  </si>
  <si>
    <t xml:space="preserve">Term Loan Amount</t>
  </si>
  <si>
    <t xml:space="preserve">Term Loan Rate</t>
  </si>
  <si>
    <t xml:space="preserve">Term Loan Tenor</t>
  </si>
  <si>
    <t xml:space="preserve">Opening Cash</t>
  </si>
  <si>
    <t xml:space="preserve">Opening Share Capital</t>
  </si>
  <si>
    <t xml:space="preserve">Opening Ret. Earnings</t>
  </si>
  <si>
    <t xml:space="preserve">NOL Opening</t>
  </si>
  <si>
    <t xml:space="preserve">Tax Rate</t>
  </si>
  <si>
    <t xml:space="preserve">Dividend Payout</t>
  </si>
  <si>
    <t xml:space="preserve">Valuation Multiple</t>
  </si>
  <si>
    <t xml:space="preserve">x</t>
  </si>
  <si>
    <t xml:space="preserve">WACC</t>
  </si>
  <si>
    <t xml:space="preserve">Terminal Growth</t>
  </si>
  <si>
    <t xml:space="preserve">Opening AR</t>
  </si>
  <si>
    <t xml:space="preserve">Revenue Build</t>
  </si>
  <si>
    <t xml:space="preserve">5-Year Streaming, Physical, Sync, Performance &amp; Mechanical</t>
  </si>
  <si>
    <t xml:space="preserve">Year #</t>
  </si>
  <si>
    <t xml:space="preserve">Streaming Revenue</t>
  </si>
  <si>
    <t xml:space="preserve">  Stream Count</t>
  </si>
  <si>
    <t xml:space="preserve">Physical Revenue</t>
  </si>
  <si>
    <t xml:space="preserve">  Physical Units</t>
  </si>
  <si>
    <t xml:space="preserve">Sync Revenue</t>
  </si>
  <si>
    <t xml:space="preserve">  Sync Placements</t>
  </si>
  <si>
    <t xml:space="preserve">Performance &amp; Mechanical</t>
  </si>
  <si>
    <t xml:space="preserve">Performance Royalty</t>
  </si>
  <si>
    <t xml:space="preserve">Mechanical Royalties (Publishing)</t>
  </si>
  <si>
    <t xml:space="preserve">TOTAL REVENUE</t>
  </si>
  <si>
    <t xml:space="preserve">Debt Schedule</t>
  </si>
  <si>
    <t xml:space="preserve">Term Loan Amortisation</t>
  </si>
  <si>
    <t xml:space="preserve">Term Loan</t>
  </si>
  <si>
    <t xml:space="preserve">Opening Balance</t>
  </si>
  <si>
    <t xml:space="preserve">Repayment</t>
  </si>
  <si>
    <t xml:space="preserve">Closing Balance</t>
  </si>
  <si>
    <t xml:space="preserve">Interest Expense</t>
  </si>
  <si>
    <t xml:space="preserve">Total Debt Service</t>
  </si>
  <si>
    <t xml:space="preserve">Income Statement</t>
  </si>
  <si>
    <t xml:space="preserve">Annual Projections</t>
  </si>
  <si>
    <t xml:space="preserve">Revenue</t>
  </si>
  <si>
    <t xml:space="preserve">  Streaming Revenue</t>
  </si>
  <si>
    <t xml:space="preserve">  Physical Revenue</t>
  </si>
  <si>
    <t xml:space="preserve">  Sync Revenue</t>
  </si>
  <si>
    <t xml:space="preserve">  Performance Revenue</t>
  </si>
  <si>
    <t xml:space="preserve">  Mechanical Revenue (Publishing)</t>
  </si>
  <si>
    <t xml:space="preserve">Cost of Revenue (COGS)</t>
  </si>
  <si>
    <t xml:space="preserve">  Distribution Fees</t>
  </si>
  <si>
    <t xml:space="preserve">  Physical Mfg Cost</t>
  </si>
  <si>
    <t xml:space="preserve">  Artist Royalties</t>
  </si>
  <si>
    <t xml:space="preserve">  Writer Royalties</t>
  </si>
  <si>
    <t xml:space="preserve">TOTAL COGS</t>
  </si>
  <si>
    <t xml:space="preserve">GROSS PROFIT</t>
  </si>
  <si>
    <t xml:space="preserve">Gross Margin</t>
  </si>
  <si>
    <t xml:space="preserve">Operating Expenses</t>
  </si>
  <si>
    <t xml:space="preserve">  A&amp;R Spend</t>
  </si>
  <si>
    <t xml:space="preserve">  Marketing</t>
  </si>
  <si>
    <t xml:space="preserve">  Staff Costs</t>
  </si>
  <si>
    <t xml:space="preserve">  G&amp;A</t>
  </si>
  <si>
    <t xml:space="preserve">TOTAL OPEX</t>
  </si>
  <si>
    <t xml:space="preserve">EBITDA</t>
  </si>
  <si>
    <t xml:space="preserve">EBITDA Margin</t>
  </si>
  <si>
    <t xml:space="preserve">Depreciation &amp; Amortisation</t>
  </si>
  <si>
    <t xml:space="preserve">  Catalogue Amortisation</t>
  </si>
  <si>
    <t xml:space="preserve">  Depr Existing PP&amp;E</t>
  </si>
  <si>
    <t xml:space="preserve">  Depr New Assets</t>
  </si>
  <si>
    <t xml:space="preserve">TOTAL D&amp;A</t>
  </si>
  <si>
    <t xml:space="preserve">  Capex</t>
  </si>
  <si>
    <t xml:space="preserve">EBIT &amp; Interest</t>
  </si>
  <si>
    <t xml:space="preserve">EBIT</t>
  </si>
  <si>
    <t xml:space="preserve">  Interest Expense</t>
  </si>
  <si>
    <t xml:space="preserve">EBT</t>
  </si>
  <si>
    <t xml:space="preserve">Tax &amp; NOL</t>
  </si>
  <si>
    <t xml:space="preserve">  NOL Opening</t>
  </si>
  <si>
    <t xml:space="preserve">  Taxable Inc Pre-NOL</t>
  </si>
  <si>
    <t xml:space="preserve">  NOL Utilised</t>
  </si>
  <si>
    <t xml:space="preserve">  Taxable Inc Post-NOL</t>
  </si>
  <si>
    <t xml:space="preserve">  Tax</t>
  </si>
  <si>
    <t xml:space="preserve">  NOL Addition</t>
  </si>
  <si>
    <t xml:space="preserve">  NOL Closing</t>
  </si>
  <si>
    <t xml:space="preserve">NET INCOME</t>
  </si>
  <si>
    <t xml:space="preserve">  Dividends</t>
  </si>
  <si>
    <t xml:space="preserve">Balance Sheet</t>
  </si>
  <si>
    <t xml:space="preserve">Year-End Positions</t>
  </si>
  <si>
    <t xml:space="preserve">ASSETS</t>
  </si>
  <si>
    <t xml:space="preserve">  Cash</t>
  </si>
  <si>
    <t xml:space="preserve">  Accounts Receivable</t>
  </si>
  <si>
    <t xml:space="preserve">Total Current Assets</t>
  </si>
  <si>
    <t xml:space="preserve">  PP&amp;E Gross</t>
  </si>
  <si>
    <t xml:space="preserve">  Accum Depr PP&amp;E</t>
  </si>
  <si>
    <t xml:space="preserve">  Net PP&amp;E</t>
  </si>
  <si>
    <t xml:space="preserve">  Catalogue Gross</t>
  </si>
  <si>
    <t xml:space="preserve">  Accum Amortisation</t>
  </si>
  <si>
    <t xml:space="preserve">  Net Intangibles</t>
  </si>
  <si>
    <t xml:space="preserve">TOTAL ASSETS</t>
  </si>
  <si>
    <t xml:space="preserve">LIABILITIES</t>
  </si>
  <si>
    <t xml:space="preserve">  Royalties Payable</t>
  </si>
  <si>
    <t xml:space="preserve">  Accrued Liabilities</t>
  </si>
  <si>
    <t xml:space="preserve">Total Current Liab.</t>
  </si>
  <si>
    <t xml:space="preserve">  Term Loan</t>
  </si>
  <si>
    <t xml:space="preserve">Total LT Liab.</t>
  </si>
  <si>
    <t xml:space="preserve">TOTAL LIABILITIES</t>
  </si>
  <si>
    <t xml:space="preserve">EQUITY</t>
  </si>
  <si>
    <t xml:space="preserve">  Share Capital</t>
  </si>
  <si>
    <t xml:space="preserve">  Retained Earnings</t>
  </si>
  <si>
    <t xml:space="preserve">TOTAL EQUITY</t>
  </si>
  <si>
    <t xml:space="preserve">TOTAL LIAB &amp; EQUITY</t>
  </si>
  <si>
    <t xml:space="preserve">BALANCE CHECK</t>
  </si>
  <si>
    <t xml:space="preserve">Cash Flow Statement</t>
  </si>
  <si>
    <t xml:space="preserve">Indirect Method</t>
  </si>
  <si>
    <t xml:space="preserve">OPERATING ACTIVITIES</t>
  </si>
  <si>
    <t xml:space="preserve">  Net Income</t>
  </si>
  <si>
    <t xml:space="preserve">  Amortisation Add-back</t>
  </si>
  <si>
    <t xml:space="preserve">  Depreciation Add-back</t>
  </si>
  <si>
    <t xml:space="preserve">Working Capital Changes</t>
  </si>
  <si>
    <t xml:space="preserve">  Change in AR</t>
  </si>
  <si>
    <t xml:space="preserve">  Change in AP</t>
  </si>
  <si>
    <t xml:space="preserve">  Change in Accrued Liab.</t>
  </si>
  <si>
    <t xml:space="preserve">CASH FROM OPERATIONS</t>
  </si>
  <si>
    <t xml:space="preserve">INVESTING ACTIVITIES</t>
  </si>
  <si>
    <t xml:space="preserve">  Catalogue Purchase</t>
  </si>
  <si>
    <t xml:space="preserve">CASH FROM INVESTING</t>
  </si>
  <si>
    <t xml:space="preserve">FINANCING ACTIVITIES</t>
  </si>
  <si>
    <t xml:space="preserve">  Debt Proceeds</t>
  </si>
  <si>
    <t xml:space="preserve">  Debt Repayment</t>
  </si>
  <si>
    <t xml:space="preserve">  Dividends Paid</t>
  </si>
  <si>
    <t xml:space="preserve">CASH FROM FINANCING</t>
  </si>
  <si>
    <t xml:space="preserve">NET CHANGE IN CASH</t>
  </si>
  <si>
    <t xml:space="preserve">  Opening Cash</t>
  </si>
  <si>
    <t xml:space="preserve">CLOSING CASH</t>
  </si>
  <si>
    <t xml:space="preserve">Valuation</t>
  </si>
  <si>
    <t xml:space="preserve">NLS Multiple &amp; DCF</t>
  </si>
  <si>
    <t xml:space="preserve">Section A: NLS Multiple Valuation</t>
  </si>
  <si>
    <t xml:space="preserve">Y5 Gross Profit (NLS)</t>
  </si>
  <si>
    <t xml:space="preserve">Gross EV (NLS)</t>
  </si>
  <si>
    <t xml:space="preserve">Net Debt Y5</t>
  </si>
  <si>
    <t xml:space="preserve">Implied Equity Value</t>
  </si>
  <si>
    <t xml:space="preserve">Section B: DCF Valuation</t>
  </si>
  <si>
    <t xml:space="preserve">Tax on EBIT</t>
  </si>
  <si>
    <t xml:space="preserve">NOPAT</t>
  </si>
  <si>
    <t xml:space="preserve">D&amp;A Add-back</t>
  </si>
  <si>
    <t xml:space="preserve">Capex</t>
  </si>
  <si>
    <t xml:space="preserve">Change in NWC</t>
  </si>
  <si>
    <t xml:space="preserve">UFCF</t>
  </si>
  <si>
    <t xml:space="preserve">Discount Factor</t>
  </si>
  <si>
    <t xml:space="preserve">PV of UFCF</t>
  </si>
  <si>
    <t xml:space="preserve">Sum PV UFCF</t>
  </si>
  <si>
    <t xml:space="preserve">Terminal Year UFCF</t>
  </si>
  <si>
    <t xml:space="preserve">Terminal Value (GGM)</t>
  </si>
  <si>
    <t xml:space="preserve">PV of Terminal Value</t>
  </si>
  <si>
    <t xml:space="preserve">DCF Enterprise Value</t>
  </si>
  <si>
    <t xml:space="preserve">Implied Equity Value (DCF)</t>
  </si>
  <si>
    <t xml:space="preserve">Checks</t>
  </si>
  <si>
    <t xml:space="preserve">All checks use full sheet-qualified references</t>
  </si>
  <si>
    <t xml:space="preserve">Check</t>
  </si>
  <si>
    <t xml:space="preserve">Result</t>
  </si>
  <si>
    <t xml:space="preserve">Expected</t>
  </si>
  <si>
    <t xml:space="preserve">BS Balance Y1</t>
  </si>
  <si>
    <t xml:space="preserve">TRUE</t>
  </si>
  <si>
    <t xml:space="preserve">BS Balance Y2</t>
  </si>
  <si>
    <t xml:space="preserve">BS Balance Y3</t>
  </si>
  <si>
    <t xml:space="preserve">BS Balance Y4</t>
  </si>
  <si>
    <t xml:space="preserve">BS Balance Y5</t>
  </si>
  <si>
    <t xml:space="preserve">Cash Non-Negative</t>
  </si>
  <si>
    <t xml:space="preserve">DSCR Y1</t>
  </si>
  <si>
    <t xml:space="preserve">DSCR Y5</t>
  </si>
  <si>
    <t xml:space="preserve">Debt Declining</t>
  </si>
  <si>
    <t xml:space="preserve">NOL Non-Negative</t>
  </si>
  <si>
    <t xml:space="preserve">Revenue Growing</t>
  </si>
  <si>
    <t xml:space="preserve">Gross Margin Min 40%</t>
  </si>
  <si>
    <t xml:space="preserve">Mech Rev Check Y1</t>
  </si>
  <si>
    <t xml:space="preserve">CF Reconcile Y1</t>
  </si>
  <si>
    <t xml:space="preserve">CF Reconcile Y5</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</si>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</sst>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dd\ mmm\ yyyy"/>
    <numFmt numFmtId="166" formatCode="0"/>
    <numFmt numFmtId="167" formatCode="#,##0.00"/>
    <numFmt numFmtId="168" formatCode="0.00%"/>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sz val="11"/>
      <color theme="1"/>
      <name val="Arial"/>
      <family val="0"/>
      <charset val="1"/>
    </font>
    <font>
      <i val="true"/>
      <sz val="10"/>
      <color rgb="FF808080"/>
      <name val="Arial"/>
      <family val="0"/>
      <charset val="1"/>
    </font>
    <font>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0"/>
      <color theme="0"/>
      <name val="Arial"/>
      <family val="0"/>
      <charset val="1"/>
    </font>
    <font>
      <b val="true"/>
      <sz val="10"/>
      <color theme="0"/>
      <name val="Arial"/>
      <family val="0"/>
      <charset val="1"/>
    </font>
    <font>
      <sz val="10"/>
      <color theme="3"/>
      <name val="Arial"/>
      <family val="0"/>
      <charset val="1"/>
    </font>
    <font>
      <b val="true"/>
      <sz val="10"/>
      <name val="Arial"/>
      <family val="0"/>
      <charset val="1"/>
    </font>
    <font>
      <sz val="10"/>
      <color rgb="FF000000"/>
      <name val="Arial"/>
      <family val="0"/>
      <charset val="1"/>
    </font>
    <font>
      <b val="true"/>
      <sz val="10"/>
      <color rgb="FFC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16" fillId="2" borderId="0" xfId="0" applyFont="true" applyBorder="false" applyAlignment="false" applyProtection="false">
      <alignment horizontal="general" vertical="bottom" textRotation="0" wrapText="false" indent="0" shrinkToFit="false"/>
      <protection locked="true" hidden="false"/>
    </xf>
    <xf numFmtId="164" fontId="17" fillId="2"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6" fontId="18" fillId="4"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7" fontId="18" fillId="4" borderId="0" xfId="0" applyFont="true" applyBorder="false" applyAlignment="true" applyProtection="false">
      <alignment horizontal="right" vertical="center" textRotation="0" wrapText="false" indent="0" shrinkToFit="false"/>
      <protection locked="true" hidden="false"/>
    </xf>
    <xf numFmtId="168" fontId="18" fillId="4" borderId="0" xfId="0" applyFont="true" applyBorder="false" applyAlignment="true" applyProtection="false">
      <alignment horizontal="right" vertical="center"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6" fontId="17" fillId="2" borderId="0" xfId="0" applyFont="true" applyBorder="false" applyAlignment="true" applyProtection="false">
      <alignment horizontal="center" vertical="center" textRotation="0" wrapText="false" indent="0" shrinkToFit="false"/>
      <protection locked="true" hidden="false"/>
    </xf>
    <xf numFmtId="166" fontId="9"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7" fontId="19" fillId="0" borderId="1" xfId="0" applyFont="true" applyBorder="true" applyAlignment="true" applyProtection="false">
      <alignment horizontal="right" vertical="center" textRotation="0" wrapText="false" indent="0" shrinkToFit="false"/>
      <protection locked="true" hidden="false"/>
    </xf>
    <xf numFmtId="167" fontId="20" fillId="0" borderId="0" xfId="0" applyFont="true" applyBorder="false" applyAlignment="true" applyProtection="false">
      <alignment horizontal="right"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7" fontId="17" fillId="2" borderId="0" xfId="0" applyFont="true" applyBorder="false" applyAlignment="true" applyProtection="false">
      <alignment horizontal="right" vertical="center" textRotation="0" wrapText="false" indent="0" shrinkToFit="false"/>
      <protection locked="true" hidden="false"/>
    </xf>
    <xf numFmtId="167" fontId="19" fillId="0" borderId="2" xfId="0" applyFont="true" applyBorder="tru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7" fontId="21"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23" fillId="5"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6" fillId="6" borderId="0" xfId="0" applyFont="true" applyBorder="false" applyAlignment="true" applyProtection="false">
      <alignment horizontal="left" vertical="top" textRotation="0" wrapText="true" indent="1"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1F4E79"/>
      <rgbColor rgb="FF339966"/>
      <rgbColor rgb="FF375623"/>
      <rgbColor rgb="FF404040"/>
      <rgbColor rgb="FF843C0C"/>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50"/>
    <col collapsed="false" customWidth="true" hidden="false" outlineLevel="0" max="3" min="3" style="0" width="20"/>
  </cols>
  <sheetData>
    <row r="1" customFormat="false" ht="15" hidden="false" customHeight="false" outlineLevel="0" collapsed="false">
      <c r="A1" s="1"/>
      <c r="B1" s="1"/>
      <c r="C1" s="2"/>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2"/>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2"/>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t="s">
        <v>2</v>
      </c>
    </row>
    <row r="5" customFormat="false" ht="15" hidden="false" customHeight="false" outlineLevel="0" collapsed="false">
      <c r="A5" s="5"/>
      <c r="B5" s="5"/>
    </row>
    <row r="6" customFormat="false" ht="15" hidden="false" customHeight="false" outlineLevel="0" collapsed="false">
      <c r="A6" s="5"/>
      <c r="B6" s="7" t="n">
        <f aca="true">TODAY()</f>
        <v>46157</v>
      </c>
    </row>
    <row r="7" customFormat="false" ht="15" hidden="false" customHeight="false" outlineLevel="0" collapsed="false">
      <c r="A7" s="5"/>
      <c r="B7" s="8" t="s">
        <v>3</v>
      </c>
    </row>
    <row r="10" customFormat="false" ht="19.5" hidden="false" customHeight="true" outlineLevel="0" collapsed="false">
      <c r="B10" s="9" t="s">
        <v>4</v>
      </c>
      <c r="C10" s="10"/>
      <c r="D10" s="10"/>
      <c r="E10" s="10"/>
      <c r="F10" s="10"/>
      <c r="G10" s="10"/>
    </row>
    <row r="11" customFormat="false" ht="334.5" hidden="false" customHeight="true" outlineLevel="0" collapsed="false">
      <c r="B11" s="11" t="s">
        <v>5</v>
      </c>
      <c r="C11" s="11"/>
      <c r="D11" s="11"/>
      <c r="E11" s="11"/>
      <c r="F11" s="11"/>
      <c r="G11" s="11"/>
    </row>
    <row r="13" customFormat="false" ht="19.5" hidden="false" customHeight="true" outlineLevel="0" collapsed="false">
      <c r="B13" s="9" t="s">
        <v>6</v>
      </c>
      <c r="C13" s="10"/>
      <c r="D13" s="10"/>
      <c r="E13" s="10"/>
      <c r="F13" s="10"/>
      <c r="G13" s="10"/>
    </row>
    <row r="14" customFormat="false" ht="57" hidden="false" customHeight="true" outlineLevel="0" collapsed="false">
      <c r="B14" s="11" t="s">
        <v>7</v>
      </c>
      <c r="C14" s="11"/>
      <c r="D14" s="11"/>
      <c r="E14" s="11"/>
      <c r="F14" s="11"/>
      <c r="G14" s="11"/>
    </row>
    <row r="15" customFormat="false" ht="15" hidden="false" customHeight="false" outlineLevel="0" collapsed="false">
      <c r="B15" s="12" t="s">
        <v>8</v>
      </c>
      <c r="C15" s="12"/>
      <c r="D15" s="12"/>
      <c r="E15" s="12"/>
      <c r="F15" s="12"/>
      <c r="G15" s="12"/>
    </row>
    <row r="16" customFormat="false" ht="15" hidden="false" customHeight="false" outlineLevel="0" collapsed="false">
      <c r="B16" s="13" t="s">
        <v>9</v>
      </c>
    </row>
  </sheetData>
  <mergeCells count="3">
    <mergeCell ref="B11:G11"/>
    <mergeCell ref="B14:G14"/>
    <mergeCell ref="B15:G1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7" t="s">
        <v>230</v>
      </c>
    </row>
    <row r="3" customFormat="false" ht="3.75" hidden="false" customHeight="true" outlineLevel="0" collapsed="false">
      <c r="B3" s="38"/>
    </row>
    <row r="5" customFormat="false" ht="19.5" hidden="false" customHeight="true" outlineLevel="0" collapsed="false">
      <c r="B5" s="39" t="s">
        <v>231</v>
      </c>
    </row>
    <row r="6" customFormat="false" ht="48" hidden="false" customHeight="true" outlineLevel="0" collapsed="false">
      <c r="B6" s="40" t="s">
        <v>232</v>
      </c>
    </row>
    <row r="8" customFormat="false" ht="19.5" hidden="false" customHeight="true" outlineLevel="0" collapsed="false">
      <c r="B8" s="39" t="s">
        <v>233</v>
      </c>
    </row>
    <row r="9" customFormat="false" ht="61.5" hidden="false" customHeight="true" outlineLevel="0" collapsed="false">
      <c r="B9" s="40" t="s">
        <v>234</v>
      </c>
    </row>
    <row r="11" customFormat="false" ht="19.5" hidden="false" customHeight="true" outlineLevel="0" collapsed="false">
      <c r="B11" s="39" t="s">
        <v>235</v>
      </c>
    </row>
    <row r="12" customFormat="false" ht="75.75" hidden="false" customHeight="true" outlineLevel="0" collapsed="false">
      <c r="B12" s="40" t="s">
        <v>236</v>
      </c>
    </row>
    <row r="14" customFormat="false" ht="19.5" hidden="false" customHeight="true" outlineLevel="0" collapsed="false">
      <c r="B14" s="39" t="s">
        <v>237</v>
      </c>
    </row>
    <row r="15" customFormat="false" ht="61.5" hidden="false" customHeight="true" outlineLevel="0" collapsed="false">
      <c r="B15" s="40" t="s">
        <v>238</v>
      </c>
    </row>
    <row r="17" customFormat="false" ht="19.5" hidden="false" customHeight="true" outlineLevel="0" collapsed="false">
      <c r="B17" s="39" t="s">
        <v>239</v>
      </c>
    </row>
    <row r="18" customFormat="false" ht="33.75" hidden="false" customHeight="true" outlineLevel="0" collapsed="false">
      <c r="B18" s="40" t="s">
        <v>240</v>
      </c>
    </row>
    <row r="20" customFormat="false" ht="19.5" hidden="false" customHeight="true" outlineLevel="0" collapsed="false">
      <c r="B20" s="39" t="s">
        <v>241</v>
      </c>
    </row>
    <row r="21" customFormat="false" ht="33.75" hidden="false" customHeight="true" outlineLevel="0" collapsed="false">
      <c r="B21" s="40" t="s">
        <v>242</v>
      </c>
    </row>
    <row r="23" customFormat="false" ht="21.75" hidden="false" customHeight="true" outlineLevel="0" collapsed="false">
      <c r="B23" s="41" t="s">
        <v>243</v>
      </c>
    </row>
    <row r="25" customFormat="false" ht="18" hidden="false" customHeight="true" outlineLevel="0" collapsed="false">
      <c r="B25" s="42" t="s">
        <v>244</v>
      </c>
    </row>
    <row r="26" customFormat="false" ht="201.75" hidden="false" customHeight="true" outlineLevel="0" collapsed="false">
      <c r="B26" s="43" t="s">
        <v>245</v>
      </c>
    </row>
    <row r="28" customFormat="false" ht="18" hidden="false" customHeight="true" outlineLevel="0" collapsed="false">
      <c r="B28" s="44" t="s">
        <v>246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10</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11</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16" t="s">
        <v>12</v>
      </c>
      <c r="C4" s="16" t="s">
        <v>13</v>
      </c>
      <c r="D4" s="16" t="s">
        <v>14</v>
      </c>
      <c r="E4" s="16" t="s">
        <v>15</v>
      </c>
    </row>
    <row r="5" customFormat="false" ht="15" hidden="false" customHeight="false" outlineLevel="0" collapsed="false">
      <c r="A5" s="5"/>
      <c r="B5" s="5"/>
      <c r="C5" s="5"/>
      <c r="D5" s="5"/>
      <c r="E5" s="5"/>
    </row>
    <row r="6" customFormat="false" ht="15" hidden="false" customHeight="false" outlineLevel="0" collapsed="false">
      <c r="A6" s="5"/>
      <c r="B6" s="5"/>
      <c r="C6" s="5"/>
      <c r="D6" s="5"/>
      <c r="E6" s="5"/>
    </row>
    <row r="7" customFormat="false" ht="15" hidden="false" customHeight="false" outlineLevel="0" collapsed="false">
      <c r="A7" s="5"/>
      <c r="B7" s="17" t="s">
        <v>16</v>
      </c>
      <c r="C7" s="18" t="n">
        <v>2025</v>
      </c>
      <c r="D7" s="19" t="s">
        <v>17</v>
      </c>
      <c r="E7" s="5"/>
    </row>
    <row r="8" customFormat="false" ht="15" hidden="false" customHeight="false" outlineLevel="0" collapsed="false">
      <c r="A8" s="5"/>
      <c r="B8" s="17" t="s">
        <v>18</v>
      </c>
      <c r="C8" s="20" t="n">
        <v>250000000</v>
      </c>
      <c r="D8" s="19" t="s">
        <v>19</v>
      </c>
      <c r="E8" s="5"/>
    </row>
    <row r="9" customFormat="false" ht="15" hidden="false" customHeight="false" outlineLevel="0" collapsed="false">
      <c r="A9" s="5"/>
      <c r="B9" s="17" t="s">
        <v>20</v>
      </c>
      <c r="C9" s="21" t="n">
        <v>0.08</v>
      </c>
      <c r="D9" s="19" t="s">
        <v>21</v>
      </c>
      <c r="E9" s="5"/>
    </row>
    <row r="10" customFormat="false" ht="15" hidden="false" customHeight="false" outlineLevel="0" collapsed="false">
      <c r="A10" s="5"/>
      <c r="B10" s="17" t="s">
        <v>22</v>
      </c>
      <c r="C10" s="20" t="n">
        <v>0.004</v>
      </c>
      <c r="D10" s="19" t="s">
        <v>23</v>
      </c>
      <c r="E10" s="5"/>
    </row>
    <row r="11" customFormat="false" ht="15" hidden="false" customHeight="false" outlineLevel="0" collapsed="false">
      <c r="A11" s="5"/>
      <c r="B11" s="17" t="s">
        <v>24</v>
      </c>
      <c r="C11" s="20" t="n">
        <v>18000</v>
      </c>
      <c r="D11" s="19" t="s">
        <v>25</v>
      </c>
      <c r="E11" s="5"/>
    </row>
    <row r="12" customFormat="false" ht="15" hidden="false" customHeight="false" outlineLevel="0" collapsed="false">
      <c r="A12" s="5"/>
      <c r="B12" s="17" t="s">
        <v>26</v>
      </c>
      <c r="C12" s="21" t="n">
        <v>0.03</v>
      </c>
      <c r="D12" s="19" t="s">
        <v>21</v>
      </c>
      <c r="E12" s="5"/>
    </row>
    <row r="13" customFormat="false" ht="15" hidden="false" customHeight="false" outlineLevel="0" collapsed="false">
      <c r="A13" s="5"/>
      <c r="B13" s="17" t="s">
        <v>27</v>
      </c>
      <c r="C13" s="20" t="n">
        <v>18</v>
      </c>
      <c r="D13" s="19" t="s">
        <v>28</v>
      </c>
      <c r="E13" s="5"/>
    </row>
    <row r="14" customFormat="false" ht="15" hidden="false" customHeight="false" outlineLevel="0" collapsed="false">
      <c r="A14" s="5"/>
      <c r="B14" s="17" t="s">
        <v>29</v>
      </c>
      <c r="C14" s="21" t="n">
        <v>0.015</v>
      </c>
      <c r="D14" s="19" t="s">
        <v>21</v>
      </c>
      <c r="E14" s="5"/>
    </row>
    <row r="15" customFormat="false" ht="15" hidden="false" customHeight="false" outlineLevel="0" collapsed="false">
      <c r="A15" s="5"/>
      <c r="B15" s="17" t="s">
        <v>30</v>
      </c>
      <c r="C15" s="20" t="n">
        <v>12</v>
      </c>
      <c r="D15" s="19" t="s">
        <v>31</v>
      </c>
      <c r="E15" s="5"/>
    </row>
    <row r="16" customFormat="false" ht="15" hidden="false" customHeight="false" outlineLevel="0" collapsed="false">
      <c r="A16" s="5"/>
      <c r="B16" s="17" t="s">
        <v>32</v>
      </c>
      <c r="C16" s="21" t="n">
        <v>0.06</v>
      </c>
      <c r="D16" s="19" t="s">
        <v>21</v>
      </c>
      <c r="E16" s="5"/>
    </row>
    <row r="17" customFormat="false" ht="15" hidden="false" customHeight="false" outlineLevel="0" collapsed="false">
      <c r="A17" s="5"/>
      <c r="B17" s="17" t="s">
        <v>33</v>
      </c>
      <c r="C17" s="20" t="n">
        <v>25000</v>
      </c>
      <c r="D17" s="19" t="s">
        <v>34</v>
      </c>
      <c r="E17" s="5"/>
    </row>
    <row r="18" customFormat="false" ht="15" hidden="false" customHeight="false" outlineLevel="0" collapsed="false">
      <c r="A18" s="5"/>
      <c r="B18" s="17" t="s">
        <v>35</v>
      </c>
      <c r="C18" s="20" t="n">
        <v>180000</v>
      </c>
      <c r="D18" s="19" t="s">
        <v>36</v>
      </c>
      <c r="E18" s="5"/>
    </row>
    <row r="19" customFormat="false" ht="15" hidden="false" customHeight="false" outlineLevel="0" collapsed="false">
      <c r="A19" s="5"/>
      <c r="B19" s="17" t="s">
        <v>37</v>
      </c>
      <c r="C19" s="21" t="n">
        <v>0.03</v>
      </c>
      <c r="D19" s="19" t="s">
        <v>21</v>
      </c>
      <c r="E19" s="5"/>
    </row>
    <row r="20" customFormat="false" ht="15" hidden="false" customHeight="false" outlineLevel="0" collapsed="false">
      <c r="A20" s="5"/>
      <c r="B20" s="17" t="s">
        <v>38</v>
      </c>
      <c r="C20" s="21" t="n">
        <v>0.15</v>
      </c>
      <c r="D20" s="19" t="s">
        <v>21</v>
      </c>
      <c r="E20" s="5"/>
    </row>
    <row r="21" customFormat="false" ht="15" hidden="false" customHeight="false" outlineLevel="0" collapsed="false">
      <c r="A21" s="5"/>
      <c r="B21" s="17" t="s">
        <v>39</v>
      </c>
      <c r="C21" s="21" t="n">
        <v>0.1</v>
      </c>
      <c r="D21" s="19" t="s">
        <v>21</v>
      </c>
      <c r="E21" s="5"/>
    </row>
    <row r="22" customFormat="false" ht="15" hidden="false" customHeight="false" outlineLevel="0" collapsed="false">
      <c r="A22" s="5"/>
      <c r="B22" s="17" t="s">
        <v>40</v>
      </c>
      <c r="C22" s="20" t="n">
        <v>7.5</v>
      </c>
      <c r="D22" s="19" t="s">
        <v>28</v>
      </c>
      <c r="E22" s="5"/>
    </row>
    <row r="23" customFormat="false" ht="15" hidden="false" customHeight="false" outlineLevel="0" collapsed="false">
      <c r="A23" s="5"/>
      <c r="B23" s="17" t="s">
        <v>41</v>
      </c>
      <c r="C23" s="21" t="n">
        <v>0.2</v>
      </c>
      <c r="D23" s="19" t="s">
        <v>21</v>
      </c>
      <c r="E23" s="5"/>
    </row>
    <row r="24" customFormat="false" ht="15" hidden="false" customHeight="false" outlineLevel="0" collapsed="false">
      <c r="A24" s="5"/>
      <c r="B24" s="17" t="s">
        <v>42</v>
      </c>
      <c r="C24" s="21" t="n">
        <v>0.75</v>
      </c>
      <c r="D24" s="19" t="s">
        <v>21</v>
      </c>
      <c r="E24" s="5"/>
    </row>
    <row r="25" customFormat="false" ht="15" hidden="false" customHeight="false" outlineLevel="0" collapsed="false">
      <c r="A25" s="5"/>
      <c r="B25" s="17" t="s">
        <v>43</v>
      </c>
      <c r="C25" s="21" t="n">
        <v>0.08</v>
      </c>
      <c r="D25" s="19" t="s">
        <v>21</v>
      </c>
      <c r="E25" s="5"/>
    </row>
    <row r="26" customFormat="false" ht="15" hidden="false" customHeight="false" outlineLevel="0" collapsed="false">
      <c r="A26" s="5"/>
      <c r="B26" s="17" t="s">
        <v>44</v>
      </c>
      <c r="C26" s="21" t="n">
        <v>0.15</v>
      </c>
      <c r="D26" s="19" t="s">
        <v>21</v>
      </c>
      <c r="E26" s="5"/>
    </row>
    <row r="27" customFormat="false" ht="15" hidden="false" customHeight="false" outlineLevel="0" collapsed="false">
      <c r="A27" s="5"/>
      <c r="B27" s="17" t="s">
        <v>45</v>
      </c>
      <c r="C27" s="20" t="n">
        <v>320000</v>
      </c>
      <c r="D27" s="19" t="s">
        <v>36</v>
      </c>
      <c r="E27" s="5"/>
    </row>
    <row r="28" customFormat="false" ht="15" hidden="false" customHeight="false" outlineLevel="0" collapsed="false">
      <c r="A28" s="5"/>
      <c r="B28" s="17" t="s">
        <v>46</v>
      </c>
      <c r="C28" s="21" t="n">
        <v>0.04</v>
      </c>
      <c r="D28" s="19" t="s">
        <v>21</v>
      </c>
      <c r="E28" s="5"/>
    </row>
    <row r="29" customFormat="false" ht="15" hidden="false" customHeight="false" outlineLevel="0" collapsed="false">
      <c r="A29" s="5"/>
      <c r="B29" s="17" t="s">
        <v>47</v>
      </c>
      <c r="C29" s="20" t="n">
        <v>120000</v>
      </c>
      <c r="D29" s="19" t="s">
        <v>36</v>
      </c>
      <c r="E29" s="5"/>
    </row>
    <row r="30" customFormat="false" ht="15" hidden="false" customHeight="false" outlineLevel="0" collapsed="false">
      <c r="A30" s="5"/>
      <c r="B30" s="17" t="s">
        <v>48</v>
      </c>
      <c r="C30" s="21" t="n">
        <v>0.03</v>
      </c>
      <c r="D30" s="19" t="s">
        <v>21</v>
      </c>
      <c r="E30" s="5"/>
    </row>
    <row r="31" customFormat="false" ht="15" hidden="false" customHeight="false" outlineLevel="0" collapsed="false">
      <c r="A31" s="5"/>
      <c r="B31" s="17" t="s">
        <v>49</v>
      </c>
      <c r="C31" s="20" t="n">
        <v>85</v>
      </c>
      <c r="D31" s="19" t="s">
        <v>50</v>
      </c>
      <c r="E31" s="5"/>
    </row>
    <row r="32" customFormat="false" ht="15" hidden="false" customHeight="false" outlineLevel="0" collapsed="false">
      <c r="A32" s="5"/>
      <c r="B32" s="17" t="s">
        <v>51</v>
      </c>
      <c r="C32" s="20" t="n">
        <v>120</v>
      </c>
      <c r="D32" s="19" t="s">
        <v>50</v>
      </c>
      <c r="E32" s="5"/>
    </row>
    <row r="33" customFormat="false" ht="15" hidden="false" customHeight="false" outlineLevel="0" collapsed="false">
      <c r="A33" s="5"/>
      <c r="B33" s="17" t="s">
        <v>52</v>
      </c>
      <c r="C33" s="21" t="n">
        <v>0.05</v>
      </c>
      <c r="D33" s="19" t="s">
        <v>21</v>
      </c>
      <c r="E33" s="5"/>
    </row>
    <row r="34" customFormat="false" ht="15" hidden="false" customHeight="false" outlineLevel="0" collapsed="false">
      <c r="A34" s="5"/>
      <c r="B34" s="17" t="s">
        <v>53</v>
      </c>
      <c r="C34" s="20" t="n">
        <v>15000</v>
      </c>
      <c r="D34" s="19" t="s">
        <v>36</v>
      </c>
      <c r="E34" s="5"/>
    </row>
    <row r="35" customFormat="false" ht="15" hidden="false" customHeight="false" outlineLevel="0" collapsed="false">
      <c r="A35" s="5"/>
      <c r="B35" s="17" t="s">
        <v>54</v>
      </c>
      <c r="C35" s="20" t="n">
        <v>50000</v>
      </c>
      <c r="D35" s="19" t="s">
        <v>36</v>
      </c>
      <c r="E35" s="5"/>
    </row>
    <row r="36" customFormat="false" ht="15" hidden="false" customHeight="false" outlineLevel="0" collapsed="false">
      <c r="A36" s="5"/>
      <c r="B36" s="17" t="s">
        <v>55</v>
      </c>
      <c r="C36" s="20" t="n">
        <v>5</v>
      </c>
      <c r="D36" s="19" t="s">
        <v>56</v>
      </c>
      <c r="E36" s="5"/>
    </row>
    <row r="37" customFormat="false" ht="15" hidden="false" customHeight="false" outlineLevel="0" collapsed="false">
      <c r="A37" s="5"/>
      <c r="B37" s="17" t="s">
        <v>57</v>
      </c>
      <c r="C37" s="20" t="n">
        <v>5</v>
      </c>
      <c r="D37" s="19" t="s">
        <v>56</v>
      </c>
      <c r="E37" s="5"/>
    </row>
    <row r="38" customFormat="false" ht="15" hidden="false" customHeight="false" outlineLevel="0" collapsed="false">
      <c r="A38" s="5"/>
      <c r="B38" s="17" t="s">
        <v>58</v>
      </c>
      <c r="C38" s="20" t="n">
        <v>5000000</v>
      </c>
      <c r="D38" s="19" t="s">
        <v>36</v>
      </c>
      <c r="E38" s="5"/>
    </row>
    <row r="39" customFormat="false" ht="15" hidden="false" customHeight="false" outlineLevel="0" collapsed="false">
      <c r="A39" s="5"/>
      <c r="B39" s="17" t="s">
        <v>59</v>
      </c>
      <c r="C39" s="20" t="n">
        <v>20</v>
      </c>
      <c r="D39" s="19" t="s">
        <v>56</v>
      </c>
      <c r="E39" s="5"/>
    </row>
    <row r="40" customFormat="false" ht="15" hidden="false" customHeight="false" outlineLevel="0" collapsed="false">
      <c r="A40" s="5"/>
      <c r="B40" s="17" t="s">
        <v>60</v>
      </c>
      <c r="C40" s="20" t="n">
        <v>5000000</v>
      </c>
      <c r="D40" s="19" t="s">
        <v>36</v>
      </c>
      <c r="E40" s="5"/>
    </row>
    <row r="41" customFormat="false" ht="15" hidden="false" customHeight="false" outlineLevel="0" collapsed="false">
      <c r="A41" s="5"/>
      <c r="B41" s="17" t="s">
        <v>61</v>
      </c>
      <c r="C41" s="21" t="n">
        <v>0.085</v>
      </c>
      <c r="D41" s="19" t="s">
        <v>21</v>
      </c>
      <c r="E41" s="5"/>
    </row>
    <row r="42" customFormat="false" ht="15" hidden="false" customHeight="false" outlineLevel="0" collapsed="false">
      <c r="A42" s="5"/>
      <c r="B42" s="17" t="s">
        <v>62</v>
      </c>
      <c r="C42" s="20" t="n">
        <v>7</v>
      </c>
      <c r="D42" s="19" t="s">
        <v>56</v>
      </c>
      <c r="E42" s="5"/>
    </row>
    <row r="43" customFormat="false" ht="15" hidden="false" customHeight="false" outlineLevel="0" collapsed="false">
      <c r="A43" s="5"/>
      <c r="B43" s="17" t="s">
        <v>63</v>
      </c>
      <c r="C43" s="20" t="n">
        <v>700000</v>
      </c>
      <c r="D43" s="19" t="s">
        <v>36</v>
      </c>
      <c r="E43" s="5"/>
    </row>
    <row r="44" customFormat="false" ht="15" hidden="false" customHeight="false" outlineLevel="0" collapsed="false">
      <c r="A44" s="5"/>
      <c r="B44" s="17" t="s">
        <v>64</v>
      </c>
      <c r="C44" s="20" t="n">
        <v>700000</v>
      </c>
      <c r="D44" s="19" t="s">
        <v>36</v>
      </c>
      <c r="E44" s="5"/>
    </row>
    <row r="45" customFormat="false" ht="15" hidden="false" customHeight="false" outlineLevel="0" collapsed="false">
      <c r="A45" s="5"/>
      <c r="B45" s="17" t="s">
        <v>65</v>
      </c>
      <c r="C45" s="20" t="n">
        <v>50000</v>
      </c>
      <c r="D45" s="19" t="s">
        <v>36</v>
      </c>
      <c r="E45" s="5"/>
    </row>
    <row r="46" customFormat="false" ht="15" hidden="false" customHeight="false" outlineLevel="0" collapsed="false">
      <c r="A46" s="5"/>
      <c r="B46" s="17" t="s">
        <v>66</v>
      </c>
      <c r="C46" s="20" t="n">
        <v>0</v>
      </c>
      <c r="D46" s="19" t="s">
        <v>36</v>
      </c>
      <c r="E46" s="5"/>
    </row>
    <row r="47" customFormat="false" ht="15" hidden="false" customHeight="false" outlineLevel="0" collapsed="false">
      <c r="A47" s="5"/>
      <c r="B47" s="17" t="s">
        <v>67</v>
      </c>
      <c r="C47" s="21" t="n">
        <v>0.25</v>
      </c>
      <c r="D47" s="19" t="s">
        <v>21</v>
      </c>
      <c r="E47" s="5"/>
    </row>
    <row r="48" customFormat="false" ht="15" hidden="false" customHeight="false" outlineLevel="0" collapsed="false">
      <c r="A48" s="5"/>
      <c r="B48" s="17" t="s">
        <v>68</v>
      </c>
      <c r="C48" s="21" t="n">
        <v>0</v>
      </c>
      <c r="D48" s="19" t="s">
        <v>21</v>
      </c>
      <c r="E48" s="5"/>
    </row>
    <row r="49" customFormat="false" ht="15" hidden="false" customHeight="false" outlineLevel="0" collapsed="false">
      <c r="A49" s="5"/>
      <c r="B49" s="17" t="s">
        <v>69</v>
      </c>
      <c r="C49" s="20" t="n">
        <v>13</v>
      </c>
      <c r="D49" s="19" t="s">
        <v>70</v>
      </c>
      <c r="E49" s="5"/>
    </row>
    <row r="50" customFormat="false" ht="15" hidden="false" customHeight="false" outlineLevel="0" collapsed="false">
      <c r="A50" s="5"/>
      <c r="B50" s="17" t="s">
        <v>71</v>
      </c>
      <c r="C50" s="21" t="n">
        <v>0.1</v>
      </c>
      <c r="D50" s="19" t="s">
        <v>21</v>
      </c>
      <c r="E50" s="5"/>
    </row>
    <row r="51" customFormat="false" ht="15" hidden="false" customHeight="false" outlineLevel="0" collapsed="false">
      <c r="A51" s="5"/>
      <c r="B51" s="17" t="s">
        <v>72</v>
      </c>
      <c r="C51" s="21" t="n">
        <v>0.02</v>
      </c>
      <c r="D51" s="19" t="s">
        <v>21</v>
      </c>
      <c r="E51" s="5"/>
    </row>
    <row r="52" customFormat="false" ht="15" hidden="false" customHeight="false" outlineLevel="0" collapsed="false">
      <c r="A52" s="5"/>
      <c r="B52" s="17" t="s">
        <v>73</v>
      </c>
      <c r="C52" s="20" t="n">
        <v>0</v>
      </c>
      <c r="D52" s="19" t="s">
        <v>36</v>
      </c>
      <c r="E5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74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75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row>
    <row r="5" customFormat="false" ht="15" hidden="false" customHeight="false" outlineLevel="0" collapsed="false">
      <c r="A5" s="5"/>
      <c r="B5" s="22"/>
      <c r="C5" s="23" t="n">
        <f aca="false">Model_Start_Year+0</f>
        <v>2025</v>
      </c>
      <c r="D5" s="23" t="n">
        <f aca="false">Model_Start_Year+1</f>
        <v>2026</v>
      </c>
      <c r="E5" s="23" t="n">
        <f aca="false">Model_Start_Year+2</f>
        <v>2027</v>
      </c>
      <c r="F5" s="23" t="n">
        <f aca="false">Model_Start_Year+3</f>
        <v>2028</v>
      </c>
      <c r="G5" s="23" t="n">
        <f aca="false">Model_Start_Year+4</f>
        <v>2029</v>
      </c>
    </row>
    <row r="6" customFormat="false" ht="15" hidden="false" customHeight="false" outlineLevel="0" collapsed="false">
      <c r="A6" s="5"/>
      <c r="B6" s="19" t="s">
        <v>76</v>
      </c>
      <c r="C6" s="24" t="n">
        <v>1</v>
      </c>
      <c r="D6" s="24" t="n">
        <v>2</v>
      </c>
      <c r="E6" s="24" t="n">
        <v>3</v>
      </c>
      <c r="F6" s="24" t="n">
        <v>4</v>
      </c>
      <c r="G6" s="24" t="n">
        <v>5</v>
      </c>
    </row>
    <row r="7" customFormat="false" ht="15" hidden="false" customHeight="false" outlineLevel="0" collapsed="false">
      <c r="A7" s="5"/>
      <c r="B7" s="22" t="s">
        <v>77</v>
      </c>
      <c r="C7" s="22"/>
      <c r="D7" s="22"/>
      <c r="E7" s="22"/>
      <c r="F7" s="22"/>
      <c r="G7" s="22"/>
    </row>
    <row r="8" customFormat="false" ht="15" hidden="false" customHeight="false" outlineLevel="0" collapsed="false">
      <c r="A8" s="5"/>
      <c r="B8" s="25" t="s">
        <v>77</v>
      </c>
      <c r="C8" s="26" t="n">
        <f aca="false">C9*C10</f>
        <v>1000000</v>
      </c>
      <c r="D8" s="26" t="n">
        <f aca="false">D9*D10</f>
        <v>1080000</v>
      </c>
      <c r="E8" s="26" t="n">
        <f aca="false">E9*E10</f>
        <v>1166400</v>
      </c>
      <c r="F8" s="26" t="n">
        <f aca="false">F9*F10</f>
        <v>1259712</v>
      </c>
      <c r="G8" s="26" t="n">
        <f aca="false">G9*G10</f>
        <v>1360488.96</v>
      </c>
    </row>
    <row r="9" customFormat="false" ht="15" hidden="false" customHeight="false" outlineLevel="0" collapsed="false">
      <c r="A9" s="5"/>
      <c r="B9" s="17" t="s">
        <v>78</v>
      </c>
      <c r="C9" s="27" t="n">
        <f aca="false">Stream_Count_Base</f>
        <v>250000000</v>
      </c>
      <c r="D9" s="27" t="n">
        <f aca="false">C9*(1+Stream_Growth)</f>
        <v>270000000</v>
      </c>
      <c r="E9" s="27" t="n">
        <f aca="false">D9*(1+Stream_Growth)</f>
        <v>291600000</v>
      </c>
      <c r="F9" s="27" t="n">
        <f aca="false">E9*(1+Stream_Growth)</f>
        <v>314928000</v>
      </c>
      <c r="G9" s="27" t="n">
        <f aca="false">F9*(1+Stream_Growth)</f>
        <v>340122240</v>
      </c>
    </row>
    <row r="10" customFormat="false" ht="15" hidden="false" customHeight="false" outlineLevel="0" collapsed="false">
      <c r="A10" s="5"/>
      <c r="B10" s="28" t="s">
        <v>79</v>
      </c>
      <c r="C10" s="29" t="n">
        <f aca="false">Per_Stream_Rate</f>
        <v>0.004</v>
      </c>
      <c r="D10" s="29" t="n">
        <f aca="false">Per_Stream_Rate</f>
        <v>0.004</v>
      </c>
      <c r="E10" s="29" t="n">
        <f aca="false">Per_Stream_Rate</f>
        <v>0.004</v>
      </c>
      <c r="F10" s="29" t="n">
        <f aca="false">Per_Stream_Rate</f>
        <v>0.004</v>
      </c>
      <c r="G10" s="29" t="n">
        <f aca="false">Per_Stream_Rate</f>
        <v>0.004</v>
      </c>
    </row>
    <row r="11" customFormat="false" ht="15" hidden="false" customHeight="false" outlineLevel="0" collapsed="false">
      <c r="A11" s="5"/>
      <c r="B11" s="25" t="s">
        <v>79</v>
      </c>
      <c r="C11" s="26" t="n">
        <f aca="false">C12*C13</f>
        <v>324000</v>
      </c>
      <c r="D11" s="26" t="n">
        <f aca="false">D12*D13</f>
        <v>338725.8</v>
      </c>
      <c r="E11" s="26" t="n">
        <f aca="false">E12*E13</f>
        <v>354120.88761</v>
      </c>
      <c r="F11" s="26" t="n">
        <f aca="false">F12*F13</f>
        <v>370215.681951874</v>
      </c>
      <c r="G11" s="26" t="n">
        <f aca="false">G12*G13</f>
        <v>387041.984696587</v>
      </c>
    </row>
    <row r="12" customFormat="false" ht="15" hidden="false" customHeight="false" outlineLevel="0" collapsed="false">
      <c r="A12" s="5"/>
      <c r="B12" s="17" t="s">
        <v>80</v>
      </c>
      <c r="C12" s="27" t="n">
        <f aca="false">Physical_Units_Y1</f>
        <v>18000</v>
      </c>
      <c r="D12" s="27" t="n">
        <f aca="false">C12*(1+Physical_Growth)</f>
        <v>18540</v>
      </c>
      <c r="E12" s="27" t="n">
        <f aca="false">D12*(1+Physical_Growth)</f>
        <v>19096.2</v>
      </c>
      <c r="F12" s="27" t="n">
        <f aca="false">E12*(1+Physical_Growth)</f>
        <v>19669.086</v>
      </c>
      <c r="G12" s="27" t="n">
        <f aca="false">F12*(1+Physical_Growth)</f>
        <v>20259.15858</v>
      </c>
    </row>
    <row r="13" customFormat="false" ht="15" hidden="false" customHeight="false" outlineLevel="0" collapsed="false">
      <c r="A13" s="5"/>
      <c r="B13" s="28" t="s">
        <v>81</v>
      </c>
      <c r="C13" s="29" t="n">
        <f aca="false">Vinyl_Price</f>
        <v>18</v>
      </c>
      <c r="D13" s="29" t="n">
        <f aca="false">C13*(1+Price_Esc)</f>
        <v>18.27</v>
      </c>
      <c r="E13" s="29" t="n">
        <f aca="false">D13*(1+Price_Esc)</f>
        <v>18.54405</v>
      </c>
      <c r="F13" s="29" t="n">
        <f aca="false">E13*(1+Price_Esc)</f>
        <v>18.82221075</v>
      </c>
      <c r="G13" s="29" t="n">
        <f aca="false">F13*(1+Price_Esc)</f>
        <v>19.10454391125</v>
      </c>
    </row>
    <row r="14" customFormat="false" ht="15" hidden="false" customHeight="false" outlineLevel="0" collapsed="false">
      <c r="A14" s="5"/>
      <c r="B14" s="25" t="s">
        <v>81</v>
      </c>
      <c r="C14" s="26" t="n">
        <f aca="false">C15*C16</f>
        <v>300000</v>
      </c>
      <c r="D14" s="26" t="n">
        <f aca="false">D15*D16</f>
        <v>318000</v>
      </c>
      <c r="E14" s="26" t="n">
        <f aca="false">E15*E16</f>
        <v>337080</v>
      </c>
      <c r="F14" s="26" t="n">
        <f aca="false">F15*F16</f>
        <v>357304.8</v>
      </c>
      <c r="G14" s="26" t="n">
        <f aca="false">G15*G16</f>
        <v>378743.088</v>
      </c>
    </row>
    <row r="15" customFormat="false" ht="15" hidden="false" customHeight="false" outlineLevel="0" collapsed="false">
      <c r="A15" s="5"/>
      <c r="B15" s="17" t="s">
        <v>82</v>
      </c>
      <c r="C15" s="27" t="n">
        <f aca="false">Sync_Placements_Y1</f>
        <v>12</v>
      </c>
      <c r="D15" s="27" t="n">
        <f aca="false">C15*(1+Sync_Growth)</f>
        <v>12.72</v>
      </c>
      <c r="E15" s="27" t="n">
        <f aca="false">D15*(1+Sync_Growth)</f>
        <v>13.4832</v>
      </c>
      <c r="F15" s="27" t="n">
        <f aca="false">E15*(1+Sync_Growth)</f>
        <v>14.292192</v>
      </c>
      <c r="G15" s="27" t="n">
        <f aca="false">F15*(1+Sync_Growth)</f>
        <v>15.14972352</v>
      </c>
    </row>
    <row r="16" customFormat="false" ht="15" hidden="false" customHeight="false" outlineLevel="0" collapsed="false">
      <c r="A16" s="5"/>
      <c r="B16" s="28" t="s">
        <v>83</v>
      </c>
      <c r="C16" s="29" t="n">
        <f aca="false">Sync_Fee</f>
        <v>25000</v>
      </c>
      <c r="D16" s="29" t="n">
        <f aca="false">Sync_Fee</f>
        <v>25000</v>
      </c>
      <c r="E16" s="29" t="n">
        <f aca="false">Sync_Fee</f>
        <v>25000</v>
      </c>
      <c r="F16" s="29" t="n">
        <f aca="false">Sync_Fee</f>
        <v>25000</v>
      </c>
      <c r="G16" s="29" t="n">
        <f aca="false">Sync_Fee</f>
        <v>25000</v>
      </c>
    </row>
    <row r="17" customFormat="false" ht="15" hidden="false" customHeight="false" outlineLevel="0" collapsed="false">
      <c r="A17" s="5"/>
      <c r="B17" s="25" t="s">
        <v>84</v>
      </c>
      <c r="C17" s="27" t="n">
        <f aca="false">Perf_Rev_Y1</f>
        <v>180000</v>
      </c>
      <c r="D17" s="27" t="n">
        <f aca="false">C17*(1+Perf_Growth)</f>
        <v>185400</v>
      </c>
      <c r="E17" s="27" t="n">
        <f aca="false">D17*(1+Perf_Growth)</f>
        <v>190962</v>
      </c>
      <c r="F17" s="27" t="n">
        <f aca="false">E17*(1+Perf_Growth)</f>
        <v>196690.86</v>
      </c>
      <c r="G17" s="27" t="n">
        <f aca="false">F17*(1+Perf_Growth)</f>
        <v>202591.5858</v>
      </c>
    </row>
    <row r="18" customFormat="false" ht="15" hidden="false" customHeight="false" outlineLevel="0" collapsed="false">
      <c r="A18" s="5"/>
      <c r="B18" s="25" t="s">
        <v>85</v>
      </c>
      <c r="C18" s="27" t="n">
        <f aca="false">C8*Mech_Rate</f>
        <v>150000</v>
      </c>
      <c r="D18" s="27" t="n">
        <f aca="false">D8*Mech_Rate</f>
        <v>162000</v>
      </c>
      <c r="E18" s="27" t="n">
        <f aca="false">E8*Mech_Rate</f>
        <v>174960</v>
      </c>
      <c r="F18" s="27" t="n">
        <f aca="false">F8*Mech_Rate</f>
        <v>188956.8</v>
      </c>
      <c r="G18" s="27" t="n">
        <f aca="false">G8*Mech_Rate</f>
        <v>204073.344</v>
      </c>
    </row>
    <row r="19" customFormat="false" ht="15" hidden="false" customHeight="false" outlineLevel="0" collapsed="false">
      <c r="A19" s="5"/>
      <c r="B19" s="25" t="s">
        <v>86</v>
      </c>
      <c r="C19" s="30" t="n">
        <f aca="false">C8+C11+C14+C17+C18</f>
        <v>1954000</v>
      </c>
      <c r="D19" s="30" t="n">
        <f aca="false">D8+D11+D14+D17+D18</f>
        <v>2084125.8</v>
      </c>
      <c r="E19" s="30" t="n">
        <f aca="false">E8+E11+E14+E17+E18</f>
        <v>2223522.88761</v>
      </c>
      <c r="F19" s="30" t="n">
        <f aca="false">F8+F11+F14+F17+F18</f>
        <v>2372880.14195187</v>
      </c>
      <c r="G19" s="30" t="n">
        <f aca="false">G8+G11+G14+G17+G18</f>
        <v>2532938.96249659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43C0C"/>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88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row>
    <row r="5" customFormat="false" ht="15" hidden="false" customHeight="false" outlineLevel="0" collapsed="false">
      <c r="A5" s="5"/>
      <c r="B5" s="22"/>
      <c r="C5" s="23" t="n">
        <f aca="false">Model_Start_Year+0</f>
        <v>2025</v>
      </c>
      <c r="D5" s="23" t="n">
        <f aca="false">Model_Start_Year+1</f>
        <v>2026</v>
      </c>
      <c r="E5" s="23" t="n">
        <f aca="false">Model_Start_Year+2</f>
        <v>2027</v>
      </c>
      <c r="F5" s="23" t="n">
        <f aca="false">Model_Start_Year+3</f>
        <v>2028</v>
      </c>
      <c r="G5" s="23" t="n">
        <f aca="false">Model_Start_Year+4</f>
        <v>2029</v>
      </c>
    </row>
    <row r="6" customFormat="false" ht="15" hidden="false" customHeight="false" outlineLevel="0" collapsed="false">
      <c r="A6" s="5"/>
      <c r="B6" s="19" t="s">
        <v>76</v>
      </c>
      <c r="C6" s="24" t="n">
        <v>1</v>
      </c>
      <c r="D6" s="24" t="n">
        <v>2</v>
      </c>
      <c r="E6" s="24" t="n">
        <v>3</v>
      </c>
      <c r="F6" s="24" t="n">
        <v>4</v>
      </c>
      <c r="G6" s="24" t="n">
        <v>5</v>
      </c>
    </row>
    <row r="7" customFormat="false" ht="15" hidden="false" customHeight="false" outlineLevel="0" collapsed="false">
      <c r="A7" s="5"/>
      <c r="B7" s="22" t="s">
        <v>89</v>
      </c>
      <c r="C7" s="22"/>
      <c r="D7" s="22"/>
      <c r="E7" s="22"/>
      <c r="F7" s="22"/>
      <c r="G7" s="22"/>
    </row>
    <row r="8" customFormat="false" ht="15" hidden="false" customHeight="false" outlineLevel="0" collapsed="false">
      <c r="A8" s="5"/>
      <c r="B8" s="17" t="s">
        <v>90</v>
      </c>
      <c r="C8" s="27" t="n">
        <f aca="false">Term_Loan_Amt</f>
        <v>5000000</v>
      </c>
      <c r="D8" s="27" t="n">
        <f aca="false">MAX(0,C10)</f>
        <v>4285714.28571429</v>
      </c>
      <c r="E8" s="27" t="n">
        <f aca="false">MAX(0,D10)</f>
        <v>3571428.57142857</v>
      </c>
      <c r="F8" s="27" t="n">
        <f aca="false">MAX(0,E10)</f>
        <v>2857142.85714286</v>
      </c>
      <c r="G8" s="27" t="n">
        <f aca="false">MAX(0,F10)</f>
        <v>2142857.14285714</v>
      </c>
    </row>
    <row r="9" customFormat="false" ht="15" hidden="false" customHeight="false" outlineLevel="0" collapsed="false">
      <c r="A9" s="5"/>
      <c r="B9" s="17" t="s">
        <v>91</v>
      </c>
      <c r="C9" s="27" t="n">
        <f aca="false">MIN(Term_Loan_Amt/Term_Loan_Tenor,C8)</f>
        <v>714285.714285714</v>
      </c>
      <c r="D9" s="27" t="n">
        <f aca="false">MIN(Term_Loan_Amt/Term_Loan_Tenor,D8)</f>
        <v>714285.714285714</v>
      </c>
      <c r="E9" s="27" t="n">
        <f aca="false">MIN(Term_Loan_Amt/Term_Loan_Tenor,E8)</f>
        <v>714285.714285714</v>
      </c>
      <c r="F9" s="27" t="n">
        <f aca="false">MIN(Term_Loan_Amt/Term_Loan_Tenor,F8)</f>
        <v>714285.714285714</v>
      </c>
      <c r="G9" s="27" t="n">
        <f aca="false">MIN(Term_Loan_Amt/Term_Loan_Tenor,G8)</f>
        <v>714285.714285714</v>
      </c>
    </row>
    <row r="10" customFormat="false" ht="15" hidden="false" customHeight="false" outlineLevel="0" collapsed="false">
      <c r="A10" s="5"/>
      <c r="B10" s="17" t="s">
        <v>92</v>
      </c>
      <c r="C10" s="27" t="n">
        <f aca="false">C8-C9</f>
        <v>4285714.28571429</v>
      </c>
      <c r="D10" s="27" t="n">
        <f aca="false">D8-D9</f>
        <v>3571428.57142857</v>
      </c>
      <c r="E10" s="27" t="n">
        <f aca="false">E8-E9</f>
        <v>2857142.85714286</v>
      </c>
      <c r="F10" s="27" t="n">
        <f aca="false">F8-F9</f>
        <v>2142857.14285714</v>
      </c>
      <c r="G10" s="27" t="n">
        <f aca="false">G8-G9</f>
        <v>1428571.42857143</v>
      </c>
    </row>
    <row r="11" customFormat="false" ht="15" hidden="false" customHeight="false" outlineLevel="0" collapsed="false">
      <c r="A11" s="5"/>
      <c r="B11" s="17" t="s">
        <v>93</v>
      </c>
      <c r="C11" s="27" t="n">
        <f aca="false">C8*Term_Loan_Rate</f>
        <v>425000</v>
      </c>
      <c r="D11" s="27" t="n">
        <f aca="false">D8*Term_Loan_Rate</f>
        <v>364285.714285714</v>
      </c>
      <c r="E11" s="27" t="n">
        <f aca="false">E8*Term_Loan_Rate</f>
        <v>303571.428571429</v>
      </c>
      <c r="F11" s="27" t="n">
        <f aca="false">F8*Term_Loan_Rate</f>
        <v>242857.142857143</v>
      </c>
      <c r="G11" s="27" t="n">
        <f aca="false">G8*Term_Loan_Rate</f>
        <v>182142.857142857</v>
      </c>
    </row>
    <row r="12" customFormat="false" ht="15" hidden="false" customHeight="false" outlineLevel="0" collapsed="false">
      <c r="A12" s="5"/>
      <c r="B12" s="25" t="s">
        <v>94</v>
      </c>
      <c r="C12" s="26" t="n">
        <f aca="false">C9+C11</f>
        <v>1139285.71428571</v>
      </c>
      <c r="D12" s="26" t="n">
        <f aca="false">D9+D11</f>
        <v>1078571.42857143</v>
      </c>
      <c r="E12" s="26" t="n">
        <f aca="false">E9+E11</f>
        <v>1017857.14285714</v>
      </c>
      <c r="F12" s="26" t="n">
        <f aca="false">F9+F11</f>
        <v>957142.857142857</v>
      </c>
      <c r="G12" s="26" t="n">
        <f aca="false">G9+G11</f>
        <v>896428.571428571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95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96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row>
    <row r="5" customFormat="false" ht="15" hidden="false" customHeight="false" outlineLevel="0" collapsed="false">
      <c r="A5" s="5"/>
      <c r="B5" s="22"/>
      <c r="C5" s="23" t="n">
        <f aca="false">Revenue_Build!C5</f>
        <v>2025</v>
      </c>
      <c r="D5" s="23" t="n">
        <f aca="false">Revenue_Build!D5</f>
        <v>2026</v>
      </c>
      <c r="E5" s="23" t="n">
        <f aca="false">Revenue_Build!E5</f>
        <v>2027</v>
      </c>
      <c r="F5" s="23" t="n">
        <f aca="false">Revenue_Build!F5</f>
        <v>2028</v>
      </c>
      <c r="G5" s="23" t="n">
        <f aca="false">Revenue_Build!G5</f>
        <v>2029</v>
      </c>
    </row>
    <row r="6" customFormat="false" ht="15" hidden="false" customHeight="false" outlineLevel="0" collapsed="false">
      <c r="A6" s="5"/>
      <c r="B6" s="19" t="s">
        <v>76</v>
      </c>
      <c r="C6" s="24" t="n">
        <f aca="false">Revenue_Build!C6</f>
        <v>1</v>
      </c>
      <c r="D6" s="24" t="n">
        <f aca="false">Revenue_Build!D6</f>
        <v>2</v>
      </c>
      <c r="E6" s="24" t="n">
        <f aca="false">Revenue_Build!E6</f>
        <v>3</v>
      </c>
      <c r="F6" s="24" t="n">
        <f aca="false">Revenue_Build!F6</f>
        <v>4</v>
      </c>
      <c r="G6" s="24" t="n">
        <f aca="false">Revenue_Build!G6</f>
        <v>5</v>
      </c>
    </row>
    <row r="7" customFormat="false" ht="15" hidden="false" customHeight="false" outlineLevel="0" collapsed="false">
      <c r="A7" s="5"/>
      <c r="B7" s="22" t="s">
        <v>97</v>
      </c>
      <c r="C7" s="22"/>
      <c r="D7" s="22"/>
      <c r="E7" s="22"/>
      <c r="F7" s="22"/>
      <c r="G7" s="22"/>
    </row>
    <row r="8" customFormat="false" ht="15" hidden="false" customHeight="false" outlineLevel="0" collapsed="false">
      <c r="A8" s="5"/>
      <c r="B8" s="17" t="s">
        <v>98</v>
      </c>
      <c r="C8" s="27" t="n">
        <f aca="false">Revenue_Build!C8</f>
        <v>1000000</v>
      </c>
      <c r="D8" s="27" t="n">
        <f aca="false">Revenue_Build!D8</f>
        <v>1080000</v>
      </c>
      <c r="E8" s="27" t="n">
        <f aca="false">Revenue_Build!E8</f>
        <v>1166400</v>
      </c>
      <c r="F8" s="27" t="n">
        <f aca="false">Revenue_Build!F8</f>
        <v>1259712</v>
      </c>
      <c r="G8" s="27" t="n">
        <f aca="false">Revenue_Build!G8</f>
        <v>1360488.96</v>
      </c>
    </row>
    <row r="9" customFormat="false" ht="15" hidden="false" customHeight="false" outlineLevel="0" collapsed="false">
      <c r="A9" s="5"/>
      <c r="B9" s="17" t="s">
        <v>99</v>
      </c>
      <c r="C9" s="27" t="n">
        <f aca="false">Revenue_Build!C11</f>
        <v>324000</v>
      </c>
      <c r="D9" s="27" t="n">
        <f aca="false">Revenue_Build!D11</f>
        <v>338725.8</v>
      </c>
      <c r="E9" s="27" t="n">
        <f aca="false">Revenue_Build!E11</f>
        <v>354120.88761</v>
      </c>
      <c r="F9" s="27" t="n">
        <f aca="false">Revenue_Build!F11</f>
        <v>370215.681951874</v>
      </c>
      <c r="G9" s="27" t="n">
        <f aca="false">Revenue_Build!G11</f>
        <v>387041.984696587</v>
      </c>
    </row>
    <row r="10" customFormat="false" ht="15" hidden="false" customHeight="false" outlineLevel="0" collapsed="false">
      <c r="A10" s="5"/>
      <c r="B10" s="17" t="s">
        <v>100</v>
      </c>
      <c r="C10" s="27" t="n">
        <f aca="false">Revenue_Build!C14</f>
        <v>300000</v>
      </c>
      <c r="D10" s="27" t="n">
        <f aca="false">Revenue_Build!D14</f>
        <v>318000</v>
      </c>
      <c r="E10" s="27" t="n">
        <f aca="false">Revenue_Build!E14</f>
        <v>337080</v>
      </c>
      <c r="F10" s="27" t="n">
        <f aca="false">Revenue_Build!F14</f>
        <v>357304.8</v>
      </c>
      <c r="G10" s="27" t="n">
        <f aca="false">Revenue_Build!G14</f>
        <v>378743.088</v>
      </c>
    </row>
    <row r="11" customFormat="false" ht="15" hidden="false" customHeight="false" outlineLevel="0" collapsed="false">
      <c r="A11" s="5"/>
      <c r="B11" s="17" t="s">
        <v>101</v>
      </c>
      <c r="C11" s="27" t="n">
        <f aca="false">Revenue_Build!C17</f>
        <v>180000</v>
      </c>
      <c r="D11" s="27" t="n">
        <f aca="false">Revenue_Build!D17</f>
        <v>185400</v>
      </c>
      <c r="E11" s="27" t="n">
        <f aca="false">Revenue_Build!E17</f>
        <v>190962</v>
      </c>
      <c r="F11" s="27" t="n">
        <f aca="false">Revenue_Build!F17</f>
        <v>196690.86</v>
      </c>
      <c r="G11" s="27" t="n">
        <f aca="false">Revenue_Build!G17</f>
        <v>202591.5858</v>
      </c>
    </row>
    <row r="12" customFormat="false" ht="15" hidden="false" customHeight="false" outlineLevel="0" collapsed="false">
      <c r="A12" s="5"/>
      <c r="B12" s="17" t="s">
        <v>102</v>
      </c>
      <c r="C12" s="27" t="n">
        <f aca="false">Revenue_Build!C18</f>
        <v>150000</v>
      </c>
      <c r="D12" s="27" t="n">
        <f aca="false">Revenue_Build!D18</f>
        <v>162000</v>
      </c>
      <c r="E12" s="27" t="n">
        <f aca="false">Revenue_Build!E18</f>
        <v>174960</v>
      </c>
      <c r="F12" s="27" t="n">
        <f aca="false">Revenue_Build!F18</f>
        <v>188956.8</v>
      </c>
      <c r="G12" s="27" t="n">
        <f aca="false">Revenue_Build!G18</f>
        <v>204073.344</v>
      </c>
    </row>
    <row r="13" customFormat="false" ht="15" hidden="false" customHeight="false" outlineLevel="0" collapsed="false">
      <c r="A13" s="5"/>
      <c r="B13" s="25" t="s">
        <v>86</v>
      </c>
      <c r="C13" s="30" t="n">
        <f aca="false">C8+C9+C10+C11+C12</f>
        <v>1954000</v>
      </c>
      <c r="D13" s="30" t="n">
        <f aca="false">D8+D9+D10+D11+D12</f>
        <v>2084125.8</v>
      </c>
      <c r="E13" s="30" t="n">
        <f aca="false">E8+E9+E10+E11+E12</f>
        <v>2223522.88761</v>
      </c>
      <c r="F13" s="30" t="n">
        <f aca="false">F8+F9+F10+F11+F12</f>
        <v>2372880.14195187</v>
      </c>
      <c r="G13" s="30" t="n">
        <f aca="false">G8+G9+G10+G11+G12</f>
        <v>2532938.96249659</v>
      </c>
    </row>
    <row r="14" customFormat="false" ht="15" hidden="false" customHeight="false" outlineLevel="0" collapsed="false">
      <c r="A14" s="5"/>
      <c r="B14" s="22" t="s">
        <v>103</v>
      </c>
      <c r="C14" s="22"/>
      <c r="D14" s="22"/>
      <c r="E14" s="22"/>
      <c r="F14" s="22"/>
      <c r="G14" s="22"/>
    </row>
    <row r="15" customFormat="false" ht="15" hidden="false" customHeight="false" outlineLevel="0" collapsed="false">
      <c r="A15" s="5"/>
      <c r="B15" s="17" t="s">
        <v>104</v>
      </c>
      <c r="C15" s="27" t="n">
        <f aca="false">-C8*Distrib_Fee_Pct</f>
        <v>-100000</v>
      </c>
      <c r="D15" s="27" t="n">
        <f aca="false">-D8*Distrib_Fee_Pct</f>
        <v>-108000</v>
      </c>
      <c r="E15" s="27" t="n">
        <f aca="false">-E8*Distrib_Fee_Pct</f>
        <v>-116640</v>
      </c>
      <c r="F15" s="27" t="n">
        <f aca="false">-F8*Distrib_Fee_Pct</f>
        <v>-125971.2</v>
      </c>
      <c r="G15" s="27" t="n">
        <f aca="false">-G8*Distrib_Fee_Pct</f>
        <v>-136048.896</v>
      </c>
    </row>
    <row r="16" customFormat="false" ht="15" hidden="false" customHeight="false" outlineLevel="0" collapsed="false">
      <c r="A16" s="5"/>
      <c r="B16" s="17" t="s">
        <v>105</v>
      </c>
      <c r="C16" s="27" t="n">
        <f aca="false">-Revenue_Build!C12*Unit_Mfg_Cost</f>
        <v>-135000</v>
      </c>
      <c r="D16" s="27" t="n">
        <f aca="false">-Revenue_Build!D12*Unit_Mfg_Cost</f>
        <v>-139050</v>
      </c>
      <c r="E16" s="27" t="n">
        <f aca="false">-Revenue_Build!E12*Unit_Mfg_Cost</f>
        <v>-143221.5</v>
      </c>
      <c r="F16" s="27" t="n">
        <f aca="false">-Revenue_Build!F12*Unit_Mfg_Cost</f>
        <v>-147518.145</v>
      </c>
      <c r="G16" s="27" t="n">
        <f aca="false">-Revenue_Build!G12*Unit_Mfg_Cost</f>
        <v>-151943.68935</v>
      </c>
    </row>
    <row r="17" customFormat="false" ht="15" hidden="false" customHeight="false" outlineLevel="0" collapsed="false">
      <c r="A17" s="5"/>
      <c r="B17" s="17" t="s">
        <v>106</v>
      </c>
      <c r="C17" s="27" t="n">
        <f aca="false">-C13*Artist_Royalty_Pct</f>
        <v>-390800</v>
      </c>
      <c r="D17" s="27" t="n">
        <f aca="false">-D13*Artist_Royalty_Pct</f>
        <v>-416825.16</v>
      </c>
      <c r="E17" s="27" t="n">
        <f aca="false">-E13*Artist_Royalty_Pct</f>
        <v>-444704.577522</v>
      </c>
      <c r="F17" s="27" t="n">
        <f aca="false">-F13*Artist_Royalty_Pct</f>
        <v>-474576.028390375</v>
      </c>
      <c r="G17" s="27" t="n">
        <f aca="false">-G13*Artist_Royalty_Pct</f>
        <v>-506587.792499317</v>
      </c>
    </row>
    <row r="18" customFormat="false" ht="15" hidden="false" customHeight="false" outlineLevel="0" collapsed="false">
      <c r="A18" s="5"/>
      <c r="B18" s="17" t="s">
        <v>107</v>
      </c>
      <c r="C18" s="27" t="n">
        <f aca="false">-(C11+C12)*Writer_Royalty_Pct</f>
        <v>-247500</v>
      </c>
      <c r="D18" s="27" t="n">
        <f aca="false">-(D11+D12)*Writer_Royalty_Pct</f>
        <v>-260550</v>
      </c>
      <c r="E18" s="27" t="n">
        <f aca="false">-(E11+E12)*Writer_Royalty_Pct</f>
        <v>-274441.5</v>
      </c>
      <c r="F18" s="27" t="n">
        <f aca="false">-(F11+F12)*Writer_Royalty_Pct</f>
        <v>-289235.745</v>
      </c>
      <c r="G18" s="27" t="n">
        <f aca="false">-(G11+G12)*Writer_Royalty_Pct</f>
        <v>-304998.69735</v>
      </c>
    </row>
    <row r="19" customFormat="false" ht="15" hidden="false" customHeight="false" outlineLevel="0" collapsed="false">
      <c r="A19" s="5"/>
      <c r="B19" s="25" t="s">
        <v>108</v>
      </c>
      <c r="C19" s="26" t="n">
        <f aca="false">SUM(C15:C18)</f>
        <v>-873300</v>
      </c>
      <c r="D19" s="26" t="n">
        <f aca="false">SUM(D15:D18)</f>
        <v>-924425.16</v>
      </c>
      <c r="E19" s="26" t="n">
        <f aca="false">SUM(E15:E18)</f>
        <v>-979007.577522</v>
      </c>
      <c r="F19" s="26" t="n">
        <f aca="false">SUM(F15:F18)</f>
        <v>-1037301.11839037</v>
      </c>
      <c r="G19" s="26" t="n">
        <f aca="false">SUM(G15:G18)</f>
        <v>-1099579.07519932</v>
      </c>
    </row>
    <row r="20" customFormat="false" ht="15" hidden="false" customHeight="false" outlineLevel="0" collapsed="false">
      <c r="A20" s="5"/>
      <c r="B20" s="25" t="s">
        <v>109</v>
      </c>
      <c r="C20" s="30" t="n">
        <f aca="false">C13+C19</f>
        <v>1080700</v>
      </c>
      <c r="D20" s="30" t="n">
        <f aca="false">D13+D19</f>
        <v>1159700.64</v>
      </c>
      <c r="E20" s="30" t="n">
        <f aca="false">E13+E19</f>
        <v>1244515.310088</v>
      </c>
      <c r="F20" s="30" t="n">
        <f aca="false">F13+F19</f>
        <v>1335579.0235615</v>
      </c>
      <c r="G20" s="30" t="n">
        <f aca="false">G13+G19</f>
        <v>1433359.88729727</v>
      </c>
    </row>
    <row r="21" customFormat="false" ht="15" hidden="false" customHeight="false" outlineLevel="0" collapsed="false">
      <c r="A21" s="5"/>
      <c r="B21" s="6" t="s">
        <v>110</v>
      </c>
      <c r="C21" s="31" t="n">
        <f aca="false">C20/C13</f>
        <v>0.553070624360287</v>
      </c>
      <c r="D21" s="31" t="n">
        <f aca="false">D20/D13</f>
        <v>0.556444644560324</v>
      </c>
      <c r="E21" s="31" t="n">
        <f aca="false">E20/E13</f>
        <v>0.559704294937883</v>
      </c>
      <c r="F21" s="31" t="n">
        <f aca="false">F20/F13</f>
        <v>0.562851447887665</v>
      </c>
      <c r="G21" s="31" t="n">
        <f aca="false">G20/G13</f>
        <v>0.565888048831813</v>
      </c>
    </row>
    <row r="22" customFormat="false" ht="15" hidden="false" customHeight="false" outlineLevel="0" collapsed="false">
      <c r="A22" s="5"/>
      <c r="B22" s="22" t="s">
        <v>111</v>
      </c>
      <c r="C22" s="22"/>
      <c r="D22" s="22"/>
      <c r="E22" s="22"/>
      <c r="F22" s="22"/>
      <c r="G22" s="22"/>
    </row>
    <row r="23" customFormat="false" ht="15" hidden="false" customHeight="false" outlineLevel="0" collapsed="false">
      <c r="A23" s="5"/>
      <c r="B23" s="17" t="s">
        <v>112</v>
      </c>
      <c r="C23" s="27" t="n">
        <f aca="false">-C13*AR_Growth</f>
        <v>-156320</v>
      </c>
      <c r="D23" s="27" t="n">
        <f aca="false">-D13*AR_Growth</f>
        <v>-166730.064</v>
      </c>
      <c r="E23" s="27" t="n">
        <f aca="false">-E13*AR_Growth</f>
        <v>-177881.8310088</v>
      </c>
      <c r="F23" s="27" t="n">
        <f aca="false">-F13*AR_Growth</f>
        <v>-189830.41135615</v>
      </c>
      <c r="G23" s="27" t="n">
        <f aca="false">-G13*AR_Growth</f>
        <v>-202635.116999727</v>
      </c>
    </row>
    <row r="24" customFormat="false" ht="15" hidden="false" customHeight="false" outlineLevel="0" collapsed="false">
      <c r="A24" s="5"/>
      <c r="B24" s="17" t="s">
        <v>113</v>
      </c>
      <c r="C24" s="27" t="n">
        <f aca="false">-C13*Mktg_Pct</f>
        <v>-293100</v>
      </c>
      <c r="D24" s="27" t="n">
        <f aca="false">-D13*Mktg_Pct</f>
        <v>-312618.87</v>
      </c>
      <c r="E24" s="27" t="n">
        <f aca="false">-E13*Mktg_Pct</f>
        <v>-333528.4331415</v>
      </c>
      <c r="F24" s="27" t="n">
        <f aca="false">-F13*Mktg_Pct</f>
        <v>-355932.021292781</v>
      </c>
      <c r="G24" s="27" t="n">
        <f aca="false">-G13*Mktg_Pct</f>
        <v>-379940.844374488</v>
      </c>
    </row>
    <row r="25" customFormat="false" ht="15" hidden="false" customHeight="false" outlineLevel="0" collapsed="false">
      <c r="A25" s="5"/>
      <c r="B25" s="17" t="s">
        <v>114</v>
      </c>
      <c r="C25" s="27" t="n">
        <f aca="false">-Staff_Base*(1+Staff_Growth)^(C6-1)</f>
        <v>-320000</v>
      </c>
      <c r="D25" s="27" t="n">
        <f aca="false">-Staff_Base*(1+Staff_Growth)^(D6-1)</f>
        <v>-332800</v>
      </c>
      <c r="E25" s="27" t="n">
        <f aca="false">-Staff_Base*(1+Staff_Growth)^(E6-1)</f>
        <v>-346112</v>
      </c>
      <c r="F25" s="27" t="n">
        <f aca="false">-Staff_Base*(1+Staff_Growth)^(F6-1)</f>
        <v>-359956.48</v>
      </c>
      <c r="G25" s="27" t="n">
        <f aca="false">-Staff_Base*(1+Staff_Growth)^(G6-1)</f>
        <v>-374354.7392</v>
      </c>
    </row>
    <row r="26" customFormat="false" ht="15" hidden="false" customHeight="false" outlineLevel="0" collapsed="false">
      <c r="A26" s="5"/>
      <c r="B26" s="17" t="s">
        <v>115</v>
      </c>
      <c r="C26" s="27" t="n">
        <f aca="false">-GA_Base*(1+GA_Growth)^(C6-1)</f>
        <v>-120000</v>
      </c>
      <c r="D26" s="27" t="n">
        <f aca="false">-GA_Base*(1+GA_Growth)^(D6-1)</f>
        <v>-123600</v>
      </c>
      <c r="E26" s="27" t="n">
        <f aca="false">-GA_Base*(1+GA_Growth)^(E6-1)</f>
        <v>-127308</v>
      </c>
      <c r="F26" s="27" t="n">
        <f aca="false">-GA_Base*(1+GA_Growth)^(F6-1)</f>
        <v>-131127.24</v>
      </c>
      <c r="G26" s="27" t="n">
        <f aca="false">-GA_Base*(1+GA_Growth)^(G6-1)</f>
        <v>-135061.0572</v>
      </c>
    </row>
    <row r="27" customFormat="false" ht="15" hidden="false" customHeight="false" outlineLevel="0" collapsed="false">
      <c r="A27" s="5"/>
      <c r="B27" s="25" t="s">
        <v>116</v>
      </c>
      <c r="C27" s="26" t="n">
        <f aca="false">SUM(C23:C26)</f>
        <v>-889420</v>
      </c>
      <c r="D27" s="26" t="n">
        <f aca="false">SUM(D23:D26)</f>
        <v>-935748.934</v>
      </c>
      <c r="E27" s="26" t="n">
        <f aca="false">SUM(E23:E26)</f>
        <v>-984830.2641503</v>
      </c>
      <c r="F27" s="26" t="n">
        <f aca="false">SUM(F23:F26)</f>
        <v>-1036846.15264893</v>
      </c>
      <c r="G27" s="26" t="n">
        <f aca="false">SUM(G23:G26)</f>
        <v>-1091991.75777422</v>
      </c>
    </row>
    <row r="28" customFormat="false" ht="15" hidden="false" customHeight="false" outlineLevel="0" collapsed="false">
      <c r="A28" s="5"/>
      <c r="B28" s="25" t="s">
        <v>117</v>
      </c>
      <c r="C28" s="30" t="n">
        <f aca="false">C20+C27</f>
        <v>191280</v>
      </c>
      <c r="D28" s="30" t="n">
        <f aca="false">D20+D27</f>
        <v>223951.706</v>
      </c>
      <c r="E28" s="30" t="n">
        <f aca="false">E20+E27</f>
        <v>259685.0459377</v>
      </c>
      <c r="F28" s="30" t="n">
        <f aca="false">F20+F27</f>
        <v>298732.870912568</v>
      </c>
      <c r="G28" s="30" t="n">
        <f aca="false">G20+G27</f>
        <v>341368.129523054</v>
      </c>
    </row>
    <row r="29" customFormat="false" ht="15" hidden="false" customHeight="false" outlineLevel="0" collapsed="false">
      <c r="A29" s="5"/>
      <c r="B29" s="6" t="s">
        <v>118</v>
      </c>
      <c r="C29" s="31" t="n">
        <f aca="false">C28/C13</f>
        <v>0.0978915046059365</v>
      </c>
      <c r="D29" s="31" t="n">
        <f aca="false">D28/D13</f>
        <v>0.107455944358061</v>
      </c>
      <c r="E29" s="31" t="n">
        <f aca="false">E28/E13</f>
        <v>0.116789913602746</v>
      </c>
      <c r="F29" s="31" t="n">
        <f aca="false">F28/F13</f>
        <v>0.125894631435888</v>
      </c>
      <c r="G29" s="31" t="n">
        <f aca="false">G28/G13</f>
        <v>0.134771557695408</v>
      </c>
    </row>
    <row r="30" customFormat="false" ht="15" hidden="false" customHeight="false" outlineLevel="0" collapsed="false">
      <c r="A30" s="5"/>
      <c r="B30" s="22" t="s">
        <v>119</v>
      </c>
      <c r="C30" s="22"/>
      <c r="D30" s="22"/>
      <c r="E30" s="22"/>
      <c r="F30" s="22"/>
      <c r="G30" s="22"/>
    </row>
    <row r="31" customFormat="false" ht="15" hidden="false" customHeight="false" outlineLevel="0" collapsed="false">
      <c r="A31" s="5"/>
      <c r="B31" s="17" t="s">
        <v>120</v>
      </c>
      <c r="C31" s="27" t="n">
        <f aca="false">-Catalogue_Cost/Catalogue_Life</f>
        <v>-250000</v>
      </c>
      <c r="D31" s="27" t="n">
        <f aca="false">-Catalogue_Cost/Catalogue_Life</f>
        <v>-250000</v>
      </c>
      <c r="E31" s="27" t="n">
        <f aca="false">-Catalogue_Cost/Catalogue_Life</f>
        <v>-250000</v>
      </c>
      <c r="F31" s="27" t="n">
        <f aca="false">-Catalogue_Cost/Catalogue_Life</f>
        <v>-250000</v>
      </c>
      <c r="G31" s="27" t="n">
        <f aca="false">-Catalogue_Cost/Catalogue_Life</f>
        <v>-250000</v>
      </c>
    </row>
    <row r="32" customFormat="false" ht="15" hidden="false" customHeight="false" outlineLevel="0" collapsed="false">
      <c r="A32" s="5"/>
      <c r="B32" s="17" t="s">
        <v>121</v>
      </c>
      <c r="C32" s="27" t="n">
        <f aca="false">-Existing_PPE_Gross/Existing_PPE_Life</f>
        <v>-10000</v>
      </c>
      <c r="D32" s="27" t="n">
        <f aca="false">-Existing_PPE_Gross/Existing_PPE_Life</f>
        <v>-10000</v>
      </c>
      <c r="E32" s="27" t="n">
        <f aca="false">-Existing_PPE_Gross/Existing_PPE_Life</f>
        <v>-10000</v>
      </c>
      <c r="F32" s="27" t="n">
        <f aca="false">-Existing_PPE_Gross/Existing_PPE_Life</f>
        <v>-10000</v>
      </c>
      <c r="G32" s="27" t="n">
        <f aca="false">-Existing_PPE_Gross/Existing_PPE_Life</f>
        <v>-10000</v>
      </c>
    </row>
    <row r="33" customFormat="false" ht="15" hidden="false" customHeight="false" outlineLevel="0" collapsed="false">
      <c r="A33" s="5"/>
      <c r="B33" s="17" t="s">
        <v>122</v>
      </c>
      <c r="C33" s="27" t="n">
        <f aca="false">-SUM($C$35:C$35)/New_Asset_Life</f>
        <v>3000</v>
      </c>
      <c r="D33" s="27" t="n">
        <f aca="false">-SUM($C$35:D$35)/New_Asset_Life</f>
        <v>6000</v>
      </c>
      <c r="E33" s="27" t="n">
        <f aca="false">-SUM($C$35:E$35)/New_Asset_Life</f>
        <v>9000</v>
      </c>
      <c r="F33" s="27" t="n">
        <f aca="false">-SUM($C$35:F$35)/New_Asset_Life</f>
        <v>12000</v>
      </c>
      <c r="G33" s="27" t="n">
        <f aca="false">-SUM($C$35:G$35)/New_Asset_Life</f>
        <v>15000</v>
      </c>
    </row>
    <row r="34" customFormat="false" ht="15" hidden="false" customHeight="false" outlineLevel="0" collapsed="false">
      <c r="A34" s="5"/>
      <c r="B34" s="25" t="s">
        <v>123</v>
      </c>
      <c r="C34" s="26" t="n">
        <f aca="false">C31+C32+C33</f>
        <v>-257000</v>
      </c>
      <c r="D34" s="26" t="n">
        <f aca="false">D31+D32+D33</f>
        <v>-254000</v>
      </c>
      <c r="E34" s="26" t="n">
        <f aca="false">E31+E32+E33</f>
        <v>-251000</v>
      </c>
      <c r="F34" s="26" t="n">
        <f aca="false">F31+F32+F33</f>
        <v>-248000</v>
      </c>
      <c r="G34" s="26" t="n">
        <f aca="false">G31+G32+G33</f>
        <v>-245000</v>
      </c>
    </row>
    <row r="35" customFormat="false" ht="15" hidden="false" customHeight="false" outlineLevel="0" collapsed="false">
      <c r="A35" s="5"/>
      <c r="B35" s="17" t="s">
        <v>124</v>
      </c>
      <c r="C35" s="27" t="n">
        <f aca="false">-Capex_Annual</f>
        <v>-15000</v>
      </c>
      <c r="D35" s="27" t="n">
        <f aca="false">-Capex_Annual</f>
        <v>-15000</v>
      </c>
      <c r="E35" s="27" t="n">
        <f aca="false">-Capex_Annual</f>
        <v>-15000</v>
      </c>
      <c r="F35" s="27" t="n">
        <f aca="false">-Capex_Annual</f>
        <v>-15000</v>
      </c>
      <c r="G35" s="27" t="n">
        <f aca="false">-Capex_Annual</f>
        <v>-15000</v>
      </c>
    </row>
    <row r="36" customFormat="false" ht="15" hidden="false" customHeight="false" outlineLevel="0" collapsed="false">
      <c r="A36" s="5"/>
      <c r="B36" s="22" t="s">
        <v>125</v>
      </c>
      <c r="C36" s="22"/>
      <c r="D36" s="22"/>
      <c r="E36" s="22"/>
      <c r="F36" s="22"/>
      <c r="G36" s="22"/>
    </row>
    <row r="37" customFormat="false" ht="15" hidden="false" customHeight="false" outlineLevel="0" collapsed="false">
      <c r="A37" s="5"/>
      <c r="B37" s="25" t="s">
        <v>126</v>
      </c>
      <c r="C37" s="30" t="n">
        <f aca="false">C28+C34</f>
        <v>-65720</v>
      </c>
      <c r="D37" s="30" t="n">
        <f aca="false">D28+D34</f>
        <v>-30048.2939999999</v>
      </c>
      <c r="E37" s="30" t="n">
        <f aca="false">E28+E34</f>
        <v>8685.04593769996</v>
      </c>
      <c r="F37" s="30" t="n">
        <f aca="false">F28+F34</f>
        <v>50732.8709125684</v>
      </c>
      <c r="G37" s="30" t="n">
        <f aca="false">G28+G34</f>
        <v>96368.1295230545</v>
      </c>
    </row>
    <row r="38" customFormat="false" ht="15" hidden="false" customHeight="false" outlineLevel="0" collapsed="false">
      <c r="A38" s="5"/>
      <c r="B38" s="17" t="s">
        <v>127</v>
      </c>
      <c r="C38" s="27" t="n">
        <f aca="false">-Debt_Schedule!C8*Term_Loan_Rate</f>
        <v>-425000</v>
      </c>
      <c r="D38" s="27" t="n">
        <f aca="false">-Debt_Schedule!D8*Term_Loan_Rate</f>
        <v>-364285.714285714</v>
      </c>
      <c r="E38" s="27" t="n">
        <f aca="false">-Debt_Schedule!E8*Term_Loan_Rate</f>
        <v>-303571.428571429</v>
      </c>
      <c r="F38" s="27" t="n">
        <f aca="false">-Debt_Schedule!F8*Term_Loan_Rate</f>
        <v>-242857.142857143</v>
      </c>
      <c r="G38" s="27" t="n">
        <f aca="false">-Debt_Schedule!G8*Term_Loan_Rate</f>
        <v>-182142.857142857</v>
      </c>
    </row>
    <row r="39" customFormat="false" ht="15" hidden="false" customHeight="false" outlineLevel="0" collapsed="false">
      <c r="A39" s="5"/>
      <c r="B39" s="25" t="s">
        <v>128</v>
      </c>
      <c r="C39" s="30" t="n">
        <f aca="false">C37+C38</f>
        <v>-490720</v>
      </c>
      <c r="D39" s="30" t="n">
        <f aca="false">D37+D38</f>
        <v>-394334.008285714</v>
      </c>
      <c r="E39" s="30" t="n">
        <f aca="false">E37+E38</f>
        <v>-294886.382633729</v>
      </c>
      <c r="F39" s="30" t="n">
        <f aca="false">F37+F38</f>
        <v>-192124.271944574</v>
      </c>
      <c r="G39" s="30" t="n">
        <f aca="false">G37+G38</f>
        <v>-85774.7276198026</v>
      </c>
    </row>
    <row r="40" customFormat="false" ht="15" hidden="false" customHeight="false" outlineLevel="0" collapsed="false">
      <c r="A40" s="5"/>
      <c r="B40" s="22" t="s">
        <v>129</v>
      </c>
      <c r="C40" s="22"/>
      <c r="D40" s="22"/>
      <c r="E40" s="22"/>
      <c r="F40" s="22"/>
      <c r="G40" s="22"/>
    </row>
    <row r="41" customFormat="false" ht="15" hidden="false" customHeight="false" outlineLevel="0" collapsed="false">
      <c r="A41" s="5"/>
      <c r="B41" s="17" t="s">
        <v>130</v>
      </c>
      <c r="C41" s="27" t="n">
        <f aca="false">NOL_Opening</f>
        <v>0</v>
      </c>
      <c r="D41" s="27" t="n">
        <f aca="false">C47</f>
        <v>490720</v>
      </c>
      <c r="E41" s="27" t="n">
        <f aca="false">D47</f>
        <v>885054.008285714</v>
      </c>
      <c r="F41" s="27" t="n">
        <f aca="false">E47</f>
        <v>1179940.39091944</v>
      </c>
      <c r="G41" s="27" t="n">
        <f aca="false">F47</f>
        <v>1372064.66286402</v>
      </c>
    </row>
    <row r="42" customFormat="false" ht="15" hidden="false" customHeight="false" outlineLevel="0" collapsed="false">
      <c r="A42" s="5"/>
      <c r="B42" s="17" t="s">
        <v>131</v>
      </c>
      <c r="C42" s="27" t="n">
        <f aca="false">C39</f>
        <v>-490720</v>
      </c>
      <c r="D42" s="27" t="n">
        <f aca="false">D39</f>
        <v>-394334.008285714</v>
      </c>
      <c r="E42" s="27" t="n">
        <f aca="false">E39</f>
        <v>-294886.382633729</v>
      </c>
      <c r="F42" s="27" t="n">
        <f aca="false">F39</f>
        <v>-192124.271944574</v>
      </c>
      <c r="G42" s="27" t="n">
        <f aca="false">G39</f>
        <v>-85774.7276198026</v>
      </c>
    </row>
    <row r="43" customFormat="false" ht="15" hidden="false" customHeight="false" outlineLevel="0" collapsed="false">
      <c r="A43" s="5"/>
      <c r="B43" s="17" t="s">
        <v>132</v>
      </c>
      <c r="C43" s="27" t="n">
        <f aca="false">IF(C42&gt;0,MIN(C41,C42),0)</f>
        <v>0</v>
      </c>
      <c r="D43" s="27" t="n">
        <f aca="false">IF(D42&gt;0,MIN(D41,D42),0)</f>
        <v>0</v>
      </c>
      <c r="E43" s="27" t="n">
        <f aca="false">IF(E42&gt;0,MIN(E41,E42),0)</f>
        <v>0</v>
      </c>
      <c r="F43" s="27" t="n">
        <f aca="false">IF(F42&gt;0,MIN(F41,F42),0)</f>
        <v>0</v>
      </c>
      <c r="G43" s="27" t="n">
        <f aca="false">IF(G42&gt;0,MIN(G41,G42),0)</f>
        <v>0</v>
      </c>
    </row>
    <row r="44" customFormat="false" ht="15" hidden="false" customHeight="false" outlineLevel="0" collapsed="false">
      <c r="A44" s="5"/>
      <c r="B44" s="17" t="s">
        <v>133</v>
      </c>
      <c r="C44" s="27" t="n">
        <f aca="false">MAX(0,C42-C43)</f>
        <v>0</v>
      </c>
      <c r="D44" s="27" t="n">
        <f aca="false">MAX(0,D42-D43)</f>
        <v>0</v>
      </c>
      <c r="E44" s="27" t="n">
        <f aca="false">MAX(0,E42-E43)</f>
        <v>0</v>
      </c>
      <c r="F44" s="27" t="n">
        <f aca="false">MAX(0,F42-F43)</f>
        <v>0</v>
      </c>
      <c r="G44" s="27" t="n">
        <f aca="false">MAX(0,G42-G43)</f>
        <v>0</v>
      </c>
    </row>
    <row r="45" customFormat="false" ht="15" hidden="false" customHeight="false" outlineLevel="0" collapsed="false">
      <c r="A45" s="5"/>
      <c r="B45" s="17" t="s">
        <v>134</v>
      </c>
      <c r="C45" s="27" t="n">
        <f aca="false">-C44*Tax_Rate</f>
        <v>-0</v>
      </c>
      <c r="D45" s="27" t="n">
        <f aca="false">-D44*Tax_Rate</f>
        <v>-0</v>
      </c>
      <c r="E45" s="27" t="n">
        <f aca="false">-E44*Tax_Rate</f>
        <v>-0</v>
      </c>
      <c r="F45" s="27" t="n">
        <f aca="false">-F44*Tax_Rate</f>
        <v>-0</v>
      </c>
      <c r="G45" s="27" t="n">
        <f aca="false">-G44*Tax_Rate</f>
        <v>-0</v>
      </c>
    </row>
    <row r="46" customFormat="false" ht="15" hidden="false" customHeight="false" outlineLevel="0" collapsed="false">
      <c r="A46" s="5"/>
      <c r="B46" s="17" t="s">
        <v>135</v>
      </c>
      <c r="C46" s="27" t="n">
        <f aca="false">IF(C39&lt;0,-C39,0)</f>
        <v>490720</v>
      </c>
      <c r="D46" s="27" t="n">
        <f aca="false">IF(D39&lt;0,-D39,0)</f>
        <v>394334.008285714</v>
      </c>
      <c r="E46" s="27" t="n">
        <f aca="false">IF(E39&lt;0,-E39,0)</f>
        <v>294886.382633729</v>
      </c>
      <c r="F46" s="27" t="n">
        <f aca="false">IF(F39&lt;0,-F39,0)</f>
        <v>192124.271944574</v>
      </c>
      <c r="G46" s="27" t="n">
        <f aca="false">IF(G39&lt;0,-G39,0)</f>
        <v>85774.7276198026</v>
      </c>
    </row>
    <row r="47" customFormat="false" ht="15" hidden="false" customHeight="false" outlineLevel="0" collapsed="false">
      <c r="A47" s="5"/>
      <c r="B47" s="17" t="s">
        <v>136</v>
      </c>
      <c r="C47" s="27" t="n">
        <f aca="false">C41+C46-C43</f>
        <v>490720</v>
      </c>
      <c r="D47" s="27" t="n">
        <f aca="false">D41+D46-D43</f>
        <v>885054.008285714</v>
      </c>
      <c r="E47" s="27" t="n">
        <f aca="false">E41+E46-E43</f>
        <v>1179940.39091944</v>
      </c>
      <c r="F47" s="27" t="n">
        <f aca="false">F41+F46-F43</f>
        <v>1372064.66286402</v>
      </c>
      <c r="G47" s="27" t="n">
        <f aca="false">G41+G46-G43</f>
        <v>1457839.39048382</v>
      </c>
    </row>
    <row r="48" customFormat="false" ht="15" hidden="false" customHeight="false" outlineLevel="0" collapsed="false">
      <c r="A48" s="5"/>
      <c r="B48" s="5"/>
      <c r="C48" s="5"/>
      <c r="D48" s="5"/>
      <c r="E48" s="5"/>
      <c r="F48" s="5"/>
      <c r="G48" s="5"/>
    </row>
    <row r="49" customFormat="false" ht="15" hidden="false" customHeight="false" outlineLevel="0" collapsed="false">
      <c r="A49" s="5"/>
      <c r="B49" s="25" t="s">
        <v>137</v>
      </c>
      <c r="C49" s="30" t="n">
        <f aca="false">C39+C45</f>
        <v>-490720</v>
      </c>
      <c r="D49" s="30" t="n">
        <f aca="false">D39+D45</f>
        <v>-394334.008285714</v>
      </c>
      <c r="E49" s="30" t="n">
        <f aca="false">E39+E45</f>
        <v>-294886.382633729</v>
      </c>
      <c r="F49" s="30" t="n">
        <f aca="false">F39+F45</f>
        <v>-192124.271944574</v>
      </c>
      <c r="G49" s="30" t="n">
        <f aca="false">G39+G45</f>
        <v>-85774.7276198026</v>
      </c>
    </row>
    <row r="50" customFormat="false" ht="15" hidden="false" customHeight="false" outlineLevel="0" collapsed="false">
      <c r="A50" s="5"/>
      <c r="B50" s="17" t="s">
        <v>138</v>
      </c>
      <c r="C50" s="27" t="n">
        <f aca="false">MAX(0,C49*Dividend_Payout)</f>
        <v>-0</v>
      </c>
      <c r="D50" s="27" t="n">
        <f aca="false">MAX(0,D49*Dividend_Payout)</f>
        <v>-0</v>
      </c>
      <c r="E50" s="27" t="n">
        <f aca="false">MAX(0,E49*Dividend_Payout)</f>
        <v>-0</v>
      </c>
      <c r="F50" s="27" t="n">
        <f aca="false">MAX(0,F49*Dividend_Payout)</f>
        <v>-0</v>
      </c>
      <c r="G50" s="27" t="n">
        <f aca="false">MAX(0,G49*Dividend_Payout)</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139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140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row>
    <row r="5" customFormat="false" ht="15" hidden="false" customHeight="false" outlineLevel="0" collapsed="false">
      <c r="A5" s="5"/>
      <c r="B5" s="22"/>
      <c r="C5" s="23" t="n">
        <f aca="false">Income_Statement!C5</f>
        <v>2025</v>
      </c>
      <c r="D5" s="23" t="n">
        <f aca="false">Income_Statement!D5</f>
        <v>2026</v>
      </c>
      <c r="E5" s="23" t="n">
        <f aca="false">Income_Statement!E5</f>
        <v>2027</v>
      </c>
      <c r="F5" s="23" t="n">
        <f aca="false">Income_Statement!F5</f>
        <v>2028</v>
      </c>
      <c r="G5" s="23" t="n">
        <f aca="false">Income_Statement!G5</f>
        <v>2029</v>
      </c>
    </row>
    <row r="6" customFormat="false" ht="15" hidden="false" customHeight="false" outlineLevel="0" collapsed="false">
      <c r="A6" s="5"/>
      <c r="B6" s="19" t="s">
        <v>76</v>
      </c>
      <c r="C6" s="24" t="n">
        <f aca="false">Income_Statement!C6</f>
        <v>1</v>
      </c>
      <c r="D6" s="24" t="n">
        <f aca="false">Income_Statement!D6</f>
        <v>2</v>
      </c>
      <c r="E6" s="24" t="n">
        <f aca="false">Income_Statement!E6</f>
        <v>3</v>
      </c>
      <c r="F6" s="24" t="n">
        <f aca="false">Income_Statement!F6</f>
        <v>4</v>
      </c>
      <c r="G6" s="24" t="n">
        <f aca="false">Income_Statement!G6</f>
        <v>5</v>
      </c>
    </row>
    <row r="7" customFormat="false" ht="15" hidden="false" customHeight="false" outlineLevel="0" collapsed="false">
      <c r="A7" s="5"/>
      <c r="B7" s="22" t="s">
        <v>141</v>
      </c>
      <c r="C7" s="22"/>
      <c r="D7" s="22"/>
      <c r="E7" s="22"/>
      <c r="F7" s="22"/>
      <c r="G7" s="22"/>
    </row>
    <row r="8" customFormat="false" ht="15" hidden="false" customHeight="false" outlineLevel="0" collapsed="false">
      <c r="A8" s="5"/>
      <c r="B8" s="17" t="s">
        <v>142</v>
      </c>
      <c r="C8" s="27" t="n">
        <f aca="false">Cash_Flow!C28</f>
        <v>-457723.755381605</v>
      </c>
      <c r="D8" s="27" t="n">
        <f aca="false">Cash_Flow!D28</f>
        <v>-1330483.67180098</v>
      </c>
      <c r="E8" s="27" t="n">
        <f aca="false">Cash_Flow!E28</f>
        <v>-2101931.13329293</v>
      </c>
      <c r="F8" s="27" t="n">
        <f aca="false">Cash_Flow!F28</f>
        <v>-2768837.53911159</v>
      </c>
      <c r="G8" s="27" t="n">
        <f aca="false">Cash_Flow!G28</f>
        <v>-3327707.91657243</v>
      </c>
    </row>
    <row r="9" customFormat="false" ht="15" hidden="false" customHeight="false" outlineLevel="0" collapsed="false">
      <c r="A9" s="5"/>
      <c r="B9" s="17" t="s">
        <v>143</v>
      </c>
      <c r="C9" s="27" t="n">
        <f aca="false">Income_Statement!C13*Blended_DSO/365</f>
        <v>455041.095890411</v>
      </c>
      <c r="D9" s="27" t="n">
        <f aca="false">Income_Statement!D13*Blended_DSO/365</f>
        <v>485344.364383562</v>
      </c>
      <c r="E9" s="27" t="n">
        <f aca="false">Income_Statement!E13*Blended_DSO/365</f>
        <v>517806.699854384</v>
      </c>
      <c r="F9" s="27" t="n">
        <f aca="false">Income_Statement!F13*Blended_DSO/365</f>
        <v>552588.526207971</v>
      </c>
      <c r="G9" s="27" t="n">
        <f aca="false">Income_Statement!G13*Blended_DSO/365</f>
        <v>589862.498115644</v>
      </c>
    </row>
    <row r="10" customFormat="false" ht="15" hidden="false" customHeight="false" outlineLevel="0" collapsed="false">
      <c r="A10" s="5"/>
      <c r="B10" s="25" t="s">
        <v>144</v>
      </c>
      <c r="C10" s="26" t="n">
        <f aca="false">C8+C9</f>
        <v>-2682.65949119371</v>
      </c>
      <c r="D10" s="26" t="n">
        <f aca="false">D8+D9</f>
        <v>-845139.307417417</v>
      </c>
      <c r="E10" s="26" t="n">
        <f aca="false">E8+E9</f>
        <v>-1584124.43343855</v>
      </c>
      <c r="F10" s="26" t="n">
        <f aca="false">F8+F9</f>
        <v>-2216249.01290362</v>
      </c>
      <c r="G10" s="26" t="n">
        <f aca="false">G8+G9</f>
        <v>-2737845.41845678</v>
      </c>
    </row>
    <row r="11" customFormat="false" ht="15" hidden="false" customHeight="false" outlineLevel="0" collapsed="false">
      <c r="A11" s="5"/>
      <c r="B11" s="5"/>
      <c r="C11" s="5"/>
      <c r="D11" s="5"/>
      <c r="E11" s="5"/>
      <c r="F11" s="5"/>
      <c r="G11" s="5"/>
    </row>
    <row r="12" customFormat="false" ht="15" hidden="false" customHeight="false" outlineLevel="0" collapsed="false">
      <c r="A12" s="5"/>
      <c r="B12" s="17" t="s">
        <v>145</v>
      </c>
      <c r="C12" s="27" t="n">
        <f aca="false">Existing_PPE_Gross+ABS(SUM(Income_Statement!$C$35:C$35))</f>
        <v>65000</v>
      </c>
      <c r="D12" s="27" t="n">
        <f aca="false">Existing_PPE_Gross+ABS(SUM(Income_Statement!$C$35:D$35))</f>
        <v>80000</v>
      </c>
      <c r="E12" s="27" t="n">
        <f aca="false">Existing_PPE_Gross+ABS(SUM(Income_Statement!$C$35:E$35))</f>
        <v>95000</v>
      </c>
      <c r="F12" s="27" t="n">
        <f aca="false">Existing_PPE_Gross+ABS(SUM(Income_Statement!$C$35:F$35))</f>
        <v>110000</v>
      </c>
      <c r="G12" s="27" t="n">
        <f aca="false">Existing_PPE_Gross+ABS(SUM(Income_Statement!$C$35:G$35))</f>
        <v>125000</v>
      </c>
    </row>
    <row r="13" customFormat="false" ht="15" hidden="false" customHeight="false" outlineLevel="0" collapsed="false">
      <c r="A13" s="5"/>
      <c r="B13" s="17" t="s">
        <v>146</v>
      </c>
      <c r="C13" s="27" t="n">
        <f aca="false">ABS(SUM(Income_Statement!$C$32:C$32))+ABS(SUM(Income_Statement!$C$33:C$33))</f>
        <v>13000</v>
      </c>
      <c r="D13" s="27" t="n">
        <f aca="false">ABS(SUM(Income_Statement!$C$32:D$32))+ABS(SUM(Income_Statement!$C$33:D$33))</f>
        <v>29000</v>
      </c>
      <c r="E13" s="27" t="n">
        <f aca="false">ABS(SUM(Income_Statement!$C$32:E$32))+ABS(SUM(Income_Statement!$C$33:E$33))</f>
        <v>48000</v>
      </c>
      <c r="F13" s="27" t="n">
        <f aca="false">ABS(SUM(Income_Statement!$C$32:F$32))+ABS(SUM(Income_Statement!$C$33:F$33))</f>
        <v>70000</v>
      </c>
      <c r="G13" s="27" t="n">
        <f aca="false">ABS(SUM(Income_Statement!$C$32:G$32))+ABS(SUM(Income_Statement!$C$33:G$33))</f>
        <v>95000</v>
      </c>
    </row>
    <row r="14" customFormat="false" ht="15" hidden="false" customHeight="false" outlineLevel="0" collapsed="false">
      <c r="A14" s="5"/>
      <c r="B14" s="17" t="s">
        <v>147</v>
      </c>
      <c r="C14" s="27" t="n">
        <f aca="false">C12-C13</f>
        <v>52000</v>
      </c>
      <c r="D14" s="27" t="n">
        <f aca="false">D12-D13</f>
        <v>51000</v>
      </c>
      <c r="E14" s="27" t="n">
        <f aca="false">E12-E13</f>
        <v>47000</v>
      </c>
      <c r="F14" s="27" t="n">
        <f aca="false">F12-F13</f>
        <v>40000</v>
      </c>
      <c r="G14" s="27" t="n">
        <f aca="false">G12-G13</f>
        <v>30000</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17" t="s">
        <v>148</v>
      </c>
      <c r="C16" s="27" t="n">
        <f aca="false">Catalogue_Cost</f>
        <v>5000000</v>
      </c>
      <c r="D16" s="27" t="n">
        <f aca="false">Catalogue_Cost</f>
        <v>5000000</v>
      </c>
      <c r="E16" s="27" t="n">
        <f aca="false">Catalogue_Cost</f>
        <v>5000000</v>
      </c>
      <c r="F16" s="27" t="n">
        <f aca="false">Catalogue_Cost</f>
        <v>5000000</v>
      </c>
      <c r="G16" s="27" t="n">
        <f aca="false">Catalogue_Cost</f>
        <v>5000000</v>
      </c>
    </row>
    <row r="17" customFormat="false" ht="15" hidden="false" customHeight="false" outlineLevel="0" collapsed="false">
      <c r="A17" s="5"/>
      <c r="B17" s="17" t="s">
        <v>149</v>
      </c>
      <c r="C17" s="27" t="n">
        <f aca="false">ABS(Income_Statement!$C$31)*C6</f>
        <v>250000</v>
      </c>
      <c r="D17" s="27" t="n">
        <f aca="false">ABS(Income_Statement!$C$31)*D6</f>
        <v>500000</v>
      </c>
      <c r="E17" s="27" t="n">
        <f aca="false">ABS(Income_Statement!$C$31)*E6</f>
        <v>750000</v>
      </c>
      <c r="F17" s="27" t="n">
        <f aca="false">ABS(Income_Statement!$C$31)*F6</f>
        <v>1000000</v>
      </c>
      <c r="G17" s="27" t="n">
        <f aca="false">ABS(Income_Statement!$C$31)*G6</f>
        <v>1250000</v>
      </c>
    </row>
    <row r="18" customFormat="false" ht="15" hidden="false" customHeight="false" outlineLevel="0" collapsed="false">
      <c r="A18" s="5"/>
      <c r="B18" s="17" t="s">
        <v>150</v>
      </c>
      <c r="C18" s="27" t="n">
        <f aca="false">C16-C17</f>
        <v>4750000</v>
      </c>
      <c r="D18" s="27" t="n">
        <f aca="false">D16-D17</f>
        <v>4500000</v>
      </c>
      <c r="E18" s="27" t="n">
        <f aca="false">E16-E17</f>
        <v>4250000</v>
      </c>
      <c r="F18" s="27" t="n">
        <f aca="false">F16-F17</f>
        <v>4000000</v>
      </c>
      <c r="G18" s="27" t="n">
        <f aca="false">G16-G17</f>
        <v>3750000</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25" t="s">
        <v>151</v>
      </c>
      <c r="C20" s="30" t="n">
        <f aca="false">C10+C14+C18</f>
        <v>4799317.34050881</v>
      </c>
      <c r="D20" s="30" t="n">
        <f aca="false">D10+D14+D18</f>
        <v>3705860.69258258</v>
      </c>
      <c r="E20" s="30" t="n">
        <f aca="false">E10+E14+E18</f>
        <v>2712875.56656145</v>
      </c>
      <c r="F20" s="30" t="n">
        <f aca="false">F10+F14+F18</f>
        <v>1823750.98709638</v>
      </c>
      <c r="G20" s="30" t="n">
        <f aca="false">G10+G14+G18</f>
        <v>1042154.58154322</v>
      </c>
    </row>
    <row r="21" customFormat="false" ht="15" hidden="false" customHeight="false" outlineLevel="0" collapsed="false">
      <c r="A21" s="5"/>
      <c r="B21" s="22" t="s">
        <v>152</v>
      </c>
      <c r="C21" s="22"/>
      <c r="D21" s="22"/>
      <c r="E21" s="22"/>
      <c r="F21" s="22"/>
      <c r="G21" s="22"/>
    </row>
    <row r="22" customFormat="false" ht="15" hidden="false" customHeight="false" outlineLevel="0" collapsed="false">
      <c r="A22" s="5"/>
      <c r="B22" s="17" t="s">
        <v>153</v>
      </c>
      <c r="C22" s="27" t="n">
        <f aca="false">ABS(Income_Statement!C$17+Income_Statement!C$18)*DPO/365</f>
        <v>209852.054794521</v>
      </c>
      <c r="D22" s="27" t="n">
        <f aca="false">ABS(Income_Statement!D$17+Income_Statement!D$18)*DPO/365</f>
        <v>222698.682739726</v>
      </c>
      <c r="E22" s="27" t="n">
        <f aca="false">ABS(Income_Statement!E$17+Income_Statement!E$18)*DPO/365</f>
        <v>236431.587130521</v>
      </c>
      <c r="F22" s="27" t="n">
        <f aca="false">ABS(Income_Statement!F$17+Income_Statement!F$18)*DPO/365</f>
        <v>251116.199470808</v>
      </c>
      <c r="G22" s="27" t="n">
        <f aca="false">ABS(Income_Statement!G$17+Income_Statement!G$18)*DPO/365</f>
        <v>266822.955566899</v>
      </c>
    </row>
    <row r="23" customFormat="false" ht="15" hidden="false" customHeight="false" outlineLevel="0" collapsed="false">
      <c r="A23" s="5"/>
      <c r="B23" s="17" t="s">
        <v>154</v>
      </c>
      <c r="C23" s="27" t="n">
        <f aca="false">ABS(Income_Statement!C$27)*Accrued_Liab_Pct</f>
        <v>44471</v>
      </c>
      <c r="D23" s="27" t="n">
        <f aca="false">ABS(Income_Statement!D$27)*Accrued_Liab_Pct</f>
        <v>46787.4467</v>
      </c>
      <c r="E23" s="27" t="n">
        <f aca="false">ABS(Income_Statement!E$27)*Accrued_Liab_Pct</f>
        <v>49241.513207515</v>
      </c>
      <c r="F23" s="27" t="n">
        <f aca="false">ABS(Income_Statement!F$27)*Accrued_Liab_Pct</f>
        <v>51842.3076324466</v>
      </c>
      <c r="G23" s="27" t="n">
        <f aca="false">ABS(Income_Statement!G$27)*Accrued_Liab_Pct</f>
        <v>54599.5878887108</v>
      </c>
    </row>
    <row r="24" customFormat="false" ht="15" hidden="false" customHeight="false" outlineLevel="0" collapsed="false">
      <c r="A24" s="5"/>
      <c r="B24" s="25" t="s">
        <v>155</v>
      </c>
      <c r="C24" s="26" t="n">
        <f aca="false">C22+C23</f>
        <v>254323.054794521</v>
      </c>
      <c r="D24" s="26" t="n">
        <f aca="false">D22+D23</f>
        <v>269486.129439726</v>
      </c>
      <c r="E24" s="26" t="n">
        <f aca="false">E22+E23</f>
        <v>285673.100338036</v>
      </c>
      <c r="F24" s="26" t="n">
        <f aca="false">F22+F23</f>
        <v>302958.507103255</v>
      </c>
      <c r="G24" s="26" t="n">
        <f aca="false">G22+G23</f>
        <v>321422.54345561</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17" t="s">
        <v>156</v>
      </c>
      <c r="C26" s="27" t="n">
        <f aca="false">Debt_Schedule!C10</f>
        <v>4285714.28571429</v>
      </c>
      <c r="D26" s="27" t="n">
        <f aca="false">Debt_Schedule!D10</f>
        <v>3571428.57142857</v>
      </c>
      <c r="E26" s="27" t="n">
        <f aca="false">Debt_Schedule!E10</f>
        <v>2857142.85714286</v>
      </c>
      <c r="F26" s="27" t="n">
        <f aca="false">Debt_Schedule!F10</f>
        <v>2142857.14285714</v>
      </c>
      <c r="G26" s="27" t="n">
        <f aca="false">Debt_Schedule!G10</f>
        <v>1428571.42857143</v>
      </c>
    </row>
    <row r="27" customFormat="false" ht="15" hidden="false" customHeight="false" outlineLevel="0" collapsed="false">
      <c r="A27" s="5"/>
      <c r="B27" s="25" t="s">
        <v>157</v>
      </c>
      <c r="C27" s="26" t="n">
        <f aca="false">C26</f>
        <v>4285714.28571429</v>
      </c>
      <c r="D27" s="26" t="n">
        <f aca="false">D26</f>
        <v>3571428.57142857</v>
      </c>
      <c r="E27" s="26" t="n">
        <f aca="false">E26</f>
        <v>2857142.85714286</v>
      </c>
      <c r="F27" s="26" t="n">
        <f aca="false">F26</f>
        <v>2142857.14285714</v>
      </c>
      <c r="G27" s="26" t="n">
        <f aca="false">G26</f>
        <v>1428571.42857143</v>
      </c>
    </row>
    <row r="28" customFormat="false" ht="15" hidden="false" customHeight="false" outlineLevel="0" collapsed="false">
      <c r="A28" s="5"/>
      <c r="B28" s="25" t="s">
        <v>158</v>
      </c>
      <c r="C28" s="30" t="n">
        <f aca="false">C24+C27</f>
        <v>4540037.34050881</v>
      </c>
      <c r="D28" s="30" t="n">
        <f aca="false">D24+D27</f>
        <v>3840914.7008683</v>
      </c>
      <c r="E28" s="30" t="n">
        <f aca="false">E24+E27</f>
        <v>3142815.95748089</v>
      </c>
      <c r="F28" s="30" t="n">
        <f aca="false">F24+F27</f>
        <v>2445815.6499604</v>
      </c>
      <c r="G28" s="30" t="n">
        <f aca="false">G24+G27</f>
        <v>1749993.97202704</v>
      </c>
    </row>
    <row r="29" customFormat="false" ht="15" hidden="false" customHeight="false" outlineLevel="0" collapsed="false">
      <c r="A29" s="5"/>
      <c r="B29" s="22" t="s">
        <v>159</v>
      </c>
      <c r="C29" s="22"/>
      <c r="D29" s="22"/>
      <c r="E29" s="22"/>
      <c r="F29" s="22"/>
      <c r="G29" s="22"/>
    </row>
    <row r="30" customFormat="false" ht="15" hidden="false" customHeight="false" outlineLevel="0" collapsed="false">
      <c r="A30" s="5"/>
      <c r="B30" s="17" t="s">
        <v>160</v>
      </c>
      <c r="C30" s="27" t="n">
        <f aca="false">Open_Share_Capital</f>
        <v>700000</v>
      </c>
      <c r="D30" s="27" t="n">
        <f aca="false">Open_Share_Capital</f>
        <v>700000</v>
      </c>
      <c r="E30" s="27" t="n">
        <f aca="false">Open_Share_Capital</f>
        <v>700000</v>
      </c>
      <c r="F30" s="27" t="n">
        <f aca="false">Open_Share_Capital</f>
        <v>700000</v>
      </c>
      <c r="G30" s="27" t="n">
        <f aca="false">Open_Share_Capital</f>
        <v>700000</v>
      </c>
    </row>
    <row r="31" customFormat="false" ht="15" hidden="false" customHeight="false" outlineLevel="0" collapsed="false">
      <c r="A31" s="5"/>
      <c r="B31" s="17" t="s">
        <v>161</v>
      </c>
      <c r="C31" s="27" t="n">
        <f aca="false">Open_Ret_Earnings+Income_Statement!C$49-Income_Statement!C$50</f>
        <v>-440720</v>
      </c>
      <c r="D31" s="27" t="n">
        <f aca="false">C31+Income_Statement!D$49-Income_Statement!D$50</f>
        <v>-835054.008285714</v>
      </c>
      <c r="E31" s="27" t="n">
        <f aca="false">D31+Income_Statement!E$49-Income_Statement!E$50</f>
        <v>-1129940.39091944</v>
      </c>
      <c r="F31" s="27" t="n">
        <f aca="false">E31+Income_Statement!F$49-Income_Statement!F$50</f>
        <v>-1322064.66286402</v>
      </c>
      <c r="G31" s="27" t="n">
        <f aca="false">F31+Income_Statement!G$49-Income_Statement!G$50</f>
        <v>-1407839.39048382</v>
      </c>
    </row>
    <row r="32" customFormat="false" ht="15" hidden="false" customHeight="false" outlineLevel="0" collapsed="false">
      <c r="A32" s="5"/>
      <c r="B32" s="25" t="s">
        <v>162</v>
      </c>
      <c r="C32" s="30" t="n">
        <f aca="false">C30+C31</f>
        <v>259280</v>
      </c>
      <c r="D32" s="30" t="n">
        <f aca="false">D30+D31</f>
        <v>-135054.008285714</v>
      </c>
      <c r="E32" s="30" t="n">
        <f aca="false">E30+E31</f>
        <v>-429940.390919443</v>
      </c>
      <c r="F32" s="30" t="n">
        <f aca="false">F30+F31</f>
        <v>-622064.662864017</v>
      </c>
      <c r="G32" s="30" t="n">
        <f aca="false">G30+G31</f>
        <v>-707839.39048382</v>
      </c>
    </row>
    <row r="33" customFormat="false" ht="15" hidden="false" customHeight="false" outlineLevel="0" collapsed="false">
      <c r="A33" s="5"/>
      <c r="B33" s="5"/>
      <c r="C33" s="5"/>
      <c r="D33" s="5"/>
      <c r="E33" s="5"/>
      <c r="F33" s="5"/>
      <c r="G33" s="5"/>
    </row>
    <row r="34" customFormat="false" ht="15" hidden="false" customHeight="false" outlineLevel="0" collapsed="false">
      <c r="A34" s="5"/>
      <c r="B34" s="25" t="s">
        <v>163</v>
      </c>
      <c r="C34" s="30" t="n">
        <f aca="false">C28+C32</f>
        <v>4799317.34050881</v>
      </c>
      <c r="D34" s="30" t="n">
        <f aca="false">D28+D32</f>
        <v>3705860.69258258</v>
      </c>
      <c r="E34" s="30" t="n">
        <f aca="false">E28+E32</f>
        <v>2712875.56656145</v>
      </c>
      <c r="F34" s="30" t="n">
        <f aca="false">F28+F32</f>
        <v>1823750.98709638</v>
      </c>
      <c r="G34" s="30" t="n">
        <f aca="false">G28+G32</f>
        <v>1042154.58154322</v>
      </c>
    </row>
    <row r="35" customFormat="false" ht="15" hidden="false" customHeight="false" outlineLevel="0" collapsed="false">
      <c r="A35" s="5"/>
      <c r="B35" s="32" t="s">
        <v>164</v>
      </c>
      <c r="C35" s="33" t="n">
        <f aca="false">C20-C34</f>
        <v>0</v>
      </c>
      <c r="D35" s="33" t="n">
        <f aca="false">D20-D34</f>
        <v>0</v>
      </c>
      <c r="E35" s="33" t="n">
        <f aca="false">E20-E34</f>
        <v>0</v>
      </c>
      <c r="F35" s="33" t="n">
        <f aca="false">F20-F34</f>
        <v>0</v>
      </c>
      <c r="G35" s="33" t="n">
        <f aca="false">G20-G34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165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166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row>
    <row r="5" customFormat="false" ht="15" hidden="false" customHeight="false" outlineLevel="0" collapsed="false">
      <c r="A5" s="5"/>
      <c r="B5" s="22"/>
      <c r="C5" s="23" t="n">
        <f aca="false">Income_Statement!C5</f>
        <v>2025</v>
      </c>
      <c r="D5" s="23" t="n">
        <f aca="false">Income_Statement!D5</f>
        <v>2026</v>
      </c>
      <c r="E5" s="23" t="n">
        <f aca="false">Income_Statement!E5</f>
        <v>2027</v>
      </c>
      <c r="F5" s="23" t="n">
        <f aca="false">Income_Statement!F5</f>
        <v>2028</v>
      </c>
      <c r="G5" s="23" t="n">
        <f aca="false">Income_Statement!G5</f>
        <v>2029</v>
      </c>
    </row>
    <row r="6" customFormat="false" ht="15" hidden="false" customHeight="false" outlineLevel="0" collapsed="false">
      <c r="A6" s="5"/>
      <c r="B6" s="19" t="s">
        <v>76</v>
      </c>
      <c r="C6" s="24" t="n">
        <f aca="false">Income_Statement!C6</f>
        <v>1</v>
      </c>
      <c r="D6" s="24" t="n">
        <f aca="false">Income_Statement!D6</f>
        <v>2</v>
      </c>
      <c r="E6" s="24" t="n">
        <f aca="false">Income_Statement!E6</f>
        <v>3</v>
      </c>
      <c r="F6" s="24" t="n">
        <f aca="false">Income_Statement!F6</f>
        <v>4</v>
      </c>
      <c r="G6" s="24" t="n">
        <f aca="false">Income_Statement!G6</f>
        <v>5</v>
      </c>
    </row>
    <row r="7" customFormat="false" ht="15" hidden="false" customHeight="false" outlineLevel="0" collapsed="false">
      <c r="A7" s="5"/>
      <c r="B7" s="22" t="s">
        <v>167</v>
      </c>
      <c r="C7" s="22"/>
      <c r="D7" s="22"/>
      <c r="E7" s="22"/>
      <c r="F7" s="22"/>
      <c r="G7" s="22"/>
    </row>
    <row r="8" customFormat="false" ht="15" hidden="false" customHeight="false" outlineLevel="0" collapsed="false">
      <c r="A8" s="5"/>
      <c r="B8" s="17" t="s">
        <v>168</v>
      </c>
      <c r="C8" s="27" t="n">
        <f aca="false">Income_Statement!C49</f>
        <v>-490720</v>
      </c>
      <c r="D8" s="27" t="n">
        <f aca="false">Income_Statement!D49</f>
        <v>-394334.008285714</v>
      </c>
      <c r="E8" s="27" t="n">
        <f aca="false">Income_Statement!E49</f>
        <v>-294886.382633729</v>
      </c>
      <c r="F8" s="27" t="n">
        <f aca="false">Income_Statement!F49</f>
        <v>-192124.271944574</v>
      </c>
      <c r="G8" s="27" t="n">
        <f aca="false">Income_Statement!G49</f>
        <v>-85774.7276198026</v>
      </c>
    </row>
    <row r="9" customFormat="false" ht="15" hidden="false" customHeight="false" outlineLevel="0" collapsed="false">
      <c r="A9" s="5"/>
      <c r="B9" s="17" t="s">
        <v>169</v>
      </c>
      <c r="C9" s="27" t="n">
        <f aca="false">ABS(Income_Statement!C31)</f>
        <v>250000</v>
      </c>
      <c r="D9" s="27" t="n">
        <f aca="false">ABS(Income_Statement!D31)</f>
        <v>250000</v>
      </c>
      <c r="E9" s="27" t="n">
        <f aca="false">ABS(Income_Statement!E31)</f>
        <v>250000</v>
      </c>
      <c r="F9" s="27" t="n">
        <f aca="false">ABS(Income_Statement!F31)</f>
        <v>250000</v>
      </c>
      <c r="G9" s="27" t="n">
        <f aca="false">ABS(Income_Statement!G31)</f>
        <v>250000</v>
      </c>
    </row>
    <row r="10" customFormat="false" ht="15" hidden="false" customHeight="false" outlineLevel="0" collapsed="false">
      <c r="A10" s="5"/>
      <c r="B10" s="17" t="s">
        <v>170</v>
      </c>
      <c r="C10" s="27" t="n">
        <f aca="false">ABS(Income_Statement!C32)+ABS(Income_Statement!C33)</f>
        <v>13000</v>
      </c>
      <c r="D10" s="27" t="n">
        <f aca="false">ABS(Income_Statement!D32)+ABS(Income_Statement!D33)</f>
        <v>16000</v>
      </c>
      <c r="E10" s="27" t="n">
        <f aca="false">ABS(Income_Statement!E32)+ABS(Income_Statement!E33)</f>
        <v>19000</v>
      </c>
      <c r="F10" s="27" t="n">
        <f aca="false">ABS(Income_Statement!F32)+ABS(Income_Statement!F33)</f>
        <v>22000</v>
      </c>
      <c r="G10" s="27" t="n">
        <f aca="false">ABS(Income_Statement!G32)+ABS(Income_Statement!G33)</f>
        <v>25000</v>
      </c>
    </row>
    <row r="11" customFormat="false" ht="15" hidden="false" customHeight="false" outlineLevel="0" collapsed="false">
      <c r="A11" s="5"/>
      <c r="B11" s="34" t="s">
        <v>171</v>
      </c>
      <c r="C11" s="5"/>
      <c r="D11" s="5"/>
      <c r="E11" s="5"/>
      <c r="F11" s="5"/>
      <c r="G11" s="5"/>
    </row>
    <row r="12" customFormat="false" ht="15" hidden="false" customHeight="false" outlineLevel="0" collapsed="false">
      <c r="A12" s="5"/>
      <c r="B12" s="17" t="s">
        <v>172</v>
      </c>
      <c r="C12" s="27" t="n">
        <f aca="false">Opening_AR-Balance_Sheet!C9</f>
        <v>-455041.095890411</v>
      </c>
      <c r="D12" s="27" t="n">
        <f aca="false">Balance_Sheet!C9-Balance_Sheet!D9</f>
        <v>-30303.2684931507</v>
      </c>
      <c r="E12" s="27" t="n">
        <f aca="false">Balance_Sheet!D9-Balance_Sheet!E9</f>
        <v>-32462.3354708219</v>
      </c>
      <c r="F12" s="27" t="n">
        <f aca="false">Balance_Sheet!E9-Balance_Sheet!F9</f>
        <v>-34781.8263535872</v>
      </c>
      <c r="G12" s="27" t="n">
        <f aca="false">Balance_Sheet!F9-Balance_Sheet!G9</f>
        <v>-37273.9719076728</v>
      </c>
    </row>
    <row r="13" customFormat="false" ht="15" hidden="false" customHeight="false" outlineLevel="0" collapsed="false">
      <c r="A13" s="5"/>
      <c r="B13" s="17" t="s">
        <v>173</v>
      </c>
      <c r="C13" s="27" t="n">
        <f aca="false">Balance_Sheet!C22-0</f>
        <v>209852.054794521</v>
      </c>
      <c r="D13" s="27" t="n">
        <f aca="false">Balance_Sheet!D22-Balance_Sheet!C22</f>
        <v>12846.6279452055</v>
      </c>
      <c r="E13" s="27" t="n">
        <f aca="false">Balance_Sheet!E22-Balance_Sheet!D22</f>
        <v>13732.9043907945</v>
      </c>
      <c r="F13" s="27" t="n">
        <f aca="false">Balance_Sheet!F22-Balance_Sheet!E22</f>
        <v>14684.6123402876</v>
      </c>
      <c r="G13" s="27" t="n">
        <f aca="false">Balance_Sheet!G22-Balance_Sheet!F22</f>
        <v>15706.7560960907</v>
      </c>
    </row>
    <row r="14" customFormat="false" ht="15" hidden="false" customHeight="false" outlineLevel="0" collapsed="false">
      <c r="A14" s="5"/>
      <c r="B14" s="17" t="s">
        <v>174</v>
      </c>
      <c r="C14" s="27" t="n">
        <f aca="false">Balance_Sheet!C23-0</f>
        <v>44471</v>
      </c>
      <c r="D14" s="27" t="n">
        <f aca="false">Balance_Sheet!D23-Balance_Sheet!C23</f>
        <v>2316.4467</v>
      </c>
      <c r="E14" s="27" t="n">
        <f aca="false">Balance_Sheet!E23-Balance_Sheet!D23</f>
        <v>2454.066507515</v>
      </c>
      <c r="F14" s="27" t="n">
        <f aca="false">Balance_Sheet!F23-Balance_Sheet!E23</f>
        <v>2600.79442493156</v>
      </c>
      <c r="G14" s="27" t="n">
        <f aca="false">Balance_Sheet!G23-Balance_Sheet!F23</f>
        <v>2757.2802562642</v>
      </c>
    </row>
    <row r="15" customFormat="false" ht="15" hidden="false" customHeight="false" outlineLevel="0" collapsed="false">
      <c r="A15" s="5"/>
      <c r="B15" s="25" t="s">
        <v>175</v>
      </c>
      <c r="C15" s="30" t="n">
        <f aca="false">SUM(C8:C14)</f>
        <v>-428438.04109589</v>
      </c>
      <c r="D15" s="30" t="n">
        <f aca="false">SUM(D8:D14)</f>
        <v>-143474.202133659</v>
      </c>
      <c r="E15" s="30" t="n">
        <f aca="false">SUM(E8:E14)</f>
        <v>-42161.747206241</v>
      </c>
      <c r="F15" s="30" t="n">
        <f aca="false">SUM(F8:F14)</f>
        <v>62379.3084670576</v>
      </c>
      <c r="G15" s="30" t="n">
        <f aca="false">SUM(G8:G14)</f>
        <v>170415.336824879</v>
      </c>
    </row>
    <row r="16" customFormat="false" ht="15" hidden="false" customHeight="false" outlineLevel="0" collapsed="false">
      <c r="A16" s="5"/>
      <c r="B16" s="22" t="s">
        <v>176</v>
      </c>
      <c r="C16" s="22"/>
      <c r="D16" s="22"/>
      <c r="E16" s="22"/>
      <c r="F16" s="22"/>
      <c r="G16" s="22"/>
    </row>
    <row r="17" customFormat="false" ht="15" hidden="false" customHeight="false" outlineLevel="0" collapsed="false">
      <c r="A17" s="5"/>
      <c r="B17" s="17" t="s">
        <v>124</v>
      </c>
      <c r="C17" s="27" t="n">
        <f aca="false">Income_Statement!C35</f>
        <v>-15000</v>
      </c>
      <c r="D17" s="27" t="n">
        <f aca="false">Income_Statement!D35</f>
        <v>-15000</v>
      </c>
      <c r="E17" s="27" t="n">
        <f aca="false">Income_Statement!E35</f>
        <v>-15000</v>
      </c>
      <c r="F17" s="27" t="n">
        <f aca="false">Income_Statement!F35</f>
        <v>-15000</v>
      </c>
      <c r="G17" s="27" t="n">
        <f aca="false">Income_Statement!G35</f>
        <v>-15000</v>
      </c>
    </row>
    <row r="18" customFormat="false" ht="15" hidden="false" customHeight="false" outlineLevel="0" collapsed="false">
      <c r="A18" s="5"/>
      <c r="B18" s="17" t="s">
        <v>177</v>
      </c>
      <c r="C18" s="27" t="n">
        <f aca="false">-Catalogue_Cost</f>
        <v>-5000000</v>
      </c>
      <c r="D18" s="27" t="n">
        <f aca="false">0</f>
        <v>0</v>
      </c>
      <c r="E18" s="27" t="n">
        <f aca="false">0</f>
        <v>0</v>
      </c>
      <c r="F18" s="27" t="n">
        <f aca="false">0</f>
        <v>0</v>
      </c>
      <c r="G18" s="27" t="n">
        <f aca="false">0</f>
        <v>0</v>
      </c>
    </row>
    <row r="19" customFormat="false" ht="15" hidden="false" customHeight="false" outlineLevel="0" collapsed="false">
      <c r="A19" s="5"/>
      <c r="B19" s="25" t="s">
        <v>178</v>
      </c>
      <c r="C19" s="30" t="n">
        <f aca="false">C17+C18</f>
        <v>-5015000</v>
      </c>
      <c r="D19" s="30" t="n">
        <f aca="false">D17+D18</f>
        <v>-15000</v>
      </c>
      <c r="E19" s="30" t="n">
        <f aca="false">E17+E18</f>
        <v>-15000</v>
      </c>
      <c r="F19" s="30" t="n">
        <f aca="false">F17+F18</f>
        <v>-15000</v>
      </c>
      <c r="G19" s="30" t="n">
        <f aca="false">G17+G18</f>
        <v>-15000</v>
      </c>
    </row>
    <row r="20" customFormat="false" ht="15" hidden="false" customHeight="false" outlineLevel="0" collapsed="false">
      <c r="A20" s="5"/>
      <c r="B20" s="22" t="s">
        <v>179</v>
      </c>
      <c r="C20" s="22"/>
      <c r="D20" s="22"/>
      <c r="E20" s="22"/>
      <c r="F20" s="22"/>
      <c r="G20" s="22"/>
    </row>
    <row r="21" customFormat="false" ht="15" hidden="false" customHeight="false" outlineLevel="0" collapsed="false">
      <c r="A21" s="5"/>
      <c r="B21" s="17" t="s">
        <v>180</v>
      </c>
      <c r="C21" s="27" t="n">
        <f aca="false">Term_Loan_Amt</f>
        <v>5000000</v>
      </c>
      <c r="D21" s="27" t="n">
        <f aca="false">0</f>
        <v>0</v>
      </c>
      <c r="E21" s="27" t="n">
        <f aca="false">0</f>
        <v>0</v>
      </c>
      <c r="F21" s="27" t="n">
        <f aca="false">0</f>
        <v>0</v>
      </c>
      <c r="G21" s="27" t="n">
        <f aca="false">0</f>
        <v>0</v>
      </c>
    </row>
    <row r="22" customFormat="false" ht="15" hidden="false" customHeight="false" outlineLevel="0" collapsed="false">
      <c r="A22" s="5"/>
      <c r="B22" s="17" t="s">
        <v>181</v>
      </c>
      <c r="C22" s="27" t="n">
        <f aca="false">-Debt_Schedule!C9</f>
        <v>-714285.714285714</v>
      </c>
      <c r="D22" s="27" t="n">
        <f aca="false">-Debt_Schedule!D9</f>
        <v>-714285.714285714</v>
      </c>
      <c r="E22" s="27" t="n">
        <f aca="false">-Debt_Schedule!E9</f>
        <v>-714285.714285714</v>
      </c>
      <c r="F22" s="27" t="n">
        <f aca="false">-Debt_Schedule!F9</f>
        <v>-714285.714285714</v>
      </c>
      <c r="G22" s="27" t="n">
        <f aca="false">-Debt_Schedule!G9</f>
        <v>-714285.714285714</v>
      </c>
    </row>
    <row r="23" customFormat="false" ht="15" hidden="false" customHeight="false" outlineLevel="0" collapsed="false">
      <c r="A23" s="5"/>
      <c r="B23" s="17" t="s">
        <v>182</v>
      </c>
      <c r="C23" s="27" t="n">
        <f aca="false">-Income_Statement!C50</f>
        <v>0</v>
      </c>
      <c r="D23" s="27" t="n">
        <f aca="false">-Income_Statement!D50</f>
        <v>0</v>
      </c>
      <c r="E23" s="27" t="n">
        <f aca="false">-Income_Statement!E50</f>
        <v>0</v>
      </c>
      <c r="F23" s="27" t="n">
        <f aca="false">-Income_Statement!F50</f>
        <v>0</v>
      </c>
      <c r="G23" s="27" t="n">
        <f aca="false">-Income_Statement!G50</f>
        <v>0</v>
      </c>
    </row>
    <row r="24" customFormat="false" ht="15" hidden="false" customHeight="false" outlineLevel="0" collapsed="false">
      <c r="A24" s="5"/>
      <c r="B24" s="25" t="s">
        <v>183</v>
      </c>
      <c r="C24" s="30" t="n">
        <f aca="false">SUM(C21:C23)</f>
        <v>4285714.28571429</v>
      </c>
      <c r="D24" s="30" t="n">
        <f aca="false">SUM(D21:D23)</f>
        <v>-714285.714285714</v>
      </c>
      <c r="E24" s="30" t="n">
        <f aca="false">SUM(E21:E23)</f>
        <v>-714285.714285714</v>
      </c>
      <c r="F24" s="30" t="n">
        <f aca="false">SUM(F21:F23)</f>
        <v>-714285.714285714</v>
      </c>
      <c r="G24" s="30" t="n">
        <f aca="false">SUM(G21:G23)</f>
        <v>-714285.714285714</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25" t="s">
        <v>184</v>
      </c>
      <c r="C26" s="30" t="n">
        <f aca="false">C15+C19+C24</f>
        <v>-1157723.7553816</v>
      </c>
      <c r="D26" s="30" t="n">
        <f aca="false">D15+D19+D24</f>
        <v>-872759.916419374</v>
      </c>
      <c r="E26" s="30" t="n">
        <f aca="false">E15+E19+E24</f>
        <v>-771447.461491955</v>
      </c>
      <c r="F26" s="30" t="n">
        <f aca="false">F15+F19+F24</f>
        <v>-666906.405818657</v>
      </c>
      <c r="G26" s="30" t="n">
        <f aca="false">G15+G19+G24</f>
        <v>-558870.377460835</v>
      </c>
    </row>
    <row r="27" customFormat="false" ht="15" hidden="false" customHeight="false" outlineLevel="0" collapsed="false">
      <c r="A27" s="5"/>
      <c r="B27" s="17" t="s">
        <v>185</v>
      </c>
      <c r="C27" s="27" t="n">
        <f aca="false">Open_Cash</f>
        <v>700000</v>
      </c>
      <c r="D27" s="27" t="n">
        <f aca="false">C28</f>
        <v>-457723.755381605</v>
      </c>
      <c r="E27" s="27" t="n">
        <f aca="false">D28</f>
        <v>-1330483.67180098</v>
      </c>
      <c r="F27" s="27" t="n">
        <f aca="false">E28</f>
        <v>-2101931.13329293</v>
      </c>
      <c r="G27" s="27" t="n">
        <f aca="false">F28</f>
        <v>-2768837.53911159</v>
      </c>
    </row>
    <row r="28" customFormat="false" ht="15" hidden="false" customHeight="false" outlineLevel="0" collapsed="false">
      <c r="A28" s="5"/>
      <c r="B28" s="25" t="s">
        <v>186</v>
      </c>
      <c r="C28" s="30" t="n">
        <f aca="false">C27+C26</f>
        <v>-457723.755381605</v>
      </c>
      <c r="D28" s="30" t="n">
        <f aca="false">D27+D26</f>
        <v>-1330483.67180098</v>
      </c>
      <c r="E28" s="30" t="n">
        <f aca="false">E27+E26</f>
        <v>-2101931.13329293</v>
      </c>
      <c r="F28" s="30" t="n">
        <f aca="false">F27+F26</f>
        <v>-2768837.53911159</v>
      </c>
      <c r="G28" s="30" t="n">
        <f aca="false">G27+G26</f>
        <v>-3327707.91657243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187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188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row>
    <row r="5" customFormat="false" ht="15" hidden="false" customHeight="false" outlineLevel="0" collapsed="false">
      <c r="A5" s="5"/>
      <c r="B5" s="22"/>
      <c r="C5" s="23" t="n">
        <f aca="false">Income_Statement!C5</f>
        <v>2025</v>
      </c>
      <c r="D5" s="23" t="n">
        <f aca="false">Income_Statement!D5</f>
        <v>2026</v>
      </c>
      <c r="E5" s="23" t="n">
        <f aca="false">Income_Statement!E5</f>
        <v>2027</v>
      </c>
      <c r="F5" s="23" t="n">
        <f aca="false">Income_Statement!F5</f>
        <v>2028</v>
      </c>
      <c r="G5" s="23" t="n">
        <f aca="false">Income_Statement!G5</f>
        <v>2029</v>
      </c>
    </row>
    <row r="6" customFormat="false" ht="15" hidden="false" customHeight="false" outlineLevel="0" collapsed="false">
      <c r="A6" s="5"/>
      <c r="B6" s="19" t="s">
        <v>76</v>
      </c>
      <c r="C6" s="24" t="n">
        <f aca="false">Income_Statement!C6</f>
        <v>1</v>
      </c>
      <c r="D6" s="24" t="n">
        <f aca="false">Income_Statement!D6</f>
        <v>2</v>
      </c>
      <c r="E6" s="24" t="n">
        <f aca="false">Income_Statement!E6</f>
        <v>3</v>
      </c>
      <c r="F6" s="24" t="n">
        <f aca="false">Income_Statement!F6</f>
        <v>4</v>
      </c>
      <c r="G6" s="24" t="n">
        <f aca="false">Income_Statement!G6</f>
        <v>5</v>
      </c>
    </row>
    <row r="7" customFormat="false" ht="15" hidden="false" customHeight="false" outlineLevel="0" collapsed="false">
      <c r="A7" s="5"/>
      <c r="B7" s="22" t="s">
        <v>189</v>
      </c>
      <c r="C7" s="22"/>
      <c r="D7" s="22"/>
      <c r="E7" s="22"/>
      <c r="F7" s="22"/>
      <c r="G7" s="22"/>
    </row>
    <row r="8" customFormat="false" ht="15" hidden="false" customHeight="false" outlineLevel="0" collapsed="false">
      <c r="A8" s="5"/>
      <c r="B8" s="17" t="s">
        <v>190</v>
      </c>
      <c r="C8" s="27" t="n">
        <f aca="false">Income_Statement!G20</f>
        <v>1433359.88729727</v>
      </c>
      <c r="D8" s="5"/>
      <c r="E8" s="5"/>
      <c r="F8" s="5"/>
      <c r="G8" s="5"/>
    </row>
    <row r="9" customFormat="false" ht="15" hidden="false" customHeight="false" outlineLevel="0" collapsed="false">
      <c r="A9" s="5"/>
      <c r="B9" s="17" t="s">
        <v>69</v>
      </c>
      <c r="C9" s="27" t="n">
        <f aca="false">Valuation_Multiple</f>
        <v>13</v>
      </c>
      <c r="D9" s="5"/>
      <c r="E9" s="5"/>
      <c r="F9" s="5"/>
      <c r="G9" s="5"/>
    </row>
    <row r="10" customFormat="false" ht="15" hidden="false" customHeight="false" outlineLevel="0" collapsed="false">
      <c r="A10" s="5"/>
      <c r="B10" s="17" t="s">
        <v>191</v>
      </c>
      <c r="C10" s="27" t="n">
        <f aca="false">C8*C9</f>
        <v>18633678.5348645</v>
      </c>
      <c r="D10" s="5"/>
      <c r="E10" s="5"/>
      <c r="F10" s="5"/>
      <c r="G10" s="5"/>
    </row>
    <row r="11" customFormat="false" ht="15" hidden="false" customHeight="false" outlineLevel="0" collapsed="false">
      <c r="A11" s="5"/>
      <c r="B11" s="17" t="s">
        <v>192</v>
      </c>
      <c r="C11" s="27" t="n">
        <f aca="false">Balance_Sheet!G26-Balance_Sheet!G8</f>
        <v>4756279.34514385</v>
      </c>
      <c r="D11" s="5"/>
      <c r="E11" s="5"/>
      <c r="F11" s="5"/>
      <c r="G11" s="5"/>
    </row>
    <row r="12" customFormat="false" ht="15" hidden="false" customHeight="false" outlineLevel="0" collapsed="false">
      <c r="A12" s="5"/>
      <c r="B12" s="17" t="s">
        <v>193</v>
      </c>
      <c r="C12" s="27" t="n">
        <f aca="false">C10-C11</f>
        <v>13877399.1897207</v>
      </c>
      <c r="D12" s="5"/>
      <c r="E12" s="5"/>
      <c r="F12" s="5"/>
      <c r="G12" s="5"/>
    </row>
    <row r="13" customFormat="false" ht="15" hidden="false" customHeight="false" outlineLevel="0" collapsed="false">
      <c r="A13" s="5"/>
      <c r="B13" s="5"/>
      <c r="C13" s="5"/>
      <c r="D13" s="5"/>
      <c r="E13" s="5"/>
      <c r="F13" s="5"/>
      <c r="G13" s="5"/>
    </row>
    <row r="14" customFormat="false" ht="15" hidden="false" customHeight="false" outlineLevel="0" collapsed="false">
      <c r="A14" s="5"/>
      <c r="B14" s="22" t="s">
        <v>194</v>
      </c>
      <c r="C14" s="22"/>
      <c r="D14" s="22"/>
      <c r="E14" s="22"/>
      <c r="F14" s="22"/>
      <c r="G14" s="22"/>
    </row>
    <row r="15" customFormat="false" ht="15" hidden="false" customHeight="false" outlineLevel="0" collapsed="false">
      <c r="A15" s="5"/>
      <c r="B15" s="17" t="s">
        <v>126</v>
      </c>
      <c r="C15" s="27" t="n">
        <f aca="false">Income_Statement!C37</f>
        <v>-65720</v>
      </c>
      <c r="D15" s="27" t="n">
        <f aca="false">Income_Statement!D37</f>
        <v>-30048.2939999999</v>
      </c>
      <c r="E15" s="27" t="n">
        <f aca="false">Income_Statement!E37</f>
        <v>8685.04593769996</v>
      </c>
      <c r="F15" s="27" t="n">
        <f aca="false">Income_Statement!F37</f>
        <v>50732.8709125684</v>
      </c>
      <c r="G15" s="27" t="n">
        <f aca="false">Income_Statement!G37</f>
        <v>96368.1295230545</v>
      </c>
    </row>
    <row r="16" customFormat="false" ht="15" hidden="false" customHeight="false" outlineLevel="0" collapsed="false">
      <c r="A16" s="5"/>
      <c r="B16" s="17" t="s">
        <v>195</v>
      </c>
      <c r="C16" s="27" t="n">
        <f aca="false">-C15*Tax_Rate</f>
        <v>16430</v>
      </c>
      <c r="D16" s="27" t="n">
        <f aca="false">-D15*Tax_Rate</f>
        <v>7512.07349999997</v>
      </c>
      <c r="E16" s="27" t="n">
        <f aca="false">-E15*Tax_Rate</f>
        <v>-2171.26148442499</v>
      </c>
      <c r="F16" s="27" t="n">
        <f aca="false">-F15*Tax_Rate</f>
        <v>-12683.2177281421</v>
      </c>
      <c r="G16" s="27" t="n">
        <f aca="false">-G15*Tax_Rate</f>
        <v>-24092.0323807636</v>
      </c>
    </row>
    <row r="17" customFormat="false" ht="15" hidden="false" customHeight="false" outlineLevel="0" collapsed="false">
      <c r="A17" s="5"/>
      <c r="B17" s="17" t="s">
        <v>196</v>
      </c>
      <c r="C17" s="27" t="n">
        <f aca="false">C15+C16</f>
        <v>-49290</v>
      </c>
      <c r="D17" s="27" t="n">
        <f aca="false">D15+D16</f>
        <v>-22536.2204999999</v>
      </c>
      <c r="E17" s="27" t="n">
        <f aca="false">E15+E16</f>
        <v>6513.78445327497</v>
      </c>
      <c r="F17" s="27" t="n">
        <f aca="false">F15+F16</f>
        <v>38049.6531844263</v>
      </c>
      <c r="G17" s="27" t="n">
        <f aca="false">G15+G16</f>
        <v>72276.0971422909</v>
      </c>
    </row>
    <row r="18" customFormat="false" ht="15" hidden="false" customHeight="false" outlineLevel="0" collapsed="false">
      <c r="A18" s="5"/>
      <c r="B18" s="17" t="s">
        <v>197</v>
      </c>
      <c r="C18" s="27" t="n">
        <f aca="false">ABS(Income_Statement!C34)</f>
        <v>257000</v>
      </c>
      <c r="D18" s="27" t="n">
        <f aca="false">ABS(Income_Statement!D34)</f>
        <v>254000</v>
      </c>
      <c r="E18" s="27" t="n">
        <f aca="false">ABS(Income_Statement!E34)</f>
        <v>251000</v>
      </c>
      <c r="F18" s="27" t="n">
        <f aca="false">ABS(Income_Statement!F34)</f>
        <v>248000</v>
      </c>
      <c r="G18" s="27" t="n">
        <f aca="false">ABS(Income_Statement!G34)</f>
        <v>245000</v>
      </c>
    </row>
    <row r="19" customFormat="false" ht="15" hidden="false" customHeight="false" outlineLevel="0" collapsed="false">
      <c r="A19" s="5"/>
      <c r="B19" s="17" t="s">
        <v>198</v>
      </c>
      <c r="C19" s="27" t="n">
        <f aca="false">Income_Statement!C35</f>
        <v>-15000</v>
      </c>
      <c r="D19" s="27" t="n">
        <f aca="false">Income_Statement!D35</f>
        <v>-15000</v>
      </c>
      <c r="E19" s="27" t="n">
        <f aca="false">Income_Statement!E35</f>
        <v>-15000</v>
      </c>
      <c r="F19" s="27" t="n">
        <f aca="false">Income_Statement!F35</f>
        <v>-15000</v>
      </c>
      <c r="G19" s="27" t="n">
        <f aca="false">Income_Statement!G35</f>
        <v>-15000</v>
      </c>
    </row>
    <row r="20" customFormat="false" ht="15" hidden="false" customHeight="false" outlineLevel="0" collapsed="false">
      <c r="A20" s="5"/>
      <c r="B20" s="17" t="s">
        <v>199</v>
      </c>
      <c r="C20" s="27" t="n">
        <f aca="false">-Cash_Flow!C12-Cash_Flow!C13-Cash_Flow!C14</f>
        <v>200718.04109589</v>
      </c>
      <c r="D20" s="27" t="n">
        <f aca="false">-Cash_Flow!D12-Cash_Flow!D13-Cash_Flow!D14</f>
        <v>15140.1938479452</v>
      </c>
      <c r="E20" s="27" t="n">
        <f aca="false">-Cash_Flow!E12-Cash_Flow!E13-Cash_Flow!E14</f>
        <v>16275.3645725124</v>
      </c>
      <c r="F20" s="27" t="n">
        <f aca="false">-Cash_Flow!F12-Cash_Flow!F13-Cash_Flow!F14</f>
        <v>17496.419588368</v>
      </c>
      <c r="G20" s="27" t="n">
        <f aca="false">-Cash_Flow!G12-Cash_Flow!G13-Cash_Flow!G14</f>
        <v>18809.9355553179</v>
      </c>
    </row>
    <row r="21" customFormat="false" ht="15" hidden="false" customHeight="false" outlineLevel="0" collapsed="false">
      <c r="A21" s="5"/>
      <c r="B21" s="25" t="s">
        <v>200</v>
      </c>
      <c r="C21" s="26" t="n">
        <f aca="false">C17+C18+C19+C20</f>
        <v>393428.04109589</v>
      </c>
      <c r="D21" s="26" t="n">
        <f aca="false">D17+D18+D19+D20</f>
        <v>231603.973347945</v>
      </c>
      <c r="E21" s="26" t="n">
        <f aca="false">E17+E18+E19+E20</f>
        <v>258789.149025787</v>
      </c>
      <c r="F21" s="26" t="n">
        <f aca="false">F17+F18+F19+F20</f>
        <v>288546.072772794</v>
      </c>
      <c r="G21" s="26" t="n">
        <f aca="false">G17+G18+G19+G20</f>
        <v>321086.032697609</v>
      </c>
    </row>
    <row r="22" customFormat="false" ht="15" hidden="false" customHeight="false" outlineLevel="0" collapsed="false">
      <c r="A22" s="5"/>
      <c r="B22" s="17" t="s">
        <v>201</v>
      </c>
      <c r="C22" s="27" t="n">
        <f aca="false">1/(1+WACC)^C6</f>
        <v>0.909090909090909</v>
      </c>
      <c r="D22" s="27" t="n">
        <f aca="false">1/(1+WACC)^D6</f>
        <v>0.826446280991735</v>
      </c>
      <c r="E22" s="27" t="n">
        <f aca="false">1/(1+WACC)^E6</f>
        <v>0.751314800901578</v>
      </c>
      <c r="F22" s="27" t="n">
        <f aca="false">1/(1+WACC)^F6</f>
        <v>0.683013455365071</v>
      </c>
      <c r="G22" s="27" t="n">
        <f aca="false">1/(1+WACC)^G6</f>
        <v>0.620921323059155</v>
      </c>
    </row>
    <row r="23" customFormat="false" ht="15" hidden="false" customHeight="false" outlineLevel="0" collapsed="false">
      <c r="A23" s="5"/>
      <c r="B23" s="17" t="s">
        <v>202</v>
      </c>
      <c r="C23" s="27" t="n">
        <f aca="false">C21*C22</f>
        <v>357661.855541719</v>
      </c>
      <c r="D23" s="27" t="n">
        <f aca="false">D21*D22</f>
        <v>191408.242436318</v>
      </c>
      <c r="E23" s="27" t="n">
        <f aca="false">E21*E22</f>
        <v>194432.117975798</v>
      </c>
      <c r="F23" s="27" t="n">
        <f aca="false">F21*F22</f>
        <v>197080.850196567</v>
      </c>
      <c r="G23" s="27" t="n">
        <f aca="false">G21*G22</f>
        <v>199369.164238414</v>
      </c>
    </row>
    <row r="24" customFormat="false" ht="15" hidden="false" customHeight="false" outlineLevel="0" collapsed="false">
      <c r="A24" s="5"/>
      <c r="B24" s="5"/>
      <c r="C24" s="5"/>
      <c r="D24" s="5"/>
      <c r="E24" s="5"/>
      <c r="F24" s="5"/>
      <c r="G24" s="5"/>
    </row>
    <row r="25" customFormat="false" ht="15" hidden="false" customHeight="false" outlineLevel="0" collapsed="false">
      <c r="A25" s="5"/>
      <c r="B25" s="17" t="s">
        <v>203</v>
      </c>
      <c r="C25" s="27" t="n">
        <f aca="false">SUM(C23:G23)</f>
        <v>1139952.23038882</v>
      </c>
      <c r="D25" s="5"/>
      <c r="E25" s="5"/>
      <c r="F25" s="5"/>
      <c r="G25" s="5"/>
    </row>
    <row r="26" customFormat="false" ht="15" hidden="false" customHeight="false" outlineLevel="0" collapsed="false">
      <c r="A26" s="5"/>
      <c r="B26" s="17" t="s">
        <v>204</v>
      </c>
      <c r="C26" s="27" t="n">
        <f aca="false">G21</f>
        <v>321086.032697609</v>
      </c>
      <c r="D26" s="5"/>
      <c r="E26" s="5"/>
      <c r="F26" s="5"/>
      <c r="G26" s="5"/>
    </row>
    <row r="27" customFormat="false" ht="15" hidden="false" customHeight="false" outlineLevel="0" collapsed="false">
      <c r="A27" s="5"/>
      <c r="B27" s="17" t="s">
        <v>205</v>
      </c>
      <c r="C27" s="27" t="n">
        <f aca="false">C26*(1+Terminal_Growth)/(WACC-Terminal_Growth)</f>
        <v>4093846.91689451</v>
      </c>
      <c r="D27" s="5"/>
      <c r="E27" s="5"/>
      <c r="F27" s="5"/>
      <c r="G27" s="5"/>
    </row>
    <row r="28" customFormat="false" ht="15" hidden="false" customHeight="false" outlineLevel="0" collapsed="false">
      <c r="A28" s="5"/>
      <c r="B28" s="17" t="s">
        <v>206</v>
      </c>
      <c r="C28" s="27" t="n">
        <f aca="false">C27/(1+WACC)^5</f>
        <v>2541956.84403978</v>
      </c>
      <c r="D28" s="5"/>
      <c r="E28" s="5"/>
      <c r="F28" s="5"/>
      <c r="G28" s="5"/>
    </row>
    <row r="29" customFormat="false" ht="15" hidden="false" customHeight="false" outlineLevel="0" collapsed="false">
      <c r="A29" s="5"/>
      <c r="B29" s="17" t="s">
        <v>207</v>
      </c>
      <c r="C29" s="27" t="n">
        <f aca="false">C25+C28</f>
        <v>3681909.0744286</v>
      </c>
      <c r="D29" s="5"/>
      <c r="E29" s="5"/>
      <c r="F29" s="5"/>
      <c r="G29" s="5"/>
    </row>
    <row r="30" customFormat="false" ht="15" hidden="false" customHeight="false" outlineLevel="0" collapsed="false">
      <c r="A30" s="5"/>
      <c r="B30" s="17" t="s">
        <v>192</v>
      </c>
      <c r="C30" s="27" t="n">
        <f aca="false">Balance_Sheet!G26-Balance_Sheet!G8</f>
        <v>4756279.34514385</v>
      </c>
      <c r="D30" s="5"/>
      <c r="E30" s="5"/>
      <c r="F30" s="5"/>
      <c r="G30" s="5"/>
    </row>
    <row r="31" customFormat="false" ht="15" hidden="false" customHeight="false" outlineLevel="0" collapsed="false">
      <c r="A31" s="5"/>
      <c r="B31" s="17" t="s">
        <v>208</v>
      </c>
      <c r="C31" s="27" t="n">
        <f aca="false">C29-C30</f>
        <v>-1074370.27071525</v>
      </c>
      <c r="D31" s="5"/>
      <c r="E31" s="5"/>
      <c r="F31" s="5"/>
      <c r="G3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 min="3" style="0" width="16"/>
    <col collapsed="false" customWidth="true" hidden="false" outlineLevel="0" max="4" min="4" style="0" width="12"/>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4" t="s">
        <v>209</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5" t="s">
        <v>210</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row>
    <row r="5" customFormat="false" ht="15" hidden="false" customHeight="false" outlineLevel="0" collapsed="false">
      <c r="A5" s="5"/>
      <c r="B5" s="16" t="s">
        <v>211</v>
      </c>
      <c r="C5" s="16" t="s">
        <v>212</v>
      </c>
      <c r="D5" s="16" t="s">
        <v>213</v>
      </c>
    </row>
    <row r="6" customFormat="false" ht="15" hidden="false" customHeight="false" outlineLevel="0" collapsed="false">
      <c r="A6" s="5"/>
      <c r="B6" s="5"/>
      <c r="C6" s="5"/>
      <c r="D6" s="5"/>
    </row>
    <row r="7" customFormat="false" ht="15" hidden="false" customHeight="false" outlineLevel="0" collapsed="false">
      <c r="A7" s="5"/>
      <c r="B7" s="8" t="s">
        <v>214</v>
      </c>
      <c r="C7" s="35" t="b">
        <f aca="false">ABS(Balance_Sheet!C20-Balance_Sheet!C34)&lt;1</f>
        <v>1</v>
      </c>
      <c r="D7" s="36" t="s">
        <v>215</v>
      </c>
    </row>
    <row r="8" customFormat="false" ht="15" hidden="false" customHeight="false" outlineLevel="0" collapsed="false">
      <c r="A8" s="5"/>
      <c r="B8" s="8" t="s">
        <v>216</v>
      </c>
      <c r="C8" s="35" t="b">
        <f aca="false">ABS(Balance_Sheet!D20-Balance_Sheet!D34)&lt;1</f>
        <v>1</v>
      </c>
      <c r="D8" s="36" t="s">
        <v>215</v>
      </c>
    </row>
    <row r="9" customFormat="false" ht="15" hidden="false" customHeight="false" outlineLevel="0" collapsed="false">
      <c r="A9" s="5"/>
      <c r="B9" s="8" t="s">
        <v>217</v>
      </c>
      <c r="C9" s="35" t="b">
        <f aca="false">ABS(Balance_Sheet!E20-Balance_Sheet!E34)&lt;1</f>
        <v>1</v>
      </c>
      <c r="D9" s="36" t="s">
        <v>215</v>
      </c>
    </row>
    <row r="10" customFormat="false" ht="15" hidden="false" customHeight="false" outlineLevel="0" collapsed="false">
      <c r="A10" s="5"/>
      <c r="B10" s="8" t="s">
        <v>218</v>
      </c>
      <c r="C10" s="35" t="b">
        <f aca="false">ABS(Balance_Sheet!F20-Balance_Sheet!F34)&lt;1</f>
        <v>1</v>
      </c>
      <c r="D10" s="36" t="s">
        <v>215</v>
      </c>
    </row>
    <row r="11" customFormat="false" ht="15" hidden="false" customHeight="false" outlineLevel="0" collapsed="false">
      <c r="A11" s="5"/>
      <c r="B11" s="8" t="s">
        <v>219</v>
      </c>
      <c r="C11" s="35" t="b">
        <f aca="false">ABS(Balance_Sheet!G20-Balance_Sheet!G34)&lt;1</f>
        <v>1</v>
      </c>
      <c r="D11" s="36" t="s">
        <v>215</v>
      </c>
    </row>
    <row r="12" customFormat="false" ht="15" hidden="false" customHeight="false" outlineLevel="0" collapsed="false">
      <c r="A12" s="5"/>
      <c r="B12" s="5"/>
      <c r="C12" s="5"/>
      <c r="D12" s="5"/>
    </row>
    <row r="13" customFormat="false" ht="15" hidden="false" customHeight="false" outlineLevel="0" collapsed="false">
      <c r="A13" s="5"/>
      <c r="B13" s="8" t="s">
        <v>220</v>
      </c>
      <c r="C13" s="35" t="b">
        <f aca="false">MIN(Cash_Flow!C28,Cash_Flow!D28,Cash_Flow!E28,Cash_Flow!F28,Cash_Flow!G28)&gt;=0</f>
        <v>0</v>
      </c>
      <c r="D13" s="36" t="s">
        <v>215</v>
      </c>
    </row>
    <row r="14" customFormat="false" ht="15" hidden="false" customHeight="false" outlineLevel="0" collapsed="false">
      <c r="A14" s="5"/>
      <c r="B14" s="5"/>
      <c r="C14" s="5"/>
      <c r="D14" s="5"/>
    </row>
    <row r="15" customFormat="false" ht="15" hidden="false" customHeight="false" outlineLevel="0" collapsed="false">
      <c r="A15" s="5"/>
      <c r="B15" s="8" t="s">
        <v>221</v>
      </c>
      <c r="C15" s="35" t="b">
        <f aca="false">Income_Statement!C28/(Debt_Schedule!C9+Debt_Schedule!C11)&gt;=1.25</f>
        <v>0</v>
      </c>
      <c r="D15" s="36" t="s">
        <v>215</v>
      </c>
    </row>
    <row r="16" customFormat="false" ht="15" hidden="false" customHeight="false" outlineLevel="0" collapsed="false">
      <c r="A16" s="5"/>
      <c r="B16" s="8" t="s">
        <v>222</v>
      </c>
      <c r="C16" s="35" t="b">
        <f aca="false">Income_Statement!G28/(Debt_Schedule!G9+Debt_Schedule!G11)&gt;=1.25</f>
        <v>0</v>
      </c>
      <c r="D16" s="36" t="s">
        <v>215</v>
      </c>
    </row>
    <row r="17" customFormat="false" ht="15" hidden="false" customHeight="false" outlineLevel="0" collapsed="false">
      <c r="A17" s="5"/>
      <c r="B17" s="5"/>
      <c r="C17" s="5"/>
      <c r="D17" s="5"/>
    </row>
    <row r="18" customFormat="false" ht="15" hidden="false" customHeight="false" outlineLevel="0" collapsed="false">
      <c r="A18" s="5"/>
      <c r="B18" s="8" t="s">
        <v>223</v>
      </c>
      <c r="C18" s="35" t="b">
        <f aca="false">Debt_Schedule!G10&lt;Debt_Schedule!C8</f>
        <v>1</v>
      </c>
      <c r="D18" s="36" t="s">
        <v>215</v>
      </c>
    </row>
    <row r="19" customFormat="false" ht="15" hidden="false" customHeight="false" outlineLevel="0" collapsed="false">
      <c r="A19" s="5"/>
      <c r="B19" s="5"/>
      <c r="C19" s="5"/>
      <c r="D19" s="5"/>
    </row>
    <row r="20" customFormat="false" ht="15" hidden="false" customHeight="false" outlineLevel="0" collapsed="false">
      <c r="A20" s="5"/>
      <c r="B20" s="8" t="s">
        <v>224</v>
      </c>
      <c r="C20" s="35" t="b">
        <f aca="false">MIN(Income_Statement!C47,Income_Statement!D47,Income_Statement!E47,Income_Statement!F47,Income_Statement!G47)&gt;=0</f>
        <v>1</v>
      </c>
      <c r="D20" s="36" t="s">
        <v>215</v>
      </c>
    </row>
    <row r="21" customFormat="false" ht="15" hidden="false" customHeight="false" outlineLevel="0" collapsed="false">
      <c r="A21" s="5"/>
      <c r="B21" s="5"/>
      <c r="C21" s="5"/>
      <c r="D21" s="5"/>
    </row>
    <row r="22" customFormat="false" ht="15" hidden="false" customHeight="false" outlineLevel="0" collapsed="false">
      <c r="A22" s="5"/>
      <c r="B22" s="8" t="s">
        <v>225</v>
      </c>
      <c r="C22" s="35" t="b">
        <f aca="false">Income_Statement!G13&gt;Income_Statement!C13</f>
        <v>1</v>
      </c>
      <c r="D22" s="36" t="s">
        <v>215</v>
      </c>
    </row>
    <row r="23" customFormat="false" ht="15" hidden="false" customHeight="false" outlineLevel="0" collapsed="false">
      <c r="A23" s="5"/>
      <c r="B23" s="5"/>
      <c r="C23" s="5"/>
      <c r="D23" s="5"/>
    </row>
    <row r="24" customFormat="false" ht="15" hidden="false" customHeight="false" outlineLevel="0" collapsed="false">
      <c r="A24" s="5"/>
      <c r="B24" s="8" t="s">
        <v>226</v>
      </c>
      <c r="C24" s="35" t="b">
        <f aca="false">MIN(Income_Statement!C21,Income_Statement!D21,Income_Statement!E21,Income_Statement!F21,Income_Statement!G21)&gt;=0.4</f>
        <v>1</v>
      </c>
      <c r="D24" s="36" t="s">
        <v>215</v>
      </c>
    </row>
    <row r="25" customFormat="false" ht="15" hidden="false" customHeight="false" outlineLevel="0" collapsed="false">
      <c r="A25" s="5"/>
      <c r="B25" s="5"/>
      <c r="C25" s="5"/>
      <c r="D25" s="5"/>
    </row>
    <row r="26" customFormat="false" ht="15" hidden="false" customHeight="false" outlineLevel="0" collapsed="false">
      <c r="A26" s="5"/>
      <c r="B26" s="8" t="s">
        <v>227</v>
      </c>
      <c r="C26" s="35" t="b">
        <f aca="false">ABS(Income_Statement!C12-Income_Statement!C8*Mech_Rate)&lt;1</f>
        <v>1</v>
      </c>
      <c r="D26" s="36" t="s">
        <v>215</v>
      </c>
    </row>
    <row r="27" customFormat="false" ht="15" hidden="false" customHeight="false" outlineLevel="0" collapsed="false">
      <c r="A27" s="5"/>
      <c r="B27" s="5"/>
      <c r="C27" s="5"/>
      <c r="D27" s="5"/>
    </row>
    <row r="28" customFormat="false" ht="15" hidden="false" customHeight="false" outlineLevel="0" collapsed="false">
      <c r="A28" s="5"/>
      <c r="B28" s="8" t="s">
        <v>228</v>
      </c>
      <c r="C28" s="35" t="b">
        <f aca="false">ABS(Cash_Flow!C27+Cash_Flow!C26-Cash_Flow!C28)&lt;1</f>
        <v>1</v>
      </c>
      <c r="D28" s="36" t="s">
        <v>215</v>
      </c>
    </row>
    <row r="29" customFormat="false" ht="15" hidden="false" customHeight="false" outlineLevel="0" collapsed="false">
      <c r="A29" s="5"/>
      <c r="B29" s="8" t="s">
        <v>229</v>
      </c>
      <c r="C29" s="35" t="b">
        <f aca="false">ABS(Cash_Flow!G27+Cash_Flow!G26-Cash_Flow!G28)&lt;1</f>
        <v>1</v>
      </c>
      <c r="D29" s="36" t="s">
        <v>215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2026-05-15T18:53:32Z</dcterms:created>
  <dc:creator>openpyxl</dc:creator>
  <dc:description/>
  <dc:language>en-GB</dc:language>
  <cp:lastModifiedBy/>
  <dcterms:modified xsi:type="dcterms:W3CDTF">2026-05-15T18:53:32Z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