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Customers" sheetId="3" state="visible" r:id="rId5"/>
    <sheet name="Balance_Sheet" sheetId="4" state="visible" r:id="rId6"/>
    <sheet name="Income_Statement" sheetId="5" state="visible" r:id="rId7"/>
    <sheet name="Cash_Flow" sheetId="6" state="visible" r:id="rId8"/>
    <sheet name="Capital" sheetId="7" state="visible" r:id="rId9"/>
    <sheet name="Returns" sheetId="8" state="visible" r:id="rId10"/>
    <sheet name="Checks" sheetId="9" state="visible" r:id="rId11"/>
    <sheet name="Disclaimer" sheetId="10" state="visible" r:id="rId12"/>
  </sheets>
  <definedNames>
    <definedName function="false" hidden="false" name="Active_Scalar" vbProcedure="false">Assumptions!$C$41</definedName>
    <definedName function="false" hidden="false" name="BS_Cash" vbProcedure="false">Balance_Sheet!$C$8:$G$8</definedName>
    <definedName function="false" hidden="false" name="BS_Deposits" vbProcedure="false">Balance_Sheet!$C$14:$G$14</definedName>
    <definedName function="false" hidden="false" name="BS_Equity_Close" vbProcedure="false">Balance_Sheet!$C$19:$G$19</definedName>
    <definedName function="false" hidden="false" name="BS_Loans" vbProcedure="false">Balance_Sheet!$C$9:$G$9</definedName>
    <definedName function="false" hidden="false" name="BS_RWA" vbProcedure="false">Balance_Sheet!$C$23:$G$23</definedName>
    <definedName function="false" hidden="false" name="BS_Total_Assets" vbProcedure="false">Balance_Sheet!$C$11:$G$11</definedName>
    <definedName function="false" hidden="false" name="BS_Total_LE" vbProcedure="false">Balance_Sheet!$C$21:$G$21</definedName>
    <definedName function="false" hidden="false" name="CAC" vbProcedure="false">Assumptions!$C$28</definedName>
    <definedName function="false" hidden="false" name="Cap_Actual_Pct" vbProcedure="false">Capital!$C$10:$G$10</definedName>
    <definedName function="false" hidden="false" name="CET1_Min" vbProcedure="false">Assumptions!$C$9</definedName>
    <definedName function="false" hidden="false" name="CF_Raise" vbProcedure="false">Cash_Flow!$C$15:$G$15</definedName>
    <definedName function="false" hidden="false" name="Check_Tol" vbProcedure="false">Assumptions!$C$43</definedName>
    <definedName function="false" hidden="false" name="Churn_Yr" vbProcedure="false">Assumptions!$C$16:$G$16</definedName>
    <definedName function="false" hidden="false" name="Cost_of_Risk" vbProcedure="false">Assumptions!$C$25</definedName>
    <definedName function="false" hidden="false" name="Cust_Avg" vbProcedure="false">Customers!$C$13:$G$13</definedName>
    <definedName function="false" hidden="false" name="Cust_Closing" vbProcedure="false">Customers!$C$12:$G$12</definedName>
    <definedName function="false" hidden="false" name="Cust_Cum" vbProcedure="false">Customers!$C$14:$G$14</definedName>
    <definedName function="false" hidden="false" name="Cust_New" vbProcedure="false">Customers!$C$8:$G$8</definedName>
    <definedName function="false" hidden="false" name="Deposit_Rate" vbProcedure="false">Assumptions!$C$23</definedName>
    <definedName function="false" hidden="false" name="Dep_Per_Yr" vbProcedure="false">Assumptions!$C$17:$G$17</definedName>
    <definedName function="false" hidden="false" name="Fee_Per_Yr" vbProcedure="false">Assumptions!$C$19:$G$19</definedName>
    <definedName function="false" hidden="false" name="Fixed_Opex_Y1" vbProcedure="false">Assumptions!$C$30</definedName>
    <definedName function="false" hidden="false" name="Initial_Equity" vbProcedure="false">Assumptions!$C$8</definedName>
    <definedName function="false" hidden="false" name="IS_Net_Income" vbProcedure="false">Income_Statement!$C$24:$G$24</definedName>
    <definedName function="false" hidden="false" name="IS_NII" vbProcedure="false">Income_Statement!$C$11:$G$11</definedName>
    <definedName function="false" hidden="false" name="IS_Revenue" vbProcedure="false">Income_Statement!$C$14:$G$14</definedName>
    <definedName function="false" hidden="false" name="IS_Total_Cost" vbProcedure="false">Income_Statement!$C$20:$G$20</definedName>
    <definedName function="false" hidden="false" name="Loan_Per_Yr" vbProcedure="false">Assumptions!$C$18:$G$18</definedName>
    <definedName function="false" hidden="false" name="Loan_Rate" vbProcedure="false">Assumptions!$C$22</definedName>
    <definedName function="false" hidden="false" name="LTV_Disc_Rate" vbProcedure="false">Assumptions!$C$12</definedName>
    <definedName function="false" hidden="false" name="New_Cust_Yr" vbProcedure="false">Assumptions!$C$15:$G$15</definedName>
    <definedName function="false" hidden="false" name="Opex_Growth" vbProcedure="false">Assumptions!$C$31</definedName>
    <definedName function="false" hidden="false" name="Policy_Rate" vbProcedure="false">Assumptions!$C$24</definedName>
    <definedName function="false" hidden="false" name="Raise_Yr" vbProcedure="false">Assumptions!$C$35:$G$35</definedName>
    <definedName function="false" hidden="false" name="Risk_Weight" vbProcedure="false">Assumptions!$C$10</definedName>
    <definedName function="false" hidden="false" name="Start_Year" vbProcedure="false">Assumptions!$C$7</definedName>
    <definedName function="false" hidden="false" name="Tax_Rate" vbProcedure="false">Assumptions!$C$11</definedName>
    <definedName function="false" hidden="false" name="Var_Opex_Cust" vbProcedure="false">Assumptions!$C$29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<sst xmlns="http://schemas.openxmlformats.org/spreadsheetml/2006/main" count="289" uniqueCount="221">
  <si>
    <t xml:space="preserve">Neobank Operating Model</t>
  </si>
  <si>
    <t xml:space="preserve">FINAMODEL.com</t>
  </si>
  <si>
    <t xml:space="preserve">Digital Bank — 5-Year Forecast</t>
  </si>
  <si>
    <t xml:space="preserve">Sheet</t>
  </si>
  <si>
    <t xml:space="preserve">Tab</t>
  </si>
  <si>
    <t xml:space="preserve">Purpose</t>
  </si>
  <si>
    <t xml:space="preserve">Cover</t>
  </si>
  <si>
    <t xml:space="preserve">Navy</t>
  </si>
  <si>
    <t xml:space="preserve">Title and sheet index</t>
  </si>
  <si>
    <t xml:space="preserve">Assumptions</t>
  </si>
  <si>
    <t xml:space="preserve">Blue</t>
  </si>
  <si>
    <t xml:space="preserve">Cohort, balance, rates, opex, capital</t>
  </si>
  <si>
    <t xml:space="preserve">Customers</t>
  </si>
  <si>
    <t xml:space="preserve">Cohort acquisition, churn, closing</t>
  </si>
  <si>
    <t xml:space="preserve">Balance_Sheet</t>
  </si>
  <si>
    <t xml:space="preserve">Deposits, loans, cash, equity, RWA</t>
  </si>
  <si>
    <t xml:space="preserve">Income_Statement</t>
  </si>
  <si>
    <t xml:space="preserve">Green</t>
  </si>
  <si>
    <t xml:space="preserve">NII, fees, opex, loan loss, tax</t>
  </si>
  <si>
    <t xml:space="preserve">Cash_Flow</t>
  </si>
  <si>
    <t xml:space="preserve">CFO, CFI, CFF, closing cash</t>
  </si>
  <si>
    <t xml:space="preserve">Capital</t>
  </si>
  <si>
    <t xml:space="preserve">Orange</t>
  </si>
  <si>
    <t xml:space="preserve">CET1 actual, minimum, buffer</t>
  </si>
  <si>
    <t xml:space="preserve">Returns</t>
  </si>
  <si>
    <t xml:space="preserve">NIM, CIR, ROE, payback, LTV/CAC</t>
  </si>
  <si>
    <t xml:space="preserve">Checks</t>
  </si>
  <si>
    <t xml:space="preserve">Red</t>
  </si>
  <si>
    <t xml:space="preserve">Validation: BS balance, CET1, NIM</t>
  </si>
  <si>
    <t xml:space="preserve">Model Version: v1 (2026-05-26)</t>
  </si>
  <si>
    <t xml:space="preserve">Status: TEMPLATE - assumptions must be confirmed before use</t>
  </si>
  <si>
    <t xml:space="preserve">Parameter</t>
  </si>
  <si>
    <t xml:space="preserve">Value</t>
  </si>
  <si>
    <t xml:space="preserve">Unit</t>
  </si>
  <si>
    <t xml:space="preserve">Notes</t>
  </si>
  <si>
    <t xml:space="preserve">Scenario Selector</t>
  </si>
  <si>
    <t xml:space="preserve">1-3</t>
  </si>
  <si>
    <t xml:space="preserve">1=Base; 2=Bull (25% uplift); 3=Bear (25% haircut)</t>
  </si>
  <si>
    <t xml:space="preserve">Macro &amp; Capital</t>
  </si>
  <si>
    <t xml:space="preserve">Start Year</t>
  </si>
  <si>
    <t xml:space="preserve">year</t>
  </si>
  <si>
    <t xml:space="preserve">Year 1 calendar year</t>
  </si>
  <si>
    <t xml:space="preserve">Initial Equity</t>
  </si>
  <si>
    <t xml:space="preserve">USD</t>
  </si>
  <si>
    <t xml:space="preserve">Year 0 founding raise</t>
  </si>
  <si>
    <t xml:space="preserve">CET1 Minimum</t>
  </si>
  <si>
    <t xml:space="preserve">%</t>
  </si>
  <si>
    <t xml:space="preserve">Basel IV regulatory floor</t>
  </si>
  <si>
    <t xml:space="preserve">Retail Risk Weight</t>
  </si>
  <si>
    <t xml:space="preserve">Standardised approach for unsecured retail</t>
  </si>
  <si>
    <t xml:space="preserve">Tax Rate</t>
  </si>
  <si>
    <t xml:space="preserve">Corporate income tax</t>
  </si>
  <si>
    <t xml:space="preserve">LTV Discount Rate</t>
  </si>
  <si>
    <t xml:space="preserve">p.a.</t>
  </si>
  <si>
    <t xml:space="preserve">Discount rate for LTV calc</t>
  </si>
  <si>
    <t xml:space="preserve">Customer Cohort &amp; Balances (Years 1-5)</t>
  </si>
  <si>
    <t xml:space="preserve">Driver</t>
  </si>
  <si>
    <t xml:space="preserve">Year 1</t>
  </si>
  <si>
    <t xml:space="preserve">Year 2</t>
  </si>
  <si>
    <t xml:space="preserve">Year 3</t>
  </si>
  <si>
    <t xml:space="preserve">Year 4</t>
  </si>
  <si>
    <t xml:space="preserve">Year 5</t>
  </si>
  <si>
    <t xml:space="preserve">New Customers</t>
  </si>
  <si>
    <t xml:space="preserve">count</t>
  </si>
  <si>
    <t xml:space="preserve">Gross acquisition per year</t>
  </si>
  <si>
    <t xml:space="preserve">Annual Churn</t>
  </si>
  <si>
    <t xml:space="preserve">Annual customer attrition rate</t>
  </si>
  <si>
    <t xml:space="preserve">Deposit / Customer</t>
  </si>
  <si>
    <t xml:space="preserve">Average closing deposit balance</t>
  </si>
  <si>
    <t xml:space="preserve">Loan / Customer</t>
  </si>
  <si>
    <t xml:space="preserve">Average loan book per customer</t>
  </si>
  <si>
    <t xml:space="preserve">Fee / Customer / Yr</t>
  </si>
  <si>
    <t xml:space="preserve">Interchange + FX + premium</t>
  </si>
  <si>
    <t xml:space="preserve">Rates</t>
  </si>
  <si>
    <t xml:space="preserve">Loan Rate</t>
  </si>
  <si>
    <t xml:space="preserve">Consumer credit blend</t>
  </si>
  <si>
    <t xml:space="preserve">Deposit Rate</t>
  </si>
  <si>
    <t xml:space="preserve">Above-incumbent rate</t>
  </si>
  <si>
    <t xml:space="preserve">Policy Rate</t>
  </si>
  <si>
    <t xml:space="preserve">Central-bank reserve yield</t>
  </si>
  <si>
    <t xml:space="preserve">Cost of Risk</t>
  </si>
  <si>
    <t xml:space="preserve">Loan-loss provision % of avg loans</t>
  </si>
  <si>
    <t xml:space="preserve">Cost Structure</t>
  </si>
  <si>
    <t xml:space="preserve">CAC</t>
  </si>
  <si>
    <t xml:space="preserve">Cost per new customer acquired</t>
  </si>
  <si>
    <t xml:space="preserve">Var Opex / Customer</t>
  </si>
  <si>
    <t xml:space="preserve">Cloud + KYC + support per year</t>
  </si>
  <si>
    <t xml:space="preserve">Fixed Opex Year 1</t>
  </si>
  <si>
    <t xml:space="preserve">Platform team and overhead Y1</t>
  </si>
  <si>
    <t xml:space="preserve">Opex Growth</t>
  </si>
  <si>
    <t xml:space="preserve">Fixed opex annual growth</t>
  </si>
  <si>
    <t xml:space="preserve">Equity Raise Schedule</t>
  </si>
  <si>
    <t xml:space="preserve">Equity Raise</t>
  </si>
  <si>
    <t xml:space="preserve">Per-year primary capital raise to defend CET1</t>
  </si>
  <si>
    <t xml:space="preserve">Scenario Scalars</t>
  </si>
  <si>
    <t xml:space="preserve">Base Scenario</t>
  </si>
  <si>
    <t xml:space="preserve">x</t>
  </si>
  <si>
    <t xml:space="preserve">Multiplier on each year's new customer count</t>
  </si>
  <si>
    <t xml:space="preserve">Bull Scenario</t>
  </si>
  <si>
    <t xml:space="preserve">25% uplift in acquisition</t>
  </si>
  <si>
    <t xml:space="preserve">Bear Scenario</t>
  </si>
  <si>
    <t xml:space="preserve">25% haircut in acquisition</t>
  </si>
  <si>
    <t xml:space="preserve">Active Scalar</t>
  </si>
  <si>
    <t xml:space="preserve">Selected scenario scalar</t>
  </si>
  <si>
    <t xml:space="preserve">Check Tolerance</t>
  </si>
  <si>
    <t xml:space="preserve">Tolerance for balance-sheet check</t>
  </si>
  <si>
    <t xml:space="preserve">Customer Cohort</t>
  </si>
  <si>
    <t xml:space="preserve">Year</t>
  </si>
  <si>
    <t xml:space="preserve">Period</t>
  </si>
  <si>
    <t xml:space="preserve">Annual Churn Rate</t>
  </si>
  <si>
    <t xml:space="preserve">Opening Customers</t>
  </si>
  <si>
    <t xml:space="preserve">Churned</t>
  </si>
  <si>
    <t xml:space="preserve">Closing Customers</t>
  </si>
  <si>
    <t xml:space="preserve">Average Customers</t>
  </si>
  <si>
    <t xml:space="preserve">Cumulative Acquired</t>
  </si>
  <si>
    <t xml:space="preserve">Balance Sheet</t>
  </si>
  <si>
    <t xml:space="preserve">Assets / Earning Assets</t>
  </si>
  <si>
    <t xml:space="preserve">Cash (Central Bank)</t>
  </si>
  <si>
    <t xml:space="preserve">Loans</t>
  </si>
  <si>
    <t xml:space="preserve">Total Assets</t>
  </si>
  <si>
    <t xml:space="preserve">Liabilities &amp; Equity</t>
  </si>
  <si>
    <t xml:space="preserve">Customer Deposits</t>
  </si>
  <si>
    <t xml:space="preserve">Opening Equity</t>
  </si>
  <si>
    <t xml:space="preserve">  Net Income</t>
  </si>
  <si>
    <t xml:space="preserve">  Equity Raise</t>
  </si>
  <si>
    <t xml:space="preserve">Closing Equity</t>
  </si>
  <si>
    <t xml:space="preserve">Total Liabilities &amp; Equity</t>
  </si>
  <si>
    <t xml:space="preserve">Risk-Weighted Assets</t>
  </si>
  <si>
    <t xml:space="preserve">RWA</t>
  </si>
  <si>
    <t xml:space="preserve">Income Statement</t>
  </si>
  <si>
    <t xml:space="preserve">Net Interest Income</t>
  </si>
  <si>
    <t xml:space="preserve">Interest Income</t>
  </si>
  <si>
    <t xml:space="preserve">Cash Yield</t>
  </si>
  <si>
    <t xml:space="preserve">Interest Expense</t>
  </si>
  <si>
    <t xml:space="preserve">Fee Income</t>
  </si>
  <si>
    <t xml:space="preserve">Total Revenue</t>
  </si>
  <si>
    <t xml:space="preserve">Costs</t>
  </si>
  <si>
    <t xml:space="preserve">CAC Spend</t>
  </si>
  <si>
    <t xml:space="preserve">Fixed Opex</t>
  </si>
  <si>
    <t xml:space="preserve">Variable Opex</t>
  </si>
  <si>
    <t xml:space="preserve">Loan Loss Provision</t>
  </si>
  <si>
    <t xml:space="preserve">Total Costs</t>
  </si>
  <si>
    <t xml:space="preserve">Pre-Tax Profit</t>
  </si>
  <si>
    <t xml:space="preserve">Tax</t>
  </si>
  <si>
    <t xml:space="preserve">Net Income</t>
  </si>
  <si>
    <t xml:space="preserve">Cash Flow Statement</t>
  </si>
  <si>
    <t xml:space="preserve">Operating</t>
  </si>
  <si>
    <t xml:space="preserve">Cash from Operations</t>
  </si>
  <si>
    <t xml:space="preserve">Investing &amp; Deposit Funding</t>
  </si>
  <si>
    <t xml:space="preserve">Change in Loans</t>
  </si>
  <si>
    <t xml:space="preserve">Change in Deposits</t>
  </si>
  <si>
    <t xml:space="preserve">Cash from Investing &amp; Funding</t>
  </si>
  <si>
    <t xml:space="preserve">Financing</t>
  </si>
  <si>
    <t xml:space="preserve">Cash from Financing</t>
  </si>
  <si>
    <t xml:space="preserve">Net Change in Cash</t>
  </si>
  <si>
    <t xml:space="preserve">Opening Cash</t>
  </si>
  <si>
    <t xml:space="preserve">Closing Cash</t>
  </si>
  <si>
    <t xml:space="preserve">Regulatory Capital</t>
  </si>
  <si>
    <t xml:space="preserve">CET1 Required</t>
  </si>
  <si>
    <t xml:space="preserve">CET1 Actual</t>
  </si>
  <si>
    <t xml:space="preserve">CET1 Buffer</t>
  </si>
  <si>
    <t xml:space="preserve">Returns &amp; Unit Economics</t>
  </si>
  <si>
    <t xml:space="preserve">Metric</t>
  </si>
  <si>
    <t xml:space="preserve">Net Interest Margin (Y5)</t>
  </si>
  <si>
    <t xml:space="preserve">NII over earning assets at Y5</t>
  </si>
  <si>
    <t xml:space="preserve">Cost-to-Income (Y5)</t>
  </si>
  <si>
    <t xml:space="preserve">Total cost over revenue, Y5</t>
  </si>
  <si>
    <t xml:space="preserve">Return on Assets (Y5)</t>
  </si>
  <si>
    <t xml:space="preserve">Net income over total assets at Y5</t>
  </si>
  <si>
    <t xml:space="preserve">Return on Equity (Y5)</t>
  </si>
  <si>
    <t xml:space="preserve">Net income over closing equity, Y5</t>
  </si>
  <si>
    <t xml:space="preserve">CAC Payback (months)</t>
  </si>
  <si>
    <t xml:space="preserve">mo</t>
  </si>
  <si>
    <t xml:space="preserve">Months to recoup CAC at Y5 unit economics</t>
  </si>
  <si>
    <t xml:space="preserve">Customer LTV</t>
  </si>
  <si>
    <t xml:space="preserve">Discounted lifetime contribution at Y5 mix</t>
  </si>
  <si>
    <t xml:space="preserve">LTV / CAC</t>
  </si>
  <si>
    <t xml:space="preserve">Customer LTV over CAC</t>
  </si>
  <si>
    <t xml:space="preserve">Portfolio Composition (Y5)</t>
  </si>
  <si>
    <t xml:space="preserve">Active customers at Y5 close</t>
  </si>
  <si>
    <t xml:space="preserve">Deposit balance at Y5 close</t>
  </si>
  <si>
    <t xml:space="preserve">Loan Book</t>
  </si>
  <si>
    <t xml:space="preserve">Loan balance at Y5 close</t>
  </si>
  <si>
    <t xml:space="preserve">Equity at Y5 close</t>
  </si>
  <si>
    <t xml:space="preserve">Cumulative Net Income</t>
  </si>
  <si>
    <t xml:space="preserve">Total Y1-Y5 net income</t>
  </si>
  <si>
    <t xml:space="preserve">Equity Raised To Date</t>
  </si>
  <si>
    <t xml:space="preserve">Year-0 founding raise plus all in-period top-ups</t>
  </si>
  <si>
    <t xml:space="preserve">Validation Checks</t>
  </si>
  <si>
    <t xml:space="preserve">Check</t>
  </si>
  <si>
    <t xml:space="preserve">Target</t>
  </si>
  <si>
    <t xml:space="preserve">Status</t>
  </si>
  <si>
    <t xml:space="preserve">Balance sheet balances (Y5)</t>
  </si>
  <si>
    <t xml:space="preserve">Total Assets must equal Total Liabilities + Equity at Y5</t>
  </si>
  <si>
    <t xml:space="preserve">Balance sheet balances (Y1)</t>
  </si>
  <si>
    <t xml:space="preserve">Total Assets must equal Total Liabilities + Equity at Y1</t>
  </si>
  <si>
    <t xml:space="preserve">CET1 above minimum (Y5)</t>
  </si>
  <si>
    <t xml:space="preserve">Closing CET1 ratio must clear Basel IV minimum</t>
  </si>
  <si>
    <t xml:space="preserve">NIM in plausible range</t>
  </si>
  <si>
    <t xml:space="preserve">Y5 NIM must sit between 0% and 10%</t>
  </si>
  <si>
    <t xml:space="preserve">Cumulative customers monotonic</t>
  </si>
  <si>
    <t xml:space="preserve">Cumulative acquisition must never decrease</t>
  </si>
  <si>
    <t xml:space="preserve">Equity injection in CFF</t>
  </si>
  <si>
    <t xml:space="preserve">Cash flow financing must match raise schedule total</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</si>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</sst>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
    <numFmt numFmtId="166" formatCode="#,##0"/>
    <numFmt numFmtId="167" formatCode="0.00%"/>
    <numFmt numFmtId="168" formatCode="0.00\x"/>
    <numFmt numFmtId="169" formatCode="#,##0;\(#,##0\)"/>
  </numFmts>
  <fonts count="22">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name val="Arial"/>
      <family val="0"/>
      <charset val="1"/>
    </font>
    <font>
      <i val="true"/>
      <sz val="11"/>
      <color rgb="FFC00000"/>
      <name val="Arial"/>
      <family val="0"/>
      <charset val="1"/>
    </font>
    <font>
      <b val="true"/>
      <sz val="11"/>
      <color theme="0"/>
      <name val="Arial"/>
      <family val="0"/>
      <charset val="1"/>
    </font>
    <font>
      <b val="true"/>
      <sz val="11"/>
      <color rgb="FF0070C0"/>
      <name val="Arial"/>
      <family val="0"/>
      <charset val="1"/>
    </font>
    <font>
      <b val="true"/>
      <sz val="11"/>
      <color theme="3"/>
      <name val="Arial"/>
      <family val="0"/>
      <charset val="1"/>
    </font>
    <font>
      <sz val="11"/>
      <color rgb="FF0070C0"/>
      <name val="Arial"/>
      <family val="0"/>
      <charset val="1"/>
    </font>
    <font>
      <b val="true"/>
      <sz val="18"/>
      <color rgb="FF1F4E79"/>
      <name val="Arial"/>
      <family val="0"/>
      <charset val="1"/>
    </font>
    <font>
      <sz val="11"/>
      <color theme="1"/>
      <name val="Calibri"/>
      <family val="2"/>
      <charset val="1"/>
    </font>
    <font>
      <b val="true"/>
      <sz val="11"/>
      <color rgb="FFFFFFFF"/>
      <name val="Arial"/>
      <family val="0"/>
      <charset val="1"/>
    </font>
    <font>
      <sz val="10"/>
      <color rgb="FF262626"/>
      <name val="Arial"/>
      <family val="0"/>
      <charset val="1"/>
    </font>
    <font>
      <b val="true"/>
      <sz val="10"/>
      <color rgb="FF1F4E79"/>
      <name val="Arial"/>
      <family val="0"/>
      <charset val="1"/>
    </font>
    <font>
      <b val="true"/>
      <sz val="11"/>
      <color rgb="FF1F4E79"/>
      <name val="Arial"/>
      <family val="0"/>
      <charset val="1"/>
    </font>
    <font>
      <sz val="9"/>
      <color rgb="FF404040"/>
      <name val="Arial"/>
      <family val="0"/>
      <charset val="1"/>
    </font>
    <font>
      <i val="true"/>
      <sz val="10"/>
      <color rgb="FF808080"/>
      <name val="Arial"/>
      <family val="0"/>
      <charset val="1"/>
    </font>
  </fonts>
  <fills count="6">
    <fill>
      <patternFill patternType="none"/>
    </fill>
    <fill>
      <patternFill patternType="gray125"/>
    </fill>
    <fill>
      <patternFill patternType="solid">
        <fgColor theme="3"/>
        <bgColor rgb="FF1F4E79"/>
      </patternFill>
    </fill>
    <fill>
      <patternFill patternType="solid">
        <fgColor rgb="FFDEEAF1"/>
        <bgColor rgb="FFF2F2F2"/>
      </patternFill>
    </fill>
    <fill>
      <patternFill patternType="solid">
        <fgColor rgb="FF1F4E79"/>
        <bgColor rgb="FF1F497D"/>
      </patternFill>
    </fill>
    <fill>
      <patternFill patternType="solid">
        <fgColor rgb="FFF2F2F2"/>
        <bgColor rgb="FFDEEAF1"/>
      </patternFill>
    </fill>
  </fills>
  <borders count="3">
    <border diagonalUp="false" diagonalDown="false">
      <left/>
      <right/>
      <top/>
      <bottom/>
      <diagonal/>
    </border>
    <border diagonalUp="false" diagonalDown="false">
      <left/>
      <right/>
      <top/>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11" fillId="3"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5" fontId="13" fillId="3" borderId="0" xfId="0" applyFont="true" applyBorder="false" applyAlignment="true" applyProtection="false">
      <alignment horizontal="right" vertical="center" textRotation="0" wrapText="false" indent="0" shrinkToFit="false"/>
      <protection locked="true" hidden="false"/>
    </xf>
    <xf numFmtId="166" fontId="13" fillId="3" borderId="0" xfId="0" applyFont="true" applyBorder="false" applyAlignment="true" applyProtection="false">
      <alignment horizontal="right" vertical="center" textRotation="0" wrapText="false" indent="0" shrinkToFit="false"/>
      <protection locked="true" hidden="false"/>
    </xf>
    <xf numFmtId="167" fontId="13" fillId="3" borderId="0" xfId="0" applyFont="true" applyBorder="false" applyAlignment="true" applyProtection="false">
      <alignment horizontal="right" vertical="center" textRotation="0" wrapText="false" indent="0" shrinkToFit="false"/>
      <protection locked="true" hidden="false"/>
    </xf>
    <xf numFmtId="168" fontId="13" fillId="3" borderId="0" xfId="0" applyFont="true" applyBorder="fals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7" fontId="0"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6" fontId="8" fillId="0" borderId="1" xfId="0" applyFont="true" applyBorder="true" applyAlignment="true" applyProtection="false">
      <alignment horizontal="right"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9" fontId="8" fillId="0" borderId="1" xfId="0" applyFont="true" applyBorder="tru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7" fontId="8" fillId="0" borderId="1"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20" fillId="5"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DEEAF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66669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14"/>
    <col collapsed="false" customWidth="true" hidden="false" outlineLevel="0" max="4" min="4" style="0" width="5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5" t="s">
        <v>4</v>
      </c>
      <c r="D5" s="5" t="s">
        <v>5</v>
      </c>
    </row>
    <row r="6" customFormat="false" ht="15" hidden="false" customHeight="false" outlineLevel="0" collapsed="false">
      <c r="B6" s="6" t="s">
        <v>6</v>
      </c>
      <c r="C6" s="6" t="s">
        <v>7</v>
      </c>
      <c r="D6" s="6" t="s">
        <v>8</v>
      </c>
    </row>
    <row r="7" customFormat="false" ht="15" hidden="false" customHeight="false" outlineLevel="0" collapsed="false">
      <c r="B7" s="6" t="s">
        <v>9</v>
      </c>
      <c r="C7" s="6" t="s">
        <v>10</v>
      </c>
      <c r="D7" s="6" t="s">
        <v>11</v>
      </c>
    </row>
    <row r="8" customFormat="false" ht="15" hidden="false" customHeight="false" outlineLevel="0" collapsed="false">
      <c r="B8" s="6" t="s">
        <v>12</v>
      </c>
      <c r="C8" s="6" t="s">
        <v>10</v>
      </c>
      <c r="D8" s="6" t="s">
        <v>13</v>
      </c>
    </row>
    <row r="9" customFormat="false" ht="15" hidden="false" customHeight="false" outlineLevel="0" collapsed="false">
      <c r="B9" s="6" t="s">
        <v>14</v>
      </c>
      <c r="C9" s="6" t="s">
        <v>10</v>
      </c>
      <c r="D9" s="6" t="s">
        <v>15</v>
      </c>
    </row>
    <row r="10" customFormat="false" ht="15" hidden="false" customHeight="false" outlineLevel="0" collapsed="false">
      <c r="B10" s="6" t="s">
        <v>16</v>
      </c>
      <c r="C10" s="6" t="s">
        <v>17</v>
      </c>
      <c r="D10" s="6" t="s">
        <v>18</v>
      </c>
    </row>
    <row r="11" customFormat="false" ht="15" hidden="false" customHeight="false" outlineLevel="0" collapsed="false">
      <c r="B11" s="6" t="s">
        <v>19</v>
      </c>
      <c r="C11" s="6" t="s">
        <v>17</v>
      </c>
      <c r="D11" s="6" t="s">
        <v>20</v>
      </c>
    </row>
    <row r="12" customFormat="false" ht="15" hidden="false" customHeight="false" outlineLevel="0" collapsed="false">
      <c r="B12" s="6" t="s">
        <v>21</v>
      </c>
      <c r="C12" s="6" t="s">
        <v>22</v>
      </c>
      <c r="D12" s="6" t="s">
        <v>23</v>
      </c>
    </row>
    <row r="13" customFormat="false" ht="15" hidden="false" customHeight="false" outlineLevel="0" collapsed="false">
      <c r="B13" s="6" t="s">
        <v>24</v>
      </c>
      <c r="C13" s="6" t="s">
        <v>22</v>
      </c>
      <c r="D13" s="6" t="s">
        <v>25</v>
      </c>
    </row>
    <row r="14" customFormat="false" ht="15" hidden="false" customHeight="false" outlineLevel="0" collapsed="false">
      <c r="B14" s="6" t="s">
        <v>26</v>
      </c>
      <c r="C14" s="6" t="s">
        <v>27</v>
      </c>
      <c r="D14" s="6" t="s">
        <v>28</v>
      </c>
    </row>
    <row r="16" customFormat="false" ht="15" hidden="false" customHeight="false" outlineLevel="0" collapsed="false">
      <c r="B16" s="7" t="s">
        <v>29</v>
      </c>
    </row>
    <row r="17" customFormat="false" ht="15" hidden="false" customHeight="false" outlineLevel="0" collapsed="false">
      <c r="B17" s="8" t="s">
        <v>30</v>
      </c>
    </row>
  </sheetData>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0" t="s">
        <v>204</v>
      </c>
    </row>
    <row r="3" customFormat="false" ht="3.75" hidden="false" customHeight="true" outlineLevel="0" collapsed="false">
      <c r="B3" s="31"/>
    </row>
    <row r="6" customFormat="false" ht="19.5" hidden="false" customHeight="true" outlineLevel="0" collapsed="false">
      <c r="B6" s="32" t="s">
        <v>205</v>
      </c>
    </row>
    <row r="7" customFormat="false" ht="48" hidden="false" customHeight="true" outlineLevel="0" collapsed="false">
      <c r="B7" s="33" t="s">
        <v>206</v>
      </c>
    </row>
    <row r="9" customFormat="false" ht="19.5" hidden="false" customHeight="true" outlineLevel="0" collapsed="false">
      <c r="B9" s="32" t="s">
        <v>207</v>
      </c>
    </row>
    <row r="10" customFormat="false" ht="61.5" hidden="false" customHeight="true" outlineLevel="0" collapsed="false">
      <c r="B10" s="33" t="s">
        <v>208</v>
      </c>
    </row>
    <row r="12" customFormat="false" ht="19.5" hidden="false" customHeight="true" outlineLevel="0" collapsed="false">
      <c r="B12" s="32" t="s">
        <v>209</v>
      </c>
    </row>
    <row r="13" customFormat="false" ht="75.75" hidden="false" customHeight="true" outlineLevel="0" collapsed="false">
      <c r="B13" s="33" t="s">
        <v>210</v>
      </c>
    </row>
    <row r="15" customFormat="false" ht="19.5" hidden="false" customHeight="true" outlineLevel="0" collapsed="false">
      <c r="B15" s="32" t="s">
        <v>211</v>
      </c>
    </row>
    <row r="16" customFormat="false" ht="61.5" hidden="false" customHeight="true" outlineLevel="0" collapsed="false">
      <c r="B16" s="33" t="s">
        <v>212</v>
      </c>
    </row>
    <row r="18" customFormat="false" ht="19.5" hidden="false" customHeight="true" outlineLevel="0" collapsed="false">
      <c r="B18" s="32" t="s">
        <v>213</v>
      </c>
    </row>
    <row r="19" customFormat="false" ht="33.75" hidden="false" customHeight="true" outlineLevel="0" collapsed="false">
      <c r="B19" s="33" t="s">
        <v>214</v>
      </c>
    </row>
    <row r="21" customFormat="false" ht="19.5" hidden="false" customHeight="true" outlineLevel="0" collapsed="false">
      <c r="B21" s="32" t="s">
        <v>215</v>
      </c>
    </row>
    <row r="22" customFormat="false" ht="33.75" hidden="false" customHeight="true" outlineLevel="0" collapsed="false">
      <c r="B22" s="33" t="s">
        <v>216</v>
      </c>
    </row>
    <row r="24" customFormat="false" ht="21.75" hidden="false" customHeight="true" outlineLevel="0" collapsed="false">
      <c r="B24" s="34" t="s">
        <v>217</v>
      </c>
    </row>
    <row r="26" customFormat="false" ht="18" hidden="false" customHeight="true" outlineLevel="0" collapsed="false">
      <c r="B26" s="35" t="s">
        <v>218</v>
      </c>
    </row>
    <row r="27" customFormat="false" ht="201.75" hidden="false" customHeight="true" outlineLevel="0" collapsed="false">
      <c r="B27" s="36" t="s">
        <v>219</v>
      </c>
    </row>
    <row r="29" customFormat="false" ht="18" hidden="false" customHeight="true" outlineLevel="0" collapsed="false">
      <c r="B29" s="37" t="s">
        <v>220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 collapsed="false" customWidth="true" hidden="false" outlineLevel="0" max="8" min="8" style="0" width="14"/>
    <col collapsed="false" customWidth="true" hidden="false" outlineLevel="0" max="9" min="9"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9" t="s">
        <v>31</v>
      </c>
      <c r="C4" s="9" t="s">
        <v>32</v>
      </c>
      <c r="D4" s="9" t="s">
        <v>33</v>
      </c>
      <c r="E4" s="9" t="s">
        <v>34</v>
      </c>
    </row>
    <row r="5" customFormat="false" ht="15" hidden="false" customHeight="false" outlineLevel="0" collapsed="false">
      <c r="B5" s="10" t="s">
        <v>35</v>
      </c>
      <c r="C5" s="11" t="n">
        <v>1</v>
      </c>
      <c r="D5" s="7" t="s">
        <v>36</v>
      </c>
      <c r="E5" s="7" t="s">
        <v>37</v>
      </c>
    </row>
    <row r="6" customFormat="false" ht="15" hidden="false" customHeight="false" outlineLevel="0" collapsed="false">
      <c r="B6" s="12" t="s">
        <v>38</v>
      </c>
    </row>
    <row r="7" customFormat="false" ht="15" hidden="false" customHeight="false" outlineLevel="0" collapsed="false">
      <c r="B7" s="7" t="s">
        <v>39</v>
      </c>
      <c r="C7" s="13" t="n">
        <v>2026</v>
      </c>
      <c r="D7" s="7" t="s">
        <v>40</v>
      </c>
      <c r="E7" s="7" t="s">
        <v>41</v>
      </c>
    </row>
    <row r="8" customFormat="false" ht="15" hidden="false" customHeight="false" outlineLevel="0" collapsed="false">
      <c r="B8" s="7" t="s">
        <v>42</v>
      </c>
      <c r="C8" s="14" t="n">
        <v>50000000</v>
      </c>
      <c r="D8" s="7" t="s">
        <v>43</v>
      </c>
      <c r="E8" s="7" t="s">
        <v>44</v>
      </c>
    </row>
    <row r="9" customFormat="false" ht="15" hidden="false" customHeight="false" outlineLevel="0" collapsed="false">
      <c r="B9" s="7" t="s">
        <v>45</v>
      </c>
      <c r="C9" s="15" t="n">
        <v>0.105</v>
      </c>
      <c r="D9" s="7" t="s">
        <v>46</v>
      </c>
      <c r="E9" s="7" t="s">
        <v>47</v>
      </c>
    </row>
    <row r="10" customFormat="false" ht="15" hidden="false" customHeight="false" outlineLevel="0" collapsed="false">
      <c r="B10" s="7" t="s">
        <v>48</v>
      </c>
      <c r="C10" s="15" t="n">
        <v>0.75</v>
      </c>
      <c r="D10" s="7" t="s">
        <v>46</v>
      </c>
      <c r="E10" s="7" t="s">
        <v>49</v>
      </c>
    </row>
    <row r="11" customFormat="false" ht="15" hidden="false" customHeight="false" outlineLevel="0" collapsed="false">
      <c r="B11" s="7" t="s">
        <v>50</v>
      </c>
      <c r="C11" s="15" t="n">
        <v>0.25</v>
      </c>
      <c r="D11" s="7" t="s">
        <v>46</v>
      </c>
      <c r="E11" s="7" t="s">
        <v>51</v>
      </c>
    </row>
    <row r="12" customFormat="false" ht="15" hidden="false" customHeight="false" outlineLevel="0" collapsed="false">
      <c r="B12" s="7" t="s">
        <v>52</v>
      </c>
      <c r="C12" s="15" t="n">
        <v>0.1</v>
      </c>
      <c r="D12" s="7" t="s">
        <v>53</v>
      </c>
      <c r="E12" s="7" t="s">
        <v>54</v>
      </c>
    </row>
    <row r="13" customFormat="false" ht="15" hidden="false" customHeight="false" outlineLevel="0" collapsed="false">
      <c r="B13" s="12" t="s">
        <v>55</v>
      </c>
    </row>
    <row r="14" customFormat="false" ht="15" hidden="false" customHeight="false" outlineLevel="0" collapsed="false">
      <c r="B14" s="9" t="s">
        <v>56</v>
      </c>
      <c r="C14" s="9" t="s">
        <v>57</v>
      </c>
      <c r="D14" s="9" t="s">
        <v>58</v>
      </c>
      <c r="E14" s="9" t="s">
        <v>59</v>
      </c>
      <c r="F14" s="9" t="s">
        <v>60</v>
      </c>
      <c r="G14" s="9" t="s">
        <v>61</v>
      </c>
      <c r="H14" s="9" t="s">
        <v>33</v>
      </c>
      <c r="I14" s="9" t="s">
        <v>34</v>
      </c>
    </row>
    <row r="15" customFormat="false" ht="15" hidden="false" customHeight="false" outlineLevel="0" collapsed="false">
      <c r="B15" s="7" t="s">
        <v>62</v>
      </c>
      <c r="C15" s="14" t="n">
        <v>100000</v>
      </c>
      <c r="D15" s="14" t="n">
        <v>250000</v>
      </c>
      <c r="E15" s="14" t="n">
        <v>400000</v>
      </c>
      <c r="F15" s="14" t="n">
        <v>500000</v>
      </c>
      <c r="G15" s="14" t="n">
        <v>600000</v>
      </c>
      <c r="H15" s="7" t="s">
        <v>63</v>
      </c>
      <c r="I15" s="7" t="s">
        <v>64</v>
      </c>
    </row>
    <row r="16" customFormat="false" ht="15" hidden="false" customHeight="false" outlineLevel="0" collapsed="false">
      <c r="B16" s="7" t="s">
        <v>65</v>
      </c>
      <c r="C16" s="15" t="n">
        <v>0.2</v>
      </c>
      <c r="D16" s="15" t="n">
        <v>0.18</v>
      </c>
      <c r="E16" s="15" t="n">
        <v>0.16</v>
      </c>
      <c r="F16" s="15" t="n">
        <v>0.14</v>
      </c>
      <c r="G16" s="15" t="n">
        <v>0.12</v>
      </c>
      <c r="H16" s="7" t="s">
        <v>46</v>
      </c>
      <c r="I16" s="7" t="s">
        <v>66</v>
      </c>
    </row>
    <row r="17" customFormat="false" ht="15" hidden="false" customHeight="false" outlineLevel="0" collapsed="false">
      <c r="B17" s="7" t="s">
        <v>67</v>
      </c>
      <c r="C17" s="14" t="n">
        <v>1200</v>
      </c>
      <c r="D17" s="14" t="n">
        <v>1500</v>
      </c>
      <c r="E17" s="14" t="n">
        <v>1800</v>
      </c>
      <c r="F17" s="14" t="n">
        <v>2100</v>
      </c>
      <c r="G17" s="14" t="n">
        <v>2400</v>
      </c>
      <c r="H17" s="7" t="s">
        <v>43</v>
      </c>
      <c r="I17" s="7" t="s">
        <v>68</v>
      </c>
    </row>
    <row r="18" customFormat="false" ht="15" hidden="false" customHeight="false" outlineLevel="0" collapsed="false">
      <c r="B18" s="7" t="s">
        <v>69</v>
      </c>
      <c r="C18" s="14" t="n">
        <v>400</v>
      </c>
      <c r="D18" s="14" t="n">
        <v>700</v>
      </c>
      <c r="E18" s="14" t="n">
        <v>1100</v>
      </c>
      <c r="F18" s="14" t="n">
        <v>1500</v>
      </c>
      <c r="G18" s="14" t="n">
        <v>1900</v>
      </c>
      <c r="H18" s="7" t="s">
        <v>43</v>
      </c>
      <c r="I18" s="7" t="s">
        <v>70</v>
      </c>
    </row>
    <row r="19" customFormat="false" ht="15" hidden="false" customHeight="false" outlineLevel="0" collapsed="false">
      <c r="B19" s="7" t="s">
        <v>71</v>
      </c>
      <c r="C19" s="14" t="n">
        <v>35</v>
      </c>
      <c r="D19" s="14" t="n">
        <v>40</v>
      </c>
      <c r="E19" s="14" t="n">
        <v>45</v>
      </c>
      <c r="F19" s="14" t="n">
        <v>50</v>
      </c>
      <c r="G19" s="14" t="n">
        <v>55</v>
      </c>
      <c r="H19" s="7" t="s">
        <v>43</v>
      </c>
      <c r="I19" s="7" t="s">
        <v>72</v>
      </c>
    </row>
    <row r="21" customFormat="false" ht="15" hidden="false" customHeight="false" outlineLevel="0" collapsed="false">
      <c r="B21" s="12" t="s">
        <v>73</v>
      </c>
    </row>
    <row r="22" customFormat="false" ht="15" hidden="false" customHeight="false" outlineLevel="0" collapsed="false">
      <c r="B22" s="7" t="s">
        <v>74</v>
      </c>
      <c r="C22" s="15" t="n">
        <v>0.11</v>
      </c>
      <c r="D22" s="7" t="s">
        <v>53</v>
      </c>
      <c r="E22" s="7" t="s">
        <v>75</v>
      </c>
    </row>
    <row r="23" customFormat="false" ht="15" hidden="false" customHeight="false" outlineLevel="0" collapsed="false">
      <c r="B23" s="7" t="s">
        <v>76</v>
      </c>
      <c r="C23" s="15" t="n">
        <v>0.025</v>
      </c>
      <c r="D23" s="7" t="s">
        <v>53</v>
      </c>
      <c r="E23" s="7" t="s">
        <v>77</v>
      </c>
    </row>
    <row r="24" customFormat="false" ht="15" hidden="false" customHeight="false" outlineLevel="0" collapsed="false">
      <c r="B24" s="7" t="s">
        <v>78</v>
      </c>
      <c r="C24" s="15" t="n">
        <v>0.04</v>
      </c>
      <c r="D24" s="7" t="s">
        <v>53</v>
      </c>
      <c r="E24" s="7" t="s">
        <v>79</v>
      </c>
    </row>
    <row r="25" customFormat="false" ht="15" hidden="false" customHeight="false" outlineLevel="0" collapsed="false">
      <c r="B25" s="7" t="s">
        <v>80</v>
      </c>
      <c r="C25" s="15" t="n">
        <v>0.02</v>
      </c>
      <c r="D25" s="7" t="s">
        <v>53</v>
      </c>
      <c r="E25" s="7" t="s">
        <v>81</v>
      </c>
    </row>
    <row r="27" customFormat="false" ht="15" hidden="false" customHeight="false" outlineLevel="0" collapsed="false">
      <c r="B27" s="12" t="s">
        <v>82</v>
      </c>
    </row>
    <row r="28" customFormat="false" ht="15" hidden="false" customHeight="false" outlineLevel="0" collapsed="false">
      <c r="B28" s="7" t="s">
        <v>83</v>
      </c>
      <c r="C28" s="14" t="n">
        <v>25</v>
      </c>
      <c r="D28" s="7" t="s">
        <v>43</v>
      </c>
      <c r="E28" s="7" t="s">
        <v>84</v>
      </c>
    </row>
    <row r="29" customFormat="false" ht="15" hidden="false" customHeight="false" outlineLevel="0" collapsed="false">
      <c r="B29" s="7" t="s">
        <v>85</v>
      </c>
      <c r="C29" s="14" t="n">
        <v>12</v>
      </c>
      <c r="D29" s="7" t="s">
        <v>43</v>
      </c>
      <c r="E29" s="7" t="s">
        <v>86</v>
      </c>
    </row>
    <row r="30" customFormat="false" ht="15" hidden="false" customHeight="false" outlineLevel="0" collapsed="false">
      <c r="B30" s="7" t="s">
        <v>87</v>
      </c>
      <c r="C30" s="14" t="n">
        <v>15000000</v>
      </c>
      <c r="D30" s="7" t="s">
        <v>43</v>
      </c>
      <c r="E30" s="7" t="s">
        <v>88</v>
      </c>
    </row>
    <row r="31" customFormat="false" ht="15" hidden="false" customHeight="false" outlineLevel="0" collapsed="false">
      <c r="B31" s="7" t="s">
        <v>89</v>
      </c>
      <c r="C31" s="15" t="n">
        <v>0.2</v>
      </c>
      <c r="D31" s="7" t="s">
        <v>53</v>
      </c>
      <c r="E31" s="7" t="s">
        <v>90</v>
      </c>
    </row>
    <row r="33" customFormat="false" ht="15" hidden="false" customHeight="false" outlineLevel="0" collapsed="false">
      <c r="B33" s="12" t="s">
        <v>91</v>
      </c>
    </row>
    <row r="34" customFormat="false" ht="15" hidden="false" customHeight="false" outlineLevel="0" collapsed="false">
      <c r="B34" s="9" t="s">
        <v>56</v>
      </c>
      <c r="C34" s="9" t="s">
        <v>57</v>
      </c>
      <c r="D34" s="9" t="s">
        <v>58</v>
      </c>
      <c r="E34" s="9" t="s">
        <v>59</v>
      </c>
      <c r="F34" s="9" t="s">
        <v>60</v>
      </c>
      <c r="G34" s="9" t="s">
        <v>61</v>
      </c>
      <c r="H34" s="9" t="s">
        <v>33</v>
      </c>
      <c r="I34" s="9" t="s">
        <v>34</v>
      </c>
    </row>
    <row r="35" customFormat="false" ht="15" hidden="false" customHeight="false" outlineLevel="0" collapsed="false">
      <c r="B35" s="7" t="s">
        <v>92</v>
      </c>
      <c r="C35" s="14" t="n">
        <v>0</v>
      </c>
      <c r="D35" s="14" t="n">
        <v>0</v>
      </c>
      <c r="E35" s="14" t="n">
        <v>150000000</v>
      </c>
      <c r="F35" s="14" t="n">
        <v>0</v>
      </c>
      <c r="G35" s="14" t="n">
        <v>250000000</v>
      </c>
      <c r="H35" s="7" t="s">
        <v>43</v>
      </c>
      <c r="I35" s="7" t="s">
        <v>93</v>
      </c>
    </row>
    <row r="37" customFormat="false" ht="15" hidden="false" customHeight="false" outlineLevel="0" collapsed="false">
      <c r="B37" s="12" t="s">
        <v>94</v>
      </c>
    </row>
    <row r="38" customFormat="false" ht="15" hidden="false" customHeight="false" outlineLevel="0" collapsed="false">
      <c r="B38" s="7" t="s">
        <v>95</v>
      </c>
      <c r="C38" s="16" t="n">
        <v>1</v>
      </c>
      <c r="D38" s="7" t="s">
        <v>96</v>
      </c>
      <c r="E38" s="7" t="s">
        <v>97</v>
      </c>
    </row>
    <row r="39" customFormat="false" ht="15" hidden="false" customHeight="false" outlineLevel="0" collapsed="false">
      <c r="B39" s="7" t="s">
        <v>98</v>
      </c>
      <c r="C39" s="16" t="n">
        <v>1.25</v>
      </c>
      <c r="D39" s="7" t="s">
        <v>96</v>
      </c>
      <c r="E39" s="7" t="s">
        <v>99</v>
      </c>
    </row>
    <row r="40" customFormat="false" ht="15" hidden="false" customHeight="false" outlineLevel="0" collapsed="false">
      <c r="B40" s="7" t="s">
        <v>100</v>
      </c>
      <c r="C40" s="16" t="n">
        <v>0.75</v>
      </c>
      <c r="D40" s="7" t="s">
        <v>96</v>
      </c>
      <c r="E40" s="7" t="s">
        <v>101</v>
      </c>
    </row>
    <row r="41" customFormat="false" ht="15" hidden="false" customHeight="false" outlineLevel="0" collapsed="false">
      <c r="B41" s="10" t="s">
        <v>102</v>
      </c>
      <c r="C41" s="17" t="n">
        <f aca="false">CHOOSE($C$5,$C$38,$C$39,$C$40)</f>
        <v>1</v>
      </c>
      <c r="D41" s="7" t="s">
        <v>96</v>
      </c>
      <c r="E41" s="7" t="s">
        <v>103</v>
      </c>
    </row>
    <row r="43" customFormat="false" ht="15" hidden="false" customHeight="false" outlineLevel="0" collapsed="false">
      <c r="B43" s="7" t="s">
        <v>104</v>
      </c>
      <c r="C43" s="14" t="n">
        <v>1</v>
      </c>
      <c r="D43" s="7" t="s">
        <v>43</v>
      </c>
      <c r="E43" s="7" t="s">
        <v>105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106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107</v>
      </c>
      <c r="C5" s="18" t="n">
        <f aca="false">Start_Year+C6-1</f>
        <v>2026</v>
      </c>
      <c r="D5" s="18" t="n">
        <f aca="false">Start_Year+D6-1</f>
        <v>2027</v>
      </c>
      <c r="E5" s="18" t="n">
        <f aca="false">Start_Year+E6-1</f>
        <v>2028</v>
      </c>
      <c r="F5" s="18" t="n">
        <f aca="false">Start_Year+F6-1</f>
        <v>2029</v>
      </c>
      <c r="G5" s="18" t="n">
        <f aca="false">Start_Year+G6-1</f>
        <v>2030</v>
      </c>
    </row>
    <row r="6" customFormat="false" ht="15" hidden="false" customHeight="false" outlineLevel="0" collapsed="false">
      <c r="B6" s="5" t="s">
        <v>108</v>
      </c>
      <c r="C6" s="19" t="n">
        <f aca="false">Start_Year-Start_Year+1</f>
        <v>1</v>
      </c>
      <c r="D6" s="19" t="n">
        <f aca="false">C6+1</f>
        <v>2</v>
      </c>
      <c r="E6" s="19" t="n">
        <f aca="false">D6+1</f>
        <v>3</v>
      </c>
      <c r="F6" s="19" t="n">
        <f aca="false">E6+1</f>
        <v>4</v>
      </c>
      <c r="G6" s="19" t="n">
        <f aca="false">F6+1</f>
        <v>5</v>
      </c>
    </row>
    <row r="8" customFormat="false" ht="15" hidden="false" customHeight="false" outlineLevel="0" collapsed="false">
      <c r="B8" s="6" t="s">
        <v>62</v>
      </c>
      <c r="C8" s="19" t="n">
        <f aca="false">INDEX(New_Cust_Yr,1,1)*Active_Scalar</f>
        <v>100000</v>
      </c>
      <c r="D8" s="19" t="n">
        <f aca="false">INDEX(New_Cust_Yr,1,2)*Active_Scalar</f>
        <v>250000</v>
      </c>
      <c r="E8" s="19" t="n">
        <f aca="false">INDEX(New_Cust_Yr,1,3)*Active_Scalar</f>
        <v>400000</v>
      </c>
      <c r="F8" s="19" t="n">
        <f aca="false">INDEX(New_Cust_Yr,1,4)*Active_Scalar</f>
        <v>500000</v>
      </c>
      <c r="G8" s="19" t="n">
        <f aca="false">INDEX(New_Cust_Yr,1,5)*Active_Scalar</f>
        <v>600000</v>
      </c>
    </row>
    <row r="9" customFormat="false" ht="15" hidden="false" customHeight="false" outlineLevel="0" collapsed="false">
      <c r="B9" s="6" t="s">
        <v>109</v>
      </c>
      <c r="C9" s="20" t="n">
        <f aca="false">INDEX(Churn_Yr,1,1)</f>
        <v>0.2</v>
      </c>
      <c r="D9" s="20" t="n">
        <f aca="false">INDEX(Churn_Yr,1,2)</f>
        <v>0.18</v>
      </c>
      <c r="E9" s="20" t="n">
        <f aca="false">INDEX(Churn_Yr,1,3)</f>
        <v>0.16</v>
      </c>
      <c r="F9" s="20" t="n">
        <f aca="false">INDEX(Churn_Yr,1,4)</f>
        <v>0.14</v>
      </c>
      <c r="G9" s="20" t="n">
        <f aca="false">INDEX(Churn_Yr,1,5)</f>
        <v>0.12</v>
      </c>
    </row>
    <row r="10" customFormat="false" ht="15" hidden="false" customHeight="false" outlineLevel="0" collapsed="false">
      <c r="B10" s="7" t="s">
        <v>110</v>
      </c>
      <c r="C10" s="19" t="n">
        <f aca="false">Start_Year-Start_Year</f>
        <v>0</v>
      </c>
      <c r="D10" s="19" t="n">
        <f aca="false">C12</f>
        <v>100000</v>
      </c>
      <c r="E10" s="19" t="n">
        <f aca="false">D12</f>
        <v>332000</v>
      </c>
      <c r="F10" s="19" t="n">
        <f aca="false">E12</f>
        <v>678880</v>
      </c>
      <c r="G10" s="19" t="n">
        <f aca="false">F12</f>
        <v>1083836.8</v>
      </c>
    </row>
    <row r="11" customFormat="false" ht="15" hidden="false" customHeight="false" outlineLevel="0" collapsed="false">
      <c r="B11" s="6" t="s">
        <v>111</v>
      </c>
      <c r="C11" s="21" t="n">
        <f aca="false">-C10*C9</f>
        <v>-0</v>
      </c>
      <c r="D11" s="21" t="n">
        <f aca="false">-D10*D9</f>
        <v>-18000</v>
      </c>
      <c r="E11" s="21" t="n">
        <f aca="false">-E10*E9</f>
        <v>-53120</v>
      </c>
      <c r="F11" s="21" t="n">
        <f aca="false">-F10*F9</f>
        <v>-95043.2</v>
      </c>
      <c r="G11" s="21" t="n">
        <f aca="false">-G10*G9</f>
        <v>-130060.416</v>
      </c>
    </row>
    <row r="12" customFormat="false" ht="15" hidden="false" customHeight="false" outlineLevel="0" collapsed="false">
      <c r="B12" s="22" t="s">
        <v>112</v>
      </c>
      <c r="C12" s="23" t="n">
        <f aca="false">C10+C8+C11</f>
        <v>100000</v>
      </c>
      <c r="D12" s="23" t="n">
        <f aca="false">D10+D8+D11</f>
        <v>332000</v>
      </c>
      <c r="E12" s="23" t="n">
        <f aca="false">E10+E8+E11</f>
        <v>678880</v>
      </c>
      <c r="F12" s="23" t="n">
        <f aca="false">F10+F8+F11</f>
        <v>1083836.8</v>
      </c>
      <c r="G12" s="23" t="n">
        <f aca="false">G10+G8+G11</f>
        <v>1553776.384</v>
      </c>
    </row>
    <row r="13" customFormat="false" ht="15" hidden="false" customHeight="false" outlineLevel="0" collapsed="false">
      <c r="B13" s="6" t="s">
        <v>113</v>
      </c>
      <c r="C13" s="19" t="n">
        <f aca="false">(C10+C12)/2</f>
        <v>50000</v>
      </c>
      <c r="D13" s="19" t="n">
        <f aca="false">(D10+D12)/2</f>
        <v>216000</v>
      </c>
      <c r="E13" s="19" t="n">
        <f aca="false">(E10+E12)/2</f>
        <v>505440</v>
      </c>
      <c r="F13" s="19" t="n">
        <f aca="false">(F10+F12)/2</f>
        <v>881358.4</v>
      </c>
      <c r="G13" s="19" t="n">
        <f aca="false">(G10+G12)/2</f>
        <v>1318806.592</v>
      </c>
    </row>
    <row r="14" customFormat="false" ht="15" hidden="false" customHeight="false" outlineLevel="0" collapsed="false">
      <c r="B14" s="10" t="s">
        <v>114</v>
      </c>
      <c r="C14" s="24" t="n">
        <f aca="false">C8</f>
        <v>100000</v>
      </c>
      <c r="D14" s="24" t="n">
        <f aca="false">C14+D8</f>
        <v>350000</v>
      </c>
      <c r="E14" s="24" t="n">
        <f aca="false">D14+E8</f>
        <v>750000</v>
      </c>
      <c r="F14" s="24" t="n">
        <f aca="false">E14+F8</f>
        <v>1250000</v>
      </c>
      <c r="G14" s="24" t="n">
        <f aca="false">F14+G8</f>
        <v>1850000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107</v>
      </c>
      <c r="C5" s="18" t="n">
        <f aca="false">Start_Year+C6-1</f>
        <v>2026</v>
      </c>
      <c r="D5" s="18" t="n">
        <f aca="false">Start_Year+D6-1</f>
        <v>2027</v>
      </c>
      <c r="E5" s="18" t="n">
        <f aca="false">Start_Year+E6-1</f>
        <v>2028</v>
      </c>
      <c r="F5" s="18" t="n">
        <f aca="false">Start_Year+F6-1</f>
        <v>2029</v>
      </c>
      <c r="G5" s="18" t="n">
        <f aca="false">Start_Year+G6-1</f>
        <v>2030</v>
      </c>
    </row>
    <row r="6" customFormat="false" ht="15" hidden="false" customHeight="false" outlineLevel="0" collapsed="false">
      <c r="B6" s="5" t="s">
        <v>108</v>
      </c>
      <c r="C6" s="19" t="n">
        <f aca="false">Start_Year-Start_Year+1</f>
        <v>1</v>
      </c>
      <c r="D6" s="19" t="n">
        <f aca="false">C6+1</f>
        <v>2</v>
      </c>
      <c r="E6" s="19" t="n">
        <f aca="false">D6+1</f>
        <v>3</v>
      </c>
      <c r="F6" s="19" t="n">
        <f aca="false">E6+1</f>
        <v>4</v>
      </c>
      <c r="G6" s="19" t="n">
        <f aca="false">F6+1</f>
        <v>5</v>
      </c>
    </row>
    <row r="7" customFormat="false" ht="15" hidden="false" customHeight="false" outlineLevel="0" collapsed="false">
      <c r="B7" s="12" t="s">
        <v>116</v>
      </c>
    </row>
    <row r="8" customFormat="false" ht="15" hidden="false" customHeight="false" outlineLevel="0" collapsed="false">
      <c r="B8" s="6" t="s">
        <v>117</v>
      </c>
      <c r="C8" s="19" t="n">
        <f aca="false">C19+C14-C9</f>
        <v>115350000</v>
      </c>
      <c r="D8" s="19" t="n">
        <f aca="false">D19+D14-D9</f>
        <v>290503000</v>
      </c>
      <c r="E8" s="19" t="n">
        <f aca="false">E19+E14-E9</f>
        <v>663004840</v>
      </c>
      <c r="F8" s="19" t="n">
        <f aca="false">F19+F14-F9</f>
        <v>899740995</v>
      </c>
      <c r="G8" s="19" t="n">
        <f aca="false">G19+G14-G9</f>
        <v>1407365264.298</v>
      </c>
    </row>
    <row r="9" customFormat="false" ht="15" hidden="false" customHeight="false" outlineLevel="0" collapsed="false">
      <c r="B9" s="6" t="s">
        <v>118</v>
      </c>
      <c r="C9" s="19" t="n">
        <f aca="false">INDEX(Cust_Closing,1,1)*INDEX(Loan_Per_Yr,1,1)</f>
        <v>40000000</v>
      </c>
      <c r="D9" s="19" t="n">
        <f aca="false">INDEX(Cust_Closing,1,2)*INDEX(Loan_Per_Yr,1,2)</f>
        <v>232400000</v>
      </c>
      <c r="E9" s="19" t="n">
        <f aca="false">INDEX(Cust_Closing,1,3)*INDEX(Loan_Per_Yr,1,3)</f>
        <v>746768000</v>
      </c>
      <c r="F9" s="19" t="n">
        <f aca="false">INDEX(Cust_Closing,1,4)*INDEX(Loan_Per_Yr,1,4)</f>
        <v>1625755200</v>
      </c>
      <c r="G9" s="19" t="n">
        <f aca="false">INDEX(Cust_Closing,1,5)*INDEX(Loan_Per_Yr,1,5)</f>
        <v>2952175129.6</v>
      </c>
    </row>
    <row r="11" customFormat="false" ht="15" hidden="false" customHeight="false" outlineLevel="0" collapsed="false">
      <c r="B11" s="22" t="s">
        <v>119</v>
      </c>
      <c r="C11" s="23" t="n">
        <f aca="false">C8+C9</f>
        <v>155350000</v>
      </c>
      <c r="D11" s="23" t="n">
        <f aca="false">D8+D9</f>
        <v>522903000</v>
      </c>
      <c r="E11" s="23" t="n">
        <f aca="false">E8+E9</f>
        <v>1409772840</v>
      </c>
      <c r="F11" s="23" t="n">
        <f aca="false">F8+F9</f>
        <v>2525496195</v>
      </c>
      <c r="G11" s="23" t="n">
        <f aca="false">G8+G9</f>
        <v>4359540393.898</v>
      </c>
    </row>
    <row r="13" customFormat="false" ht="15" hidden="false" customHeight="false" outlineLevel="0" collapsed="false">
      <c r="B13" s="12" t="s">
        <v>120</v>
      </c>
    </row>
    <row r="14" customFormat="false" ht="15" hidden="false" customHeight="false" outlineLevel="0" collapsed="false">
      <c r="B14" s="6" t="s">
        <v>121</v>
      </c>
      <c r="C14" s="19" t="n">
        <f aca="false">INDEX(Cust_Closing,1,1)*INDEX(Dep_Per_Yr,1,1)</f>
        <v>120000000</v>
      </c>
      <c r="D14" s="19" t="n">
        <f aca="false">INDEX(Cust_Closing,1,2)*INDEX(Dep_Per_Yr,1,2)</f>
        <v>498000000</v>
      </c>
      <c r="E14" s="19" t="n">
        <f aca="false">INDEX(Cust_Closing,1,3)*INDEX(Dep_Per_Yr,1,3)</f>
        <v>1221984000</v>
      </c>
      <c r="F14" s="19" t="n">
        <f aca="false">INDEX(Cust_Closing,1,4)*INDEX(Dep_Per_Yr,1,4)</f>
        <v>2276057280</v>
      </c>
      <c r="G14" s="19" t="n">
        <f aca="false">INDEX(Cust_Closing,1,5)*INDEX(Dep_Per_Yr,1,5)</f>
        <v>3729063321.6</v>
      </c>
    </row>
    <row r="16" customFormat="false" ht="15" hidden="false" customHeight="false" outlineLevel="0" collapsed="false">
      <c r="B16" s="7" t="s">
        <v>122</v>
      </c>
      <c r="C16" s="19" t="n">
        <f aca="false">Initial_Equity</f>
        <v>50000000</v>
      </c>
      <c r="D16" s="19" t="n">
        <f aca="false">C19</f>
        <v>35350000</v>
      </c>
      <c r="E16" s="19" t="n">
        <f aca="false">D19</f>
        <v>24903000</v>
      </c>
      <c r="F16" s="19" t="n">
        <f aca="false">E19</f>
        <v>187788840</v>
      </c>
      <c r="G16" s="19" t="n">
        <f aca="false">F19</f>
        <v>249438915</v>
      </c>
    </row>
    <row r="17" customFormat="false" ht="15" hidden="false" customHeight="false" outlineLevel="0" collapsed="false">
      <c r="B17" s="6" t="s">
        <v>123</v>
      </c>
      <c r="C17" s="21" t="n">
        <f aca="false">Income_Statement!C24</f>
        <v>-14650000</v>
      </c>
      <c r="D17" s="21" t="n">
        <f aca="false">Income_Statement!D24</f>
        <v>-10447000</v>
      </c>
      <c r="E17" s="21" t="n">
        <f aca="false">Income_Statement!E24</f>
        <v>12885840</v>
      </c>
      <c r="F17" s="21" t="n">
        <f aca="false">Income_Statement!F24</f>
        <v>61650075</v>
      </c>
      <c r="G17" s="21" t="n">
        <f aca="false">Income_Statement!G24</f>
        <v>131038157.298</v>
      </c>
    </row>
    <row r="18" customFormat="false" ht="15" hidden="false" customHeight="false" outlineLevel="0" collapsed="false">
      <c r="B18" s="6" t="s">
        <v>124</v>
      </c>
      <c r="C18" s="19" t="n">
        <f aca="false">INDEX(Raise_Yr,1,1)</f>
        <v>0</v>
      </c>
      <c r="D18" s="19" t="n">
        <f aca="false">INDEX(Raise_Yr,1,2)</f>
        <v>0</v>
      </c>
      <c r="E18" s="19" t="n">
        <f aca="false">INDEX(Raise_Yr,1,3)</f>
        <v>150000000</v>
      </c>
      <c r="F18" s="19" t="n">
        <f aca="false">INDEX(Raise_Yr,1,4)</f>
        <v>0</v>
      </c>
      <c r="G18" s="19" t="n">
        <f aca="false">INDEX(Raise_Yr,1,5)</f>
        <v>250000000</v>
      </c>
    </row>
    <row r="19" customFormat="false" ht="15" hidden="false" customHeight="false" outlineLevel="0" collapsed="false">
      <c r="B19" s="5" t="s">
        <v>125</v>
      </c>
      <c r="C19" s="24" t="n">
        <f aca="false">C16+C17+C18</f>
        <v>35350000</v>
      </c>
      <c r="D19" s="24" t="n">
        <f aca="false">D16+D17+D18</f>
        <v>24903000</v>
      </c>
      <c r="E19" s="24" t="n">
        <f aca="false">E16+E17+E18</f>
        <v>187788840</v>
      </c>
      <c r="F19" s="24" t="n">
        <f aca="false">F16+F17+F18</f>
        <v>249438915</v>
      </c>
      <c r="G19" s="24" t="n">
        <f aca="false">G16+G17+G18</f>
        <v>630477072.298</v>
      </c>
    </row>
    <row r="21" customFormat="false" ht="15" hidden="false" customHeight="false" outlineLevel="0" collapsed="false">
      <c r="B21" s="22" t="s">
        <v>126</v>
      </c>
      <c r="C21" s="23" t="n">
        <f aca="false">C14+C19</f>
        <v>155350000</v>
      </c>
      <c r="D21" s="23" t="n">
        <f aca="false">D14+D19</f>
        <v>522903000</v>
      </c>
      <c r="E21" s="23" t="n">
        <f aca="false">E14+E19</f>
        <v>1409772840</v>
      </c>
      <c r="F21" s="23" t="n">
        <f aca="false">F14+F19</f>
        <v>2525496195</v>
      </c>
      <c r="G21" s="23" t="n">
        <f aca="false">G14+G19</f>
        <v>4359540393.898</v>
      </c>
    </row>
    <row r="22" customFormat="false" ht="15" hidden="false" customHeight="false" outlineLevel="0" collapsed="false">
      <c r="B22" s="12" t="s">
        <v>127</v>
      </c>
    </row>
    <row r="23" customFormat="false" ht="15" hidden="false" customHeight="false" outlineLevel="0" collapsed="false">
      <c r="B23" s="6" t="s">
        <v>128</v>
      </c>
      <c r="C23" s="19" t="n">
        <f aca="false">C9*Risk_Weight</f>
        <v>30000000</v>
      </c>
      <c r="D23" s="19" t="n">
        <f aca="false">D9*Risk_Weight</f>
        <v>174300000</v>
      </c>
      <c r="E23" s="19" t="n">
        <f aca="false">E9*Risk_Weight</f>
        <v>560076000</v>
      </c>
      <c r="F23" s="19" t="n">
        <f aca="false">F9*Risk_Weight</f>
        <v>1219316400</v>
      </c>
      <c r="G23" s="19" t="n">
        <f aca="false">G9*Risk_Weight</f>
        <v>2214131347.2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129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107</v>
      </c>
      <c r="C5" s="18" t="n">
        <f aca="false">Start_Year+C6-1</f>
        <v>2026</v>
      </c>
      <c r="D5" s="18" t="n">
        <f aca="false">Start_Year+D6-1</f>
        <v>2027</v>
      </c>
      <c r="E5" s="18" t="n">
        <f aca="false">Start_Year+E6-1</f>
        <v>2028</v>
      </c>
      <c r="F5" s="18" t="n">
        <f aca="false">Start_Year+F6-1</f>
        <v>2029</v>
      </c>
      <c r="G5" s="18" t="n">
        <f aca="false">Start_Year+G6-1</f>
        <v>2030</v>
      </c>
    </row>
    <row r="6" customFormat="false" ht="15" hidden="false" customHeight="false" outlineLevel="0" collapsed="false">
      <c r="B6" s="5" t="s">
        <v>108</v>
      </c>
      <c r="C6" s="19" t="n">
        <f aca="false">Start_Year-Start_Year+1</f>
        <v>1</v>
      </c>
      <c r="D6" s="19" t="n">
        <f aca="false">C6+1</f>
        <v>2</v>
      </c>
      <c r="E6" s="19" t="n">
        <f aca="false">D6+1</f>
        <v>3</v>
      </c>
      <c r="F6" s="19" t="n">
        <f aca="false">E6+1</f>
        <v>4</v>
      </c>
      <c r="G6" s="19" t="n">
        <f aca="false">F6+1</f>
        <v>5</v>
      </c>
    </row>
    <row r="7" customFormat="false" ht="15" hidden="false" customHeight="false" outlineLevel="0" collapsed="false">
      <c r="B7" s="12" t="s">
        <v>130</v>
      </c>
    </row>
    <row r="8" customFormat="false" ht="15" hidden="false" customHeight="false" outlineLevel="0" collapsed="false">
      <c r="B8" s="6" t="s">
        <v>131</v>
      </c>
      <c r="C8" s="19" t="n">
        <f aca="false">Loan_Rate*INDEX(BS_Loans,1,1)/2</f>
        <v>2200000</v>
      </c>
      <c r="D8" s="19" t="n">
        <f aca="false">Loan_Rate*(INDEX(BS_Loans,1,1)+INDEX(BS_Loans,1,2))/2</f>
        <v>14982000</v>
      </c>
      <c r="E8" s="19" t="n">
        <f aca="false">Loan_Rate*(INDEX(BS_Loans,1,2)+INDEX(BS_Loans,1,3))/2</f>
        <v>53854240</v>
      </c>
      <c r="F8" s="19" t="n">
        <f aca="false">Loan_Rate*(INDEX(BS_Loans,1,3)+INDEX(BS_Loans,1,4))/2</f>
        <v>130488776</v>
      </c>
      <c r="G8" s="19" t="n">
        <f aca="false">Loan_Rate*(INDEX(BS_Loans,1,4)+INDEX(BS_Loans,1,5))/2</f>
        <v>251786168.128</v>
      </c>
    </row>
    <row r="9" customFormat="false" ht="15" hidden="false" customHeight="false" outlineLevel="0" collapsed="false">
      <c r="B9" s="7" t="s">
        <v>132</v>
      </c>
      <c r="C9" s="19" t="n">
        <f aca="false">Initial_Equity*Policy_Rate</f>
        <v>2000000</v>
      </c>
      <c r="D9" s="19" t="n">
        <f aca="false">INDEX(BS_Cash,1,1)*Policy_Rate</f>
        <v>4614000</v>
      </c>
      <c r="E9" s="19" t="n">
        <f aca="false">INDEX(BS_Cash,1,2)*Policy_Rate</f>
        <v>11620120</v>
      </c>
      <c r="F9" s="19" t="n">
        <f aca="false">INDEX(BS_Cash,1,3)*Policy_Rate</f>
        <v>26520193.6</v>
      </c>
      <c r="G9" s="19" t="n">
        <f aca="false">INDEX(BS_Cash,1,4)*Policy_Rate</f>
        <v>35989639.8</v>
      </c>
    </row>
    <row r="10" customFormat="false" ht="15" hidden="false" customHeight="false" outlineLevel="0" collapsed="false">
      <c r="B10" s="6" t="s">
        <v>133</v>
      </c>
      <c r="C10" s="21" t="n">
        <f aca="false">-Deposit_Rate*INDEX(BS_Deposits,1,1)/2</f>
        <v>-1500000</v>
      </c>
      <c r="D10" s="21" t="n">
        <f aca="false">-Deposit_Rate*(INDEX(BS_Deposits,1,1)+INDEX(BS_Deposits,1,2))/2</f>
        <v>-7725000</v>
      </c>
      <c r="E10" s="21" t="n">
        <f aca="false">-Deposit_Rate*(INDEX(BS_Deposits,1,2)+INDEX(BS_Deposits,1,3))/2</f>
        <v>-21499800</v>
      </c>
      <c r="F10" s="21" t="n">
        <f aca="false">-Deposit_Rate*(INDEX(BS_Deposits,1,3)+INDEX(BS_Deposits,1,4))/2</f>
        <v>-43725516</v>
      </c>
      <c r="G10" s="21" t="n">
        <f aca="false">-Deposit_Rate*(INDEX(BS_Deposits,1,4)+INDEX(BS_Deposits,1,5))/2</f>
        <v>-75064007.52</v>
      </c>
    </row>
    <row r="11" customFormat="false" ht="15" hidden="false" customHeight="false" outlineLevel="0" collapsed="false">
      <c r="B11" s="22" t="s">
        <v>130</v>
      </c>
      <c r="C11" s="25" t="n">
        <f aca="false">C8+C9+C10</f>
        <v>2700000</v>
      </c>
      <c r="D11" s="25" t="n">
        <f aca="false">D8+D9+D10</f>
        <v>11871000</v>
      </c>
      <c r="E11" s="25" t="n">
        <f aca="false">E8+E9+E10</f>
        <v>43974560</v>
      </c>
      <c r="F11" s="25" t="n">
        <f aca="false">F8+F9+F10</f>
        <v>113283453.6</v>
      </c>
      <c r="G11" s="25" t="n">
        <f aca="false">G8+G9+G10</f>
        <v>212711800.408</v>
      </c>
    </row>
    <row r="13" customFormat="false" ht="15" hidden="false" customHeight="false" outlineLevel="0" collapsed="false">
      <c r="B13" s="6" t="s">
        <v>134</v>
      </c>
      <c r="C13" s="19" t="n">
        <f aca="false">INDEX(Cust_Avg,1,1)*INDEX(Fee_Per_Yr,1,1)</f>
        <v>1750000</v>
      </c>
      <c r="D13" s="19" t="n">
        <f aca="false">INDEX(Cust_Avg,1,2)*INDEX(Fee_Per_Yr,1,2)</f>
        <v>8640000</v>
      </c>
      <c r="E13" s="19" t="n">
        <f aca="false">INDEX(Cust_Avg,1,3)*INDEX(Fee_Per_Yr,1,3)</f>
        <v>22744800</v>
      </c>
      <c r="F13" s="19" t="n">
        <f aca="false">INDEX(Cust_Avg,1,4)*INDEX(Fee_Per_Yr,1,4)</f>
        <v>44067920</v>
      </c>
      <c r="G13" s="19" t="n">
        <f aca="false">INDEX(Cust_Avg,1,5)*INDEX(Fee_Per_Yr,1,5)</f>
        <v>72534362.56</v>
      </c>
    </row>
    <row r="14" customFormat="false" ht="15" hidden="false" customHeight="false" outlineLevel="0" collapsed="false">
      <c r="B14" s="22" t="s">
        <v>135</v>
      </c>
      <c r="C14" s="23" t="n">
        <f aca="false">C11+C13</f>
        <v>4450000</v>
      </c>
      <c r="D14" s="23" t="n">
        <f aca="false">D11+D13</f>
        <v>20511000</v>
      </c>
      <c r="E14" s="23" t="n">
        <f aca="false">E11+E13</f>
        <v>66719360</v>
      </c>
      <c r="F14" s="23" t="n">
        <f aca="false">F11+F13</f>
        <v>157351373.6</v>
      </c>
      <c r="G14" s="23" t="n">
        <f aca="false">G11+G13</f>
        <v>285246162.968</v>
      </c>
    </row>
    <row r="15" customFormat="false" ht="15" hidden="false" customHeight="false" outlineLevel="0" collapsed="false">
      <c r="B15" s="12" t="s">
        <v>136</v>
      </c>
    </row>
    <row r="16" customFormat="false" ht="15" hidden="false" customHeight="false" outlineLevel="0" collapsed="false">
      <c r="B16" s="6" t="s">
        <v>137</v>
      </c>
      <c r="C16" s="21" t="n">
        <f aca="false">-INDEX(Cust_New,1,1)*CAC</f>
        <v>-2500000</v>
      </c>
      <c r="D16" s="21" t="n">
        <f aca="false">-INDEX(Cust_New,1,2)*CAC</f>
        <v>-6250000</v>
      </c>
      <c r="E16" s="21" t="n">
        <f aca="false">-INDEX(Cust_New,1,3)*CAC</f>
        <v>-10000000</v>
      </c>
      <c r="F16" s="21" t="n">
        <f aca="false">-INDEX(Cust_New,1,4)*CAC</f>
        <v>-12500000</v>
      </c>
      <c r="G16" s="21" t="n">
        <f aca="false">-INDEX(Cust_New,1,5)*CAC</f>
        <v>-15000000</v>
      </c>
    </row>
    <row r="17" customFormat="false" ht="15" hidden="false" customHeight="false" outlineLevel="0" collapsed="false">
      <c r="B17" s="6" t="s">
        <v>138</v>
      </c>
      <c r="C17" s="21" t="n">
        <f aca="false">-Fixed_Opex_Y1*(1+Opex_Growth)^(0)</f>
        <v>-15000000</v>
      </c>
      <c r="D17" s="21" t="n">
        <f aca="false">-Fixed_Opex_Y1*(1+Opex_Growth)^(1)</f>
        <v>-18000000</v>
      </c>
      <c r="E17" s="21" t="n">
        <f aca="false">-Fixed_Opex_Y1*(1+Opex_Growth)^(2)</f>
        <v>-21600000</v>
      </c>
      <c r="F17" s="21" t="n">
        <f aca="false">-Fixed_Opex_Y1*(1+Opex_Growth)^(3)</f>
        <v>-25920000</v>
      </c>
      <c r="G17" s="21" t="n">
        <f aca="false">-Fixed_Opex_Y1*(1+Opex_Growth)^(4)</f>
        <v>-31104000</v>
      </c>
    </row>
    <row r="18" customFormat="false" ht="15" hidden="false" customHeight="false" outlineLevel="0" collapsed="false">
      <c r="B18" s="6" t="s">
        <v>139</v>
      </c>
      <c r="C18" s="21" t="n">
        <f aca="false">-INDEX(Cust_Closing,1,1)*Var_Opex_Cust</f>
        <v>-1200000</v>
      </c>
      <c r="D18" s="21" t="n">
        <f aca="false">-INDEX(Cust_Closing,1,2)*Var_Opex_Cust</f>
        <v>-3984000</v>
      </c>
      <c r="E18" s="21" t="n">
        <f aca="false">-INDEX(Cust_Closing,1,3)*Var_Opex_Cust</f>
        <v>-8146560</v>
      </c>
      <c r="F18" s="21" t="n">
        <f aca="false">-INDEX(Cust_Closing,1,4)*Var_Opex_Cust</f>
        <v>-13006041.6</v>
      </c>
      <c r="G18" s="21" t="n">
        <f aca="false">-INDEX(Cust_Closing,1,5)*Var_Opex_Cust</f>
        <v>-18645316.608</v>
      </c>
    </row>
    <row r="19" customFormat="false" ht="15" hidden="false" customHeight="false" outlineLevel="0" collapsed="false">
      <c r="B19" s="6" t="s">
        <v>140</v>
      </c>
      <c r="C19" s="21" t="n">
        <f aca="false">-Cost_of_Risk*INDEX(BS_Loans,1,1)/2</f>
        <v>-400000</v>
      </c>
      <c r="D19" s="21" t="n">
        <f aca="false">-Cost_of_Risk*(INDEX(BS_Loans,1,1)+INDEX(BS_Loans,1,2))/2</f>
        <v>-2724000</v>
      </c>
      <c r="E19" s="21" t="n">
        <f aca="false">-Cost_of_Risk*(INDEX(BS_Loans,1,2)+INDEX(BS_Loans,1,3))/2</f>
        <v>-9791680</v>
      </c>
      <c r="F19" s="21" t="n">
        <f aca="false">-Cost_of_Risk*(INDEX(BS_Loans,1,3)+INDEX(BS_Loans,1,4))/2</f>
        <v>-23725232</v>
      </c>
      <c r="G19" s="21" t="n">
        <f aca="false">-Cost_of_Risk*(INDEX(BS_Loans,1,4)+INDEX(BS_Loans,1,5))/2</f>
        <v>-45779303.296</v>
      </c>
    </row>
    <row r="20" customFormat="false" ht="15" hidden="false" customHeight="false" outlineLevel="0" collapsed="false">
      <c r="B20" s="22" t="s">
        <v>141</v>
      </c>
      <c r="C20" s="25" t="n">
        <f aca="false">SUM(C16:C19)</f>
        <v>-19100000</v>
      </c>
      <c r="D20" s="25" t="n">
        <f aca="false">SUM(D16:D19)</f>
        <v>-30958000</v>
      </c>
      <c r="E20" s="25" t="n">
        <f aca="false">SUM(E16:E19)</f>
        <v>-49538240</v>
      </c>
      <c r="F20" s="25" t="n">
        <f aca="false">SUM(F16:F19)</f>
        <v>-75151273.6</v>
      </c>
      <c r="G20" s="25" t="n">
        <f aca="false">SUM(G16:G19)</f>
        <v>-110528619.904</v>
      </c>
    </row>
    <row r="22" customFormat="false" ht="15" hidden="false" customHeight="false" outlineLevel="0" collapsed="false">
      <c r="B22" s="5" t="s">
        <v>142</v>
      </c>
      <c r="C22" s="26" t="n">
        <f aca="false">C14+C20</f>
        <v>-14650000</v>
      </c>
      <c r="D22" s="26" t="n">
        <f aca="false">D14+D20</f>
        <v>-10447000</v>
      </c>
      <c r="E22" s="26" t="n">
        <f aca="false">E14+E20</f>
        <v>17181120</v>
      </c>
      <c r="F22" s="26" t="n">
        <f aca="false">F14+F20</f>
        <v>82200100</v>
      </c>
      <c r="G22" s="26" t="n">
        <f aca="false">G14+G20</f>
        <v>174717543.064</v>
      </c>
    </row>
    <row r="23" customFormat="false" ht="15" hidden="false" customHeight="false" outlineLevel="0" collapsed="false">
      <c r="B23" s="6" t="s">
        <v>143</v>
      </c>
      <c r="C23" s="21" t="n">
        <f aca="false">-MAX(0,C22)*Tax_Rate</f>
        <v>-0</v>
      </c>
      <c r="D23" s="21" t="n">
        <f aca="false">-MAX(0,D22)*Tax_Rate</f>
        <v>-0</v>
      </c>
      <c r="E23" s="21" t="n">
        <f aca="false">-MAX(0,E22)*Tax_Rate</f>
        <v>-4295280</v>
      </c>
      <c r="F23" s="21" t="n">
        <f aca="false">-MAX(0,F22)*Tax_Rate</f>
        <v>-20550025</v>
      </c>
      <c r="G23" s="21" t="n">
        <f aca="false">-MAX(0,G22)*Tax_Rate</f>
        <v>-43679385.766</v>
      </c>
    </row>
    <row r="24" customFormat="false" ht="15" hidden="false" customHeight="false" outlineLevel="0" collapsed="false">
      <c r="B24" s="22" t="s">
        <v>144</v>
      </c>
      <c r="C24" s="25" t="n">
        <f aca="false">C22+C23</f>
        <v>-14650000</v>
      </c>
      <c r="D24" s="25" t="n">
        <f aca="false">D22+D23</f>
        <v>-10447000</v>
      </c>
      <c r="E24" s="25" t="n">
        <f aca="false">E22+E23</f>
        <v>12885840</v>
      </c>
      <c r="F24" s="25" t="n">
        <f aca="false">F22+F23</f>
        <v>61650075</v>
      </c>
      <c r="G24" s="25" t="n">
        <f aca="false">G22+G23</f>
        <v>131038157.298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145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107</v>
      </c>
      <c r="C5" s="18" t="n">
        <f aca="false">Start_Year+C6-1</f>
        <v>2026</v>
      </c>
      <c r="D5" s="18" t="n">
        <f aca="false">Start_Year+D6-1</f>
        <v>2027</v>
      </c>
      <c r="E5" s="18" t="n">
        <f aca="false">Start_Year+E6-1</f>
        <v>2028</v>
      </c>
      <c r="F5" s="18" t="n">
        <f aca="false">Start_Year+F6-1</f>
        <v>2029</v>
      </c>
      <c r="G5" s="18" t="n">
        <f aca="false">Start_Year+G6-1</f>
        <v>2030</v>
      </c>
    </row>
    <row r="6" customFormat="false" ht="15" hidden="false" customHeight="false" outlineLevel="0" collapsed="false">
      <c r="B6" s="5" t="s">
        <v>108</v>
      </c>
      <c r="C6" s="19" t="n">
        <f aca="false">Start_Year-Start_Year+1</f>
        <v>1</v>
      </c>
      <c r="D6" s="19" t="n">
        <f aca="false">C6+1</f>
        <v>2</v>
      </c>
      <c r="E6" s="19" t="n">
        <f aca="false">D6+1</f>
        <v>3</v>
      </c>
      <c r="F6" s="19" t="n">
        <f aca="false">E6+1</f>
        <v>4</v>
      </c>
      <c r="G6" s="19" t="n">
        <f aca="false">F6+1</f>
        <v>5</v>
      </c>
    </row>
    <row r="7" customFormat="false" ht="15" hidden="false" customHeight="false" outlineLevel="0" collapsed="false">
      <c r="B7" s="12" t="s">
        <v>146</v>
      </c>
    </row>
    <row r="8" customFormat="false" ht="15" hidden="false" customHeight="false" outlineLevel="0" collapsed="false">
      <c r="B8" s="6" t="s">
        <v>144</v>
      </c>
      <c r="C8" s="21" t="n">
        <f aca="false">Income_Statement!C24</f>
        <v>-14650000</v>
      </c>
      <c r="D8" s="21" t="n">
        <f aca="false">Income_Statement!D24</f>
        <v>-10447000</v>
      </c>
      <c r="E8" s="21" t="n">
        <f aca="false">Income_Statement!E24</f>
        <v>12885840</v>
      </c>
      <c r="F8" s="21" t="n">
        <f aca="false">Income_Statement!F24</f>
        <v>61650075</v>
      </c>
      <c r="G8" s="21" t="n">
        <f aca="false">Income_Statement!G24</f>
        <v>131038157.298</v>
      </c>
    </row>
    <row r="9" customFormat="false" ht="15" hidden="false" customHeight="false" outlineLevel="0" collapsed="false">
      <c r="B9" s="22" t="s">
        <v>147</v>
      </c>
      <c r="C9" s="25" t="n">
        <f aca="false">C8</f>
        <v>-14650000</v>
      </c>
      <c r="D9" s="25" t="n">
        <f aca="false">D8</f>
        <v>-10447000</v>
      </c>
      <c r="E9" s="25" t="n">
        <f aca="false">E8</f>
        <v>12885840</v>
      </c>
      <c r="F9" s="25" t="n">
        <f aca="false">F8</f>
        <v>61650075</v>
      </c>
      <c r="G9" s="25" t="n">
        <f aca="false">G8</f>
        <v>131038157.298</v>
      </c>
    </row>
    <row r="10" customFormat="false" ht="15" hidden="false" customHeight="false" outlineLevel="0" collapsed="false">
      <c r="B10" s="12" t="s">
        <v>148</v>
      </c>
    </row>
    <row r="11" customFormat="false" ht="15" hidden="false" customHeight="false" outlineLevel="0" collapsed="false">
      <c r="B11" s="7" t="s">
        <v>149</v>
      </c>
      <c r="C11" s="21" t="n">
        <f aca="false">-INDEX(BS_Loans,1,1)</f>
        <v>-40000000</v>
      </c>
      <c r="D11" s="21" t="n">
        <f aca="false">-(INDEX(BS_Loans,1,2)-INDEX(BS_Loans,1,1))</f>
        <v>-192400000</v>
      </c>
      <c r="E11" s="21" t="n">
        <f aca="false">-(INDEX(BS_Loans,1,3)-INDEX(BS_Loans,1,2))</f>
        <v>-514368000</v>
      </c>
      <c r="F11" s="21" t="n">
        <f aca="false">-(INDEX(BS_Loans,1,4)-INDEX(BS_Loans,1,3))</f>
        <v>-878987200</v>
      </c>
      <c r="G11" s="21" t="n">
        <f aca="false">-(INDEX(BS_Loans,1,5)-INDEX(BS_Loans,1,4))</f>
        <v>-1326419929.6</v>
      </c>
    </row>
    <row r="12" customFormat="false" ht="15" hidden="false" customHeight="false" outlineLevel="0" collapsed="false">
      <c r="B12" s="7" t="s">
        <v>150</v>
      </c>
      <c r="C12" s="21" t="n">
        <f aca="false">INDEX(BS_Deposits,1,1)</f>
        <v>120000000</v>
      </c>
      <c r="D12" s="21" t="n">
        <f aca="false">INDEX(BS_Deposits,1,2)-INDEX(BS_Deposits,1,1)</f>
        <v>378000000</v>
      </c>
      <c r="E12" s="21" t="n">
        <f aca="false">INDEX(BS_Deposits,1,3)-INDEX(BS_Deposits,1,2)</f>
        <v>723984000</v>
      </c>
      <c r="F12" s="21" t="n">
        <f aca="false">INDEX(BS_Deposits,1,4)-INDEX(BS_Deposits,1,3)</f>
        <v>1054073280</v>
      </c>
      <c r="G12" s="21" t="n">
        <f aca="false">INDEX(BS_Deposits,1,5)-INDEX(BS_Deposits,1,4)</f>
        <v>1453006041.6</v>
      </c>
    </row>
    <row r="13" customFormat="false" ht="15" hidden="false" customHeight="false" outlineLevel="0" collapsed="false">
      <c r="B13" s="22" t="s">
        <v>151</v>
      </c>
      <c r="C13" s="25" t="n">
        <f aca="false">C11+C12</f>
        <v>80000000</v>
      </c>
      <c r="D13" s="25" t="n">
        <f aca="false">D11+D12</f>
        <v>185600000</v>
      </c>
      <c r="E13" s="25" t="n">
        <f aca="false">E11+E12</f>
        <v>209616000</v>
      </c>
      <c r="F13" s="25" t="n">
        <f aca="false">F11+F12</f>
        <v>175086080</v>
      </c>
      <c r="G13" s="25" t="n">
        <f aca="false">G11+G12</f>
        <v>126586112</v>
      </c>
    </row>
    <row r="14" customFormat="false" ht="15" hidden="false" customHeight="false" outlineLevel="0" collapsed="false">
      <c r="B14" s="12" t="s">
        <v>152</v>
      </c>
    </row>
    <row r="15" customFormat="false" ht="15" hidden="false" customHeight="false" outlineLevel="0" collapsed="false">
      <c r="B15" s="6" t="s">
        <v>92</v>
      </c>
      <c r="C15" s="19" t="n">
        <f aca="false">INDEX(Raise_Yr,1,1)</f>
        <v>0</v>
      </c>
      <c r="D15" s="19" t="n">
        <f aca="false">INDEX(Raise_Yr,1,2)</f>
        <v>0</v>
      </c>
      <c r="E15" s="19" t="n">
        <f aca="false">INDEX(Raise_Yr,1,3)</f>
        <v>150000000</v>
      </c>
      <c r="F15" s="19" t="n">
        <f aca="false">INDEX(Raise_Yr,1,4)</f>
        <v>0</v>
      </c>
      <c r="G15" s="19" t="n">
        <f aca="false">INDEX(Raise_Yr,1,5)</f>
        <v>250000000</v>
      </c>
    </row>
    <row r="16" customFormat="false" ht="15" hidden="false" customHeight="false" outlineLevel="0" collapsed="false">
      <c r="B16" s="22" t="s">
        <v>153</v>
      </c>
      <c r="C16" s="25" t="n">
        <f aca="false">C15</f>
        <v>0</v>
      </c>
      <c r="D16" s="25" t="n">
        <f aca="false">D15</f>
        <v>0</v>
      </c>
      <c r="E16" s="25" t="n">
        <f aca="false">E15</f>
        <v>150000000</v>
      </c>
      <c r="F16" s="25" t="n">
        <f aca="false">F15</f>
        <v>0</v>
      </c>
      <c r="G16" s="25" t="n">
        <f aca="false">G15</f>
        <v>250000000</v>
      </c>
    </row>
    <row r="18" customFormat="false" ht="15" hidden="false" customHeight="false" outlineLevel="0" collapsed="false">
      <c r="B18" s="5" t="s">
        <v>154</v>
      </c>
      <c r="C18" s="26" t="n">
        <f aca="false">C9+C13+C16</f>
        <v>65350000</v>
      </c>
      <c r="D18" s="26" t="n">
        <f aca="false">D9+D13+D16</f>
        <v>175153000</v>
      </c>
      <c r="E18" s="26" t="n">
        <f aca="false">E9+E13+E16</f>
        <v>372501840</v>
      </c>
      <c r="F18" s="26" t="n">
        <f aca="false">F9+F13+F16</f>
        <v>236736155</v>
      </c>
      <c r="G18" s="26" t="n">
        <f aca="false">G9+G13+G16</f>
        <v>507624269.298</v>
      </c>
    </row>
    <row r="19" customFormat="false" ht="15" hidden="false" customHeight="false" outlineLevel="0" collapsed="false">
      <c r="B19" s="7" t="s">
        <v>155</v>
      </c>
      <c r="C19" s="19" t="n">
        <f aca="false">Initial_Equity</f>
        <v>50000000</v>
      </c>
      <c r="D19" s="19" t="n">
        <f aca="false">C20</f>
        <v>115350000</v>
      </c>
      <c r="E19" s="19" t="n">
        <f aca="false">D20</f>
        <v>290503000</v>
      </c>
      <c r="F19" s="19" t="n">
        <f aca="false">E20</f>
        <v>663004840</v>
      </c>
      <c r="G19" s="19" t="n">
        <f aca="false">F20</f>
        <v>899740995</v>
      </c>
    </row>
    <row r="20" customFormat="false" ht="15" hidden="false" customHeight="false" outlineLevel="0" collapsed="false">
      <c r="B20" s="22" t="s">
        <v>156</v>
      </c>
      <c r="C20" s="23" t="n">
        <f aca="false">C19+C18</f>
        <v>115350000</v>
      </c>
      <c r="D20" s="23" t="n">
        <f aca="false">D19+D18</f>
        <v>290503000</v>
      </c>
      <c r="E20" s="23" t="n">
        <f aca="false">E19+E18</f>
        <v>663004840</v>
      </c>
      <c r="F20" s="23" t="n">
        <f aca="false">F19+F18</f>
        <v>899740995</v>
      </c>
      <c r="G20" s="23" t="n">
        <f aca="false">G19+G18</f>
        <v>1407365264.298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157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107</v>
      </c>
      <c r="C5" s="18" t="n">
        <f aca="false">Start_Year+C6-1</f>
        <v>2026</v>
      </c>
      <c r="D5" s="18" t="n">
        <f aca="false">Start_Year+D6-1</f>
        <v>2027</v>
      </c>
      <c r="E5" s="18" t="n">
        <f aca="false">Start_Year+E6-1</f>
        <v>2028</v>
      </c>
      <c r="F5" s="18" t="n">
        <f aca="false">Start_Year+F6-1</f>
        <v>2029</v>
      </c>
      <c r="G5" s="18" t="n">
        <f aca="false">Start_Year+G6-1</f>
        <v>2030</v>
      </c>
    </row>
    <row r="6" customFormat="false" ht="15" hidden="false" customHeight="false" outlineLevel="0" collapsed="false">
      <c r="B6" s="5" t="s">
        <v>108</v>
      </c>
      <c r="C6" s="19" t="n">
        <f aca="false">Start_Year-Start_Year+1</f>
        <v>1</v>
      </c>
      <c r="D6" s="19" t="n">
        <f aca="false">C6+1</f>
        <v>2</v>
      </c>
      <c r="E6" s="19" t="n">
        <f aca="false">D6+1</f>
        <v>3</v>
      </c>
      <c r="F6" s="19" t="n">
        <f aca="false">E6+1</f>
        <v>4</v>
      </c>
      <c r="G6" s="19" t="n">
        <f aca="false">F6+1</f>
        <v>5</v>
      </c>
    </row>
    <row r="8" customFormat="false" ht="15" hidden="false" customHeight="false" outlineLevel="0" collapsed="false">
      <c r="B8" s="6" t="s">
        <v>127</v>
      </c>
      <c r="C8" s="19" t="n">
        <f aca="false">INDEX(BS_RWA,1,1)</f>
        <v>30000000</v>
      </c>
      <c r="D8" s="19" t="n">
        <f aca="false">INDEX(BS_RWA,1,2)</f>
        <v>174300000</v>
      </c>
      <c r="E8" s="19" t="n">
        <f aca="false">INDEX(BS_RWA,1,3)</f>
        <v>560076000</v>
      </c>
      <c r="F8" s="19" t="n">
        <f aca="false">INDEX(BS_RWA,1,4)</f>
        <v>1219316400</v>
      </c>
      <c r="G8" s="19" t="n">
        <f aca="false">INDEX(BS_RWA,1,5)</f>
        <v>2214131347.2</v>
      </c>
    </row>
    <row r="9" customFormat="false" ht="15" hidden="false" customHeight="false" outlineLevel="0" collapsed="false">
      <c r="B9" s="6" t="s">
        <v>158</v>
      </c>
      <c r="C9" s="19" t="n">
        <f aca="false">C8*CET1_Min</f>
        <v>3150000</v>
      </c>
      <c r="D9" s="19" t="n">
        <f aca="false">D8*CET1_Min</f>
        <v>18301500</v>
      </c>
      <c r="E9" s="19" t="n">
        <f aca="false">E8*CET1_Min</f>
        <v>58807980</v>
      </c>
      <c r="F9" s="19" t="n">
        <f aca="false">F8*CET1_Min</f>
        <v>128028222</v>
      </c>
      <c r="G9" s="19" t="n">
        <f aca="false">G8*CET1_Min</f>
        <v>232483791.456</v>
      </c>
    </row>
    <row r="10" customFormat="false" ht="15" hidden="false" customHeight="false" outlineLevel="0" collapsed="false">
      <c r="B10" s="5" t="s">
        <v>159</v>
      </c>
      <c r="C10" s="27" t="n">
        <f aca="false">IFERROR(INDEX(BS_Equity_Close,1,1)/C8,0)</f>
        <v>1.17833333333333</v>
      </c>
      <c r="D10" s="27" t="n">
        <f aca="false">IFERROR(INDEX(BS_Equity_Close,1,2)/D8,0)</f>
        <v>0.142874354561102</v>
      </c>
      <c r="E10" s="27" t="n">
        <f aca="false">IFERROR(INDEX(BS_Equity_Close,1,3)/E8,0)</f>
        <v>0.33529171041073</v>
      </c>
      <c r="F10" s="27" t="n">
        <f aca="false">IFERROR(INDEX(BS_Equity_Close,1,4)/F8,0)</f>
        <v>0.204572754864939</v>
      </c>
      <c r="G10" s="27" t="n">
        <f aca="false">IFERROR(INDEX(BS_Equity_Close,1,5)/G8,0)</f>
        <v>0.284751432246919</v>
      </c>
    </row>
    <row r="11" customFormat="false" ht="15" hidden="false" customHeight="false" outlineLevel="0" collapsed="false">
      <c r="B11" s="6" t="s">
        <v>45</v>
      </c>
      <c r="C11" s="20" t="n">
        <f aca="false">CET1_Min</f>
        <v>0.105</v>
      </c>
      <c r="D11" s="20" t="n">
        <f aca="false">CET1_Min</f>
        <v>0.105</v>
      </c>
      <c r="E11" s="20" t="n">
        <f aca="false">CET1_Min</f>
        <v>0.105</v>
      </c>
      <c r="F11" s="20" t="n">
        <f aca="false">CET1_Min</f>
        <v>0.105</v>
      </c>
      <c r="G11" s="20" t="n">
        <f aca="false">CET1_Min</f>
        <v>0.105</v>
      </c>
    </row>
    <row r="12" customFormat="false" ht="15" hidden="false" customHeight="false" outlineLevel="0" collapsed="false">
      <c r="B12" s="22" t="s">
        <v>160</v>
      </c>
      <c r="C12" s="28" t="n">
        <f aca="false">C10-C11</f>
        <v>1.07333333333333</v>
      </c>
      <c r="D12" s="28" t="n">
        <f aca="false">D10-D11</f>
        <v>0.0378743545611015</v>
      </c>
      <c r="E12" s="28" t="n">
        <f aca="false">E10-E11</f>
        <v>0.23029171041073</v>
      </c>
      <c r="F12" s="28" t="n">
        <f aca="false">F10-F11</f>
        <v>0.0995727548649391</v>
      </c>
      <c r="G12" s="28" t="n">
        <f aca="false">G10-G11</f>
        <v>0.179751432246919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8"/>
    <col collapsed="false" customWidth="true" hidden="false" outlineLevel="0" max="4" min="4" style="0" width="14"/>
    <col collapsed="false" customWidth="true" hidden="false" outlineLevel="0" max="5" min="5" style="0" width="4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161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9" t="s">
        <v>162</v>
      </c>
      <c r="C4" s="9" t="s">
        <v>32</v>
      </c>
      <c r="D4" s="9" t="s">
        <v>33</v>
      </c>
      <c r="E4" s="9" t="s">
        <v>34</v>
      </c>
    </row>
    <row r="6" customFormat="false" ht="15" hidden="false" customHeight="false" outlineLevel="0" collapsed="false">
      <c r="B6" s="7" t="s">
        <v>163</v>
      </c>
      <c r="C6" s="27" t="n">
        <f aca="false">IFERROR(INDEX(IS_NII,1,5)/((INDEX(BS_Loans,1,5)+INDEX(BS_Cash,1,5))),0)</f>
        <v>0.0487922535838251</v>
      </c>
      <c r="D6" s="7" t="s">
        <v>46</v>
      </c>
      <c r="E6" s="7" t="s">
        <v>164</v>
      </c>
    </row>
    <row r="7" customFormat="false" ht="15" hidden="false" customHeight="false" outlineLevel="0" collapsed="false">
      <c r="B7" s="7" t="s">
        <v>165</v>
      </c>
      <c r="C7" s="27" t="n">
        <f aca="false">IFERROR(-INDEX(IS_Total_Cost,1,5)/INDEX(IS_Revenue,1,5),0)</f>
        <v>0.387485036622209</v>
      </c>
      <c r="D7" s="7" t="s">
        <v>46</v>
      </c>
      <c r="E7" s="7" t="s">
        <v>166</v>
      </c>
    </row>
    <row r="8" customFormat="false" ht="15" hidden="false" customHeight="false" outlineLevel="0" collapsed="false">
      <c r="B8" s="7" t="s">
        <v>167</v>
      </c>
      <c r="C8" s="27" t="n">
        <f aca="false">IFERROR(INDEX(IS_Net_Income,1,5)/INDEX(BS_Total_Assets,1,5),0)</f>
        <v>0.0300577917528675</v>
      </c>
      <c r="D8" s="7" t="s">
        <v>46</v>
      </c>
      <c r="E8" s="7" t="s">
        <v>168</v>
      </c>
    </row>
    <row r="9" customFormat="false" ht="15" hidden="false" customHeight="false" outlineLevel="0" collapsed="false">
      <c r="B9" s="7" t="s">
        <v>169</v>
      </c>
      <c r="C9" s="27" t="n">
        <f aca="false">IFERROR(INDEX(IS_Net_Income,1,5)/INDEX(BS_Equity_Close,1,5),0)</f>
        <v>0.207839686890412</v>
      </c>
      <c r="D9" s="7" t="s">
        <v>46</v>
      </c>
      <c r="E9" s="7" t="s">
        <v>170</v>
      </c>
    </row>
    <row r="10" customFormat="false" ht="15" hidden="false" customHeight="false" outlineLevel="0" collapsed="false">
      <c r="B10" s="7" t="s">
        <v>171</v>
      </c>
      <c r="C10" s="17" t="n">
        <f aca="false">IFERROR(CAC/((INDEX(IS_Revenue,1,5)/INDEX(Cust_Avg,1,5))*(1+INDEX(IS_NII,1,5)/INDEX(IS_Revenue,1,5))/2)*12,0)</f>
        <v>1.58905773859974</v>
      </c>
      <c r="D10" s="7" t="s">
        <v>172</v>
      </c>
      <c r="E10" s="7" t="s">
        <v>173</v>
      </c>
    </row>
    <row r="11" customFormat="false" ht="15" hidden="false" customHeight="false" outlineLevel="0" collapsed="false">
      <c r="B11" s="7" t="s">
        <v>174</v>
      </c>
      <c r="C11" s="24" t="n">
        <f aca="false">IFERROR((INDEX(IS_Revenue,1,5)/INDEX(Cust_Avg,1,5))*(1-INDEX(Churn_Yr,1,5))/(LTV_Disc_Rate+INDEX(Churn_Yr,1,5)),0)</f>
        <v>865.164504631169</v>
      </c>
      <c r="D11" s="7" t="s">
        <v>43</v>
      </c>
      <c r="E11" s="7" t="s">
        <v>175</v>
      </c>
    </row>
    <row r="12" customFormat="false" ht="15" hidden="false" customHeight="false" outlineLevel="0" collapsed="false">
      <c r="B12" s="7" t="s">
        <v>176</v>
      </c>
      <c r="C12" s="17" t="n">
        <f aca="false">IFERROR(C11/CAC,0)</f>
        <v>34.6065801852468</v>
      </c>
      <c r="D12" s="7" t="s">
        <v>96</v>
      </c>
      <c r="E12" s="7" t="s">
        <v>177</v>
      </c>
    </row>
    <row r="13" customFormat="false" ht="15" hidden="false" customHeight="false" outlineLevel="0" collapsed="false">
      <c r="B13" s="12" t="s">
        <v>178</v>
      </c>
    </row>
    <row r="14" customFormat="false" ht="15" hidden="false" customHeight="false" outlineLevel="0" collapsed="false">
      <c r="B14" s="7" t="s">
        <v>112</v>
      </c>
      <c r="C14" s="24" t="n">
        <f aca="false">INDEX(Cust_Closing,1,5)</f>
        <v>1553776.384</v>
      </c>
      <c r="D14" s="7" t="s">
        <v>63</v>
      </c>
      <c r="E14" s="7" t="s">
        <v>179</v>
      </c>
    </row>
    <row r="15" customFormat="false" ht="15" hidden="false" customHeight="false" outlineLevel="0" collapsed="false">
      <c r="B15" s="7" t="s">
        <v>121</v>
      </c>
      <c r="C15" s="24" t="n">
        <f aca="false">INDEX(BS_Deposits,1,5)</f>
        <v>3729063321.6</v>
      </c>
      <c r="D15" s="7" t="s">
        <v>43</v>
      </c>
      <c r="E15" s="7" t="s">
        <v>180</v>
      </c>
    </row>
    <row r="16" customFormat="false" ht="15" hidden="false" customHeight="false" outlineLevel="0" collapsed="false">
      <c r="B16" s="7" t="s">
        <v>181</v>
      </c>
      <c r="C16" s="24" t="n">
        <f aca="false">INDEX(BS_Loans,1,5)</f>
        <v>2952175129.6</v>
      </c>
      <c r="D16" s="7" t="s">
        <v>43</v>
      </c>
      <c r="E16" s="7" t="s">
        <v>182</v>
      </c>
    </row>
    <row r="17" customFormat="false" ht="15" hidden="false" customHeight="false" outlineLevel="0" collapsed="false">
      <c r="B17" s="7" t="s">
        <v>125</v>
      </c>
      <c r="C17" s="24" t="n">
        <f aca="false">INDEX(BS_Equity_Close,1,5)</f>
        <v>630477072.298</v>
      </c>
      <c r="D17" s="7" t="s">
        <v>43</v>
      </c>
      <c r="E17" s="7" t="s">
        <v>183</v>
      </c>
    </row>
    <row r="18" customFormat="false" ht="15" hidden="false" customHeight="false" outlineLevel="0" collapsed="false">
      <c r="B18" s="7" t="s">
        <v>184</v>
      </c>
      <c r="C18" s="26" t="n">
        <f aca="false">SUM(IS_Net_Income)</f>
        <v>180477072.298</v>
      </c>
      <c r="D18" s="7" t="s">
        <v>43</v>
      </c>
      <c r="E18" s="7" t="s">
        <v>185</v>
      </c>
    </row>
    <row r="19" customFormat="false" ht="15" hidden="false" customHeight="false" outlineLevel="0" collapsed="false">
      <c r="B19" s="7" t="s">
        <v>186</v>
      </c>
      <c r="C19" s="24" t="n">
        <f aca="false">SUM(Raise_Yr)+Initial_Equity</f>
        <v>450000000</v>
      </c>
      <c r="D19" s="7" t="s">
        <v>43</v>
      </c>
      <c r="E19" s="7" t="s">
        <v>187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4" min="3" style="0" width="18"/>
    <col collapsed="false" customWidth="true" hidden="false" outlineLevel="0" max="5" min="5" style="0" width="10"/>
    <col collapsed="false" customWidth="true" hidden="false" outlineLevel="0" max="6" min="6" style="0" width="5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188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9" t="s">
        <v>189</v>
      </c>
      <c r="C5" s="9" t="s">
        <v>32</v>
      </c>
      <c r="D5" s="9" t="s">
        <v>190</v>
      </c>
      <c r="E5" s="9" t="s">
        <v>191</v>
      </c>
      <c r="F5" s="9" t="s">
        <v>34</v>
      </c>
    </row>
    <row r="7" customFormat="false" ht="15" hidden="false" customHeight="false" outlineLevel="0" collapsed="false">
      <c r="B7" s="7" t="s">
        <v>192</v>
      </c>
      <c r="C7" s="19" t="n">
        <f aca="false">INDEX(BS_Total_Assets,1,5)</f>
        <v>4359540393.898</v>
      </c>
      <c r="D7" s="19" t="n">
        <f aca="false">INDEX(BS_Total_LE,1,5)</f>
        <v>4359540393.898</v>
      </c>
      <c r="E7" s="29" t="str">
        <f aca="false">IF(ABS(C7-D7)&lt;Check_Tol,"OK","FAIL")</f>
        <v>OK</v>
      </c>
      <c r="F7" s="6" t="s">
        <v>193</v>
      </c>
    </row>
    <row r="8" customFormat="false" ht="15" hidden="false" customHeight="false" outlineLevel="0" collapsed="false">
      <c r="B8" s="7" t="s">
        <v>194</v>
      </c>
      <c r="C8" s="19" t="n">
        <f aca="false">INDEX(BS_Total_Assets,1,1)</f>
        <v>155350000</v>
      </c>
      <c r="D8" s="19" t="n">
        <f aca="false">INDEX(BS_Total_LE,1,1)</f>
        <v>155350000</v>
      </c>
      <c r="E8" s="29" t="str">
        <f aca="false">IF(ABS(C8-D8)&lt;Check_Tol,"OK","FAIL")</f>
        <v>OK</v>
      </c>
      <c r="F8" s="6" t="s">
        <v>195</v>
      </c>
    </row>
    <row r="9" customFormat="false" ht="15" hidden="false" customHeight="false" outlineLevel="0" collapsed="false">
      <c r="B9" s="7" t="s">
        <v>196</v>
      </c>
      <c r="C9" s="19" t="n">
        <f aca="false">INDEX(Cap_Actual_Pct,1,5)</f>
        <v>0.284751432246919</v>
      </c>
      <c r="D9" s="19" t="n">
        <f aca="false">CET1_Min</f>
        <v>0.105</v>
      </c>
      <c r="E9" s="29" t="str">
        <f aca="false">IF(C9&gt;=D9-0.0001,"OK","FAIL")</f>
        <v>OK</v>
      </c>
      <c r="F9" s="6" t="s">
        <v>197</v>
      </c>
    </row>
    <row r="10" customFormat="false" ht="15" hidden="false" customHeight="false" outlineLevel="0" collapsed="false">
      <c r="B10" s="7" t="s">
        <v>198</v>
      </c>
      <c r="C10" s="19" t="n">
        <f aca="false">Returns!C6</f>
        <v>0.0487922535838251</v>
      </c>
      <c r="D10" s="19" t="n">
        <f aca="false">0.1</f>
        <v>0.1</v>
      </c>
      <c r="E10" s="29" t="str">
        <f aca="false">IF(AND(C10&gt;=0,C10&lt;=D10),"OK","FAIL")</f>
        <v>OK</v>
      </c>
      <c r="F10" s="6" t="s">
        <v>199</v>
      </c>
    </row>
    <row r="11" customFormat="false" ht="15" hidden="false" customHeight="false" outlineLevel="0" collapsed="false">
      <c r="B11" s="7" t="s">
        <v>200</v>
      </c>
      <c r="C11" s="19" t="n">
        <f aca="false">INDEX(Cust_Cum,1,5)-INDEX(Cust_Cum,1,1)</f>
        <v>1750000</v>
      </c>
      <c r="D11" s="19" t="n">
        <f aca="false">0</f>
        <v>0</v>
      </c>
      <c r="E11" s="29" t="str">
        <f aca="false">IF(C11&gt;=D11,"OK","FAIL")</f>
        <v>OK</v>
      </c>
      <c r="F11" s="6" t="s">
        <v>201</v>
      </c>
    </row>
    <row r="12" customFormat="false" ht="15" hidden="false" customHeight="false" outlineLevel="0" collapsed="false">
      <c r="B12" s="7" t="s">
        <v>202</v>
      </c>
      <c r="C12" s="19" t="n">
        <f aca="false">SUM(CF_Raise)</f>
        <v>400000000</v>
      </c>
      <c r="D12" s="19" t="n">
        <f aca="false">SUM(Raise_Yr)</f>
        <v>400000000</v>
      </c>
      <c r="E12" s="29" t="str">
        <f aca="false">IF(ABS(C12-D12)&lt;Check_Tol,"OK","FAIL")</f>
        <v>OK</v>
      </c>
      <c r="F12" s="6" t="s">
        <v>203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2026-05-26T05:17:49Z</dcterms:created>
  <dc:creator>openpyxl</dc:creator>
  <dc:description/>
  <dc:language>en-GB</dc:language>
  <cp:lastModifiedBy/>
  <dcterms:modified xsi:type="dcterms:W3CDTF">2026-05-26T05:17:49Z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