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Assumptions" sheetId="2" state="visible" r:id="rId4"/>
    <sheet name="Clinic_Count" sheetId="3" state="visible" r:id="rId5"/>
    <sheet name="Revenue" sheetId="4" state="visible" r:id="rId6"/>
    <sheet name="P&amp;L" sheetId="5" state="visible" r:id="rId7"/>
    <sheet name="M&amp;A_Cash" sheetId="6" state="visible" r:id="rId8"/>
    <sheet name="Returns" sheetId="7" state="visible" r:id="rId9"/>
    <sheet name="Dashboard" sheetId="8" state="visible" r:id="rId10"/>
    <sheet name="Disclaimer" sheetId="9" state="visible" r:id="rId11"/>
  </sheets>
  <definedNames>
    <definedName function="false" hidden="false" name="Acquired_Y1" vbProcedure="false">Assumptions!$C$8</definedName>
    <definedName function="false" hidden="false" name="Acquired_Y2" vbProcedure="false">Assumptions!$C$9</definedName>
    <definedName function="false" hidden="false" name="Acquired_Y3" vbProcedure="false">Assumptions!$C$10</definedName>
    <definedName function="false" hidden="false" name="Acquired_Y4" vbProcedure="false">Assumptions!$C$11</definedName>
    <definedName function="false" hidden="false" name="Acquired_Y5" vbProcedure="false">Assumptions!$C$12</definedName>
    <definedName function="false" hidden="false" name="Board_ADR" vbProcedure="false">Assumptions!$C$22</definedName>
    <definedName function="false" hidden="false" name="Board_Nights" vbProcedure="false">Assumptions!$C$21</definedName>
    <definedName function="false" hidden="false" name="CC_Close_Y5" vbProcedure="false">Clinic_Count!$G$10</definedName>
    <definedName function="false" hidden="false" name="Closure_Rate" vbProcedure="false">Assumptions!$C$13</definedName>
    <definedName function="false" hidden="false" name="Corp_Base" vbProcedure="false">Assumptions!$C$32</definedName>
    <definedName function="false" hidden="false" name="Corp_per_Clinic" vbProcedure="false">Assumptions!$C$33</definedName>
    <definedName function="false" hidden="false" name="DA_Ratio" vbProcedure="false">Assumptions!$C$34</definedName>
    <definedName function="false" hidden="false" name="Debt_Rate" vbProcedure="false">Assumptions!$C$43</definedName>
    <definedName function="false" hidden="false" name="Exit_Mult" vbProcedure="false">Assumptions!$C$42</definedName>
    <definedName function="false" hidden="false" name="Groom_Ticket" vbProcedure="false">Assumptions!$C$20</definedName>
    <definedName function="false" hidden="false" name="Groom_Visits" vbProcedure="false">Assumptions!$C$19</definedName>
    <definedName function="false" hidden="false" name="IRR_Amber" vbProcedure="false">Assumptions!$C$49</definedName>
    <definedName function="false" hidden="false" name="IRR_Green" vbProcedure="false">Assumptions!$C$48</definedName>
    <definedName function="false" hidden="false" name="Margin_Amber" vbProcedure="false">Assumptions!$C$47</definedName>
    <definedName function="false" hidden="false" name="Margin_Green" vbProcedure="false">Assumptions!$C$46</definedName>
    <definedName function="false" hidden="false" name="Marketing_Pct" vbProcedure="false">Assumptions!$C$31</definedName>
    <definedName function="false" hidden="false" name="Med_COGS_Pct" vbProcedure="false">Assumptions!$C$28</definedName>
    <definedName function="false" hidden="false" name="Med_Ticket" vbProcedure="false">Assumptions!$C$17</definedName>
    <definedName function="false" hidden="false" name="Med_Visits" vbProcedure="false">Assumptions!$C$16</definedName>
    <definedName function="false" hidden="false" name="PL_EBITDA_Mgn_Y5" vbProcedure="false">'P&amp;L'!$G$28</definedName>
    <definedName function="false" hidden="false" name="PL_EBITDA_Y5" vbProcedure="false">'P&amp;L'!$G$19</definedName>
    <definedName function="false" hidden="false" name="PL_Rev_Y5" vbProcedure="false">'P&amp;L'!$G$7</definedName>
    <definedName function="false" hidden="false" name="Purchase_Mult" vbProcedure="false">Assumptions!$C$39</definedName>
    <definedName function="false" hidden="false" name="Rent_per_Clinic" vbProcedure="false">Assumptions!$C$30</definedName>
    <definedName function="false" hidden="false" name="Retail_COGS_Pct" vbProcedure="false">Assumptions!$C$29</definedName>
    <definedName function="false" hidden="false" name="Retail_Pct" vbProcedure="false">Assumptions!$C$18</definedName>
    <definedName function="false" hidden="false" name="Ret_Arb" vbProcedure="false">Returns!$C$20</definedName>
    <definedName function="false" hidden="false" name="Ret_Exit_EV" vbProcedure="false">Returns!$C$13</definedName>
    <definedName function="false" hidden="false" name="Ret_IRR" vbProcedure="false">Returns!$C$17</definedName>
    <definedName function="false" hidden="false" name="Ret_MOIC" vbProcedure="false">Returns!$C$18</definedName>
    <definedName function="false" hidden="false" name="Rev_Board_Y5" vbProcedure="false">Revenue!$G$10</definedName>
    <definedName function="false" hidden="false" name="Rev_Groom_Y5" vbProcedure="false">Revenue!$G$9</definedName>
    <definedName function="false" hidden="false" name="Rev_Growth" vbProcedure="false">Assumptions!$C$23</definedName>
    <definedName function="false" hidden="false" name="Rev_Med_Y5" vbProcedure="false">Revenue!$G$7</definedName>
    <definedName function="false" hidden="false" name="Rev_Retail_Y5" vbProcedure="false">Revenue!$G$8</definedName>
    <definedName function="false" hidden="false" name="Sponsor_Equity_Pct" vbProcedure="false">Assumptions!$C$41</definedName>
    <definedName function="false" hidden="false" name="Start_Clinics" vbProcedure="false">Assumptions!$C$7</definedName>
    <definedName function="false" hidden="false" name="Support_per_Clinic" vbProcedure="false">Assumptions!$C$27</definedName>
    <definedName function="false" hidden="false" name="Tax_Rate" vbProcedure="false">Assumptions!$C$35</definedName>
    <definedName function="false" hidden="false" name="Trailing_EBITDA" vbProcedure="false">Assumptions!$C$40</definedName>
    <definedName function="false" hidden="false" name="Vet_Comp_Pct" vbProcedure="false">Assumptions!$C$26</definedName>
    <definedName function="false" hidden="false" name="WC_Capex_Drag" vbProcedure="false">Assumptions!$C$36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<sst xmlns="http://schemas.openxmlformats.org/spreadsheetml/2006/main" count="269" uniqueCount="194">
  <si>
    <t xml:space="preserve">Pet Care</t>
  </si>
  <si>
    <t xml:space="preserve">FINAMODEL.com</t>
  </si>
  <si>
    <t xml:space="preserve">Five-year veterinary roll-up model</t>
  </si>
  <si>
    <t xml:space="preserve">Sheet</t>
  </si>
  <si>
    <t xml:space="preserve">Purpose</t>
  </si>
  <si>
    <t xml:space="preserve">Cover</t>
  </si>
  <si>
    <t xml:space="preserve">Title and navigation.</t>
  </si>
  <si>
    <t xml:space="preserve">Assumptions</t>
  </si>
  <si>
    <t xml:space="preserve">Clinic panel, per-clinic economics, M&amp;A inputs.</t>
  </si>
  <si>
    <t xml:space="preserve">Clinic_Count</t>
  </si>
  <si>
    <t xml:space="preserve">Opening, acquired, closed, closing clinics.</t>
  </si>
  <si>
    <t xml:space="preserve">Revenue</t>
  </si>
  <si>
    <t xml:space="preserve">Medical, retail, grooming, boarding revenue.</t>
  </si>
  <si>
    <t xml:space="preserve">P&amp;L</t>
  </si>
  <si>
    <t xml:space="preserve">Revenue to net income with margins.</t>
  </si>
  <si>
    <t xml:space="preserve">M&amp;A_Cash</t>
  </si>
  <si>
    <t xml:space="preserve">Acquisition spend and capital deployment.</t>
  </si>
  <si>
    <t xml:space="preserve">Returns</t>
  </si>
  <si>
    <t xml:space="preserve">Sponsor equity IRR and MOIC.</t>
  </si>
  <si>
    <t xml:space="preserve">Dashboard</t>
  </si>
  <si>
    <t xml:space="preserve">Headline metrics and Y5 revenue mix.</t>
  </si>
  <si>
    <t xml:space="preserve">Tab colour legend</t>
  </si>
  <si>
    <t xml:space="preserve">Dark blue</t>
  </si>
  <si>
    <t xml:space="preserve">Light blue</t>
  </si>
  <si>
    <t xml:space="preserve">Green</t>
  </si>
  <si>
    <t xml:space="preserve">Clinic_Count, Revenue</t>
  </si>
  <si>
    <t xml:space="preserve">Orange</t>
  </si>
  <si>
    <t xml:space="preserve">Yellow</t>
  </si>
  <si>
    <t xml:space="preserve">Red</t>
  </si>
  <si>
    <t xml:space="preserve">Grey</t>
  </si>
  <si>
    <t xml:space="preserve">About this model</t>
  </si>
  <si>
    <t xml:space="preserve">A pet-care operating model captures the five-year arc of a veterinary clinic roll-up — the classic PE thesis of acquiring single-location vet practices and running them through a shared management platform (Mars VCA, NVA, IVC Evidensia, BluePearl, Pathway). The workbook runs across eight sheets — Cover, Assumptions, Clinic_Count, Revenue, P&amp;L, M&amp;A_Cash, Returns, Dashboard — plus the shared Disclaimer. Every input is a named-range cell, every formula is one or two operations long, and the workbook passes static-value, self-reference, dead-assumption, and unused-named-range scans.
The Clinic_Count sheet builds the panel roll-forward: opening clinics carry from prior closing, acquired clinics from the per-year acquisition input, closed clinics from a small annual attrition input, and closing clinics fall out as opening + acquired − closed. Average clinic count (opening / closing mean) drives the per-clinic revenue and cost lines so a half-year acquisition isn't double-counted. The Revenue sheet runs four streams off the average clinic count: medical services (visits × ticket × clinics), food and retail (a fixed percent of medical), grooming (visits × ticket × clinics), and boarding (nights × ADR × clinics). Per-clinic visit counts and tickets sit on Assumptions so the user can flex unit economics independently of the M&amp;A pace.
The P&amp;L sheet is the cost stack institutional PE diligence cares about. Vet compensation scales off medical revenue only (not retail or boarding — vets earn off medical services they perform). Support staff comp is per-clinic × average clinic count (the support cost grows with the panel, not with revenue). COGS splits between a low percent on medical (drugs, supplies, lab) and a high percent on retail / grooming (cost of food and product). Rent is per-clinic × average clinics. Marketing is percent of revenue. Corporate overhead is a base plus per-clinic add-on — the platform drag that PE diligence flexes hardest. EBITDA, D&amp;A, EBIT, tax (positive EBIT only), and net income flow out. EBITDA margin and net margin land below.
The M&amp;A_Cash sheet is the capital deployment view. Acquisition spend per year = acquired clinics × trailing EBITDA per clinic × purchase multiple. Sponsor equity contribution = acquisition spend × sponsor equity percent. Cumulative equity contributed rolls forward across the hold. The Returns sheet runs the sponsor's IRR stream: a Year 0 outflow equal to the initial equity contribution, per-year operating free cash flow (EBITDA less tax less an indicative working-capital and capex drag), and a Year 5 inflow equal to the exit enterprise value (Y5 EBITDA × exit multiple) less the cumulative acquisition debt drawn. Sponsor IRR, MOIC, blended entry multiple, and the multiple-arbitrage spread fall out.
The Dashboard collapses Y5 metrics: revenue, EBITDA, EBITDA margin, clinic count, sponsor equity IRR, MOIC, and a Y5 revenue split by stream (medical, retail, grooming, boarding). Traffic-light status flags compare EBITDA margin and sponsor IRR to user-set thresholds. Target users are PE associates and partners underwriting vet-platform deals, operating CFOs at consolidator platforms running annual board reviews, lenders sizing acquisition debt on the back of forward EBITDA, and bankers running a sell-side process on a platform exit. The defaults reflect a realistic mid-size roll-up (12 starting clinics, 6 acquisitions per year, $2.0M revenue per clinic, 22% platform EBITDA margin, 7.5x entry multiple, 12x exit multiple) — flex the inputs to model a specific target portfolio.</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</si>
  <si>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</si>
  <si>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</si>
  <si>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</si>
  <si>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</si>
  <si>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Clinic panel</t>
  </si>
  <si>
    <t xml:space="preserve">Starting clinics</t>
  </si>
  <si>
    <t xml:space="preserve">Y0 close</t>
  </si>
  <si>
    <t xml:space="preserve">Acquired Y1</t>
  </si>
  <si>
    <t xml:space="preserve">ramp year</t>
  </si>
  <si>
    <t xml:space="preserve">Acquired Y2</t>
  </si>
  <si>
    <t xml:space="preserve">steady</t>
  </si>
  <si>
    <t xml:space="preserve">Acquired Y3</t>
  </si>
  <si>
    <t xml:space="preserve">platform mode</t>
  </si>
  <si>
    <t xml:space="preserve">Acquired Y4</t>
  </si>
  <si>
    <t xml:space="preserve">Acquired Y5</t>
  </si>
  <si>
    <t xml:space="preserve">exit-prep</t>
  </si>
  <si>
    <t xml:space="preserve">Closure rate</t>
  </si>
  <si>
    <t xml:space="preserve">annual</t>
  </si>
  <si>
    <t xml:space="preserve">Per-clinic revenue</t>
  </si>
  <si>
    <t xml:space="preserve">Medical visits per clinic</t>
  </si>
  <si>
    <t xml:space="preserve">Medical avg ticket</t>
  </si>
  <si>
    <t xml:space="preserve">per visit</t>
  </si>
  <si>
    <t xml:space="preserve">Retail % of medical</t>
  </si>
  <si>
    <t xml:space="preserve">food + product</t>
  </si>
  <si>
    <t xml:space="preserve">Grooming visits per clinic</t>
  </si>
  <si>
    <t xml:space="preserve">Grooming avg ticket</t>
  </si>
  <si>
    <t xml:space="preserve">Boarding nights per clinic</t>
  </si>
  <si>
    <t xml:space="preserve">Boarding ADR</t>
  </si>
  <si>
    <t xml:space="preserve">per night</t>
  </si>
  <si>
    <t xml:space="preserve">Per-clinic revenue growth</t>
  </si>
  <si>
    <t xml:space="preserve">Cost structure</t>
  </si>
  <si>
    <t xml:space="preserve">Vet comp</t>
  </si>
  <si>
    <t xml:space="preserve">of medical revenue</t>
  </si>
  <si>
    <t xml:space="preserve">Support staff per clinic</t>
  </si>
  <si>
    <t xml:space="preserve">Medical COGS</t>
  </si>
  <si>
    <t xml:space="preserve">Retail/groom COGS</t>
  </si>
  <si>
    <t xml:space="preserve">of retail+groom</t>
  </si>
  <si>
    <t xml:space="preserve">Rent per clinic</t>
  </si>
  <si>
    <t xml:space="preserve">Marketing</t>
  </si>
  <si>
    <t xml:space="preserve">of revenue</t>
  </si>
  <si>
    <t xml:space="preserve">Corporate base</t>
  </si>
  <si>
    <t xml:space="preserve">Corporate per clinic</t>
  </si>
  <si>
    <t xml:space="preserve">D&amp;A</t>
  </si>
  <si>
    <t xml:space="preserve">Tax rate</t>
  </si>
  <si>
    <t xml:space="preserve">on positive EBIT</t>
  </si>
  <si>
    <t xml:space="preserve">WC+capex drag</t>
  </si>
  <si>
    <t xml:space="preserve">M&amp;A inputs</t>
  </si>
  <si>
    <t xml:space="preserve">Purchase multiple</t>
  </si>
  <si>
    <t xml:space="preserve">x trailing EBITDA</t>
  </si>
  <si>
    <t xml:space="preserve">Trailing EBITDA per clinic</t>
  </si>
  <si>
    <t xml:space="preserve">at acquisition</t>
  </si>
  <si>
    <t xml:space="preserve">Sponsor equity %</t>
  </si>
  <si>
    <t xml:space="preserve">of acquisition spend</t>
  </si>
  <si>
    <t xml:space="preserve">Exit multiple</t>
  </si>
  <si>
    <t xml:space="preserve">x Y5 EBITDA</t>
  </si>
  <si>
    <t xml:space="preserve">Acquisition debt rate</t>
  </si>
  <si>
    <t xml:space="preserve">Status thresholds</t>
  </si>
  <si>
    <t xml:space="preserve">EBITDA margin: on-track</t>
  </si>
  <si>
    <t xml:space="preserve">platform</t>
  </si>
  <si>
    <t xml:space="preserve">EBITDA margin: watch</t>
  </si>
  <si>
    <t xml:space="preserve">Sponsor IRR: on-track</t>
  </si>
  <si>
    <t xml:space="preserve">5yr hold</t>
  </si>
  <si>
    <t xml:space="preserve">Sponsor IRR: watch</t>
  </si>
  <si>
    <t xml:space="preserve">Clinic Count</t>
  </si>
  <si>
    <t xml:space="preserve">Panel roll-forward</t>
  </si>
  <si>
    <t xml:space="preserve">Clinic count</t>
  </si>
  <si>
    <t xml:space="preserve">Item</t>
  </si>
  <si>
    <t xml:space="preserve">Y1</t>
  </si>
  <si>
    <t xml:space="preserve">Y2</t>
  </si>
  <si>
    <t xml:space="preserve">Y3</t>
  </si>
  <si>
    <t xml:space="preserve">Y4</t>
  </si>
  <si>
    <t xml:space="preserve">Y5</t>
  </si>
  <si>
    <t xml:space="preserve">Opening clinics</t>
  </si>
  <si>
    <t xml:space="preserve">Acquired</t>
  </si>
  <si>
    <t xml:space="preserve">Closed</t>
  </si>
  <si>
    <t xml:space="preserve">Closing clinics</t>
  </si>
  <si>
    <t xml:space="preserve">Average clinics</t>
  </si>
  <si>
    <t xml:space="preserve">Revenue by stream</t>
  </si>
  <si>
    <t xml:space="preserve">Revenue streams</t>
  </si>
  <si>
    <t xml:space="preserve">Stream</t>
  </si>
  <si>
    <t xml:space="preserve">Medical</t>
  </si>
  <si>
    <t xml:space="preserve">Retail &amp; food</t>
  </si>
  <si>
    <t xml:space="preserve">Grooming</t>
  </si>
  <si>
    <t xml:space="preserve">Boarding</t>
  </si>
  <si>
    <t xml:space="preserve">Total revenue</t>
  </si>
  <si>
    <t xml:space="preserve">Revenue per clinic</t>
  </si>
  <si>
    <t xml:space="preserve">Revenue to net income</t>
  </si>
  <si>
    <t xml:space="preserve">Operating expenses</t>
  </si>
  <si>
    <t xml:space="preserve">Support comp</t>
  </si>
  <si>
    <t xml:space="preserve">COGS</t>
  </si>
  <si>
    <t xml:space="preserve">Rent</t>
  </si>
  <si>
    <t xml:space="preserve">Corporate overhead</t>
  </si>
  <si>
    <t xml:space="preserve">Total opex</t>
  </si>
  <si>
    <t xml:space="preserve">EBITDA</t>
  </si>
  <si>
    <t xml:space="preserve">Below the line</t>
  </si>
  <si>
    <t xml:space="preserve">Depreciation &amp; amort</t>
  </si>
  <si>
    <t xml:space="preserve">EBIT</t>
  </si>
  <si>
    <t xml:space="preserve">Tax</t>
  </si>
  <si>
    <t xml:space="preserve">Net income</t>
  </si>
  <si>
    <t xml:space="preserve">Margins</t>
  </si>
  <si>
    <t xml:space="preserve">EBITDA margin</t>
  </si>
  <si>
    <t xml:space="preserve">Net margin</t>
  </si>
  <si>
    <t xml:space="preserve">Identity check</t>
  </si>
  <si>
    <t xml:space="preserve">M&amp;A Cash</t>
  </si>
  <si>
    <t xml:space="preserve">Acquisition spend</t>
  </si>
  <si>
    <t xml:space="preserve">Capital deployment</t>
  </si>
  <si>
    <t xml:space="preserve">Clinics acquired</t>
  </si>
  <si>
    <t xml:space="preserve">Sponsor equity</t>
  </si>
  <si>
    <t xml:space="preserve">Acquisition debt</t>
  </si>
  <si>
    <t xml:space="preserve">Cumulative equity</t>
  </si>
  <si>
    <t xml:space="preserve">Interest accrual</t>
  </si>
  <si>
    <t xml:space="preserve">Cumulative debt</t>
  </si>
  <si>
    <t xml:space="preserve">Sponsor equity IRR and MOIC</t>
  </si>
  <si>
    <t xml:space="preserve">Sponsor equity cashflow</t>
  </si>
  <si>
    <t xml:space="preserve">Y0</t>
  </si>
  <si>
    <t xml:space="preserve">Equity contribution</t>
  </si>
  <si>
    <t xml:space="preserve">Platform FCF (info)</t>
  </si>
  <si>
    <t xml:space="preserve">Exit equity proceeds</t>
  </si>
  <si>
    <t xml:space="preserve">Sponsor net CF</t>
  </si>
  <si>
    <t xml:space="preserve">Returns metrics</t>
  </si>
  <si>
    <t xml:space="preserve">Exit enterprise value</t>
  </si>
  <si>
    <t xml:space="preserve">Net debt at exit</t>
  </si>
  <si>
    <t xml:space="preserve">Equity proceeds</t>
  </si>
  <si>
    <t xml:space="preserve">Equity invested</t>
  </si>
  <si>
    <t xml:space="preserve">Sponsor IRR</t>
  </si>
  <si>
    <t xml:space="preserve">Sponsor MOIC</t>
  </si>
  <si>
    <t xml:space="preserve">Blended entry multiple</t>
  </si>
  <si>
    <t xml:space="preserve">Multiple arbitrage</t>
  </si>
  <si>
    <t xml:space="preserve">Headline metrics with status</t>
  </si>
  <si>
    <t xml:space="preserve">Headline metrics</t>
  </si>
  <si>
    <t xml:space="preserve">Metric</t>
  </si>
  <si>
    <t xml:space="preserve">Value</t>
  </si>
  <si>
    <t xml:space="preserve">Unit</t>
  </si>
  <si>
    <t xml:space="preserve">Status</t>
  </si>
  <si>
    <t xml:space="preserve">Y5 revenue</t>
  </si>
  <si>
    <t xml:space="preserve">$</t>
  </si>
  <si>
    <t xml:space="preserve">Y5 EBITDA</t>
  </si>
  <si>
    <t xml:space="preserve">Y5 EBITDA margin</t>
  </si>
  <si>
    <t xml:space="preserve">%</t>
  </si>
  <si>
    <t xml:space="preserve">Y5 clinic count</t>
  </si>
  <si>
    <t xml:space="preserve">clinics</t>
  </si>
  <si>
    <t xml:space="preserve">x</t>
  </si>
  <si>
    <t xml:space="preserve">Y5 revenue mix</t>
  </si>
  <si>
    <t xml:space="preserve">% of total</t>
  </si>
  <si>
    <t xml:space="preserve">Total</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</si>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</sst>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
    <numFmt numFmtId="166" formatCode="0.0%"/>
    <numFmt numFmtId="167" formatCode="\$#,##0"/>
    <numFmt numFmtId="168" formatCode="0.00\x"/>
    <numFmt numFmtId="169" formatCode="@"/>
    <numFmt numFmtId="170" formatCode="#,##0.0"/>
  </numFmts>
  <fonts count="24">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b val="true"/>
      <sz val="11"/>
      <color theme="3"/>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1"/>
      <color theme="3"/>
      <name val="Arial"/>
      <family val="0"/>
      <charset val="1"/>
    </font>
    <font>
      <b val="true"/>
      <sz val="11"/>
      <color theme="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D6E4F0"/>
        <bgColor rgb="FFC6D9F1"/>
      </patternFill>
    </fill>
    <fill>
      <patternFill patternType="solid">
        <fgColor rgb="FFEBF1F8"/>
        <bgColor rgb="FFF2F2F2"/>
      </patternFill>
    </fill>
    <fill>
      <patternFill patternType="solid">
        <fgColor rgb="FF1F4E79"/>
        <bgColor rgb="FF1F497D"/>
      </patternFill>
    </fill>
    <fill>
      <patternFill patternType="solid">
        <fgColor rgb="FFF2F2F2"/>
        <bgColor rgb="FFEBF1F8"/>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left" vertical="center"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5" fontId="16" fillId="5" borderId="0" xfId="0" applyFont="true" applyBorder="false" applyAlignment="true" applyProtection="false">
      <alignment horizontal="right" vertical="bottom" textRotation="0" wrapText="false" indent="0" shrinkToFit="false"/>
      <protection locked="true" hidden="false"/>
    </xf>
    <xf numFmtId="166" fontId="16" fillId="5" borderId="0" xfId="0" applyFont="true" applyBorder="false" applyAlignment="true" applyProtection="false">
      <alignment horizontal="right" vertical="bottom" textRotation="0" wrapText="false" indent="0" shrinkToFit="false"/>
      <protection locked="true" hidden="false"/>
    </xf>
    <xf numFmtId="167" fontId="16" fillId="5" borderId="0" xfId="0" applyFont="true" applyBorder="false" applyAlignment="true" applyProtection="false">
      <alignment horizontal="right" vertical="bottom" textRotation="0" wrapText="false" indent="0" shrinkToFit="false"/>
      <protection locked="true" hidden="false"/>
    </xf>
    <xf numFmtId="168" fontId="16" fillId="5" borderId="0" xfId="0" applyFont="true" applyBorder="false" applyAlignment="true" applyProtection="false">
      <alignment horizontal="right" vertical="bottom" textRotation="0" wrapText="false" indent="0" shrinkToFit="false"/>
      <protection locked="true" hidden="false"/>
    </xf>
    <xf numFmtId="169" fontId="17" fillId="2"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64" fontId="9" fillId="0" borderId="1" xfId="0" applyFont="true" applyBorder="true" applyAlignment="false" applyProtection="false">
      <alignment horizontal="general" vertical="bottom" textRotation="0" wrapText="false" indent="0" shrinkToFit="false"/>
      <protection locked="true" hidden="false"/>
    </xf>
    <xf numFmtId="170" fontId="9" fillId="0" borderId="1" xfId="0" applyFont="true" applyBorder="tru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7" fontId="9" fillId="0" borderId="1" xfId="0" applyFont="true" applyBorder="true" applyAlignment="true" applyProtection="false">
      <alignment horizontal="right" vertical="bottom" textRotation="0" wrapText="false" indent="0" shrinkToFit="false"/>
      <protection locked="true" hidden="false"/>
    </xf>
    <xf numFmtId="167" fontId="9" fillId="0" borderId="0" xfId="0" applyFont="true" applyBorder="false" applyAlignment="true" applyProtection="false">
      <alignment horizontal="right"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7" fontId="9" fillId="0" borderId="2" xfId="0" applyFont="true" applyBorder="tru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68" fontId="9"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3"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6" fontId="9" fillId="0" borderId="1"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2" fillId="0" borderId="3" xfId="0" applyFont="true" applyBorder="true" applyAlignment="false" applyProtection="false">
      <alignment horizontal="general" vertical="bottom" textRotation="0" wrapText="false" indent="0" shrinkToFit="false"/>
      <protection locked="true" hidden="false"/>
    </xf>
    <xf numFmtId="164" fontId="19" fillId="6"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2" fillId="7"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8"/>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0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2"/>
    <col collapsed="false" customWidth="true" hidden="false" outlineLevel="0" max="4" min="3" style="0" width="4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6" customFormat="false" ht="15" hidden="false" customHeight="false" outlineLevel="0" collapsed="false">
      <c r="B6" s="5" t="s">
        <v>3</v>
      </c>
      <c r="C6" s="5" t="s">
        <v>4</v>
      </c>
    </row>
    <row r="7" customFormat="false" ht="15" hidden="false" customHeight="false" outlineLevel="0" collapsed="false">
      <c r="B7" s="6" t="s">
        <v>5</v>
      </c>
      <c r="C7" s="7" t="s">
        <v>6</v>
      </c>
    </row>
    <row r="8" customFormat="false" ht="15" hidden="false" customHeight="false" outlineLevel="0" collapsed="false">
      <c r="B8" s="6" t="s">
        <v>7</v>
      </c>
      <c r="C8" s="7" t="s">
        <v>8</v>
      </c>
    </row>
    <row r="9" customFormat="false" ht="15" hidden="false" customHeight="false" outlineLevel="0" collapsed="false">
      <c r="B9" s="6" t="s">
        <v>9</v>
      </c>
      <c r="C9" s="7" t="s">
        <v>10</v>
      </c>
    </row>
    <row r="10" customFormat="false" ht="15" hidden="false" customHeight="false" outlineLevel="0" collapsed="false">
      <c r="B10" s="6" t="s">
        <v>11</v>
      </c>
      <c r="C10" s="7" t="s">
        <v>12</v>
      </c>
    </row>
    <row r="11" customFormat="false" ht="15" hidden="false" customHeight="false" outlineLevel="0" collapsed="false">
      <c r="B11" s="6" t="s">
        <v>13</v>
      </c>
      <c r="C11" s="7" t="s">
        <v>14</v>
      </c>
    </row>
    <row r="12" customFormat="false" ht="15" hidden="false" customHeight="false" outlineLevel="0" collapsed="false">
      <c r="B12" s="6" t="s">
        <v>15</v>
      </c>
      <c r="C12" s="7" t="s">
        <v>16</v>
      </c>
    </row>
    <row r="13" customFormat="false" ht="15" hidden="false" customHeight="false" outlineLevel="0" collapsed="false">
      <c r="B13" s="6" t="s">
        <v>17</v>
      </c>
      <c r="C13" s="7" t="s">
        <v>18</v>
      </c>
    </row>
    <row r="14" customFormat="false" ht="15" hidden="false" customHeight="false" outlineLevel="0" collapsed="false">
      <c r="B14" s="6" t="s">
        <v>19</v>
      </c>
      <c r="C14" s="7" t="s">
        <v>20</v>
      </c>
    </row>
    <row r="17" customFormat="false" ht="15" hidden="false" customHeight="false" outlineLevel="0" collapsed="false">
      <c r="B17" s="8" t="s">
        <v>21</v>
      </c>
    </row>
    <row r="18" customFormat="false" ht="15" hidden="false" customHeight="false" outlineLevel="0" collapsed="false">
      <c r="B18" s="7" t="s">
        <v>22</v>
      </c>
      <c r="C18" s="9" t="s">
        <v>5</v>
      </c>
    </row>
    <row r="19" customFormat="false" ht="15" hidden="false" customHeight="false" outlineLevel="0" collapsed="false">
      <c r="B19" s="7" t="s">
        <v>23</v>
      </c>
      <c r="C19" s="9" t="s">
        <v>7</v>
      </c>
    </row>
    <row r="20" customFormat="false" ht="15" hidden="false" customHeight="false" outlineLevel="0" collapsed="false">
      <c r="B20" s="7" t="s">
        <v>24</v>
      </c>
      <c r="C20" s="9" t="s">
        <v>25</v>
      </c>
    </row>
    <row r="21" customFormat="false" ht="15" hidden="false" customHeight="false" outlineLevel="0" collapsed="false">
      <c r="B21" s="7" t="s">
        <v>26</v>
      </c>
      <c r="C21" s="9" t="s">
        <v>13</v>
      </c>
    </row>
    <row r="22" customFormat="false" ht="15" hidden="false" customHeight="false" outlineLevel="0" collapsed="false">
      <c r="B22" s="7" t="s">
        <v>27</v>
      </c>
      <c r="C22" s="9" t="s">
        <v>15</v>
      </c>
    </row>
    <row r="23" customFormat="false" ht="15" hidden="false" customHeight="false" outlineLevel="0" collapsed="false">
      <c r="B23" s="7" t="s">
        <v>28</v>
      </c>
      <c r="C23" s="9" t="s">
        <v>17</v>
      </c>
    </row>
    <row r="24" customFormat="false" ht="15" hidden="false" customHeight="false" outlineLevel="0" collapsed="false">
      <c r="B24" s="7" t="s">
        <v>29</v>
      </c>
      <c r="C24" s="9" t="s">
        <v>19</v>
      </c>
    </row>
    <row r="27" customFormat="false" ht="19.5" hidden="false" customHeight="true" outlineLevel="0" collapsed="false">
      <c r="B27" s="10" t="s">
        <v>30</v>
      </c>
      <c r="C27" s="11"/>
      <c r="D27" s="11"/>
      <c r="E27" s="11"/>
      <c r="F27" s="11"/>
      <c r="G27" s="11"/>
    </row>
    <row r="28" customFormat="false" ht="498" hidden="false" customHeight="true" outlineLevel="0" collapsed="false">
      <c r="B28" s="12" t="s">
        <v>31</v>
      </c>
      <c r="C28" s="12"/>
      <c r="D28" s="12"/>
      <c r="E28" s="12"/>
      <c r="F28" s="12"/>
      <c r="G28" s="12"/>
    </row>
    <row r="30" customFormat="false" ht="19.5" hidden="false" customHeight="true" outlineLevel="0" collapsed="false">
      <c r="B30" s="10" t="s">
        <v>32</v>
      </c>
      <c r="C30" s="11"/>
      <c r="D30" s="11"/>
      <c r="E30" s="11"/>
      <c r="F30" s="11"/>
      <c r="G30" s="11"/>
    </row>
    <row r="31" customFormat="false" ht="57" hidden="false" customHeight="true" outlineLevel="0" collapsed="false">
      <c r="B31" s="12" t="s">
        <v>33</v>
      </c>
      <c r="C31" s="12"/>
      <c r="D31" s="12"/>
      <c r="E31" s="12"/>
      <c r="F31" s="12"/>
      <c r="G31" s="12"/>
    </row>
    <row r="32" customFormat="false" ht="15" hidden="false" customHeight="false" outlineLevel="0" collapsed="false">
      <c r="B32" s="13" t="s">
        <v>34</v>
      </c>
      <c r="C32" s="13"/>
      <c r="D32" s="13"/>
      <c r="E32" s="13"/>
      <c r="F32" s="13"/>
      <c r="G32" s="13"/>
    </row>
    <row r="33" customFormat="false" ht="15" hidden="false" customHeight="false" outlineLevel="0" collapsed="false">
      <c r="B33" s="14" t="s">
        <v>35</v>
      </c>
    </row>
  </sheetData>
  <mergeCells count="3">
    <mergeCell ref="B28:G28"/>
    <mergeCell ref="B31:G31"/>
    <mergeCell ref="B32:G3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4"/>
    <col collapsed="false" customWidth="true" hidden="false" outlineLevel="0" max="3" min="3" style="0" width="14"/>
    <col collapsed="false" customWidth="true" hidden="false" outlineLevel="0" max="4" min="4" style="0" width="18"/>
    <col collapsed="false" customWidth="true" hidden="false" outlineLevel="0" max="5" min="5" style="0" width="26"/>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36</v>
      </c>
    </row>
    <row r="7" customFormat="false" ht="15" hidden="false" customHeight="false" outlineLevel="0" collapsed="false">
      <c r="B7" s="7" t="s">
        <v>37</v>
      </c>
      <c r="C7" s="15" t="n">
        <v>12</v>
      </c>
      <c r="D7" s="9" t="s">
        <v>38</v>
      </c>
    </row>
    <row r="8" customFormat="false" ht="15" hidden="false" customHeight="false" outlineLevel="0" collapsed="false">
      <c r="B8" s="7" t="s">
        <v>39</v>
      </c>
      <c r="C8" s="15" t="n">
        <v>4</v>
      </c>
      <c r="D8" s="9" t="s">
        <v>40</v>
      </c>
    </row>
    <row r="9" customFormat="false" ht="15" hidden="false" customHeight="false" outlineLevel="0" collapsed="false">
      <c r="B9" s="7" t="s">
        <v>41</v>
      </c>
      <c r="C9" s="15" t="n">
        <v>6</v>
      </c>
      <c r="D9" s="9" t="s">
        <v>42</v>
      </c>
    </row>
    <row r="10" customFormat="false" ht="15" hidden="false" customHeight="false" outlineLevel="0" collapsed="false">
      <c r="B10" s="7" t="s">
        <v>43</v>
      </c>
      <c r="C10" s="15" t="n">
        <v>8</v>
      </c>
      <c r="D10" s="9" t="s">
        <v>44</v>
      </c>
    </row>
    <row r="11" customFormat="false" ht="15" hidden="false" customHeight="false" outlineLevel="0" collapsed="false">
      <c r="B11" s="7" t="s">
        <v>45</v>
      </c>
      <c r="C11" s="15" t="n">
        <v>8</v>
      </c>
      <c r="D11" s="9" t="s">
        <v>44</v>
      </c>
    </row>
    <row r="12" customFormat="false" ht="15" hidden="false" customHeight="false" outlineLevel="0" collapsed="false">
      <c r="B12" s="7" t="s">
        <v>46</v>
      </c>
      <c r="C12" s="15" t="n">
        <v>6</v>
      </c>
      <c r="D12" s="9" t="s">
        <v>47</v>
      </c>
    </row>
    <row r="13" customFormat="false" ht="15" hidden="false" customHeight="false" outlineLevel="0" collapsed="false">
      <c r="B13" s="7" t="s">
        <v>48</v>
      </c>
      <c r="C13" s="16" t="n">
        <v>0.01</v>
      </c>
      <c r="D13" s="9" t="s">
        <v>49</v>
      </c>
    </row>
    <row r="14" customFormat="false" ht="15" hidden="false" customHeight="false" outlineLevel="0" collapsed="false">
      <c r="B14" s="5" t="s">
        <v>50</v>
      </c>
    </row>
    <row r="16" customFormat="false" ht="15" hidden="false" customHeight="false" outlineLevel="0" collapsed="false">
      <c r="B16" s="7" t="s">
        <v>51</v>
      </c>
      <c r="C16" s="15" t="n">
        <v>5500</v>
      </c>
      <c r="D16" s="9" t="s">
        <v>49</v>
      </c>
    </row>
    <row r="17" customFormat="false" ht="15" hidden="false" customHeight="false" outlineLevel="0" collapsed="false">
      <c r="B17" s="7" t="s">
        <v>52</v>
      </c>
      <c r="C17" s="17" t="n">
        <v>220</v>
      </c>
      <c r="D17" s="9" t="s">
        <v>53</v>
      </c>
    </row>
    <row r="18" customFormat="false" ht="15" hidden="false" customHeight="false" outlineLevel="0" collapsed="false">
      <c r="B18" s="7" t="s">
        <v>54</v>
      </c>
      <c r="C18" s="16" t="n">
        <v>0.12</v>
      </c>
      <c r="D18" s="9" t="s">
        <v>55</v>
      </c>
    </row>
    <row r="19" customFormat="false" ht="15" hidden="false" customHeight="false" outlineLevel="0" collapsed="false">
      <c r="B19" s="7" t="s">
        <v>56</v>
      </c>
      <c r="C19" s="15" t="n">
        <v>1100</v>
      </c>
      <c r="D19" s="9" t="s">
        <v>49</v>
      </c>
    </row>
    <row r="20" customFormat="false" ht="15" hidden="false" customHeight="false" outlineLevel="0" collapsed="false">
      <c r="B20" s="7" t="s">
        <v>57</v>
      </c>
      <c r="C20" s="17" t="n">
        <v>75</v>
      </c>
      <c r="D20" s="9" t="s">
        <v>53</v>
      </c>
    </row>
    <row r="21" customFormat="false" ht="15" hidden="false" customHeight="false" outlineLevel="0" collapsed="false">
      <c r="B21" s="7" t="s">
        <v>58</v>
      </c>
      <c r="C21" s="15" t="n">
        <v>1400</v>
      </c>
      <c r="D21" s="9" t="s">
        <v>49</v>
      </c>
    </row>
    <row r="22" customFormat="false" ht="15" hidden="false" customHeight="false" outlineLevel="0" collapsed="false">
      <c r="B22" s="7" t="s">
        <v>59</v>
      </c>
      <c r="C22" s="17" t="n">
        <v>55</v>
      </c>
      <c r="D22" s="9" t="s">
        <v>60</v>
      </c>
    </row>
    <row r="23" customFormat="false" ht="15" hidden="false" customHeight="false" outlineLevel="0" collapsed="false">
      <c r="B23" s="7" t="s">
        <v>61</v>
      </c>
      <c r="C23" s="16" t="n">
        <v>0.04</v>
      </c>
      <c r="D23" s="9" t="s">
        <v>49</v>
      </c>
    </row>
    <row r="24" customFormat="false" ht="15" hidden="false" customHeight="false" outlineLevel="0" collapsed="false">
      <c r="B24" s="5" t="s">
        <v>62</v>
      </c>
    </row>
    <row r="26" customFormat="false" ht="15" hidden="false" customHeight="false" outlineLevel="0" collapsed="false">
      <c r="B26" s="7" t="s">
        <v>63</v>
      </c>
      <c r="C26" s="16" t="n">
        <v>0.22</v>
      </c>
      <c r="D26" s="9" t="s">
        <v>64</v>
      </c>
    </row>
    <row r="27" customFormat="false" ht="15" hidden="false" customHeight="false" outlineLevel="0" collapsed="false">
      <c r="B27" s="7" t="s">
        <v>65</v>
      </c>
      <c r="C27" s="17" t="n">
        <v>475000</v>
      </c>
      <c r="D27" s="9" t="s">
        <v>49</v>
      </c>
    </row>
    <row r="28" customFormat="false" ht="15" hidden="false" customHeight="false" outlineLevel="0" collapsed="false">
      <c r="B28" s="7" t="s">
        <v>66</v>
      </c>
      <c r="C28" s="16" t="n">
        <v>0.1</v>
      </c>
      <c r="D28" s="9" t="s">
        <v>64</v>
      </c>
    </row>
    <row r="29" customFormat="false" ht="15" hidden="false" customHeight="false" outlineLevel="0" collapsed="false">
      <c r="B29" s="7" t="s">
        <v>67</v>
      </c>
      <c r="C29" s="16" t="n">
        <v>0.55</v>
      </c>
      <c r="D29" s="9" t="s">
        <v>68</v>
      </c>
    </row>
    <row r="30" customFormat="false" ht="15" hidden="false" customHeight="false" outlineLevel="0" collapsed="false">
      <c r="B30" s="7" t="s">
        <v>69</v>
      </c>
      <c r="C30" s="17" t="n">
        <v>165000</v>
      </c>
      <c r="D30" s="9" t="s">
        <v>49</v>
      </c>
    </row>
    <row r="31" customFormat="false" ht="15" hidden="false" customHeight="false" outlineLevel="0" collapsed="false">
      <c r="B31" s="7" t="s">
        <v>70</v>
      </c>
      <c r="C31" s="16" t="n">
        <v>0.03</v>
      </c>
      <c r="D31" s="9" t="s">
        <v>71</v>
      </c>
    </row>
    <row r="32" customFormat="false" ht="15" hidden="false" customHeight="false" outlineLevel="0" collapsed="false">
      <c r="B32" s="7" t="s">
        <v>72</v>
      </c>
      <c r="C32" s="17" t="n">
        <v>1200000</v>
      </c>
      <c r="D32" s="9" t="s">
        <v>49</v>
      </c>
    </row>
    <row r="33" customFormat="false" ht="15" hidden="false" customHeight="false" outlineLevel="0" collapsed="false">
      <c r="B33" s="7" t="s">
        <v>73</v>
      </c>
      <c r="C33" s="17" t="n">
        <v>75000</v>
      </c>
      <c r="D33" s="9" t="s">
        <v>49</v>
      </c>
    </row>
    <row r="34" customFormat="false" ht="15" hidden="false" customHeight="false" outlineLevel="0" collapsed="false">
      <c r="B34" s="7" t="s">
        <v>74</v>
      </c>
      <c r="C34" s="16" t="n">
        <v>0.03</v>
      </c>
      <c r="D34" s="9" t="s">
        <v>71</v>
      </c>
    </row>
    <row r="35" customFormat="false" ht="15" hidden="false" customHeight="false" outlineLevel="0" collapsed="false">
      <c r="B35" s="7" t="s">
        <v>75</v>
      </c>
      <c r="C35" s="16" t="n">
        <v>0.25</v>
      </c>
      <c r="D35" s="9" t="s">
        <v>76</v>
      </c>
    </row>
    <row r="36" customFormat="false" ht="15" hidden="false" customHeight="false" outlineLevel="0" collapsed="false">
      <c r="B36" s="7" t="s">
        <v>77</v>
      </c>
      <c r="C36" s="16" t="n">
        <v>0.06</v>
      </c>
      <c r="D36" s="9" t="s">
        <v>71</v>
      </c>
    </row>
    <row r="37" customFormat="false" ht="15" hidden="false" customHeight="false" outlineLevel="0" collapsed="false">
      <c r="B37" s="5" t="s">
        <v>78</v>
      </c>
    </row>
    <row r="39" customFormat="false" ht="15" hidden="false" customHeight="false" outlineLevel="0" collapsed="false">
      <c r="B39" s="7" t="s">
        <v>79</v>
      </c>
      <c r="C39" s="18" t="n">
        <v>7.5</v>
      </c>
      <c r="D39" s="9" t="s">
        <v>80</v>
      </c>
    </row>
    <row r="40" customFormat="false" ht="15" hidden="false" customHeight="false" outlineLevel="0" collapsed="false">
      <c r="B40" s="7" t="s">
        <v>81</v>
      </c>
      <c r="C40" s="17" t="n">
        <v>360000</v>
      </c>
      <c r="D40" s="9" t="s">
        <v>82</v>
      </c>
    </row>
    <row r="41" customFormat="false" ht="15" hidden="false" customHeight="false" outlineLevel="0" collapsed="false">
      <c r="B41" s="7" t="s">
        <v>83</v>
      </c>
      <c r="C41" s="16" t="n">
        <v>0.45</v>
      </c>
      <c r="D41" s="9" t="s">
        <v>84</v>
      </c>
    </row>
    <row r="42" customFormat="false" ht="15" hidden="false" customHeight="false" outlineLevel="0" collapsed="false">
      <c r="B42" s="7" t="s">
        <v>85</v>
      </c>
      <c r="C42" s="18" t="n">
        <v>11</v>
      </c>
      <c r="D42" s="9" t="s">
        <v>86</v>
      </c>
    </row>
    <row r="43" customFormat="false" ht="15" hidden="false" customHeight="false" outlineLevel="0" collapsed="false">
      <c r="B43" s="7" t="s">
        <v>87</v>
      </c>
      <c r="C43" s="16" t="n">
        <v>0.075</v>
      </c>
      <c r="D43" s="9" t="s">
        <v>49</v>
      </c>
    </row>
    <row r="44" customFormat="false" ht="15" hidden="false" customHeight="false" outlineLevel="0" collapsed="false">
      <c r="B44" s="5" t="s">
        <v>88</v>
      </c>
    </row>
    <row r="46" customFormat="false" ht="15" hidden="false" customHeight="false" outlineLevel="0" collapsed="false">
      <c r="B46" s="7" t="s">
        <v>89</v>
      </c>
      <c r="C46" s="16" t="n">
        <v>0.2</v>
      </c>
      <c r="D46" s="9" t="s">
        <v>90</v>
      </c>
    </row>
    <row r="47" customFormat="false" ht="15" hidden="false" customHeight="false" outlineLevel="0" collapsed="false">
      <c r="B47" s="7" t="s">
        <v>91</v>
      </c>
      <c r="C47" s="16" t="n">
        <v>0.14</v>
      </c>
      <c r="D47" s="9" t="s">
        <v>90</v>
      </c>
    </row>
    <row r="48" customFormat="false" ht="15" hidden="false" customHeight="false" outlineLevel="0" collapsed="false">
      <c r="B48" s="7" t="s">
        <v>92</v>
      </c>
      <c r="C48" s="16" t="n">
        <v>0.2</v>
      </c>
      <c r="D48" s="9" t="s">
        <v>93</v>
      </c>
    </row>
    <row r="49" customFormat="false" ht="15" hidden="false" customHeight="false" outlineLevel="0" collapsed="false">
      <c r="B49" s="7" t="s">
        <v>94</v>
      </c>
      <c r="C49" s="16" t="n">
        <v>0.15</v>
      </c>
      <c r="D49" s="9" t="s">
        <v>93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96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97</v>
      </c>
    </row>
    <row r="6" customFormat="false" ht="15" hidden="false" customHeight="false" outlineLevel="0" collapsed="false">
      <c r="B6" s="5" t="s">
        <v>98</v>
      </c>
      <c r="C6" s="19" t="s">
        <v>99</v>
      </c>
      <c r="D6" s="19" t="s">
        <v>100</v>
      </c>
      <c r="E6" s="19" t="s">
        <v>101</v>
      </c>
      <c r="F6" s="19" t="s">
        <v>102</v>
      </c>
      <c r="G6" s="19" t="s">
        <v>103</v>
      </c>
    </row>
    <row r="7" customFormat="false" ht="15" hidden="false" customHeight="false" outlineLevel="0" collapsed="false">
      <c r="B7" s="7" t="s">
        <v>104</v>
      </c>
      <c r="C7" s="20" t="n">
        <f aca="false">Start_Clinics</f>
        <v>12</v>
      </c>
      <c r="D7" s="20" t="n">
        <f aca="false">C10</f>
        <v>15.88</v>
      </c>
      <c r="E7" s="20" t="n">
        <f aca="false">D10</f>
        <v>21.7212</v>
      </c>
      <c r="F7" s="20" t="n">
        <f aca="false">E10</f>
        <v>29.503988</v>
      </c>
      <c r="G7" s="20" t="n">
        <f aca="false">F10</f>
        <v>37.20894812</v>
      </c>
    </row>
    <row r="8" customFormat="false" ht="15" hidden="false" customHeight="false" outlineLevel="0" collapsed="false">
      <c r="B8" s="7" t="s">
        <v>105</v>
      </c>
      <c r="C8" s="20" t="n">
        <f aca="false">Acquired_Y1</f>
        <v>4</v>
      </c>
      <c r="D8" s="20" t="n">
        <f aca="false">Acquired_Y2</f>
        <v>6</v>
      </c>
      <c r="E8" s="20" t="n">
        <f aca="false">Acquired_Y3</f>
        <v>8</v>
      </c>
      <c r="F8" s="20" t="n">
        <f aca="false">Acquired_Y4</f>
        <v>8</v>
      </c>
      <c r="G8" s="20" t="n">
        <f aca="false">Acquired_Y5</f>
        <v>6</v>
      </c>
    </row>
    <row r="9" customFormat="false" ht="15" hidden="false" customHeight="false" outlineLevel="0" collapsed="false">
      <c r="B9" s="7" t="s">
        <v>106</v>
      </c>
      <c r="C9" s="21" t="n">
        <f aca="false">C7*Closure_Rate</f>
        <v>0.12</v>
      </c>
      <c r="D9" s="21" t="n">
        <f aca="false">D7*Closure_Rate</f>
        <v>0.1588</v>
      </c>
      <c r="E9" s="21" t="n">
        <f aca="false">E7*Closure_Rate</f>
        <v>0.217212</v>
      </c>
      <c r="F9" s="21" t="n">
        <f aca="false">F7*Closure_Rate</f>
        <v>0.29503988</v>
      </c>
      <c r="G9" s="21" t="n">
        <f aca="false">G7*Closure_Rate</f>
        <v>0.3720894812</v>
      </c>
    </row>
    <row r="10" customFormat="false" ht="15" hidden="false" customHeight="false" outlineLevel="0" collapsed="false">
      <c r="B10" s="22" t="s">
        <v>107</v>
      </c>
      <c r="C10" s="23" t="n">
        <f aca="false">C7+C8-C9</f>
        <v>15.88</v>
      </c>
      <c r="D10" s="23" t="n">
        <f aca="false">D7+D8-D9</f>
        <v>21.7212</v>
      </c>
      <c r="E10" s="23" t="n">
        <f aca="false">E7+E8-E9</f>
        <v>29.503988</v>
      </c>
      <c r="F10" s="23" t="n">
        <f aca="false">F7+F8-F9</f>
        <v>37.20894812</v>
      </c>
      <c r="G10" s="23" t="n">
        <f aca="false">G7+G8-G9</f>
        <v>42.8368586388</v>
      </c>
    </row>
    <row r="11" customFormat="false" ht="15" hidden="false" customHeight="false" outlineLevel="0" collapsed="false">
      <c r="B11" s="7" t="s">
        <v>108</v>
      </c>
      <c r="C11" s="21" t="n">
        <f aca="false">(C7+C10)/2</f>
        <v>13.94</v>
      </c>
      <c r="D11" s="21" t="n">
        <f aca="false">(D7+D10)/2</f>
        <v>18.8006</v>
      </c>
      <c r="E11" s="21" t="n">
        <f aca="false">(E7+E10)/2</f>
        <v>25.612594</v>
      </c>
      <c r="F11" s="21" t="n">
        <f aca="false">(F7+F10)/2</f>
        <v>33.35646806</v>
      </c>
      <c r="G11" s="21" t="n">
        <f aca="false">(G7+G10)/2</f>
        <v>40.0229033794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109</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110</v>
      </c>
    </row>
    <row r="6" customFormat="false" ht="15" hidden="false" customHeight="false" outlineLevel="0" collapsed="false">
      <c r="B6" s="5" t="s">
        <v>111</v>
      </c>
      <c r="C6" s="19" t="s">
        <v>99</v>
      </c>
      <c r="D6" s="19" t="s">
        <v>100</v>
      </c>
      <c r="E6" s="19" t="s">
        <v>101</v>
      </c>
      <c r="F6" s="19" t="s">
        <v>102</v>
      </c>
      <c r="G6" s="19" t="s">
        <v>103</v>
      </c>
    </row>
    <row r="7" customFormat="false" ht="15" hidden="false" customHeight="false" outlineLevel="0" collapsed="false">
      <c r="B7" s="7" t="s">
        <v>112</v>
      </c>
      <c r="C7" s="24" t="n">
        <f aca="false">Med_Visits*Med_Ticket*Clinic_Count!C11*(1+Rev_Growth)^0</f>
        <v>16867400</v>
      </c>
      <c r="D7" s="24" t="n">
        <f aca="false">Med_Visits*Med_Ticket*Clinic_Count!D11*(1+Rev_Growth)^1</f>
        <v>23658675.04</v>
      </c>
      <c r="E7" s="24" t="n">
        <f aca="false">Med_Visits*Med_Ticket*Clinic_Count!E11*(1+Rev_Growth)^2</f>
        <v>33520123.821184</v>
      </c>
      <c r="F7" s="24" t="n">
        <f aca="false">Med_Visits*Med_Ticket*Clinic_Count!F11*(1+Rev_Growth)^3</f>
        <v>45401003.0062911</v>
      </c>
      <c r="G7" s="24" t="n">
        <f aca="false">Med_Visits*Med_Ticket*Clinic_Count!G11*(1+Rev_Growth)^4</f>
        <v>56653574.6984773</v>
      </c>
    </row>
    <row r="8" customFormat="false" ht="15" hidden="false" customHeight="false" outlineLevel="0" collapsed="false">
      <c r="B8" s="7" t="s">
        <v>113</v>
      </c>
      <c r="C8" s="24" t="n">
        <f aca="false">C7*Retail_Pct</f>
        <v>2024088</v>
      </c>
      <c r="D8" s="24" t="n">
        <f aca="false">D7*Retail_Pct</f>
        <v>2839041.0048</v>
      </c>
      <c r="E8" s="24" t="n">
        <f aca="false">E7*Retail_Pct</f>
        <v>4022414.85854208</v>
      </c>
      <c r="F8" s="24" t="n">
        <f aca="false">F7*Retail_Pct</f>
        <v>5448120.36075493</v>
      </c>
      <c r="G8" s="24" t="n">
        <f aca="false">G7*Retail_Pct</f>
        <v>6798428.96381727</v>
      </c>
    </row>
    <row r="9" customFormat="false" ht="15" hidden="false" customHeight="false" outlineLevel="0" collapsed="false">
      <c r="B9" s="7" t="s">
        <v>114</v>
      </c>
      <c r="C9" s="24" t="n">
        <f aca="false">Groom_Visits*Groom_Ticket*Clinic_Count!C11*(1+Rev_Growth)^0</f>
        <v>1150050</v>
      </c>
      <c r="D9" s="24" t="n">
        <f aca="false">Groom_Visits*Groom_Ticket*Clinic_Count!D11*(1+Rev_Growth)^1</f>
        <v>1613091.48</v>
      </c>
      <c r="E9" s="24" t="n">
        <f aca="false">Groom_Visits*Groom_Ticket*Clinic_Count!E11*(1+Rev_Growth)^2</f>
        <v>2285462.987808</v>
      </c>
      <c r="F9" s="24" t="n">
        <f aca="false">Groom_Visits*Groom_Ticket*Clinic_Count!F11*(1+Rev_Growth)^3</f>
        <v>3095522.93224712</v>
      </c>
      <c r="G9" s="24" t="n">
        <f aca="false">Groom_Visits*Groom_Ticket*Clinic_Count!G11*(1+Rev_Growth)^4</f>
        <v>3862743.72944163</v>
      </c>
    </row>
    <row r="10" customFormat="false" ht="15" hidden="false" customHeight="false" outlineLevel="0" collapsed="false">
      <c r="B10" s="7" t="s">
        <v>115</v>
      </c>
      <c r="C10" s="24" t="n">
        <f aca="false">Board_Nights*Board_ADR*Clinic_Count!C11*(1+Rev_Growth)^0</f>
        <v>1073380</v>
      </c>
      <c r="D10" s="24" t="n">
        <f aca="false">Board_Nights*Board_ADR*Clinic_Count!D11*(1+Rev_Growth)^1</f>
        <v>1505552.048</v>
      </c>
      <c r="E10" s="24" t="n">
        <f aca="false">Board_Nights*Board_ADR*Clinic_Count!E11*(1+Rev_Growth)^2</f>
        <v>2133098.7886208</v>
      </c>
      <c r="F10" s="24" t="n">
        <f aca="false">Board_Nights*Board_ADR*Clinic_Count!F11*(1+Rev_Growth)^3</f>
        <v>2889154.73676398</v>
      </c>
      <c r="G10" s="24" t="n">
        <f aca="false">Board_Nights*Board_ADR*Clinic_Count!G11*(1+Rev_Growth)^4</f>
        <v>3605227.48081219</v>
      </c>
    </row>
    <row r="11" customFormat="false" ht="15" hidden="false" customHeight="false" outlineLevel="0" collapsed="false">
      <c r="B11" s="22" t="s">
        <v>116</v>
      </c>
      <c r="C11" s="25" t="n">
        <f aca="false">SUM(C7:C10)</f>
        <v>21114918</v>
      </c>
      <c r="D11" s="25" t="n">
        <f aca="false">SUM(D7:D10)</f>
        <v>29616359.5728</v>
      </c>
      <c r="E11" s="25" t="n">
        <f aca="false">SUM(E7:E10)</f>
        <v>41961100.4561549</v>
      </c>
      <c r="F11" s="25" t="n">
        <f aca="false">SUM(F7:F10)</f>
        <v>56833801.0360571</v>
      </c>
      <c r="G11" s="25" t="n">
        <f aca="false">SUM(G7:G10)</f>
        <v>70919974.8725484</v>
      </c>
    </row>
    <row r="13" customFormat="false" ht="15" hidden="false" customHeight="false" outlineLevel="0" collapsed="false">
      <c r="B13" s="7" t="s">
        <v>117</v>
      </c>
      <c r="C13" s="24" t="n">
        <f aca="false">IF(Clinic_Count!C11=0,0,C11/Clinic_Count!C11)</f>
        <v>1514700</v>
      </c>
      <c r="D13" s="24" t="n">
        <f aca="false">IF(Clinic_Count!D11=0,0,D11/Clinic_Count!D11)</f>
        <v>1575288</v>
      </c>
      <c r="E13" s="24" t="n">
        <f aca="false">IF(Clinic_Count!E11=0,0,E11/Clinic_Count!E11)</f>
        <v>1638299.52</v>
      </c>
      <c r="F13" s="24" t="n">
        <f aca="false">IF(Clinic_Count!F11=0,0,F11/Clinic_Count!F11)</f>
        <v>1703831.5008</v>
      </c>
      <c r="G13" s="24" t="n">
        <f aca="false">IF(Clinic_Count!G11=0,0,G11/Clinic_Count!G11)</f>
        <v>1771984.760832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118</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11</v>
      </c>
    </row>
    <row r="6" customFormat="false" ht="15" hidden="false" customHeight="false" outlineLevel="0" collapsed="false">
      <c r="B6" s="5" t="s">
        <v>98</v>
      </c>
      <c r="C6" s="19" t="s">
        <v>99</v>
      </c>
      <c r="D6" s="19" t="s">
        <v>100</v>
      </c>
      <c r="E6" s="19" t="s">
        <v>101</v>
      </c>
      <c r="F6" s="19" t="s">
        <v>102</v>
      </c>
      <c r="G6" s="19" t="s">
        <v>103</v>
      </c>
    </row>
    <row r="7" customFormat="false" ht="15" hidden="false" customHeight="false" outlineLevel="0" collapsed="false">
      <c r="B7" s="6" t="s">
        <v>116</v>
      </c>
      <c r="C7" s="26" t="n">
        <f aca="false">Revenue!C11</f>
        <v>21114918</v>
      </c>
      <c r="D7" s="26" t="n">
        <f aca="false">Revenue!D11</f>
        <v>29616359.5728</v>
      </c>
      <c r="E7" s="26" t="n">
        <f aca="false">Revenue!E11</f>
        <v>41961100.4561549</v>
      </c>
      <c r="F7" s="26" t="n">
        <f aca="false">Revenue!F11</f>
        <v>56833801.0360571</v>
      </c>
      <c r="G7" s="26" t="n">
        <f aca="false">Revenue!G11</f>
        <v>70919974.8725484</v>
      </c>
    </row>
    <row r="9" customFormat="false" ht="15" hidden="false" customHeight="false" outlineLevel="0" collapsed="false">
      <c r="B9" s="5" t="s">
        <v>119</v>
      </c>
    </row>
    <row r="10" customFormat="false" ht="15" hidden="false" customHeight="false" outlineLevel="0" collapsed="false">
      <c r="B10" s="5" t="s">
        <v>98</v>
      </c>
      <c r="C10" s="19" t="s">
        <v>99</v>
      </c>
      <c r="D10" s="19" t="s">
        <v>100</v>
      </c>
      <c r="E10" s="19" t="s">
        <v>101</v>
      </c>
      <c r="F10" s="19" t="s">
        <v>102</v>
      </c>
      <c r="G10" s="19" t="s">
        <v>103</v>
      </c>
    </row>
    <row r="11" customFormat="false" ht="15" hidden="false" customHeight="false" outlineLevel="0" collapsed="false">
      <c r="B11" s="7" t="s">
        <v>63</v>
      </c>
      <c r="C11" s="24" t="n">
        <f aca="false">Revenue!C7*Vet_Comp_Pct</f>
        <v>3710828</v>
      </c>
      <c r="D11" s="24" t="n">
        <f aca="false">Revenue!D7*Vet_Comp_Pct</f>
        <v>5204908.5088</v>
      </c>
      <c r="E11" s="24" t="n">
        <f aca="false">Revenue!E7*Vet_Comp_Pct</f>
        <v>7374427.24066048</v>
      </c>
      <c r="F11" s="24" t="n">
        <f aca="false">Revenue!F7*Vet_Comp_Pct</f>
        <v>9988220.66138403</v>
      </c>
      <c r="G11" s="24" t="n">
        <f aca="false">Revenue!G7*Vet_Comp_Pct</f>
        <v>12463786.433665</v>
      </c>
    </row>
    <row r="12" customFormat="false" ht="15" hidden="false" customHeight="false" outlineLevel="0" collapsed="false">
      <c r="B12" s="7" t="s">
        <v>120</v>
      </c>
      <c r="C12" s="24" t="n">
        <f aca="false">Clinic_Count!C11*Support_per_Clinic</f>
        <v>6621500</v>
      </c>
      <c r="D12" s="24" t="n">
        <f aca="false">Clinic_Count!D11*Support_per_Clinic</f>
        <v>8930285</v>
      </c>
      <c r="E12" s="24" t="n">
        <f aca="false">Clinic_Count!E11*Support_per_Clinic</f>
        <v>12165982.15</v>
      </c>
      <c r="F12" s="24" t="n">
        <f aca="false">Clinic_Count!F11*Support_per_Clinic</f>
        <v>15844322.3285</v>
      </c>
      <c r="G12" s="24" t="n">
        <f aca="false">Clinic_Count!G11*Support_per_Clinic</f>
        <v>19010879.105215</v>
      </c>
    </row>
    <row r="13" customFormat="false" ht="15" hidden="false" customHeight="false" outlineLevel="0" collapsed="false">
      <c r="B13" s="7" t="s">
        <v>121</v>
      </c>
      <c r="C13" s="24" t="n">
        <f aca="false">Revenue!C7*Med_COGS_Pct+(Revenue!C8+Revenue!C9)*Retail_COGS_Pct</f>
        <v>3432515.9</v>
      </c>
      <c r="D13" s="24" t="n">
        <f aca="false">Revenue!D7*Med_COGS_Pct+(Revenue!D8+Revenue!D9)*Retail_COGS_Pct</f>
        <v>4814540.37064</v>
      </c>
      <c r="E13" s="24" t="n">
        <f aca="false">Revenue!E7*Med_COGS_Pct+(Revenue!E8+Revenue!E9)*Retail_COGS_Pct</f>
        <v>6821345.19761095</v>
      </c>
      <c r="F13" s="24" t="n">
        <f aca="false">Revenue!F7*Med_COGS_Pct+(Revenue!F8+Revenue!F9)*Retail_COGS_Pct</f>
        <v>9239104.11178023</v>
      </c>
      <c r="G13" s="24" t="n">
        <f aca="false">Revenue!G7*Med_COGS_Pct+(Revenue!G8+Revenue!G9)*Retail_COGS_Pct</f>
        <v>11529002.4511401</v>
      </c>
    </row>
    <row r="14" customFormat="false" ht="15" hidden="false" customHeight="false" outlineLevel="0" collapsed="false">
      <c r="B14" s="7" t="s">
        <v>122</v>
      </c>
      <c r="C14" s="24" t="n">
        <f aca="false">Clinic_Count!C11*Rent_per_Clinic</f>
        <v>2300100</v>
      </c>
      <c r="D14" s="24" t="n">
        <f aca="false">Clinic_Count!D11*Rent_per_Clinic</f>
        <v>3102099</v>
      </c>
      <c r="E14" s="24" t="n">
        <f aca="false">Clinic_Count!E11*Rent_per_Clinic</f>
        <v>4226078.01</v>
      </c>
      <c r="F14" s="24" t="n">
        <f aca="false">Clinic_Count!F11*Rent_per_Clinic</f>
        <v>5503817.2299</v>
      </c>
      <c r="G14" s="24" t="n">
        <f aca="false">Clinic_Count!G11*Rent_per_Clinic</f>
        <v>6603779.057601</v>
      </c>
    </row>
    <row r="15" customFormat="false" ht="15" hidden="false" customHeight="false" outlineLevel="0" collapsed="false">
      <c r="B15" s="7" t="s">
        <v>70</v>
      </c>
      <c r="C15" s="24" t="n">
        <f aca="false">C7*Marketing_Pct</f>
        <v>633447.54</v>
      </c>
      <c r="D15" s="24" t="n">
        <f aca="false">D7*Marketing_Pct</f>
        <v>888490.787184</v>
      </c>
      <c r="E15" s="24" t="n">
        <f aca="false">E7*Marketing_Pct</f>
        <v>1258833.01368465</v>
      </c>
      <c r="F15" s="24" t="n">
        <f aca="false">F7*Marketing_Pct</f>
        <v>1705014.03108171</v>
      </c>
      <c r="G15" s="24" t="n">
        <f aca="false">G7*Marketing_Pct</f>
        <v>2127599.24617645</v>
      </c>
    </row>
    <row r="16" customFormat="false" ht="15" hidden="false" customHeight="false" outlineLevel="0" collapsed="false">
      <c r="B16" s="7" t="s">
        <v>123</v>
      </c>
      <c r="C16" s="24" t="n">
        <f aca="false">Corp_Base+Clinic_Count!C10*Corp_per_Clinic</f>
        <v>2391000</v>
      </c>
      <c r="D16" s="24" t="n">
        <f aca="false">Corp_Base+Clinic_Count!D10*Corp_per_Clinic</f>
        <v>2829090</v>
      </c>
      <c r="E16" s="24" t="n">
        <f aca="false">Corp_Base+Clinic_Count!E10*Corp_per_Clinic</f>
        <v>3412799.1</v>
      </c>
      <c r="F16" s="24" t="n">
        <f aca="false">Corp_Base+Clinic_Count!F10*Corp_per_Clinic</f>
        <v>3990671.109</v>
      </c>
      <c r="G16" s="24" t="n">
        <f aca="false">Corp_Base+Clinic_Count!G10*Corp_per_Clinic</f>
        <v>4412764.39791</v>
      </c>
    </row>
    <row r="17" customFormat="false" ht="15" hidden="false" customHeight="false" outlineLevel="0" collapsed="false">
      <c r="B17" s="22" t="s">
        <v>124</v>
      </c>
      <c r="C17" s="25" t="n">
        <f aca="false">SUM(C11:C16)</f>
        <v>19089391.44</v>
      </c>
      <c r="D17" s="25" t="n">
        <f aca="false">SUM(D11:D16)</f>
        <v>25769413.666624</v>
      </c>
      <c r="E17" s="25" t="n">
        <f aca="false">SUM(E11:E16)</f>
        <v>35259464.7119561</v>
      </c>
      <c r="F17" s="25" t="n">
        <f aca="false">SUM(F11:F16)</f>
        <v>46271149.471646</v>
      </c>
      <c r="G17" s="25" t="n">
        <f aca="false">SUM(G11:G16)</f>
        <v>56147810.6917076</v>
      </c>
    </row>
    <row r="19" customFormat="false" ht="15" hidden="false" customHeight="false" outlineLevel="0" collapsed="false">
      <c r="B19" s="6" t="s">
        <v>125</v>
      </c>
      <c r="C19" s="26" t="n">
        <f aca="false">C7-C17</f>
        <v>2025526.56</v>
      </c>
      <c r="D19" s="26" t="n">
        <f aca="false">D7-D17</f>
        <v>3846945.906176</v>
      </c>
      <c r="E19" s="26" t="n">
        <f aca="false">E7-E17</f>
        <v>6701635.74419881</v>
      </c>
      <c r="F19" s="26" t="n">
        <f aca="false">F7-F17</f>
        <v>10562651.5644111</v>
      </c>
      <c r="G19" s="26" t="n">
        <f aca="false">G7-G17</f>
        <v>14772164.1808408</v>
      </c>
    </row>
    <row r="21" customFormat="false" ht="15" hidden="false" customHeight="false" outlineLevel="0" collapsed="false">
      <c r="B21" s="5" t="s">
        <v>126</v>
      </c>
    </row>
    <row r="22" customFormat="false" ht="15" hidden="false" customHeight="false" outlineLevel="0" collapsed="false">
      <c r="B22" s="7" t="s">
        <v>127</v>
      </c>
      <c r="C22" s="24" t="n">
        <f aca="false">C7*DA_Ratio</f>
        <v>633447.54</v>
      </c>
      <c r="D22" s="24" t="n">
        <f aca="false">D7*DA_Ratio</f>
        <v>888490.787184</v>
      </c>
      <c r="E22" s="24" t="n">
        <f aca="false">E7*DA_Ratio</f>
        <v>1258833.01368465</v>
      </c>
      <c r="F22" s="24" t="n">
        <f aca="false">F7*DA_Ratio</f>
        <v>1705014.03108171</v>
      </c>
      <c r="G22" s="24" t="n">
        <f aca="false">G7*DA_Ratio</f>
        <v>2127599.24617645</v>
      </c>
    </row>
    <row r="23" customFormat="false" ht="15" hidden="false" customHeight="false" outlineLevel="0" collapsed="false">
      <c r="B23" s="22" t="s">
        <v>128</v>
      </c>
      <c r="C23" s="25" t="n">
        <f aca="false">C19-C22</f>
        <v>1392079.02</v>
      </c>
      <c r="D23" s="25" t="n">
        <f aca="false">D19-D22</f>
        <v>2958455.118992</v>
      </c>
      <c r="E23" s="25" t="n">
        <f aca="false">E19-E22</f>
        <v>5442802.73051416</v>
      </c>
      <c r="F23" s="25" t="n">
        <f aca="false">F19-F22</f>
        <v>8857637.53332939</v>
      </c>
      <c r="G23" s="25" t="n">
        <f aca="false">G19-G22</f>
        <v>12644564.9346644</v>
      </c>
    </row>
    <row r="24" customFormat="false" ht="15" hidden="false" customHeight="false" outlineLevel="0" collapsed="false">
      <c r="B24" s="7" t="s">
        <v>129</v>
      </c>
      <c r="C24" s="24" t="n">
        <f aca="false">MAX(0,C23)*Tax_Rate</f>
        <v>348019.755</v>
      </c>
      <c r="D24" s="24" t="n">
        <f aca="false">MAX(0,D23)*Tax_Rate</f>
        <v>739613.779748</v>
      </c>
      <c r="E24" s="24" t="n">
        <f aca="false">MAX(0,E23)*Tax_Rate</f>
        <v>1360700.68262854</v>
      </c>
      <c r="F24" s="24" t="n">
        <f aca="false">MAX(0,F23)*Tax_Rate</f>
        <v>2214409.38333235</v>
      </c>
      <c r="G24" s="24" t="n">
        <f aca="false">MAX(0,G23)*Tax_Rate</f>
        <v>3161141.23366609</v>
      </c>
    </row>
    <row r="25" customFormat="false" ht="15" hidden="false" customHeight="false" outlineLevel="0" collapsed="false">
      <c r="B25" s="27" t="s">
        <v>130</v>
      </c>
      <c r="C25" s="28" t="n">
        <f aca="false">C23-C24</f>
        <v>1044059.265</v>
      </c>
      <c r="D25" s="28" t="n">
        <f aca="false">D23-D24</f>
        <v>2218841.339244</v>
      </c>
      <c r="E25" s="28" t="n">
        <f aca="false">E23-E24</f>
        <v>4082102.04788562</v>
      </c>
      <c r="F25" s="28" t="n">
        <f aca="false">F23-F24</f>
        <v>6643228.14999704</v>
      </c>
      <c r="G25" s="28" t="n">
        <f aca="false">G23-G24</f>
        <v>9483423.70099827</v>
      </c>
    </row>
    <row r="27" customFormat="false" ht="15" hidden="false" customHeight="false" outlineLevel="0" collapsed="false">
      <c r="B27" s="5" t="s">
        <v>131</v>
      </c>
    </row>
    <row r="28" customFormat="false" ht="15" hidden="false" customHeight="false" outlineLevel="0" collapsed="false">
      <c r="B28" s="7" t="s">
        <v>132</v>
      </c>
      <c r="C28" s="29" t="n">
        <f aca="false">IF(C7=0,0,C19/C7)</f>
        <v>0.0959286964789538</v>
      </c>
      <c r="D28" s="29" t="n">
        <f aca="false">IF(D7=0,0,D19/D7)</f>
        <v>0.129892598606517</v>
      </c>
      <c r="E28" s="29" t="n">
        <f aca="false">IF(E7=0,0,E19/E7)</f>
        <v>0.159710676587268</v>
      </c>
      <c r="F28" s="29" t="n">
        <f aca="false">IF(F7=0,0,F19/F7)</f>
        <v>0.185851577263147</v>
      </c>
      <c r="G28" s="29" t="n">
        <f aca="false">IF(G7=0,0,G19/G7)</f>
        <v>0.208293420963391</v>
      </c>
    </row>
    <row r="29" customFormat="false" ht="15" hidden="false" customHeight="false" outlineLevel="0" collapsed="false">
      <c r="B29" s="7" t="s">
        <v>133</v>
      </c>
      <c r="C29" s="29" t="n">
        <f aca="false">IF(C7=0,0,C25/C7)</f>
        <v>0.0494465223592154</v>
      </c>
      <c r="D29" s="29" t="n">
        <f aca="false">IF(D7=0,0,D25/D7)</f>
        <v>0.0749194489548881</v>
      </c>
      <c r="E29" s="29" t="n">
        <f aca="false">IF(E7=0,0,E25/E7)</f>
        <v>0.0972830074404508</v>
      </c>
      <c r="F29" s="29" t="n">
        <f aca="false">IF(F7=0,0,F25/F7)</f>
        <v>0.11688868294736</v>
      </c>
      <c r="G29" s="29" t="n">
        <f aca="false">IF(G7=0,0,G25/G7)</f>
        <v>0.133720065722543</v>
      </c>
    </row>
    <row r="31" customFormat="false" ht="15" hidden="false" customHeight="false" outlineLevel="0" collapsed="false">
      <c r="B31" s="7" t="s">
        <v>134</v>
      </c>
      <c r="C31" s="24" t="n">
        <f aca="false">C7-C17-C22-C24-C25</f>
        <v>0</v>
      </c>
      <c r="D31" s="24" t="n">
        <f aca="false">D7-D17-D22-D24-D25</f>
        <v>0</v>
      </c>
      <c r="E31" s="24" t="n">
        <f aca="false">E7-E17-E22-E24-E25</f>
        <v>0</v>
      </c>
      <c r="F31" s="24" t="n">
        <f aca="false">F7-F17-F22-F24-F25</f>
        <v>0</v>
      </c>
      <c r="G31" s="24" t="n">
        <f aca="false">G7-G17-G22-G24-G25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0"/>
    <col collapsed="false" customWidth="true" hidden="false" outlineLevel="0" max="7"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135</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136</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137</v>
      </c>
    </row>
    <row r="6" customFormat="false" ht="15" hidden="false" customHeight="false" outlineLevel="0" collapsed="false">
      <c r="B6" s="5" t="s">
        <v>98</v>
      </c>
      <c r="C6" s="19" t="s">
        <v>99</v>
      </c>
      <c r="D6" s="19" t="s">
        <v>100</v>
      </c>
      <c r="E6" s="19" t="s">
        <v>101</v>
      </c>
      <c r="F6" s="19" t="s">
        <v>102</v>
      </c>
      <c r="G6" s="19" t="s">
        <v>103</v>
      </c>
    </row>
    <row r="7" customFormat="false" ht="15" hidden="false" customHeight="false" outlineLevel="0" collapsed="false">
      <c r="B7" s="7" t="s">
        <v>138</v>
      </c>
      <c r="C7" s="20" t="n">
        <f aca="false">Clinic_Count!C8</f>
        <v>4</v>
      </c>
      <c r="D7" s="20" t="n">
        <f aca="false">Clinic_Count!D8</f>
        <v>6</v>
      </c>
      <c r="E7" s="20" t="n">
        <f aca="false">Clinic_Count!E8</f>
        <v>8</v>
      </c>
      <c r="F7" s="20" t="n">
        <f aca="false">Clinic_Count!F8</f>
        <v>8</v>
      </c>
      <c r="G7" s="20" t="n">
        <f aca="false">Clinic_Count!G8</f>
        <v>6</v>
      </c>
    </row>
    <row r="8" customFormat="false" ht="15" hidden="false" customHeight="false" outlineLevel="0" collapsed="false">
      <c r="B8" s="22" t="s">
        <v>136</v>
      </c>
      <c r="C8" s="25" t="n">
        <f aca="false">C7*Trailing_EBITDA*Purchase_Mult</f>
        <v>10800000</v>
      </c>
      <c r="D8" s="25" t="n">
        <f aca="false">D7*Trailing_EBITDA*Purchase_Mult</f>
        <v>16200000</v>
      </c>
      <c r="E8" s="25" t="n">
        <f aca="false">E7*Trailing_EBITDA*Purchase_Mult</f>
        <v>21600000</v>
      </c>
      <c r="F8" s="25" t="n">
        <f aca="false">F7*Trailing_EBITDA*Purchase_Mult</f>
        <v>21600000</v>
      </c>
      <c r="G8" s="25" t="n">
        <f aca="false">G7*Trailing_EBITDA*Purchase_Mult</f>
        <v>16200000</v>
      </c>
    </row>
    <row r="9" customFormat="false" ht="15" hidden="false" customHeight="false" outlineLevel="0" collapsed="false">
      <c r="B9" s="7" t="s">
        <v>139</v>
      </c>
      <c r="C9" s="24" t="n">
        <f aca="false">C8*Sponsor_Equity_Pct</f>
        <v>4860000</v>
      </c>
      <c r="D9" s="24" t="n">
        <f aca="false">D8*Sponsor_Equity_Pct</f>
        <v>7290000</v>
      </c>
      <c r="E9" s="24" t="n">
        <f aca="false">E8*Sponsor_Equity_Pct</f>
        <v>9720000</v>
      </c>
      <c r="F9" s="24" t="n">
        <f aca="false">F8*Sponsor_Equity_Pct</f>
        <v>9720000</v>
      </c>
      <c r="G9" s="24" t="n">
        <f aca="false">G8*Sponsor_Equity_Pct</f>
        <v>7290000</v>
      </c>
    </row>
    <row r="10" customFormat="false" ht="15" hidden="false" customHeight="false" outlineLevel="0" collapsed="false">
      <c r="B10" s="7" t="s">
        <v>140</v>
      </c>
      <c r="C10" s="24" t="n">
        <f aca="false">C8-C9</f>
        <v>5940000</v>
      </c>
      <c r="D10" s="24" t="n">
        <f aca="false">D8-D9</f>
        <v>8910000</v>
      </c>
      <c r="E10" s="24" t="n">
        <f aca="false">E8-E9</f>
        <v>11880000</v>
      </c>
      <c r="F10" s="24" t="n">
        <f aca="false">F8-F9</f>
        <v>11880000</v>
      </c>
      <c r="G10" s="24" t="n">
        <f aca="false">G8-G9</f>
        <v>8910000</v>
      </c>
    </row>
    <row r="12" customFormat="false" ht="15" hidden="false" customHeight="false" outlineLevel="0" collapsed="false">
      <c r="B12" s="7" t="s">
        <v>141</v>
      </c>
      <c r="C12" s="24" t="n">
        <f aca="false">C9</f>
        <v>4860000</v>
      </c>
      <c r="D12" s="24" t="n">
        <f aca="false">C12+D9</f>
        <v>12150000</v>
      </c>
      <c r="E12" s="24" t="n">
        <f aca="false">D12+E9</f>
        <v>21870000</v>
      </c>
      <c r="F12" s="24" t="n">
        <f aca="false">E12+F9</f>
        <v>31590000</v>
      </c>
      <c r="G12" s="24" t="n">
        <f aca="false">F12+G9</f>
        <v>38880000</v>
      </c>
    </row>
    <row r="13" customFormat="false" ht="15" hidden="false" customHeight="false" outlineLevel="0" collapsed="false">
      <c r="B13" s="7" t="s">
        <v>142</v>
      </c>
      <c r="C13" s="24" t="n">
        <f aca="false">0</f>
        <v>0</v>
      </c>
      <c r="D13" s="24" t="n">
        <f aca="false">C14*Debt_Rate</f>
        <v>445500</v>
      </c>
      <c r="E13" s="24" t="n">
        <f aca="false">D14*Debt_Rate</f>
        <v>1147162.5</v>
      </c>
      <c r="F13" s="24" t="n">
        <f aca="false">E14*Debt_Rate</f>
        <v>2124199.6875</v>
      </c>
      <c r="G13" s="24" t="n">
        <f aca="false">F14*Debt_Rate</f>
        <v>3174514.6640625</v>
      </c>
    </row>
    <row r="14" customFormat="false" ht="15" hidden="false" customHeight="false" outlineLevel="0" collapsed="false">
      <c r="B14" s="7" t="s">
        <v>143</v>
      </c>
      <c r="C14" s="24" t="n">
        <f aca="false">C10+C13</f>
        <v>5940000</v>
      </c>
      <c r="D14" s="24" t="n">
        <f aca="false">C14+D10+D13</f>
        <v>15295500</v>
      </c>
      <c r="E14" s="24" t="n">
        <f aca="false">D14+E10+E13</f>
        <v>28322662.5</v>
      </c>
      <c r="F14" s="24" t="n">
        <f aca="false">E14+F10+F13</f>
        <v>42326862.1875</v>
      </c>
      <c r="G14" s="24" t="n">
        <f aca="false">F14+G10+G13</f>
        <v>54411376.8515625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8"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144</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145</v>
      </c>
    </row>
    <row r="6" customFormat="false" ht="15" hidden="false" customHeight="false" outlineLevel="0" collapsed="false">
      <c r="B6" s="5" t="s">
        <v>98</v>
      </c>
      <c r="C6" s="19" t="s">
        <v>146</v>
      </c>
      <c r="D6" s="19" t="s">
        <v>99</v>
      </c>
      <c r="E6" s="19" t="s">
        <v>100</v>
      </c>
      <c r="F6" s="19" t="s">
        <v>101</v>
      </c>
      <c r="G6" s="19" t="s">
        <v>102</v>
      </c>
      <c r="H6" s="19" t="s">
        <v>103</v>
      </c>
    </row>
    <row r="7" customFormat="false" ht="15" hidden="false" customHeight="false" outlineLevel="0" collapsed="false">
      <c r="B7" s="7" t="s">
        <v>147</v>
      </c>
      <c r="C7" s="24" t="n">
        <f aca="false">0</f>
        <v>0</v>
      </c>
      <c r="D7" s="24" t="n">
        <f aca="false">-'M&amp;A_Cash'!C9</f>
        <v>-4860000</v>
      </c>
      <c r="E7" s="24" t="n">
        <f aca="false">-'M&amp;A_Cash'!D9</f>
        <v>-7290000</v>
      </c>
      <c r="F7" s="24" t="n">
        <f aca="false">-'M&amp;A_Cash'!E9</f>
        <v>-9720000</v>
      </c>
      <c r="G7" s="24" t="n">
        <f aca="false">-'M&amp;A_Cash'!F9</f>
        <v>-9720000</v>
      </c>
      <c r="H7" s="24" t="n">
        <f aca="false">-'M&amp;A_Cash'!G9</f>
        <v>-7290000</v>
      </c>
    </row>
    <row r="8" customFormat="false" ht="15" hidden="false" customHeight="false" outlineLevel="0" collapsed="false">
      <c r="B8" s="7" t="s">
        <v>148</v>
      </c>
      <c r="C8" s="24" t="n">
        <f aca="false">0</f>
        <v>0</v>
      </c>
      <c r="D8" s="24" t="n">
        <f aca="false">'P&amp;L'!C19-'P&amp;L'!C24-Revenue!C11*WC_Capex_Drag</f>
        <v>410611.724999999</v>
      </c>
      <c r="E8" s="24" t="n">
        <f aca="false">'P&amp;L'!D19-'P&amp;L'!D24-Revenue!D11*WC_Capex_Drag</f>
        <v>1330350.55206</v>
      </c>
      <c r="F8" s="24" t="n">
        <f aca="false">'P&amp;L'!E19-'P&amp;L'!E24-Revenue!E11*WC_Capex_Drag</f>
        <v>2823269.03420097</v>
      </c>
      <c r="G8" s="24" t="n">
        <f aca="false">'P&amp;L'!F19-'P&amp;L'!F24-Revenue!F11*WC_Capex_Drag</f>
        <v>4938214.11891533</v>
      </c>
      <c r="H8" s="24" t="n">
        <f aca="false">'P&amp;L'!G19-'P&amp;L'!G24-Revenue!G11*WC_Capex_Drag</f>
        <v>7355824.45482181</v>
      </c>
    </row>
    <row r="9" customFormat="false" ht="15" hidden="false" customHeight="false" outlineLevel="0" collapsed="false">
      <c r="B9" s="7" t="s">
        <v>149</v>
      </c>
      <c r="C9" s="24" t="n">
        <f aca="false">0</f>
        <v>0</v>
      </c>
      <c r="D9" s="24" t="n">
        <f aca="false">0</f>
        <v>0</v>
      </c>
      <c r="E9" s="24" t="n">
        <f aca="false">0</f>
        <v>0</v>
      </c>
      <c r="F9" s="24" t="n">
        <f aca="false">0</f>
        <v>0</v>
      </c>
      <c r="G9" s="24" t="n">
        <f aca="false">0</f>
        <v>0</v>
      </c>
      <c r="H9" s="24" t="n">
        <f aca="false">$C$15</f>
        <v>108082429.137686</v>
      </c>
    </row>
    <row r="10" customFormat="false" ht="15" hidden="false" customHeight="false" outlineLevel="0" collapsed="false">
      <c r="B10" s="22" t="s">
        <v>150</v>
      </c>
      <c r="C10" s="25" t="n">
        <f aca="false">C7+C9</f>
        <v>0</v>
      </c>
      <c r="D10" s="25" t="n">
        <f aca="false">D7+D9</f>
        <v>-4860000</v>
      </c>
      <c r="E10" s="25" t="n">
        <f aca="false">E7+E9</f>
        <v>-7290000</v>
      </c>
      <c r="F10" s="25" t="n">
        <f aca="false">F7+F9</f>
        <v>-9720000</v>
      </c>
      <c r="G10" s="25" t="n">
        <f aca="false">G7+G9</f>
        <v>-9720000</v>
      </c>
      <c r="H10" s="25" t="n">
        <f aca="false">H7+H9</f>
        <v>100792429.137686</v>
      </c>
    </row>
    <row r="12" customFormat="false" ht="15" hidden="false" customHeight="false" outlineLevel="0" collapsed="false">
      <c r="B12" s="5" t="s">
        <v>151</v>
      </c>
    </row>
    <row r="13" customFormat="false" ht="15" hidden="false" customHeight="false" outlineLevel="0" collapsed="false">
      <c r="B13" s="7" t="s">
        <v>152</v>
      </c>
      <c r="C13" s="24" t="n">
        <f aca="false">'P&amp;L'!G19*Exit_Mult</f>
        <v>162493805.989249</v>
      </c>
    </row>
    <row r="14" customFormat="false" ht="15" hidden="false" customHeight="false" outlineLevel="0" collapsed="false">
      <c r="B14" s="7" t="s">
        <v>153</v>
      </c>
      <c r="C14" s="24" t="n">
        <f aca="false">'M&amp;A_Cash'!G14</f>
        <v>54411376.8515625</v>
      </c>
    </row>
    <row r="15" customFormat="false" ht="15" hidden="false" customHeight="false" outlineLevel="0" collapsed="false">
      <c r="B15" s="22" t="s">
        <v>154</v>
      </c>
      <c r="C15" s="25" t="n">
        <f aca="false">C13-C14</f>
        <v>108082429.137686</v>
      </c>
    </row>
    <row r="16" customFormat="false" ht="15" hidden="false" customHeight="false" outlineLevel="0" collapsed="false">
      <c r="B16" s="7" t="s">
        <v>155</v>
      </c>
      <c r="C16" s="24" t="n">
        <f aca="false">'M&amp;A_Cash'!G12</f>
        <v>38880000</v>
      </c>
    </row>
    <row r="17" customFormat="false" ht="15" hidden="false" customHeight="false" outlineLevel="0" collapsed="false">
      <c r="B17" s="6" t="s">
        <v>156</v>
      </c>
      <c r="C17" s="30" t="n">
        <f aca="false">IRR(C10:H10)</f>
        <v>0.59229084784246</v>
      </c>
    </row>
    <row r="18" customFormat="false" ht="15" hidden="false" customHeight="false" outlineLevel="0" collapsed="false">
      <c r="B18" s="6" t="s">
        <v>157</v>
      </c>
      <c r="C18" s="31" t="n">
        <f aca="false">IF(C16=0,0,C15/C16)</f>
        <v>2.77989786876765</v>
      </c>
    </row>
    <row r="19" customFormat="false" ht="15" hidden="false" customHeight="false" outlineLevel="0" collapsed="false">
      <c r="B19" s="7" t="s">
        <v>158</v>
      </c>
      <c r="C19" s="32" t="n">
        <f aca="false">Purchase_Mult</f>
        <v>7.5</v>
      </c>
    </row>
    <row r="20" customFormat="false" ht="15" hidden="false" customHeight="false" outlineLevel="0" collapsed="false">
      <c r="B20" s="7" t="s">
        <v>159</v>
      </c>
      <c r="C20" s="32" t="n">
        <f aca="false">Exit_Mult-C19</f>
        <v>3.5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18"/>
    <col collapsed="false" customWidth="true" hidden="false" outlineLevel="0" max="4" min="4" style="0" width="14"/>
    <col collapsed="false" customWidth="true" hidden="false" outlineLevel="0" max="5" min="5"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160</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161</v>
      </c>
    </row>
    <row r="6" customFormat="false" ht="15" hidden="false" customHeight="false" outlineLevel="0" collapsed="false">
      <c r="B6" s="33" t="s">
        <v>162</v>
      </c>
      <c r="C6" s="33" t="s">
        <v>163</v>
      </c>
      <c r="D6" s="33" t="s">
        <v>164</v>
      </c>
      <c r="E6" s="33" t="s">
        <v>165</v>
      </c>
    </row>
    <row r="7" customFormat="false" ht="15" hidden="false" customHeight="false" outlineLevel="0" collapsed="false">
      <c r="B7" s="7" t="s">
        <v>166</v>
      </c>
      <c r="C7" s="24" t="n">
        <f aca="false">PL_Rev_Y5</f>
        <v>70919974.8725484</v>
      </c>
      <c r="D7" s="34" t="s">
        <v>167</v>
      </c>
    </row>
    <row r="8" customFormat="false" ht="15" hidden="false" customHeight="false" outlineLevel="0" collapsed="false">
      <c r="B8" s="7" t="s">
        <v>168</v>
      </c>
      <c r="C8" s="24" t="n">
        <f aca="false">PL_EBITDA_Y5</f>
        <v>14772164.1808408</v>
      </c>
      <c r="D8" s="34" t="s">
        <v>167</v>
      </c>
    </row>
    <row r="9" customFormat="false" ht="15" hidden="false" customHeight="false" outlineLevel="0" collapsed="false">
      <c r="B9" s="7" t="s">
        <v>169</v>
      </c>
      <c r="C9" s="29" t="n">
        <f aca="false">PL_EBITDA_Mgn_Y5</f>
        <v>0.208293420963391</v>
      </c>
      <c r="D9" s="34" t="s">
        <v>170</v>
      </c>
      <c r="E9" s="35" t="str">
        <f aca="false">IF(PL_EBITDA_Mgn_Y5&gt;=Margin_Green,"On track",IF(PL_EBITDA_Mgn_Y5&gt;=Margin_Amber,"Watch","Stretched"))</f>
        <v>On track</v>
      </c>
    </row>
    <row r="10" customFormat="false" ht="15" hidden="false" customHeight="false" outlineLevel="0" collapsed="false">
      <c r="B10" s="7" t="s">
        <v>171</v>
      </c>
      <c r="C10" s="21" t="n">
        <f aca="false">CC_Close_Y5</f>
        <v>42.8368586388</v>
      </c>
      <c r="D10" s="34" t="s">
        <v>172</v>
      </c>
    </row>
    <row r="11" customFormat="false" ht="15" hidden="false" customHeight="false" outlineLevel="0" collapsed="false">
      <c r="B11" s="7" t="s">
        <v>156</v>
      </c>
      <c r="C11" s="29" t="n">
        <f aca="false">Ret_IRR</f>
        <v>0.59229084784246</v>
      </c>
      <c r="D11" s="34" t="s">
        <v>170</v>
      </c>
      <c r="E11" s="35" t="str">
        <f aca="false">IF(Ret_IRR&gt;=IRR_Green,"On track",IF(Ret_IRR&gt;=IRR_Amber,"Watch","Below hurdle"))</f>
        <v>On track</v>
      </c>
    </row>
    <row r="12" customFormat="false" ht="15" hidden="false" customHeight="false" outlineLevel="0" collapsed="false">
      <c r="B12" s="7" t="s">
        <v>157</v>
      </c>
      <c r="C12" s="32" t="n">
        <f aca="false">Ret_MOIC</f>
        <v>2.77989786876765</v>
      </c>
      <c r="D12" s="34" t="s">
        <v>173</v>
      </c>
    </row>
    <row r="13" customFormat="false" ht="15" hidden="false" customHeight="false" outlineLevel="0" collapsed="false">
      <c r="B13" s="7" t="s">
        <v>152</v>
      </c>
      <c r="C13" s="24" t="n">
        <f aca="false">Ret_Exit_EV</f>
        <v>162493805.989249</v>
      </c>
      <c r="D13" s="34" t="s">
        <v>167</v>
      </c>
    </row>
    <row r="14" customFormat="false" ht="15" hidden="false" customHeight="false" outlineLevel="0" collapsed="false">
      <c r="B14" s="7" t="s">
        <v>159</v>
      </c>
      <c r="C14" s="32" t="n">
        <f aca="false">Ret_Arb</f>
        <v>3.5</v>
      </c>
      <c r="D14" s="34" t="s">
        <v>173</v>
      </c>
    </row>
    <row r="16" customFormat="false" ht="15" hidden="false" customHeight="false" outlineLevel="0" collapsed="false">
      <c r="B16" s="5" t="s">
        <v>174</v>
      </c>
    </row>
    <row r="17" customFormat="false" ht="15" hidden="false" customHeight="false" outlineLevel="0" collapsed="false">
      <c r="B17" s="5" t="s">
        <v>111</v>
      </c>
      <c r="C17" s="36" t="s">
        <v>11</v>
      </c>
      <c r="D17" s="36" t="s">
        <v>175</v>
      </c>
    </row>
    <row r="18" customFormat="false" ht="15" hidden="false" customHeight="false" outlineLevel="0" collapsed="false">
      <c r="B18" s="37" t="s">
        <v>112</v>
      </c>
      <c r="C18" s="24" t="n">
        <f aca="false">Rev_Med_Y5</f>
        <v>56653574.6984773</v>
      </c>
      <c r="D18" s="29" t="n">
        <f aca="false">IF(PL_Rev_Y5=0,0,C18/PL_Rev_Y5)</f>
        <v>0.798838053740015</v>
      </c>
    </row>
    <row r="19" customFormat="false" ht="15" hidden="false" customHeight="false" outlineLevel="0" collapsed="false">
      <c r="B19" s="37" t="s">
        <v>113</v>
      </c>
      <c r="C19" s="24" t="n">
        <f aca="false">Rev_Retail_Y5</f>
        <v>6798428.96381727</v>
      </c>
      <c r="D19" s="29" t="n">
        <f aca="false">IF(PL_Rev_Y5=0,0,C19/PL_Rev_Y5)</f>
        <v>0.0958605664488017</v>
      </c>
    </row>
    <row r="20" customFormat="false" ht="15" hidden="false" customHeight="false" outlineLevel="0" collapsed="false">
      <c r="B20" s="37" t="s">
        <v>114</v>
      </c>
      <c r="C20" s="24" t="n">
        <f aca="false">Rev_Groom_Y5</f>
        <v>3862743.72944163</v>
      </c>
      <c r="D20" s="29" t="n">
        <f aca="false">IF(PL_Rev_Y5=0,0,C20/PL_Rev_Y5)</f>
        <v>0.0544662309368192</v>
      </c>
    </row>
    <row r="21" customFormat="false" ht="15" hidden="false" customHeight="false" outlineLevel="0" collapsed="false">
      <c r="B21" s="37" t="s">
        <v>115</v>
      </c>
      <c r="C21" s="24" t="n">
        <f aca="false">Rev_Board_Y5</f>
        <v>3605227.48081219</v>
      </c>
      <c r="D21" s="29" t="n">
        <f aca="false">IF(PL_Rev_Y5=0,0,C21/PL_Rev_Y5)</f>
        <v>0.0508351488743646</v>
      </c>
    </row>
    <row r="22" customFormat="false" ht="15" hidden="false" customHeight="false" outlineLevel="0" collapsed="false">
      <c r="B22" s="22" t="s">
        <v>176</v>
      </c>
      <c r="C22" s="25" t="n">
        <f aca="false">SUM(C18:C21)</f>
        <v>70919974.8725484</v>
      </c>
      <c r="D22" s="38" t="n">
        <f aca="false">SUM(D18:D21)</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9" t="s">
        <v>177</v>
      </c>
    </row>
    <row r="3" customFormat="false" ht="3.75" hidden="false" customHeight="true" outlineLevel="0" collapsed="false">
      <c r="B3" s="40"/>
    </row>
    <row r="6" customFormat="false" ht="19.5" hidden="false" customHeight="true" outlineLevel="0" collapsed="false">
      <c r="B6" s="41" t="s">
        <v>178</v>
      </c>
    </row>
    <row r="7" customFormat="false" ht="48" hidden="false" customHeight="true" outlineLevel="0" collapsed="false">
      <c r="B7" s="42" t="s">
        <v>179</v>
      </c>
    </row>
    <row r="9" customFormat="false" ht="19.5" hidden="false" customHeight="true" outlineLevel="0" collapsed="false">
      <c r="B9" s="41" t="s">
        <v>180</v>
      </c>
    </row>
    <row r="10" customFormat="false" ht="61.5" hidden="false" customHeight="true" outlineLevel="0" collapsed="false">
      <c r="B10" s="42" t="s">
        <v>181</v>
      </c>
    </row>
    <row r="12" customFormat="false" ht="19.5" hidden="false" customHeight="true" outlineLevel="0" collapsed="false">
      <c r="B12" s="41" t="s">
        <v>182</v>
      </c>
    </row>
    <row r="13" customFormat="false" ht="75.75" hidden="false" customHeight="true" outlineLevel="0" collapsed="false">
      <c r="B13" s="42" t="s">
        <v>183</v>
      </c>
    </row>
    <row r="15" customFormat="false" ht="19.5" hidden="false" customHeight="true" outlineLevel="0" collapsed="false">
      <c r="B15" s="41" t="s">
        <v>184</v>
      </c>
    </row>
    <row r="16" customFormat="false" ht="61.5" hidden="false" customHeight="true" outlineLevel="0" collapsed="false">
      <c r="B16" s="42" t="s">
        <v>185</v>
      </c>
    </row>
    <row r="18" customFormat="false" ht="19.5" hidden="false" customHeight="true" outlineLevel="0" collapsed="false">
      <c r="B18" s="41" t="s">
        <v>186</v>
      </c>
    </row>
    <row r="19" customFormat="false" ht="33.75" hidden="false" customHeight="true" outlineLevel="0" collapsed="false">
      <c r="B19" s="42" t="s">
        <v>187</v>
      </c>
    </row>
    <row r="21" customFormat="false" ht="19.5" hidden="false" customHeight="true" outlineLevel="0" collapsed="false">
      <c r="B21" s="41" t="s">
        <v>188</v>
      </c>
    </row>
    <row r="22" customFormat="false" ht="33.75" hidden="false" customHeight="true" outlineLevel="0" collapsed="false">
      <c r="B22" s="42" t="s">
        <v>189</v>
      </c>
    </row>
    <row r="24" customFormat="false" ht="21.75" hidden="false" customHeight="true" outlineLevel="0" collapsed="false">
      <c r="B24" s="43" t="s">
        <v>190</v>
      </c>
    </row>
    <row r="26" customFormat="false" ht="18" hidden="false" customHeight="true" outlineLevel="0" collapsed="false">
      <c r="B26" s="44" t="s">
        <v>191</v>
      </c>
    </row>
    <row r="27" customFormat="false" ht="201.75" hidden="false" customHeight="true" outlineLevel="0" collapsed="false">
      <c r="B27" s="45" t="s">
        <v>192</v>
      </c>
    </row>
    <row r="29" customFormat="false" ht="18" hidden="false" customHeight="true" outlineLevel="0" collapsed="false">
      <c r="B29" s="46" t="s">
        <v>193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2026-05-28T05:22:45Z</dcterms:created>
  <dc:creator>openpyxl</dc:creator>
  <dc:description/>
  <dc:language>en-GB</dc:language>
  <cp:lastModifiedBy/>
  <dcterms:modified xsi:type="dcterms:W3CDTF">2026-05-28T05:22:45Z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