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Construction_Capex" sheetId="4" state="visible" r:id="rId6"/>
    <sheet name="Traffic_Capacity" sheetId="5" state="visible" r:id="rId7"/>
    <sheet name="Revenue_Build" sheetId="6" state="visible" r:id="rId8"/>
    <sheet name="Opex_Build" sheetId="7" state="visible" r:id="rId9"/>
    <sheet name="Debt_Schedule" sheetId="8" state="visible" r:id="rId10"/>
    <sheet name="Cash_Flow_Waterfall" sheetId="9" state="visible" r:id="rId11"/>
    <sheet name="Financial_Statements" sheetId="10" state="visible" r:id="rId12"/>
    <sheet name="Returns_Valuation" sheetId="11" state="visible" r:id="rId13"/>
    <sheet name="Checks" sheetId="12" state="visible" r:id="rId14"/>
  </sheets>
  <definedNames>
    <definedName function="false" hidden="false" name="Base_Rate" vbProcedure="false">Assumptions!$C$42</definedName>
    <definedName function="false" hidden="false" name="CC_Construction_Capex" vbProcedure="false">Construction_Capex!$C$12:$AF$12</definedName>
    <definedName function="false" hidden="false" name="CC_Cum_Capex" vbProcedure="false">Construction_Capex!$C$13:$AF$13</definedName>
    <definedName function="false" hidden="false" name="CC_Cum_Dep" vbProcedure="false">Construction_Capex!$C$23:$AF$23</definedName>
    <definedName function="false" hidden="false" name="CC_Maint_Capex" vbProcedure="false">Construction_Capex!$C$16:$AF$16</definedName>
    <definedName function="false" hidden="false" name="CC_NBV" vbProcedure="false">Construction_Capex!$C$24:$AF$24</definedName>
    <definedName function="false" hidden="false" name="CC_Total_Depreciation" vbProcedure="false">Construction_Capex!$C$22:$AF$22</definedName>
    <definedName function="false" hidden="false" name="Civil_Life" vbProcedure="false">Assumptions!$C$35</definedName>
    <definedName function="false" hidden="false" name="Civil_Pct" vbProcedure="false">Assumptions!$C$37</definedName>
    <definedName function="false" hidden="false" name="Concession_Length" vbProcedure="false">Assumptions!$C$7</definedName>
    <definedName function="false" hidden="false" name="Construction_Capex" vbProcedure="false">Assumptions!$C$33</definedName>
    <definedName function="false" hidden="false" name="Construction_Period" vbProcedure="false">Assumptions!$C$8</definedName>
    <definedName function="false" hidden="false" name="CPI_Inflation" vbProcedure="false">Assumptions!$C$10</definedName>
    <definedName function="false" hidden="false" name="CW_CFADS" vbProcedure="false">Cash_Flow_Waterfall!$C$27:$AF$27</definedName>
    <definedName function="false" hidden="false" name="CW_CFI" vbProcedure="false">Cash_Flow_Waterfall!$C$25:$AF$25</definedName>
    <definedName function="false" hidden="false" name="CW_CFO" vbProcedure="false">Cash_Flow_Waterfall!$C$21:$AF$21</definedName>
    <definedName function="false" hidden="false" name="CW_Close_Cash" vbProcedure="false">Cash_Flow_Waterfall!$C$42:$AF$42</definedName>
    <definedName function="false" hidden="false" name="CW_Debt_Draw" vbProcedure="false">Cash_Flow_Waterfall!$C$37:$AF$37</definedName>
    <definedName function="false" hidden="false" name="CW_Dep" vbProcedure="false">Cash_Flow_Waterfall!$C$14:$AF$14</definedName>
    <definedName function="false" hidden="false" name="CW_DSCR" vbProcedure="false">Cash_Flow_Waterfall!$C$44:$AF$44</definedName>
    <definedName function="false" hidden="false" name="CW_EBIT" vbProcedure="false">Cash_Flow_Waterfall!$C$15:$AF$15</definedName>
    <definedName function="false" hidden="false" name="CW_EBITDA" vbProcedure="false">Cash_Flow_Waterfall!$C$12:$AF$12</definedName>
    <definedName function="false" hidden="false" name="CW_Equity_Inj" vbProcedure="false">Cash_Flow_Waterfall!$C$36:$AF$36</definedName>
    <definedName function="false" hidden="false" name="CW_Net_CF" vbProcedure="false">Cash_Flow_Waterfall!$C$40:$AF$40</definedName>
    <definedName function="false" hidden="false" name="CW_NOPAT" vbProcedure="false">Cash_Flow_Waterfall!$C$17:$AF$17</definedName>
    <definedName function="false" hidden="false" name="CW_Open_Cash" vbProcedure="false">Cash_Flow_Waterfall!$C$41:$AF$41</definedName>
    <definedName function="false" hidden="false" name="CW_Opex" vbProcedure="false">Cash_Flow_Waterfall!$C$11:$AF$11</definedName>
    <definedName function="false" hidden="false" name="CW_Post_DS" vbProcedure="false">Cash_Flow_Waterfall!$C$34:$AF$34</definedName>
    <definedName function="false" hidden="false" name="CW_Revenue" vbProcedure="false">Cash_Flow_Waterfall!$C$10:$AF$10</definedName>
    <definedName function="false" hidden="false" name="CW_Tax" vbProcedure="false">Cash_Flow_Waterfall!$C$16:$AF$16</definedName>
    <definedName function="false" hidden="false" name="CW_WC_Change" vbProcedure="false">Cash_Flow_Waterfall!$C$20:$AF$20</definedName>
    <definedName function="false" hidden="false" name="DB_Closing" vbProcedure="false">Debt_Schedule!$C$16:$AF$16</definedName>
    <definedName function="false" hidden="false" name="DB_Drawdown" vbProcedure="false">Debt_Schedule!$C$14:$AF$14</definedName>
    <definedName function="false" hidden="false" name="DB_DSRA_Change" vbProcedure="false">Debt_Schedule!$C$25:$AF$25</definedName>
    <definedName function="false" hidden="false" name="DB_DSRA_Close" vbProcedure="false">Debt_Schedule!$C$26:$AF$26</definedName>
    <definedName function="false" hidden="false" name="DB_DSRA_Req" vbProcedure="false">Debt_Schedule!$C$23:$AF$23</definedName>
    <definedName function="false" hidden="false" name="DB_Interest" vbProcedure="false">Debt_Schedule!$C$19:$AF$19</definedName>
    <definedName function="false" hidden="false" name="DB_Opening" vbProcedure="false">Debt_Schedule!$C$13:$AF$13</definedName>
    <definedName function="false" hidden="false" name="DB_Repayment" vbProcedure="false">Debt_Schedule!$C$15:$AF$15</definedName>
    <definedName function="false" hidden="false" name="DB_Total_DS" vbProcedure="false">Debt_Schedule!$C$20:$AF$20</definedName>
    <definedName function="false" hidden="false" name="Debt_Capitalisation" vbProcedure="false">Assumptions!$C$40</definedName>
    <definedName function="false" hidden="false" name="Debt_Margin" vbProcedure="false">Assumptions!$C$43</definedName>
    <definedName function="false" hidden="false" name="Debt_Tenor" vbProcedure="false">Assumptions!$C$41</definedName>
    <definedName function="false" hidden="false" name="DSRA_Months" vbProcedure="false">Assumptions!$C$44</definedName>
    <definedName function="false" hidden="false" name="Equip_Life" vbProcedure="false">Assumptions!$C$36</definedName>
    <definedName function="false" hidden="false" name="Equip_Pct" vbProcedure="false">Assumptions!$C$38</definedName>
    <definedName function="false" hidden="false" name="Equity_Injection" vbProcedure="false">Assumptions!$C$47</definedName>
    <definedName function="false" hidden="false" name="Fixed_Concession" vbProcedure="false">Assumptions!$C$31</definedName>
    <definedName function="false" hidden="false" name="Fixed_Opex" vbProcedure="false">Assumptions!$C$30</definedName>
    <definedName function="false" hidden="false" name="FS_BS_Check" vbProcedure="false">Financial_Statements!$C$45:$AF$45</definedName>
    <definedName function="false" hidden="false" name="FS_Cash" vbProcedure="false">Financial_Statements!$C$23:$AF$23</definedName>
    <definedName function="false" hidden="false" name="FS_Debt" vbProcedure="false">Financial_Statements!$C$37:$AF$37</definedName>
    <definedName function="false" hidden="false" name="FS_EBIT" vbProcedure="false">Financial_Statements!$C$15:$AF$15</definedName>
    <definedName function="false" hidden="false" name="FS_EBITDA" vbProcedure="false">Financial_Statements!$C$13:$AF$13</definedName>
    <definedName function="false" hidden="false" name="FS_Net_Income" vbProcedure="false">Financial_Statements!$C$19:$AF$19</definedName>
    <definedName function="false" hidden="false" name="FS_Revenue" vbProcedure="false">Financial_Statements!$C$9:$AF$9</definedName>
    <definedName function="false" hidden="false" name="FS_Total_Assets" vbProcedure="false">Financial_Statements!$C$31:$AF$31</definedName>
    <definedName function="false" hidden="false" name="FS_Total_Equity" vbProcedure="false">Financial_Statements!$C$43:$AF$43</definedName>
    <definedName function="false" hidden="false" name="FS_Total_Liab" vbProcedure="false">Financial_Statements!$C$38:$AF$38</definedName>
    <definedName function="false" hidden="false" name="Maint_Capex_Pct" vbProcedure="false">Assumptions!$C$34</definedName>
    <definedName function="false" hidden="false" name="Max_Utilisation" vbProcedure="false">Assumptions!$C$16</definedName>
    <definedName function="false" hidden="false" name="OB_EBITDA" vbProcedure="false">Opex_Build!$C$22:$AF$22</definedName>
    <definedName function="false" hidden="false" name="OB_Total_Fixed" vbProcedure="false">Opex_Build!$C$18:$AF$18</definedName>
    <definedName function="false" hidden="false" name="OB_Total_Opex" vbProcedure="false">Opex_Build!$C$20:$AF$20</definedName>
    <definedName function="false" hidden="false" name="OB_Total_Variable" vbProcedure="false">Opex_Build!$C$13:$AF$13</definedName>
    <definedName function="false" hidden="false" name="Opex_Inflation" vbProcedure="false">Assumptions!$C$11</definedName>
    <definedName function="false" hidden="false" name="Ops_Start_Year" vbProcedure="false">Assumptions!$C$9</definedName>
    <definedName function="false" hidden="false" name="RB_Stev_Revenue" vbProcedure="false">Revenue_Build!$C$11:$AF$11</definedName>
    <definedName function="false" hidden="false" name="RB_Storage" vbProcedure="false">Revenue_Build!$C$16:$AF$16</definedName>
    <definedName function="false" hidden="false" name="RB_Total_Revenue" vbProcedure="false">Revenue_Build!$C$19:$AF$19</definedName>
    <definedName function="false" hidden="false" name="RB_VAS" vbProcedure="false">Revenue_Build!$C$17:$AF$17</definedName>
    <definedName function="false" hidden="false" name="RB_Wharfage" vbProcedure="false">Revenue_Build!$C$14:$AF$14</definedName>
    <definedName function="false" hidden="false" name="RV_Eq_CF" vbProcedure="false">Returns_Valuation!$C$14:$AF$14</definedName>
    <definedName function="false" hidden="false" name="RV_Proj_CF" vbProcedure="false">Returns_Valuation!$C$9:$AF$9</definedName>
    <definedName function="false" hidden="false" name="Stev_Tariff" vbProcedure="false">Assumptions!$C$20</definedName>
    <definedName function="false" hidden="false" name="Storage_Pct" vbProcedure="false">Assumptions!$C$23</definedName>
    <definedName function="false" hidden="false" name="Target_IRR" vbProcedure="false">Assumptions!$C$48</definedName>
    <definedName function="false" hidden="false" name="Tariff_Inflation" vbProcedure="false">Assumptions!$C$21</definedName>
    <definedName function="false" hidden="false" name="Tax_Rate" vbProcedure="false">Assumptions!$C$46</definedName>
    <definedName function="false" hidden="false" name="TC_Capacity" vbProcedure="false">Traffic_Capacity!$C$10:$AF$10</definedName>
    <definedName function="false" hidden="false" name="TC_Handled_Volume" vbProcedure="false">Traffic_Capacity!$C$14:$AF$14</definedName>
    <definedName function="false" hidden="false" name="TC_Utilisation" vbProcedure="false">Traffic_Capacity!$C$15:$AF$15</definedName>
    <definedName function="false" hidden="false" name="TC_Vessel_Calls" vbProcedure="false">Traffic_Capacity!$C$17:$AF$17</definedName>
    <definedName function="false" hidden="false" name="Terminal_Capacity" vbProcedure="false">Assumptions!$C$13</definedName>
    <definedName function="false" hidden="false" name="Var_Concession_Fee" vbProcedure="false">Assumptions!$C$28</definedName>
    <definedName function="false" hidden="false" name="Var_Labour" vbProcedure="false">Assumptions!$C$26</definedName>
    <definedName function="false" hidden="false" name="Var_Power" vbProcedure="false">Assumptions!$C$27</definedName>
    <definedName function="false" hidden="false" name="VAS_Pct" vbProcedure="false">Assumptions!$C$24</definedName>
    <definedName function="false" hidden="false" name="Vessel_Calls_Y1" vbProcedure="false">Assumptions!$C$17</definedName>
    <definedName function="false" hidden="false" name="Vessel_Call_Growth" vbProcedure="false">Assumptions!$C$18</definedName>
    <definedName function="false" hidden="false" name="Volume_Growth" vbProcedure="false">Assumptions!$C$15</definedName>
    <definedName function="false" hidden="false" name="Wharfage_Per_Call" vbProcedure="false">Assumptions!$C$22</definedName>
    <definedName function="false" hidden="false" name="Y1_Volume" vbProcedure="false">Assumptions!$C$14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<sst xmlns="http://schemas.openxmlformats.org/spreadsheetml/2006/main" count="776" uniqueCount="316">
  <si>
    <t xml:space="preserve">Container Port Model</t>
  </si>
  <si>
    <t xml:space="preserve">FINAMODEL.com</t>
  </si>
  <si>
    <t xml:space="preserve">Marine terminal concession</t>
  </si>
  <si>
    <t xml:space="preserve">Model Structure</t>
  </si>
  <si>
    <t xml:space="preserve">Cover</t>
  </si>
  <si>
    <t xml:space="preserve">Title and navigation</t>
  </si>
  <si>
    <t xml:space="preserve">Assumptions</t>
  </si>
  <si>
    <t xml:space="preserve">All input parameters</t>
  </si>
  <si>
    <t xml:space="preserve">Construction_Capex</t>
  </si>
  <si>
    <t xml:space="preserve">Phased capex and depreciation</t>
  </si>
  <si>
    <t xml:space="preserve">Traffic_Capacity</t>
  </si>
  <si>
    <t xml:space="preserve">TEU volume projections</t>
  </si>
  <si>
    <t xml:space="preserve">Revenue_Build</t>
  </si>
  <si>
    <t xml:space="preserve">Revenue by stream</t>
  </si>
  <si>
    <t xml:space="preserve">Opex_Build</t>
  </si>
  <si>
    <t xml:space="preserve">Variable and fixed costs</t>
  </si>
  <si>
    <t xml:space="preserve">Debt_Schedule</t>
  </si>
  <si>
    <t xml:space="preserve">Financing and reserves</t>
  </si>
  <si>
    <t xml:space="preserve">Cash_Flow_Waterfall</t>
  </si>
  <si>
    <t xml:space="preserve">Priority of payments</t>
  </si>
  <si>
    <t xml:space="preserve">Financial_Statements</t>
  </si>
  <si>
    <t xml:space="preserve">P&amp;L, BS, CFS</t>
  </si>
  <si>
    <t xml:space="preserve">Returns_Valuation</t>
  </si>
  <si>
    <t xml:space="preserve">IRR, NPV, payback</t>
  </si>
  <si>
    <t xml:space="preserve">Checks</t>
  </si>
  <si>
    <t xml:space="preserve">Validation flags</t>
  </si>
  <si>
    <t xml:space="preserve">Tab Colour Legend</t>
  </si>
  <si>
    <t xml:space="preserve">Dark Blue</t>
  </si>
  <si>
    <t xml:space="preserve">Light Blue</t>
  </si>
  <si>
    <t xml:space="preserve">Green</t>
  </si>
  <si>
    <t xml:space="preserve">Revenue drivers</t>
  </si>
  <si>
    <t xml:space="preserve">Orange</t>
  </si>
  <si>
    <t xml:space="preserve">Cost schedules</t>
  </si>
  <si>
    <t xml:space="preserve">Red</t>
  </si>
  <si>
    <t xml:space="preserve">Debt / Risk</t>
  </si>
  <si>
    <t xml:space="preserve">Grey</t>
  </si>
  <si>
    <t xml:space="preserve">Summary / Output</t>
  </si>
  <si>
    <t xml:space="preserve">About this model</t>
  </si>
  <si>
    <t xml:space="preserve">Model port terminal operations and container handling economics for a mid-tier facility serving a regional shipping corridor. This template projects container throughput in TEUs with capacity constraints, calculates stevedoring revenue per TEU, wharfage fees per vessel call, and demurrage income on delayed containers. Operating costs include direct labor (gang rates), fuel for yard equipment, electricity for cranes, variable concession fees to the port authority, and fixed opex for maintenance, insurance, and terminal management.
The workbook contains a traffic and capacity sheet modeling utilization rates and throughput ramps post-opening, a revenue builder for stevedoring/wharfage/storage/value-added services, an opex schedule with labor productivity assumptions, capex for STS cranes and dredging, and a debt schedule for project finance with DSCR covenant monitoring. The cash flow waterfall allocates revenues through debt service, reserve accounts, and equity distributions. The model handles construction capex during a 3-year build phase with interest during construction, then projects stable-state EBITDA margins of 40â60% and FCF yields of 15â30%.
Target users are infrastructure investors, port authorities evaluating concessionaire bids, project finance lenders, and operators assessing terminal acquisition or expansion on asset values of $500M to $2B+.</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</si>
  <si>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</si>
  <si>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</si>
  <si>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</si>
  <si>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</si>
  <si>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Input parameters</t>
  </si>
  <si>
    <t xml:space="preserve">Parameter</t>
  </si>
  <si>
    <t xml:space="preserve">Value</t>
  </si>
  <si>
    <t xml:space="preserve">Unit</t>
  </si>
  <si>
    <t xml:space="preserve">Notes</t>
  </si>
  <si>
    <t xml:space="preserve">Macro &amp; Timing</t>
  </si>
  <si>
    <t xml:space="preserve">Concession Length</t>
  </si>
  <si>
    <t xml:space="preserve">Years</t>
  </si>
  <si>
    <t xml:space="preserve">Total concession duration</t>
  </si>
  <si>
    <t xml:space="preserve">Construction Period</t>
  </si>
  <si>
    <t xml:space="preserve">Greenfield build phase</t>
  </si>
  <si>
    <t xml:space="preserve">Operations Start</t>
  </si>
  <si>
    <t xml:space="preserve">Year</t>
  </si>
  <si>
    <t xml:space="preserve">First year of operations</t>
  </si>
  <si>
    <t xml:space="preserve">CPI Inflation</t>
  </si>
  <si>
    <t xml:space="preserve">%</t>
  </si>
  <si>
    <t xml:space="preserve">Long-term target</t>
  </si>
  <si>
    <t xml:space="preserve">Opex Inflation</t>
  </si>
  <si>
    <t xml:space="preserve">Labour wage pressure</t>
  </si>
  <si>
    <t xml:space="preserve">Traffic</t>
  </si>
  <si>
    <t xml:space="preserve">Terminal Capacity</t>
  </si>
  <si>
    <t xml:space="preserve">TEUs</t>
  </si>
  <si>
    <t xml:space="preserve">Max annual throughput</t>
  </si>
  <si>
    <t xml:space="preserve">Year 1 Volume</t>
  </si>
  <si>
    <t xml:space="preserve">60% initial utilisation</t>
  </si>
  <si>
    <t xml:space="preserve">Volume Growth</t>
  </si>
  <si>
    <t xml:space="preserve">GDP/trade multiplier</t>
  </si>
  <si>
    <t xml:space="preserve">Max Utilisation</t>
  </si>
  <si>
    <t xml:space="preserve">Congestion cap</t>
  </si>
  <si>
    <t xml:space="preserve">Vessel Calls Y1</t>
  </si>
  <si>
    <t xml:space="preserve">Calls</t>
  </si>
  <si>
    <t xml:space="preserve">Annual vessel visits</t>
  </si>
  <si>
    <t xml:space="preserve">Call Growth</t>
  </si>
  <si>
    <t xml:space="preserve">Slower than TEU growth</t>
  </si>
  <si>
    <t xml:space="preserve">Tariffs &amp; Revenue</t>
  </si>
  <si>
    <t xml:space="preserve">Stevedoring Tariff</t>
  </si>
  <si>
    <t xml:space="preserve">$/TEU</t>
  </si>
  <si>
    <t xml:space="preserve">Handling rate</t>
  </si>
  <si>
    <t xml:space="preserve">Tariff Inflation</t>
  </si>
  <si>
    <t xml:space="preserve">CPI-linked escalation</t>
  </si>
  <si>
    <t xml:space="preserve">Wharfage per Call</t>
  </si>
  <si>
    <t xml:space="preserve">$/call</t>
  </si>
  <si>
    <t xml:space="preserve">GRT-based tariff</t>
  </si>
  <si>
    <t xml:space="preserve">Storage (% Stev)</t>
  </si>
  <si>
    <t xml:space="preserve">Demurrage revenue</t>
  </si>
  <si>
    <t xml:space="preserve">VAS (% Stev)</t>
  </si>
  <si>
    <t xml:space="preserve">Reefer, weighing</t>
  </si>
  <si>
    <t xml:space="preserve">Variable Costs</t>
  </si>
  <si>
    <t xml:space="preserve">Labour Cost</t>
  </si>
  <si>
    <t xml:space="preserve">Stevedore gangs</t>
  </si>
  <si>
    <t xml:space="preserve">Power / Fuel</t>
  </si>
  <si>
    <t xml:space="preserve">Electricity + diesel</t>
  </si>
  <si>
    <t xml:space="preserve">Concession Fee</t>
  </si>
  <si>
    <t xml:space="preserve">Port authority royalty</t>
  </si>
  <si>
    <t xml:space="preserve">Fixed Costs</t>
  </si>
  <si>
    <t xml:space="preserve">Fixed Opex</t>
  </si>
  <si>
    <t xml:space="preserve">$/yr</t>
  </si>
  <si>
    <t xml:space="preserve">Admin, M&amp;R, insurance</t>
  </si>
  <si>
    <t xml:space="preserve">Fixed Lease</t>
  </si>
  <si>
    <t xml:space="preserve">Annual land lease</t>
  </si>
  <si>
    <t xml:space="preserve">Capital Expenditure</t>
  </si>
  <si>
    <t xml:space="preserve">Construction Capex</t>
  </si>
  <si>
    <t xml:space="preserve">$</t>
  </si>
  <si>
    <t xml:space="preserve">Total build cost</t>
  </si>
  <si>
    <t xml:space="preserve">Maint Capex (% Rev)</t>
  </si>
  <si>
    <t xml:space="preserve">Ongoing upkeep</t>
  </si>
  <si>
    <t xml:space="preserve">Civil Works Life</t>
  </si>
  <si>
    <t xml:space="preserve">Marine concrete</t>
  </si>
  <si>
    <t xml:space="preserve">Equipment Life</t>
  </si>
  <si>
    <t xml:space="preserve">STS + yard cranes</t>
  </si>
  <si>
    <t xml:space="preserve">Civil % of Capex</t>
  </si>
  <si>
    <t xml:space="preserve">Quay, dredging, paving</t>
  </si>
  <si>
    <t xml:space="preserve">Equip % of Capex</t>
  </si>
  <si>
    <t xml:space="preserve">Cranes, yard equipment</t>
  </si>
  <si>
    <t xml:space="preserve">Financing</t>
  </si>
  <si>
    <t xml:space="preserve">Debt / Capitalisation</t>
  </si>
  <si>
    <t xml:space="preserve">Project finance leverage</t>
  </si>
  <si>
    <t xml:space="preserve">Debt Tenor</t>
  </si>
  <si>
    <t xml:space="preserve">Long-term amortising</t>
  </si>
  <si>
    <t xml:space="preserve">Base Rate</t>
  </si>
  <si>
    <t xml:space="preserve">SOFR / swap rate</t>
  </si>
  <si>
    <t xml:space="preserve">Debt Margin</t>
  </si>
  <si>
    <t xml:space="preserve">Infrastructure premium</t>
  </si>
  <si>
    <t xml:space="preserve">DSRA Requirement</t>
  </si>
  <si>
    <t xml:space="preserve">Months</t>
  </si>
  <si>
    <t xml:space="preserve">Debt service reserve</t>
  </si>
  <si>
    <t xml:space="preserve">Tax &amp; Returns</t>
  </si>
  <si>
    <t xml:space="preserve">Corporate Tax Rate</t>
  </si>
  <si>
    <t xml:space="preserve">Blended global</t>
  </si>
  <si>
    <t xml:space="preserve">Equity Injection</t>
  </si>
  <si>
    <t xml:space="preserve">30% of construction</t>
  </si>
  <si>
    <t xml:space="preserve">Target Equity IRR</t>
  </si>
  <si>
    <t xml:space="preserve">Hurdle rate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</si>
  <si>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</si>
  <si>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</si>
  <si>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</si>
  <si>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</si>
  <si>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</si>
  <si>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</si>
  <si>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</si>
  <si>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</si>
  <si>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</si>
  <si>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</si>
  <si>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</si>
  <si>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</si>
  <si>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</si>
  <si>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</si>
  <si>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</si>
  <si>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</si>
  <si>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</si>
  <si>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Construction &amp; Capex</t>
  </si>
  <si>
    <t xml:space="preserve">Phased build and depreciation</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</si>
  <si>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</si>
  <si>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</si>
  <si>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</si>
  <si>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</si>
  <si>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</si>
  <si>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</si>
  <si>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</si>
  <si>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</si>
  <si>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</si>
  <si>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</si>
  <si>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Year 11</t>
  </si>
  <si>
    <t xml:space="preserve">Year 12</t>
  </si>
  <si>
    <t xml:space="preserve">Year 13</t>
  </si>
  <si>
    <t xml:space="preserve">Year 14</t>
  </si>
  <si>
    <t xml:space="preserve">Year 15</t>
  </si>
  <si>
    <t xml:space="preserve">Year 16</t>
  </si>
  <si>
    <t xml:space="preserve">Year 17</t>
  </si>
  <si>
    <t xml:space="preserve">Year 18</t>
  </si>
  <si>
    <t xml:space="preserve">Year 19</t>
  </si>
  <si>
    <t xml:space="preserve">Year 20</t>
  </si>
  <si>
    <t xml:space="preserve">Year 21</t>
  </si>
  <si>
    <t xml:space="preserve">Year 22</t>
  </si>
  <si>
    <t xml:space="preserve">Year 23</t>
  </si>
  <si>
    <t xml:space="preserve">Year 24</t>
  </si>
  <si>
    <t xml:space="preserve">Year 25</t>
  </si>
  <si>
    <t xml:space="preserve">Year 26</t>
  </si>
  <si>
    <t xml:space="preserve">Year 27</t>
  </si>
  <si>
    <t xml:space="preserve">Year 28</t>
  </si>
  <si>
    <t xml:space="preserve">Year 29</t>
  </si>
  <si>
    <t xml:space="preserve">Year 30</t>
  </si>
  <si>
    <t xml:space="preserve">Year #</t>
  </si>
  <si>
    <t xml:space="preserve">Phase</t>
  </si>
  <si>
    <t xml:space="preserve">Construction</t>
  </si>
  <si>
    <t xml:space="preserve">Operations</t>
  </si>
  <si>
    <t xml:space="preserve">Civil Works</t>
  </si>
  <si>
    <t xml:space="preserve">Equipment</t>
  </si>
  <si>
    <t xml:space="preserve">TOTAL CONSTRUCTION</t>
  </si>
  <si>
    <t xml:space="preserve">Cumulative Capex</t>
  </si>
  <si>
    <t xml:space="preserve">Maintenance Capex</t>
  </si>
  <si>
    <t xml:space="preserve">Depreciation</t>
  </si>
  <si>
    <t xml:space="preserve">Civil Depreciation</t>
  </si>
  <si>
    <t xml:space="preserve">Equipment Depr</t>
  </si>
  <si>
    <t xml:space="preserve">Maint Depreciation</t>
  </si>
  <si>
    <t xml:space="preserve">TOTAL DEPRECIATION</t>
  </si>
  <si>
    <t xml:space="preserve">Cumulative Depr</t>
  </si>
  <si>
    <t xml:space="preserve">Net Book Value</t>
  </si>
  <si>
    <t xml:space="preserve">Traffic &amp; Capacity</t>
  </si>
  <si>
    <t xml:space="preserve">Capacity</t>
  </si>
  <si>
    <t xml:space="preserve">Volume</t>
  </si>
  <si>
    <t xml:space="preserve">Raw Volume</t>
  </si>
  <si>
    <t xml:space="preserve">Handled Volume</t>
  </si>
  <si>
    <t xml:space="preserve">Utilisation</t>
  </si>
  <si>
    <t xml:space="preserve">Vessel Calls</t>
  </si>
  <si>
    <t xml:space="preserve">Revenue Build</t>
  </si>
  <si>
    <t xml:space="preserve">Stevedoring Revenue</t>
  </si>
  <si>
    <t xml:space="preserve">Tariff ($/TEU)</t>
  </si>
  <si>
    <t xml:space="preserve">Stevedoring Rev</t>
  </si>
  <si>
    <t xml:space="preserve">Other Revenue</t>
  </si>
  <si>
    <t xml:space="preserve">Wharfage</t>
  </si>
  <si>
    <t xml:space="preserve">Storage &amp; Demurrage</t>
  </si>
  <si>
    <t xml:space="preserve">Value-Added Services</t>
  </si>
  <si>
    <t xml:space="preserve">TOTAL REVENUE</t>
  </si>
  <si>
    <t xml:space="preserve">Operating Costs</t>
  </si>
  <si>
    <t xml:space="preserve">Labour</t>
  </si>
  <si>
    <t xml:space="preserve">Variable Concession</t>
  </si>
  <si>
    <t xml:space="preserve">Total Variable</t>
  </si>
  <si>
    <t xml:space="preserve">Fixed Concession</t>
  </si>
  <si>
    <t xml:space="preserve">Total Fixed</t>
  </si>
  <si>
    <t xml:space="preserve">TOTAL OPEX</t>
  </si>
  <si>
    <t xml:space="preserve">EBITDA</t>
  </si>
  <si>
    <t xml:space="preserve">EBITDA Margin</t>
  </si>
  <si>
    <t xml:space="preserve">Debt Schedule</t>
  </si>
  <si>
    <t xml:space="preserve">Project finance structure</t>
  </si>
  <si>
    <t xml:space="preserve">Debt Sizing</t>
  </si>
  <si>
    <t xml:space="preserve">Total Project Debt</t>
  </si>
  <si>
    <t xml:space="preserve">Debt Balance Walk</t>
  </si>
  <si>
    <t xml:space="preserve">Opening Balance</t>
  </si>
  <si>
    <t xml:space="preserve">Drawdown</t>
  </si>
  <si>
    <t xml:space="preserve">Repayment</t>
  </si>
  <si>
    <t xml:space="preserve">Closing Balance</t>
  </si>
  <si>
    <t xml:space="preserve">Interest &amp; Debt Service</t>
  </si>
  <si>
    <t xml:space="preserve">Interest Expense</t>
  </si>
  <si>
    <t xml:space="preserve">Total Debt Service</t>
  </si>
  <si>
    <t xml:space="preserve">DSRA</t>
  </si>
  <si>
    <t xml:space="preserve">DSRA Required</t>
  </si>
  <si>
    <t xml:space="preserve">DSRA Opening</t>
  </si>
  <si>
    <t xml:space="preserve">DSRA Change</t>
  </si>
  <si>
    <t xml:space="preserve">DSRA Closing</t>
  </si>
  <si>
    <t xml:space="preserve">Cash Flow Waterfall</t>
  </si>
  <si>
    <t xml:space="preserve">Operating Cash Flow</t>
  </si>
  <si>
    <t xml:space="preserve">Revenue</t>
  </si>
  <si>
    <t xml:space="preserve">EBIT</t>
  </si>
  <si>
    <t xml:space="preserve">Tax</t>
  </si>
  <si>
    <t xml:space="preserve">NOPAT</t>
  </si>
  <si>
    <t xml:space="preserve">Add: Depreciation</t>
  </si>
  <si>
    <t xml:space="preserve">WC Change</t>
  </si>
  <si>
    <t xml:space="preserve">CFO</t>
  </si>
  <si>
    <t xml:space="preserve">CFI</t>
  </si>
  <si>
    <t xml:space="preserve">CFADS</t>
  </si>
  <si>
    <t xml:space="preserve">Interest</t>
  </si>
  <si>
    <t xml:space="preserve">Principal Repayment</t>
  </si>
  <si>
    <t xml:space="preserve">Post-DS Cash Flow</t>
  </si>
  <si>
    <t xml:space="preserve">Debt Drawdown</t>
  </si>
  <si>
    <t xml:space="preserve">CFF</t>
  </si>
  <si>
    <t xml:space="preserve">NET CASH FLOW</t>
  </si>
  <si>
    <t xml:space="preserve">Opening Cash</t>
  </si>
  <si>
    <t xml:space="preserve">Closing Cash</t>
  </si>
  <si>
    <t xml:space="preserve">DSCR</t>
  </si>
  <si>
    <t xml:space="preserve">Financial Statements</t>
  </si>
  <si>
    <t xml:space="preserve">P&amp;L, Balance Sheet</t>
  </si>
  <si>
    <t xml:space="preserve">Income Statement</t>
  </si>
  <si>
    <t xml:space="preserve">Gross Profit</t>
  </si>
  <si>
    <t xml:space="preserve">EBT</t>
  </si>
  <si>
    <t xml:space="preserve">NET INCOME</t>
  </si>
  <si>
    <t xml:space="preserve">Balance Sheet</t>
  </si>
  <si>
    <t xml:space="preserve">Assets</t>
  </si>
  <si>
    <t xml:space="preserve">Cash</t>
  </si>
  <si>
    <t xml:space="preserve">Receivables</t>
  </si>
  <si>
    <t xml:space="preserve">DSRA Balance</t>
  </si>
  <si>
    <t xml:space="preserve">Total Current Assets</t>
  </si>
  <si>
    <t xml:space="preserve">Gross PP&amp;E</t>
  </si>
  <si>
    <t xml:space="preserve">Accum Depreciation</t>
  </si>
  <si>
    <t xml:space="preserve">Net PP&amp;E</t>
  </si>
  <si>
    <t xml:space="preserve">TOTAL ASSETS</t>
  </si>
  <si>
    <t xml:space="preserve">Liabilities</t>
  </si>
  <si>
    <t xml:space="preserve">Payables</t>
  </si>
  <si>
    <t xml:space="preserve">Total Current Liab</t>
  </si>
  <si>
    <t xml:space="preserve">Long-Term Debt</t>
  </si>
  <si>
    <t xml:space="preserve">TOTAL LIABILITIES</t>
  </si>
  <si>
    <t xml:space="preserve">Equity</t>
  </si>
  <si>
    <t xml:space="preserve">Share Capital</t>
  </si>
  <si>
    <t xml:space="preserve">Retained Earnings</t>
  </si>
  <si>
    <t xml:space="preserve">TOTAL EQUITY</t>
  </si>
  <si>
    <t xml:space="preserve">Total L + E</t>
  </si>
  <si>
    <t xml:space="preserve">BS Check</t>
  </si>
  <si>
    <t xml:space="preserve">Returns &amp; Valuation</t>
  </si>
  <si>
    <t xml:space="preserve">Project Returns</t>
  </si>
  <si>
    <t xml:space="preserve">Project Cash Flow</t>
  </si>
  <si>
    <t xml:space="preserve">Project IRR</t>
  </si>
  <si>
    <t xml:space="preserve">Project NPV</t>
  </si>
  <si>
    <t xml:space="preserve">Equity Returns</t>
  </si>
  <si>
    <t xml:space="preserve">Equity Cash Flow</t>
  </si>
  <si>
    <t xml:space="preserve">Equity IRR</t>
  </si>
  <si>
    <t xml:space="preserve">Equity NPV</t>
  </si>
  <si>
    <t xml:space="preserve">Payback (Years)</t>
  </si>
  <si>
    <t xml:space="preserve">Equity Multiple</t>
  </si>
  <si>
    <t xml:space="preserve">Check</t>
  </si>
  <si>
    <t xml:space="preserve">Formula</t>
  </si>
  <si>
    <t xml:space="preserve">Status</t>
  </si>
  <si>
    <t xml:space="preserve">BS Balance</t>
  </si>
  <si>
    <t xml:space="preserve">MAX ABS(BS Check) = 0</t>
  </si>
  <si>
    <t xml:space="preserve">Cash &gt;= 0</t>
  </si>
  <si>
    <t xml:space="preserve">Min closing cash &gt;= 0</t>
  </si>
  <si>
    <t xml:space="preserve">DSCR &gt; 1.20x</t>
  </si>
  <si>
    <t xml:space="preserve">Min DSCR during ops &gt;= 1.20</t>
  </si>
  <si>
    <t xml:space="preserve">Utilisation &lt;= max</t>
  </si>
  <si>
    <t xml:space="preserve">Ops EBITDA margin 40-60%</t>
  </si>
  <si>
    <t xml:space="preserve">Debt Repaid</t>
  </si>
  <si>
    <t xml:space="preserve">Closing debt Y30 = 0</t>
  </si>
  <si>
    <t xml:space="preserve">Concession</t>
  </si>
  <si>
    <t xml:space="preserve">No activity after Y30</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</si>
</sst>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
    <numFmt numFmtId="169" formatCode="0.00\x"/>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000000"/>
      <name val="Arial"/>
      <family val="0"/>
      <charset val="1"/>
    </font>
    <font>
      <b val="true"/>
      <sz val="11"/>
      <color rgb="FF00610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ED7D31"/>
        <bgColor rgb="FFFF8080"/>
      </patternFill>
    </fill>
    <fill>
      <patternFill patternType="solid">
        <fgColor rgb="FF70AD47"/>
        <bgColor rgb="FF99CC00"/>
      </patternFill>
    </fill>
    <fill>
      <patternFill patternType="solid">
        <fgColor rgb="FFFF0000"/>
        <bgColor rgb="FF993300"/>
      </patternFill>
    </fill>
    <fill>
      <patternFill patternType="solid">
        <fgColor rgb="FFA5A5A5"/>
        <bgColor rgb="FFC0C0C0"/>
      </patternFill>
    </fill>
    <fill>
      <patternFill patternType="solid">
        <fgColor rgb="FFD6E4F0"/>
        <bgColor rgb="FFC6D9F1"/>
      </patternFill>
    </fill>
    <fill>
      <patternFill patternType="solid">
        <fgColor theme="3" tint="0.8"/>
        <bgColor rgb="FFD6E4F0"/>
      </patternFill>
    </fill>
    <fill>
      <patternFill patternType="solid">
        <fgColor rgb="FFEBF1FA"/>
        <bgColor rgb="FFF2F2F2"/>
      </patternFill>
    </fill>
    <fill>
      <patternFill patternType="solid">
        <fgColor rgb="FF1F4E79"/>
        <bgColor rgb="FF1F497D"/>
      </patternFill>
    </fill>
    <fill>
      <patternFill patternType="solid">
        <fgColor rgb="FFF2F2F2"/>
        <bgColor rgb="FFEBF1FA"/>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15" fillId="9" borderId="0" xfId="0" applyFont="true" applyBorder="false" applyAlignment="true" applyProtection="false">
      <alignment horizontal="left" vertical="center"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5" fontId="16" fillId="10" borderId="0" xfId="0" applyFont="true" applyBorder="false" applyAlignment="true" applyProtection="false">
      <alignment horizontal="right" vertical="center" textRotation="0" wrapText="false" indent="0" shrinkToFit="false"/>
      <protection locked="true" hidden="false"/>
    </xf>
    <xf numFmtId="166" fontId="16" fillId="10" borderId="0" xfId="0" applyFont="true" applyBorder="false" applyAlignment="true" applyProtection="false">
      <alignment horizontal="right" vertical="center" textRotation="0" wrapText="false" indent="0" shrinkToFit="false"/>
      <protection locked="true" hidden="false"/>
    </xf>
    <xf numFmtId="167" fontId="16" fillId="10"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8" fillId="11"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1" fillId="12"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8" fillId="11" borderId="0" xfId="0" applyFont="true" applyBorder="false" applyAlignment="false" applyProtection="false">
      <alignment horizontal="general" vertical="bottom" textRotation="0" wrapText="false" indent="0" shrinkToFit="false"/>
      <protection locked="true" hidden="false"/>
    </xf>
    <xf numFmtId="164" fontId="18" fillId="11" borderId="0" xfId="0" applyFont="true" applyBorder="false" applyAlignment="true" applyProtection="false">
      <alignment horizontal="center" vertical="center" textRotation="0" wrapText="false" indent="0" shrinkToFit="false"/>
      <protection locked="true" hidden="false"/>
    </xf>
    <xf numFmtId="168"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7" fontId="23"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7" fontId="9"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7" fontId="9" fillId="0" borderId="3" xfId="0" applyFont="true" applyBorder="true" applyAlignment="true" applyProtection="false">
      <alignment horizontal="right"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6" fontId="23" fillId="0" borderId="0" xfId="0" applyFont="true" applyBorder="false" applyAlignment="true" applyProtection="false">
      <alignment horizontal="right" vertical="center" textRotation="0" wrapText="false" indent="0" shrinkToFit="false"/>
      <protection locked="true" hidden="false"/>
    </xf>
    <xf numFmtId="169" fontId="23" fillId="0" borderId="0" xfId="0" applyFont="true" applyBorder="false" applyAlignment="true" applyProtection="false">
      <alignment horizontal="right" vertical="center" textRotation="0" wrapText="false" indent="0" shrinkToFit="false"/>
      <protection locked="true" hidden="false"/>
    </xf>
    <xf numFmtId="167" fontId="24"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4" fontId="18" fillId="11"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1"/>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3"/>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6" t="s">
        <v>26</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27</v>
      </c>
      <c r="C21" s="8" t="s">
        <v>4</v>
      </c>
      <c r="D21" s="9"/>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6</v>
      </c>
      <c r="D22" s="10"/>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29</v>
      </c>
      <c r="C23" s="8" t="s">
        <v>30</v>
      </c>
      <c r="D23" s="12"/>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31</v>
      </c>
      <c r="C24" s="8" t="s">
        <v>32</v>
      </c>
      <c r="D24" s="11"/>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33</v>
      </c>
      <c r="C25" s="8" t="s">
        <v>34</v>
      </c>
      <c r="D25" s="13"/>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35</v>
      </c>
      <c r="C26" s="8" t="s">
        <v>36</v>
      </c>
      <c r="D26" s="14"/>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15" t="s">
        <v>37</v>
      </c>
      <c r="C29" s="16"/>
      <c r="D29" s="16"/>
      <c r="E29" s="16"/>
      <c r="F29" s="16"/>
      <c r="G29" s="16"/>
      <c r="H29" s="5"/>
      <c r="I29" s="5"/>
      <c r="J29" s="5"/>
      <c r="K29" s="5"/>
      <c r="L29" s="5"/>
      <c r="M29" s="5"/>
      <c r="N29" s="5"/>
      <c r="O29" s="5"/>
      <c r="P29" s="5"/>
      <c r="Q29" s="5"/>
      <c r="R29" s="5"/>
      <c r="S29" s="5"/>
      <c r="T29" s="5"/>
      <c r="U29" s="5"/>
      <c r="V29" s="5"/>
      <c r="W29" s="5"/>
      <c r="X29" s="5"/>
      <c r="Y29" s="5"/>
      <c r="Z29" s="5"/>
      <c r="AA29" s="5"/>
      <c r="AB29" s="5"/>
      <c r="AC29" s="5"/>
      <c r="AD29" s="5"/>
    </row>
    <row r="30" customFormat="false" ht="195.75" hidden="false" customHeight="true" outlineLevel="0" collapsed="false">
      <c r="A30" s="5"/>
      <c r="B30" s="17" t="s">
        <v>38</v>
      </c>
      <c r="C30" s="17"/>
      <c r="D30" s="17"/>
      <c r="E30" s="17"/>
      <c r="F30" s="17"/>
      <c r="G30" s="17"/>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9.5" hidden="false" customHeight="true" outlineLevel="0" collapsed="false">
      <c r="A32" s="5"/>
      <c r="B32" s="15" t="s">
        <v>39</v>
      </c>
      <c r="C32" s="16"/>
      <c r="D32" s="16"/>
      <c r="E32" s="16"/>
      <c r="F32" s="16"/>
      <c r="G32" s="16"/>
      <c r="H32" s="5"/>
      <c r="I32" s="5"/>
      <c r="J32" s="5"/>
      <c r="K32" s="5"/>
      <c r="L32" s="5"/>
      <c r="M32" s="5"/>
      <c r="N32" s="5"/>
      <c r="O32" s="5"/>
      <c r="P32" s="5"/>
      <c r="Q32" s="5"/>
      <c r="R32" s="5"/>
      <c r="S32" s="5"/>
      <c r="T32" s="5"/>
      <c r="U32" s="5"/>
      <c r="V32" s="5"/>
      <c r="W32" s="5"/>
      <c r="X32" s="5"/>
      <c r="Y32" s="5"/>
      <c r="Z32" s="5"/>
      <c r="AA32" s="5"/>
      <c r="AB32" s="5"/>
      <c r="AC32" s="5"/>
      <c r="AD32" s="5"/>
    </row>
    <row r="33" customFormat="false" ht="57" hidden="false" customHeight="true" outlineLevel="0" collapsed="false">
      <c r="A33" s="5"/>
      <c r="B33" s="17" t="s">
        <v>40</v>
      </c>
      <c r="C33" s="17"/>
      <c r="D33" s="17"/>
      <c r="E33" s="17"/>
      <c r="F33" s="17"/>
      <c r="G33" s="17"/>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8" t="s">
        <v>41</v>
      </c>
      <c r="C34" s="18"/>
      <c r="D34" s="18"/>
      <c r="E34" s="18"/>
      <c r="F34" s="18"/>
      <c r="G34" s="18"/>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9" t="s">
        <v>42</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sheetData>
  <mergeCells count="3">
    <mergeCell ref="B30:G30"/>
    <mergeCell ref="B33:G33"/>
    <mergeCell ref="B34:G3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F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263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264</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customFormat="false" ht="15" hidden="false" customHeight="false" outlineLevel="0" collapsed="false">
      <c r="A8" s="5"/>
      <c r="B8" s="15" t="s">
        <v>265</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row>
    <row r="9" customFormat="false" ht="15" hidden="false" customHeight="false" outlineLevel="0" collapsed="false">
      <c r="A9" s="5"/>
      <c r="B9" s="38" t="s">
        <v>245</v>
      </c>
      <c r="C9" s="39" t="n">
        <f aca="false">RB_Total_Revenue</f>
        <v>0</v>
      </c>
      <c r="D9" s="39" t="n">
        <f aca="false">RB_Total_Revenue</f>
        <v>0</v>
      </c>
      <c r="E9" s="39" t="n">
        <f aca="false">RB_Total_Revenue</f>
        <v>0</v>
      </c>
      <c r="F9" s="39" t="n">
        <f aca="false">RB_Total_Revenue</f>
        <v>130220000</v>
      </c>
      <c r="G9" s="39" t="n">
        <f aca="false">RB_Total_Revenue</f>
        <v>137954955</v>
      </c>
      <c r="H9" s="39" t="n">
        <f aca="false">RB_Total_Revenue</f>
        <v>146152030.854375</v>
      </c>
      <c r="I9" s="39" t="n">
        <f aca="false">RB_Total_Revenue</f>
        <v>154838961.293963</v>
      </c>
      <c r="J9" s="39" t="n">
        <f aca="false">RB_Total_Revenue</f>
        <v>164045150.237102</v>
      </c>
      <c r="K9" s="39" t="n">
        <f aca="false">RB_Total_Revenue</f>
        <v>173801772.638588</v>
      </c>
      <c r="L9" s="39" t="n">
        <f aca="false">RB_Total_Revenue</f>
        <v>184141881.44034</v>
      </c>
      <c r="M9" s="39" t="n">
        <f aca="false">RB_Total_Revenue</f>
        <v>195100520.993503</v>
      </c>
      <c r="N9" s="39" t="n">
        <f aca="false">RB_Total_Revenue</f>
        <v>206714847.344147</v>
      </c>
      <c r="O9" s="39" t="n">
        <f aca="false">RB_Total_Revenue</f>
        <v>219024255.798535</v>
      </c>
      <c r="P9" s="39" t="n">
        <f aca="false">RB_Total_Revenue</f>
        <v>232070516.20915</v>
      </c>
      <c r="Q9" s="39" t="n">
        <f aca="false">RB_Total_Revenue</f>
        <v>239209377.430236</v>
      </c>
      <c r="R9" s="39" t="n">
        <f aca="false">RB_Total_Revenue</f>
        <v>245607661.91892</v>
      </c>
      <c r="S9" s="39" t="n">
        <f aca="false">RB_Total_Revenue</f>
        <v>252184924.79723</v>
      </c>
      <c r="T9" s="39" t="n">
        <f aca="false">RB_Total_Revenue</f>
        <v>258946505.993029</v>
      </c>
      <c r="U9" s="39" t="n">
        <f aca="false">RB_Total_Revenue</f>
        <v>265897918.311173</v>
      </c>
      <c r="V9" s="39" t="n">
        <f aca="false">RB_Total_Revenue</f>
        <v>273044853.547181</v>
      </c>
      <c r="W9" s="39" t="n">
        <f aca="false">RB_Total_Revenue</f>
        <v>280393188.835247</v>
      </c>
      <c r="X9" s="39" t="n">
        <f aca="false">RB_Total_Revenue</f>
        <v>287948993.240213</v>
      </c>
      <c r="Y9" s="39" t="n">
        <f aca="false">RB_Total_Revenue</f>
        <v>295718534.603428</v>
      </c>
      <c r="Z9" s="39" t="n">
        <f aca="false">RB_Total_Revenue</f>
        <v>303708286.652939</v>
      </c>
      <c r="AA9" s="39" t="n">
        <f aca="false">RB_Total_Revenue</f>
        <v>311924936.38883</v>
      </c>
      <c r="AB9" s="39" t="n">
        <f aca="false">RB_Total_Revenue</f>
        <v>320375391.755033</v>
      </c>
      <c r="AC9" s="39" t="n">
        <f aca="false">RB_Total_Revenue</f>
        <v>329066789.609411</v>
      </c>
      <c r="AD9" s="39" t="n">
        <f aca="false">RB_Total_Revenue</f>
        <v>338006504.004402</v>
      </c>
      <c r="AE9" s="39" t="n">
        <f aca="false">RB_Total_Revenue</f>
        <v>347202154.791058</v>
      </c>
      <c r="AF9" s="39" t="n">
        <f aca="false">RB_Total_Revenue</f>
        <v>356661616.559869</v>
      </c>
    </row>
    <row r="10" customFormat="false" ht="15" hidden="false" customHeight="false" outlineLevel="0" collapsed="false">
      <c r="A10" s="5"/>
      <c r="B10" s="38" t="s">
        <v>90</v>
      </c>
      <c r="C10" s="39" t="n">
        <f aca="false">-OB_Total_Variable</f>
        <v>-0</v>
      </c>
      <c r="D10" s="39" t="n">
        <f aca="false">-OB_Total_Variable</f>
        <v>-0</v>
      </c>
      <c r="E10" s="39" t="n">
        <f aca="false">-OB_Total_Variable</f>
        <v>-0</v>
      </c>
      <c r="F10" s="39" t="n">
        <f aca="false">-OB_Total_Variable</f>
        <v>-43200000</v>
      </c>
      <c r="G10" s="39" t="n">
        <f aca="false">-OB_Total_Variable</f>
        <v>-45969525</v>
      </c>
      <c r="H10" s="39" t="n">
        <f aca="false">-OB_Total_Variable</f>
        <v>-48916873.670625</v>
      </c>
      <c r="I10" s="39" t="n">
        <f aca="false">-OB_Total_Variable</f>
        <v>-52053480.5924586</v>
      </c>
      <c r="J10" s="39" t="n">
        <f aca="false">-OB_Total_Variable</f>
        <v>-55391516.6879216</v>
      </c>
      <c r="K10" s="39" t="n">
        <f aca="false">-OB_Total_Variable</f>
        <v>-58943936.7053692</v>
      </c>
      <c r="L10" s="39" t="n">
        <f aca="false">-OB_Total_Variable</f>
        <v>-62724529.7694296</v>
      </c>
      <c r="M10" s="39" t="n">
        <f aca="false">-OB_Total_Variable</f>
        <v>-66747973.1958406</v>
      </c>
      <c r="N10" s="39" t="n">
        <f aca="false">-OB_Total_Variable</f>
        <v>-71029889.7818801</v>
      </c>
      <c r="O10" s="39" t="n">
        <f aca="false">-OB_Total_Variable</f>
        <v>-75586908.7971517</v>
      </c>
      <c r="P10" s="39" t="n">
        <f aca="false">-OB_Total_Variable</f>
        <v>-80436730.9140384</v>
      </c>
      <c r="Q10" s="39" t="n">
        <f aca="false">-OB_Total_Variable</f>
        <v>-83059334.3517491</v>
      </c>
      <c r="R10" s="39" t="n">
        <f aca="false">-OB_Total_Variable</f>
        <v>-85400552.4383189</v>
      </c>
      <c r="S10" s="39" t="n">
        <f aca="false">-OB_Total_Variable</f>
        <v>-87808243.0188862</v>
      </c>
      <c r="T10" s="39" t="n">
        <f aca="false">-OB_Total_Variable</f>
        <v>-90284306.167056</v>
      </c>
      <c r="U10" s="39" t="n">
        <f aca="false">-OB_Total_Variable</f>
        <v>-92830696.6061109</v>
      </c>
      <c r="V10" s="39" t="n">
        <f aca="false">-OB_Total_Variable</f>
        <v>-95449425.2896886</v>
      </c>
      <c r="W10" s="39" t="n">
        <f aca="false">-OB_Total_Variable</f>
        <v>-98142561.0284084</v>
      </c>
      <c r="X10" s="39" t="n">
        <f aca="false">-OB_Total_Variable</f>
        <v>-100912232.163791</v>
      </c>
      <c r="Y10" s="39" t="n">
        <f aca="false">-OB_Total_Variable</f>
        <v>-103760628.290847</v>
      </c>
      <c r="Z10" s="39" t="n">
        <f aca="false">-OB_Total_Variable</f>
        <v>-106690002.03077</v>
      </c>
      <c r="AA10" s="39" t="n">
        <f aca="false">-OB_Total_Variable</f>
        <v>-109702670.855169</v>
      </c>
      <c r="AB10" s="39" t="n">
        <f aca="false">-OB_Total_Variable</f>
        <v>-112801018.963388</v>
      </c>
      <c r="AC10" s="39" t="n">
        <f aca="false">-OB_Total_Variable</f>
        <v>-115987499.214417</v>
      </c>
      <c r="AD10" s="39" t="n">
        <f aca="false">-OB_Total_Variable</f>
        <v>-119264635.115031</v>
      </c>
      <c r="AE10" s="39" t="n">
        <f aca="false">-OB_Total_Variable</f>
        <v>-122635022.865767</v>
      </c>
      <c r="AF10" s="39" t="n">
        <f aca="false">-OB_Total_Variable</f>
        <v>-126101333.466458</v>
      </c>
    </row>
    <row r="11" customFormat="false" ht="15" hidden="false" customHeight="false" outlineLevel="0" collapsed="false">
      <c r="A11" s="5"/>
      <c r="B11" s="42" t="s">
        <v>266</v>
      </c>
      <c r="C11" s="43" t="n">
        <f aca="false">C9+C10</f>
        <v>0</v>
      </c>
      <c r="D11" s="43" t="n">
        <f aca="false">D9+D10</f>
        <v>0</v>
      </c>
      <c r="E11" s="43" t="n">
        <f aca="false">E9+E10</f>
        <v>0</v>
      </c>
      <c r="F11" s="43" t="n">
        <f aca="false">F9+F10</f>
        <v>87020000</v>
      </c>
      <c r="G11" s="43" t="n">
        <f aca="false">G9+G10</f>
        <v>91985430</v>
      </c>
      <c r="H11" s="43" t="n">
        <f aca="false">H9+H10</f>
        <v>97235157.18375</v>
      </c>
      <c r="I11" s="43" t="n">
        <f aca="false">I9+I10</f>
        <v>102785480.701505</v>
      </c>
      <c r="J11" s="43" t="n">
        <f aca="false">J9+J10</f>
        <v>108653633.54918</v>
      </c>
      <c r="K11" s="43" t="n">
        <f aca="false">K9+K10</f>
        <v>114857835.933218</v>
      </c>
      <c r="L11" s="43" t="n">
        <f aca="false">L9+L10</f>
        <v>121417351.670911</v>
      </c>
      <c r="M11" s="43" t="n">
        <f aca="false">M9+M10</f>
        <v>128352547.797663</v>
      </c>
      <c r="N11" s="43" t="n">
        <f aca="false">N9+N10</f>
        <v>135684957.562266</v>
      </c>
      <c r="O11" s="43" t="n">
        <f aca="false">O9+O10</f>
        <v>143437347.001384</v>
      </c>
      <c r="P11" s="43" t="n">
        <f aca="false">P9+P10</f>
        <v>151633785.295112</v>
      </c>
      <c r="Q11" s="43" t="n">
        <f aca="false">Q9+Q10</f>
        <v>156150043.078487</v>
      </c>
      <c r="R11" s="43" t="n">
        <f aca="false">R9+R10</f>
        <v>160207109.480602</v>
      </c>
      <c r="S11" s="43" t="n">
        <f aca="false">S9+S10</f>
        <v>164376681.778344</v>
      </c>
      <c r="T11" s="43" t="n">
        <f aca="false">T9+T10</f>
        <v>168662199.825973</v>
      </c>
      <c r="U11" s="43" t="n">
        <f aca="false">U9+U10</f>
        <v>173067221.705063</v>
      </c>
      <c r="V11" s="43" t="n">
        <f aca="false">V9+V10</f>
        <v>177595428.257492</v>
      </c>
      <c r="W11" s="43" t="n">
        <f aca="false">W9+W10</f>
        <v>182250627.806839</v>
      </c>
      <c r="X11" s="43" t="n">
        <f aca="false">X9+X10</f>
        <v>187036761.076422</v>
      </c>
      <c r="Y11" s="43" t="n">
        <f aca="false">Y9+Y10</f>
        <v>191957906.312581</v>
      </c>
      <c r="Z11" s="43" t="n">
        <f aca="false">Z9+Z10</f>
        <v>197018284.62217</v>
      </c>
      <c r="AA11" s="43" t="n">
        <f aca="false">AA9+AA10</f>
        <v>202222265.533661</v>
      </c>
      <c r="AB11" s="43" t="n">
        <f aca="false">AB9+AB10</f>
        <v>207574372.791645</v>
      </c>
      <c r="AC11" s="43" t="n">
        <f aca="false">AC9+AC10</f>
        <v>213079290.394994</v>
      </c>
      <c r="AD11" s="43" t="n">
        <f aca="false">AD9+AD10</f>
        <v>218741868.889371</v>
      </c>
      <c r="AE11" s="43" t="n">
        <f aca="false">AE9+AE10</f>
        <v>224567131.925291</v>
      </c>
      <c r="AF11" s="43" t="n">
        <f aca="false">AF9+AF10</f>
        <v>230560283.093411</v>
      </c>
    </row>
    <row r="12" customFormat="false" ht="15" hidden="false" customHeight="false" outlineLevel="0" collapsed="false">
      <c r="A12" s="5"/>
      <c r="B12" s="38" t="s">
        <v>98</v>
      </c>
      <c r="C12" s="39" t="n">
        <f aca="false">-OB_Total_Fixed</f>
        <v>-0</v>
      </c>
      <c r="D12" s="39" t="n">
        <f aca="false">-OB_Total_Fixed</f>
        <v>-0</v>
      </c>
      <c r="E12" s="39" t="n">
        <f aca="false">-OB_Total_Fixed</f>
        <v>-0</v>
      </c>
      <c r="F12" s="39" t="n">
        <f aca="false">-OB_Total_Fixed</f>
        <v>-20000000</v>
      </c>
      <c r="G12" s="39" t="n">
        <f aca="false">-OB_Total_Fixed</f>
        <v>-20575000</v>
      </c>
      <c r="H12" s="39" t="n">
        <f aca="false">-OB_Total_Fixed</f>
        <v>-21166625</v>
      </c>
      <c r="I12" s="39" t="n">
        <f aca="false">-OB_Total_Fixed</f>
        <v>-21775358.125</v>
      </c>
      <c r="J12" s="39" t="n">
        <f aca="false">-OB_Total_Fixed</f>
        <v>-22401696.603125</v>
      </c>
      <c r="K12" s="39" t="n">
        <f aca="false">-OB_Total_Fixed</f>
        <v>-23046152.1789531</v>
      </c>
      <c r="L12" s="39" t="n">
        <f aca="false">-OB_Total_Fixed</f>
        <v>-23709251.5389995</v>
      </c>
      <c r="M12" s="39" t="n">
        <f aca="false">-OB_Total_Fixed</f>
        <v>-24391536.7497141</v>
      </c>
      <c r="N12" s="39" t="n">
        <f aca="false">-OB_Total_Fixed</f>
        <v>-25093565.7083638</v>
      </c>
      <c r="O12" s="39" t="n">
        <f aca="false">-OB_Total_Fixed</f>
        <v>-25815912.607177</v>
      </c>
      <c r="P12" s="39" t="n">
        <f aca="false">-OB_Total_Fixed</f>
        <v>-26559168.4111436</v>
      </c>
      <c r="Q12" s="39" t="n">
        <f aca="false">-OB_Total_Fixed</f>
        <v>-27323941.349873</v>
      </c>
      <c r="R12" s="39" t="n">
        <f aca="false">-OB_Total_Fixed</f>
        <v>-28110857.4239242</v>
      </c>
      <c r="S12" s="39" t="n">
        <f aca="false">-OB_Total_Fixed</f>
        <v>-28920560.9260357</v>
      </c>
      <c r="T12" s="39" t="n">
        <f aca="false">-OB_Total_Fixed</f>
        <v>-29753714.9776955</v>
      </c>
      <c r="U12" s="39" t="n">
        <f aca="false">-OB_Total_Fixed</f>
        <v>-30611002.081502</v>
      </c>
      <c r="V12" s="39" t="n">
        <f aca="false">-OB_Total_Fixed</f>
        <v>-31493124.6897846</v>
      </c>
      <c r="W12" s="39" t="n">
        <f aca="false">-OB_Total_Fixed</f>
        <v>-32400805.7899617</v>
      </c>
      <c r="X12" s="39" t="n">
        <f aca="false">-OB_Total_Fixed</f>
        <v>-33334789.5071311</v>
      </c>
      <c r="Y12" s="39" t="n">
        <f aca="false">-OB_Total_Fixed</f>
        <v>-34295841.7244024</v>
      </c>
      <c r="Z12" s="39" t="n">
        <f aca="false">-OB_Total_Fixed</f>
        <v>-35284750.7214932</v>
      </c>
      <c r="AA12" s="39" t="n">
        <f aca="false">-OB_Total_Fixed</f>
        <v>-36302327.8321307</v>
      </c>
      <c r="AB12" s="39" t="n">
        <f aca="false">-OB_Total_Fixed</f>
        <v>-37349408.1208122</v>
      </c>
      <c r="AC12" s="39" t="n">
        <f aca="false">-OB_Total_Fixed</f>
        <v>-38426851.0794971</v>
      </c>
      <c r="AD12" s="39" t="n">
        <f aca="false">-OB_Total_Fixed</f>
        <v>-39535541.344819</v>
      </c>
      <c r="AE12" s="39" t="n">
        <f aca="false">-OB_Total_Fixed</f>
        <v>-40676389.436424</v>
      </c>
      <c r="AF12" s="39" t="n">
        <f aca="false">-OB_Total_Fixed</f>
        <v>-41850332.5170587</v>
      </c>
    </row>
    <row r="13" customFormat="false" ht="15" hidden="false" customHeight="false" outlineLevel="0" collapsed="false">
      <c r="A13" s="5"/>
      <c r="B13" s="42" t="s">
        <v>224</v>
      </c>
      <c r="C13" s="43" t="n">
        <f aca="false">C11+C12</f>
        <v>0</v>
      </c>
      <c r="D13" s="43" t="n">
        <f aca="false">D11+D12</f>
        <v>0</v>
      </c>
      <c r="E13" s="43" t="n">
        <f aca="false">E11+E12</f>
        <v>0</v>
      </c>
      <c r="F13" s="43" t="n">
        <f aca="false">F11+F12</f>
        <v>67020000</v>
      </c>
      <c r="G13" s="43" t="n">
        <f aca="false">G11+G12</f>
        <v>71410430</v>
      </c>
      <c r="H13" s="43" t="n">
        <f aca="false">H11+H12</f>
        <v>76068532.18375</v>
      </c>
      <c r="I13" s="43" t="n">
        <f aca="false">I11+I12</f>
        <v>81010122.5765046</v>
      </c>
      <c r="J13" s="43" t="n">
        <f aca="false">J11+J12</f>
        <v>86251936.9460551</v>
      </c>
      <c r="K13" s="43" t="n">
        <f aca="false">K11+K12</f>
        <v>91811683.7542652</v>
      </c>
      <c r="L13" s="43" t="n">
        <f aca="false">L11+L12</f>
        <v>97708100.1319113</v>
      </c>
      <c r="M13" s="43" t="n">
        <f aca="false">M11+M12</f>
        <v>103961011.047948</v>
      </c>
      <c r="N13" s="43" t="n">
        <f aca="false">N11+N12</f>
        <v>110591391.853903</v>
      </c>
      <c r="O13" s="43" t="n">
        <f aca="false">O11+O12</f>
        <v>117621434.394207</v>
      </c>
      <c r="P13" s="43" t="n">
        <f aca="false">P11+P12</f>
        <v>125074616.883968</v>
      </c>
      <c r="Q13" s="43" t="n">
        <f aca="false">Q11+Q12</f>
        <v>128826101.728614</v>
      </c>
      <c r="R13" s="43" t="n">
        <f aca="false">R11+R12</f>
        <v>132096252.056677</v>
      </c>
      <c r="S13" s="43" t="n">
        <f aca="false">S11+S12</f>
        <v>135456120.852308</v>
      </c>
      <c r="T13" s="43" t="n">
        <f aca="false">T11+T12</f>
        <v>138908484.848277</v>
      </c>
      <c r="U13" s="43" t="n">
        <f aca="false">U11+U12</f>
        <v>142456219.623561</v>
      </c>
      <c r="V13" s="43" t="n">
        <f aca="false">V11+V12</f>
        <v>146102303.567707</v>
      </c>
      <c r="W13" s="43" t="n">
        <f aca="false">W11+W12</f>
        <v>149849822.016877</v>
      </c>
      <c r="X13" s="43" t="n">
        <f aca="false">X11+X12</f>
        <v>153701971.569291</v>
      </c>
      <c r="Y13" s="43" t="n">
        <f aca="false">Y11+Y12</f>
        <v>157662064.588178</v>
      </c>
      <c r="Z13" s="43" t="n">
        <f aca="false">Z11+Z12</f>
        <v>161733533.900677</v>
      </c>
      <c r="AA13" s="43" t="n">
        <f aca="false">AA11+AA12</f>
        <v>165919937.70153</v>
      </c>
      <c r="AB13" s="43" t="n">
        <f aca="false">AB11+AB12</f>
        <v>170224964.670833</v>
      </c>
      <c r="AC13" s="43" t="n">
        <f aca="false">AC11+AC12</f>
        <v>174652439.315497</v>
      </c>
      <c r="AD13" s="43" t="n">
        <f aca="false">AD11+AD12</f>
        <v>179206327.544552</v>
      </c>
      <c r="AE13" s="43" t="n">
        <f aca="false">AE11+AE12</f>
        <v>183890742.488867</v>
      </c>
      <c r="AF13" s="43" t="n">
        <f aca="false">AF11+AF12</f>
        <v>188709950.576353</v>
      </c>
    </row>
    <row r="14" customFormat="false" ht="15" hidden="false" customHeight="false" outlineLevel="0" collapsed="false">
      <c r="A14" s="5"/>
      <c r="B14" s="38" t="s">
        <v>194</v>
      </c>
      <c r="C14" s="39" t="n">
        <f aca="false">-CC_Total_Depreciation</f>
        <v>-0</v>
      </c>
      <c r="D14" s="39" t="n">
        <f aca="false">-CC_Total_Depreciation</f>
        <v>-0</v>
      </c>
      <c r="E14" s="39" t="n">
        <f aca="false">-CC_Total_Depreciation</f>
        <v>-0</v>
      </c>
      <c r="F14" s="39" t="n">
        <f aca="false">-CC_Total_Depreciation</f>
        <v>-18923626.6666667</v>
      </c>
      <c r="G14" s="39" t="n">
        <f aca="false">-CC_Total_Depreciation</f>
        <v>-18933939.94</v>
      </c>
      <c r="H14" s="39" t="n">
        <f aca="false">-CC_Total_Depreciation</f>
        <v>-18944869.3744725</v>
      </c>
      <c r="I14" s="39" t="n">
        <f aca="false">-CC_Total_Depreciation</f>
        <v>-18956451.948392</v>
      </c>
      <c r="J14" s="39" t="n">
        <f aca="false">-CC_Total_Depreciation</f>
        <v>-18968726.8669828</v>
      </c>
      <c r="K14" s="39" t="n">
        <f aca="false">-CC_Total_Depreciation</f>
        <v>-18981735.6968515</v>
      </c>
      <c r="L14" s="39" t="n">
        <f aca="false">-CC_Total_Depreciation</f>
        <v>-18995522.5085871</v>
      </c>
      <c r="M14" s="39" t="n">
        <f aca="false">-CC_Total_Depreciation</f>
        <v>-19010134.0279913</v>
      </c>
      <c r="N14" s="39" t="n">
        <f aca="false">-CC_Total_Depreciation</f>
        <v>-19025619.7964589</v>
      </c>
      <c r="O14" s="39" t="n">
        <f aca="false">-CC_Total_Depreciation</f>
        <v>-19042032.3410647</v>
      </c>
      <c r="P14" s="39" t="n">
        <f aca="false">-CC_Total_Depreciation</f>
        <v>-19059427.3549455</v>
      </c>
      <c r="Q14" s="39" t="n">
        <f aca="false">-CC_Total_Depreciation</f>
        <v>-19068945.8365737</v>
      </c>
      <c r="R14" s="39" t="n">
        <f aca="false">-CC_Total_Depreciation</f>
        <v>-19077476.8825586</v>
      </c>
      <c r="S14" s="39" t="n">
        <f aca="false">-CC_Total_Depreciation</f>
        <v>-19086246.5663963</v>
      </c>
      <c r="T14" s="39" t="n">
        <f aca="false">-CC_Total_Depreciation</f>
        <v>-19095262.0079907</v>
      </c>
      <c r="U14" s="39" t="n">
        <f aca="false">-CC_Total_Depreciation</f>
        <v>-7104530.55774823</v>
      </c>
      <c r="V14" s="39" t="n">
        <f aca="false">-CC_Total_Depreciation</f>
        <v>-7114059.80472957</v>
      </c>
      <c r="W14" s="39" t="n">
        <f aca="false">-CC_Total_Depreciation</f>
        <v>-7123857.58511366</v>
      </c>
      <c r="X14" s="39" t="n">
        <f aca="false">-CC_Total_Depreciation</f>
        <v>-7133931.99098695</v>
      </c>
      <c r="Y14" s="39" t="n">
        <f aca="false">-CC_Total_Depreciation</f>
        <v>-7144291.37947124</v>
      </c>
      <c r="Z14" s="39" t="n">
        <f aca="false">-CC_Total_Depreciation</f>
        <v>-7154944.38220392</v>
      </c>
      <c r="AA14" s="39" t="n">
        <f aca="false">-CC_Total_Depreciation</f>
        <v>-7165899.91518511</v>
      </c>
      <c r="AB14" s="39" t="n">
        <f aca="false">-CC_Total_Depreciation</f>
        <v>-7177167.18900671</v>
      </c>
      <c r="AC14" s="39" t="n">
        <f aca="false">-CC_Total_Depreciation</f>
        <v>-7188755.71947922</v>
      </c>
      <c r="AD14" s="39" t="n">
        <f aca="false">-CC_Total_Depreciation</f>
        <v>-7200675.33867254</v>
      </c>
      <c r="AE14" s="39" t="n">
        <f aca="false">-CC_Total_Depreciation</f>
        <v>-7212936.20638808</v>
      </c>
      <c r="AF14" s="39" t="n">
        <f aca="false">-CC_Total_Depreciation</f>
        <v>-7225548.82207983</v>
      </c>
    </row>
    <row r="15" customFormat="false" ht="15" hidden="false" customHeight="false" outlineLevel="0" collapsed="false">
      <c r="A15" s="5"/>
      <c r="B15" s="42" t="s">
        <v>246</v>
      </c>
      <c r="C15" s="43" t="n">
        <f aca="false">C13+C14</f>
        <v>0</v>
      </c>
      <c r="D15" s="43" t="n">
        <f aca="false">D13+D14</f>
        <v>0</v>
      </c>
      <c r="E15" s="43" t="n">
        <f aca="false">E13+E14</f>
        <v>0</v>
      </c>
      <c r="F15" s="43" t="n">
        <f aca="false">F13+F14</f>
        <v>48096373.3333333</v>
      </c>
      <c r="G15" s="43" t="n">
        <f aca="false">G13+G14</f>
        <v>52476490.06</v>
      </c>
      <c r="H15" s="43" t="n">
        <f aca="false">H13+H14</f>
        <v>57123662.8092775</v>
      </c>
      <c r="I15" s="43" t="n">
        <f aca="false">I13+I14</f>
        <v>62053670.6281126</v>
      </c>
      <c r="J15" s="43" t="n">
        <f aca="false">J13+J14</f>
        <v>67283210.0790723</v>
      </c>
      <c r="K15" s="43" t="n">
        <f aca="false">K13+K14</f>
        <v>72829948.0574137</v>
      </c>
      <c r="L15" s="43" t="n">
        <f aca="false">L13+L14</f>
        <v>78712577.6233242</v>
      </c>
      <c r="M15" s="43" t="n">
        <f aca="false">M13+M14</f>
        <v>84950877.0199571</v>
      </c>
      <c r="N15" s="43" t="n">
        <f aca="false">N13+N14</f>
        <v>91565772.0574438</v>
      </c>
      <c r="O15" s="43" t="n">
        <f aca="false">O13+O14</f>
        <v>98579402.053142</v>
      </c>
      <c r="P15" s="43" t="n">
        <f aca="false">P13+P14</f>
        <v>106015189.529023</v>
      </c>
      <c r="Q15" s="43" t="n">
        <f aca="false">Q13+Q14</f>
        <v>109757155.89204</v>
      </c>
      <c r="R15" s="43" t="n">
        <f aca="false">R13+R14</f>
        <v>113018775.174119</v>
      </c>
      <c r="S15" s="43" t="n">
        <f aca="false">S13+S14</f>
        <v>116369874.285912</v>
      </c>
      <c r="T15" s="43" t="n">
        <f aca="false">T13+T14</f>
        <v>119813222.840286</v>
      </c>
      <c r="U15" s="43" t="n">
        <f aca="false">U13+U14</f>
        <v>135351689.065812</v>
      </c>
      <c r="V15" s="43" t="n">
        <f aca="false">V13+V14</f>
        <v>138988243.762978</v>
      </c>
      <c r="W15" s="43" t="n">
        <f aca="false">W13+W14</f>
        <v>142725964.431763</v>
      </c>
      <c r="X15" s="43" t="n">
        <f aca="false">X13+X14</f>
        <v>146568039.578304</v>
      </c>
      <c r="Y15" s="43" t="n">
        <f aca="false">Y13+Y14</f>
        <v>150517773.208707</v>
      </c>
      <c r="Z15" s="43" t="n">
        <f aca="false">Z13+Z14</f>
        <v>154578589.518473</v>
      </c>
      <c r="AA15" s="43" t="n">
        <f aca="false">AA13+AA14</f>
        <v>158754037.786345</v>
      </c>
      <c r="AB15" s="43" t="n">
        <f aca="false">AB13+AB14</f>
        <v>163047797.481826</v>
      </c>
      <c r="AC15" s="43" t="n">
        <f aca="false">AC13+AC14</f>
        <v>167463683.596018</v>
      </c>
      <c r="AD15" s="43" t="n">
        <f aca="false">AD13+AD14</f>
        <v>172005652.205879</v>
      </c>
      <c r="AE15" s="43" t="n">
        <f aca="false">AE13+AE14</f>
        <v>176677806.282479</v>
      </c>
      <c r="AF15" s="43" t="n">
        <f aca="false">AF13+AF14</f>
        <v>181484401.754273</v>
      </c>
    </row>
    <row r="16" customFormat="false" ht="15" hidden="false" customHeight="false" outlineLevel="0" collapsed="false">
      <c r="A16" s="5"/>
      <c r="B16" s="38" t="s">
        <v>236</v>
      </c>
      <c r="C16" s="39" t="n">
        <f aca="false">-DB_Interest</f>
        <v>-0</v>
      </c>
      <c r="D16" s="39" t="n">
        <f aca="false">-DB_Interest</f>
        <v>-6825000</v>
      </c>
      <c r="E16" s="39" t="n">
        <f aca="false">-DB_Interest</f>
        <v>-13650000</v>
      </c>
      <c r="F16" s="39" t="n">
        <f aca="false">-DB_Interest</f>
        <v>-20475000</v>
      </c>
      <c r="G16" s="39" t="n">
        <f aca="false">-DB_Interest</f>
        <v>-19451250</v>
      </c>
      <c r="H16" s="39" t="n">
        <f aca="false">-DB_Interest</f>
        <v>-18427500</v>
      </c>
      <c r="I16" s="39" t="n">
        <f aca="false">-DB_Interest</f>
        <v>-17403750</v>
      </c>
      <c r="J16" s="39" t="n">
        <f aca="false">-DB_Interest</f>
        <v>-16380000</v>
      </c>
      <c r="K16" s="39" t="n">
        <f aca="false">-DB_Interest</f>
        <v>-15356250</v>
      </c>
      <c r="L16" s="39" t="n">
        <f aca="false">-DB_Interest</f>
        <v>-14332500</v>
      </c>
      <c r="M16" s="39" t="n">
        <f aca="false">-DB_Interest</f>
        <v>-13308750</v>
      </c>
      <c r="N16" s="39" t="n">
        <f aca="false">-DB_Interest</f>
        <v>-12285000</v>
      </c>
      <c r="O16" s="39" t="n">
        <f aca="false">-DB_Interest</f>
        <v>-11261250</v>
      </c>
      <c r="P16" s="39" t="n">
        <f aca="false">-DB_Interest</f>
        <v>-10237500</v>
      </c>
      <c r="Q16" s="39" t="n">
        <f aca="false">-DB_Interest</f>
        <v>-9213750</v>
      </c>
      <c r="R16" s="39" t="n">
        <f aca="false">-DB_Interest</f>
        <v>-8190000</v>
      </c>
      <c r="S16" s="39" t="n">
        <f aca="false">-DB_Interest</f>
        <v>-7166250</v>
      </c>
      <c r="T16" s="39" t="n">
        <f aca="false">-DB_Interest</f>
        <v>-6142500</v>
      </c>
      <c r="U16" s="39" t="n">
        <f aca="false">-DB_Interest</f>
        <v>-5118750</v>
      </c>
      <c r="V16" s="39" t="n">
        <f aca="false">-DB_Interest</f>
        <v>-4095000</v>
      </c>
      <c r="W16" s="39" t="n">
        <f aca="false">-DB_Interest</f>
        <v>-3071250</v>
      </c>
      <c r="X16" s="39" t="n">
        <f aca="false">-DB_Interest</f>
        <v>-2047500</v>
      </c>
      <c r="Y16" s="39" t="n">
        <f aca="false">-DB_Interest</f>
        <v>-1023750</v>
      </c>
      <c r="Z16" s="39" t="n">
        <f aca="false">-DB_Interest</f>
        <v>-0</v>
      </c>
      <c r="AA16" s="39" t="n">
        <f aca="false">-DB_Interest</f>
        <v>-0</v>
      </c>
      <c r="AB16" s="39" t="n">
        <f aca="false">-DB_Interest</f>
        <v>-0</v>
      </c>
      <c r="AC16" s="39" t="n">
        <f aca="false">-DB_Interest</f>
        <v>-0</v>
      </c>
      <c r="AD16" s="39" t="n">
        <f aca="false">-DB_Interest</f>
        <v>-0</v>
      </c>
      <c r="AE16" s="39" t="n">
        <f aca="false">-DB_Interest</f>
        <v>-0</v>
      </c>
      <c r="AF16" s="39" t="n">
        <f aca="false">-DB_Interest</f>
        <v>-0</v>
      </c>
    </row>
    <row r="17" customFormat="false" ht="15" hidden="false" customHeight="false" outlineLevel="0" collapsed="false">
      <c r="A17" s="5"/>
      <c r="B17" s="42" t="s">
        <v>267</v>
      </c>
      <c r="C17" s="43" t="n">
        <f aca="false">C15+C16</f>
        <v>0</v>
      </c>
      <c r="D17" s="43" t="n">
        <f aca="false">D15+D16</f>
        <v>-6825000</v>
      </c>
      <c r="E17" s="43" t="n">
        <f aca="false">E15+E16</f>
        <v>-13650000</v>
      </c>
      <c r="F17" s="43" t="n">
        <f aca="false">F15+F16</f>
        <v>27621373.3333333</v>
      </c>
      <c r="G17" s="43" t="n">
        <f aca="false">G15+G16</f>
        <v>33025240.06</v>
      </c>
      <c r="H17" s="43" t="n">
        <f aca="false">H15+H16</f>
        <v>38696162.8092775</v>
      </c>
      <c r="I17" s="43" t="n">
        <f aca="false">I15+I16</f>
        <v>44649920.6281126</v>
      </c>
      <c r="J17" s="43" t="n">
        <f aca="false">J15+J16</f>
        <v>50903210.0790723</v>
      </c>
      <c r="K17" s="43" t="n">
        <f aca="false">K15+K16</f>
        <v>57473698.0574137</v>
      </c>
      <c r="L17" s="43" t="n">
        <f aca="false">L15+L16</f>
        <v>64380077.6233242</v>
      </c>
      <c r="M17" s="43" t="n">
        <f aca="false">M15+M16</f>
        <v>71642127.0199571</v>
      </c>
      <c r="N17" s="43" t="n">
        <f aca="false">N15+N16</f>
        <v>79280772.0574438</v>
      </c>
      <c r="O17" s="43" t="n">
        <f aca="false">O15+O16</f>
        <v>87318152.053142</v>
      </c>
      <c r="P17" s="43" t="n">
        <f aca="false">P15+P16</f>
        <v>95777689.5290229</v>
      </c>
      <c r="Q17" s="43" t="n">
        <f aca="false">Q15+Q16</f>
        <v>100543405.89204</v>
      </c>
      <c r="R17" s="43" t="n">
        <f aca="false">R15+R16</f>
        <v>104828775.174119</v>
      </c>
      <c r="S17" s="43" t="n">
        <f aca="false">S15+S16</f>
        <v>109203624.285912</v>
      </c>
      <c r="T17" s="43" t="n">
        <f aca="false">T15+T16</f>
        <v>113670722.840286</v>
      </c>
      <c r="U17" s="43" t="n">
        <f aca="false">U15+U16</f>
        <v>130232939.065812</v>
      </c>
      <c r="V17" s="43" t="n">
        <f aca="false">V15+V16</f>
        <v>134893243.762978</v>
      </c>
      <c r="W17" s="43" t="n">
        <f aca="false">W15+W16</f>
        <v>139654714.431763</v>
      </c>
      <c r="X17" s="43" t="n">
        <f aca="false">X15+X16</f>
        <v>144520539.578304</v>
      </c>
      <c r="Y17" s="43" t="n">
        <f aca="false">Y15+Y16</f>
        <v>149494023.208707</v>
      </c>
      <c r="Z17" s="43" t="n">
        <f aca="false">Z15+Z16</f>
        <v>154578589.518473</v>
      </c>
      <c r="AA17" s="43" t="n">
        <f aca="false">AA15+AA16</f>
        <v>158754037.786345</v>
      </c>
      <c r="AB17" s="43" t="n">
        <f aca="false">AB15+AB16</f>
        <v>163047797.481826</v>
      </c>
      <c r="AC17" s="43" t="n">
        <f aca="false">AC15+AC16</f>
        <v>167463683.596018</v>
      </c>
      <c r="AD17" s="43" t="n">
        <f aca="false">AD15+AD16</f>
        <v>172005652.205879</v>
      </c>
      <c r="AE17" s="43" t="n">
        <f aca="false">AE15+AE16</f>
        <v>176677806.282479</v>
      </c>
      <c r="AF17" s="43" t="n">
        <f aca="false">AF15+AF16</f>
        <v>181484401.754273</v>
      </c>
    </row>
    <row r="18" customFormat="false" ht="15" hidden="false" customHeight="false" outlineLevel="0" collapsed="false">
      <c r="A18" s="5"/>
      <c r="B18" s="38" t="s">
        <v>247</v>
      </c>
      <c r="C18" s="39" t="n">
        <f aca="false">-MAX(0,C17)*Tax_Rate</f>
        <v>-0</v>
      </c>
      <c r="D18" s="39" t="n">
        <f aca="false">-MAX(0,D17)*Tax_Rate</f>
        <v>-0</v>
      </c>
      <c r="E18" s="39" t="n">
        <f aca="false">-MAX(0,E17)*Tax_Rate</f>
        <v>-0</v>
      </c>
      <c r="F18" s="39" t="n">
        <f aca="false">-MAX(0,F17)*Tax_Rate</f>
        <v>-6905343.33333333</v>
      </c>
      <c r="G18" s="39" t="n">
        <f aca="false">-MAX(0,G17)*Tax_Rate</f>
        <v>-8256310.01499999</v>
      </c>
      <c r="H18" s="39" t="n">
        <f aca="false">-MAX(0,H17)*Tax_Rate</f>
        <v>-9674040.70231938</v>
      </c>
      <c r="I18" s="39" t="n">
        <f aca="false">-MAX(0,I17)*Tax_Rate</f>
        <v>-11162480.1570282</v>
      </c>
      <c r="J18" s="39" t="n">
        <f aca="false">-MAX(0,J17)*Tax_Rate</f>
        <v>-12725802.5197681</v>
      </c>
      <c r="K18" s="39" t="n">
        <f aca="false">-MAX(0,K17)*Tax_Rate</f>
        <v>-14368424.5143534</v>
      </c>
      <c r="L18" s="39" t="n">
        <f aca="false">-MAX(0,L17)*Tax_Rate</f>
        <v>-16095019.405831</v>
      </c>
      <c r="M18" s="39" t="n">
        <f aca="false">-MAX(0,M17)*Tax_Rate</f>
        <v>-17910531.7549893</v>
      </c>
      <c r="N18" s="39" t="n">
        <f aca="false">-MAX(0,N17)*Tax_Rate</f>
        <v>-19820193.0143609</v>
      </c>
      <c r="O18" s="39" t="n">
        <f aca="false">-MAX(0,O17)*Tax_Rate</f>
        <v>-21829538.0132855</v>
      </c>
      <c r="P18" s="39" t="n">
        <f aca="false">-MAX(0,P17)*Tax_Rate</f>
        <v>-23944422.3822557</v>
      </c>
      <c r="Q18" s="39" t="n">
        <f aca="false">-MAX(0,Q17)*Tax_Rate</f>
        <v>-25135851.47301</v>
      </c>
      <c r="R18" s="39" t="n">
        <f aca="false">-MAX(0,R17)*Tax_Rate</f>
        <v>-26207193.7935297</v>
      </c>
      <c r="S18" s="39" t="n">
        <f aca="false">-MAX(0,S17)*Tax_Rate</f>
        <v>-27300906.071478</v>
      </c>
      <c r="T18" s="39" t="n">
        <f aca="false">-MAX(0,T17)*Tax_Rate</f>
        <v>-28417680.7100716</v>
      </c>
      <c r="U18" s="39" t="n">
        <f aca="false">-MAX(0,U17)*Tax_Rate</f>
        <v>-32558234.7664531</v>
      </c>
      <c r="V18" s="39" t="n">
        <f aca="false">-MAX(0,V17)*Tax_Rate</f>
        <v>-33723310.9407445</v>
      </c>
      <c r="W18" s="39" t="n">
        <f aca="false">-MAX(0,W17)*Tax_Rate</f>
        <v>-34913678.6079409</v>
      </c>
      <c r="X18" s="39" t="n">
        <f aca="false">-MAX(0,X17)*Tax_Rate</f>
        <v>-36130134.894576</v>
      </c>
      <c r="Y18" s="39" t="n">
        <f aca="false">-MAX(0,Y17)*Tax_Rate</f>
        <v>-37373505.8021768</v>
      </c>
      <c r="Z18" s="39" t="n">
        <f aca="false">-MAX(0,Z17)*Tax_Rate</f>
        <v>-38644647.3796182</v>
      </c>
      <c r="AA18" s="39" t="n">
        <f aca="false">-MAX(0,AA17)*Tax_Rate</f>
        <v>-39688509.4465862</v>
      </c>
      <c r="AB18" s="39" t="n">
        <f aca="false">-MAX(0,AB17)*Tax_Rate</f>
        <v>-40761949.3704565</v>
      </c>
      <c r="AC18" s="39" t="n">
        <f aca="false">-MAX(0,AC17)*Tax_Rate</f>
        <v>-41865920.8990044</v>
      </c>
      <c r="AD18" s="39" t="n">
        <f aca="false">-MAX(0,AD17)*Tax_Rate</f>
        <v>-43001413.0514698</v>
      </c>
      <c r="AE18" s="39" t="n">
        <f aca="false">-MAX(0,AE17)*Tax_Rate</f>
        <v>-44169451.5706197</v>
      </c>
      <c r="AF18" s="39" t="n">
        <f aca="false">-MAX(0,AF17)*Tax_Rate</f>
        <v>-45371100.4385682</v>
      </c>
    </row>
    <row r="19" customFormat="false" ht="15" hidden="false" customHeight="false" outlineLevel="0" collapsed="false">
      <c r="A19" s="5"/>
      <c r="B19" s="40" t="s">
        <v>268</v>
      </c>
      <c r="C19" s="41" t="n">
        <f aca="false">C17+C18</f>
        <v>0</v>
      </c>
      <c r="D19" s="41" t="n">
        <f aca="false">D17+D18</f>
        <v>-6825000</v>
      </c>
      <c r="E19" s="41" t="n">
        <f aca="false">E17+E18</f>
        <v>-13650000</v>
      </c>
      <c r="F19" s="41" t="n">
        <f aca="false">F17+F18</f>
        <v>20716030</v>
      </c>
      <c r="G19" s="41" t="n">
        <f aca="false">G17+G18</f>
        <v>24768930.045</v>
      </c>
      <c r="H19" s="41" t="n">
        <f aca="false">H17+H18</f>
        <v>29022122.1069581</v>
      </c>
      <c r="I19" s="41" t="n">
        <f aca="false">I17+I18</f>
        <v>33487440.4710845</v>
      </c>
      <c r="J19" s="41" t="n">
        <f aca="false">J17+J18</f>
        <v>38177407.5593043</v>
      </c>
      <c r="K19" s="41" t="n">
        <f aca="false">K17+K18</f>
        <v>43105273.5430603</v>
      </c>
      <c r="L19" s="41" t="n">
        <f aca="false">L17+L18</f>
        <v>48285058.2174931</v>
      </c>
      <c r="M19" s="41" t="n">
        <f aca="false">M17+M18</f>
        <v>53731595.2649678</v>
      </c>
      <c r="N19" s="41" t="n">
        <f aca="false">N17+N18</f>
        <v>59460579.0430828</v>
      </c>
      <c r="O19" s="41" t="n">
        <f aca="false">O17+O18</f>
        <v>65488614.0398565</v>
      </c>
      <c r="P19" s="41" t="n">
        <f aca="false">P17+P18</f>
        <v>71833267.1467672</v>
      </c>
      <c r="Q19" s="41" t="n">
        <f aca="false">Q17+Q18</f>
        <v>75407554.4190301</v>
      </c>
      <c r="R19" s="41" t="n">
        <f aca="false">R17+R18</f>
        <v>78621581.3805891</v>
      </c>
      <c r="S19" s="41" t="n">
        <f aca="false">S17+S18</f>
        <v>81902718.2144341</v>
      </c>
      <c r="T19" s="41" t="n">
        <f aca="false">T17+T18</f>
        <v>85253042.1302148</v>
      </c>
      <c r="U19" s="41" t="n">
        <f aca="false">U17+U18</f>
        <v>97674704.2993592</v>
      </c>
      <c r="V19" s="41" t="n">
        <f aca="false">V17+V18</f>
        <v>101169932.822233</v>
      </c>
      <c r="W19" s="41" t="n">
        <f aca="false">W17+W18</f>
        <v>104741035.823823</v>
      </c>
      <c r="X19" s="41" t="n">
        <f aca="false">X17+X18</f>
        <v>108390404.683728</v>
      </c>
      <c r="Y19" s="41" t="n">
        <f aca="false">Y17+Y18</f>
        <v>112120517.40653</v>
      </c>
      <c r="Z19" s="41" t="n">
        <f aca="false">Z17+Z18</f>
        <v>115933942.138855</v>
      </c>
      <c r="AA19" s="41" t="n">
        <f aca="false">AA17+AA18</f>
        <v>119065528.339759</v>
      </c>
      <c r="AB19" s="41" t="n">
        <f aca="false">AB17+AB18</f>
        <v>122285848.11137</v>
      </c>
      <c r="AC19" s="41" t="n">
        <f aca="false">AC17+AC18</f>
        <v>125597762.697013</v>
      </c>
      <c r="AD19" s="41" t="n">
        <f aca="false">AD17+AD18</f>
        <v>129004239.154409</v>
      </c>
      <c r="AE19" s="41" t="n">
        <f aca="false">AE17+AE18</f>
        <v>132508354.711859</v>
      </c>
      <c r="AF19" s="41" t="n">
        <f aca="false">AF17+AF18</f>
        <v>136113301.315705</v>
      </c>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row>
    <row r="21" customFormat="false" ht="15" hidden="false" customHeight="false" outlineLevel="0" collapsed="false">
      <c r="A21" s="5"/>
      <c r="B21" s="15" t="s">
        <v>269</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customFormat="false" ht="15" hidden="false" customHeight="false" outlineLevel="0" collapsed="false">
      <c r="A22" s="5"/>
      <c r="B22" s="15" t="s">
        <v>270</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row>
    <row r="23" customFormat="false" ht="15" hidden="false" customHeight="false" outlineLevel="0" collapsed="false">
      <c r="A23" s="5"/>
      <c r="B23" s="38" t="s">
        <v>271</v>
      </c>
      <c r="C23" s="39" t="n">
        <f aca="false">CW_Close_Cash</f>
        <v>86587500</v>
      </c>
      <c r="D23" s="39" t="n">
        <f aca="false">CW_Close_Cash</f>
        <v>31350000</v>
      </c>
      <c r="E23" s="39" t="n">
        <f aca="false">CW_Close_Cash</f>
        <v>-38587500</v>
      </c>
      <c r="F23" s="39" t="n">
        <f aca="false">CW_Close_Cash</f>
        <v>-21485436.826484</v>
      </c>
      <c r="G23" s="39" t="n">
        <f aca="false">CW_Close_Cash</f>
        <v>3890839.74344748</v>
      </c>
      <c r="H23" s="39" t="n">
        <f aca="false">CW_Close_Cash</f>
        <v>33346956.4578591</v>
      </c>
      <c r="I23" s="39" t="n">
        <f aca="false">CW_Close_Cash</f>
        <v>67084705.5739821</v>
      </c>
      <c r="J23" s="39" t="n">
        <f aca="false">CW_Close_Cash</f>
        <v>105317785.263477</v>
      </c>
      <c r="K23" s="39" t="n">
        <f aca="false">CW_Close_Cash</f>
        <v>148272490.537316</v>
      </c>
      <c r="L23" s="39" t="n">
        <f aca="false">CW_Close_Cash</f>
        <v>196188443.842873</v>
      </c>
      <c r="M23" s="39" t="n">
        <f aca="false">CW_Close_Cash</f>
        <v>249319367.590784</v>
      </c>
      <c r="N23" s="39" t="n">
        <f aca="false">CW_Close_Cash</f>
        <v>307933900.996425</v>
      </c>
      <c r="O23" s="39" t="n">
        <f aca="false">CW_Close_Cash</f>
        <v>372316463.755157</v>
      </c>
      <c r="P23" s="39" t="n">
        <f aca="false">CW_Close_Cash</f>
        <v>442768169.212322</v>
      </c>
      <c r="Q23" s="39" t="n">
        <f aca="false">CW_Close_Cash</f>
        <v>516955430.328093</v>
      </c>
      <c r="R23" s="39" t="n">
        <f aca="false">CW_Close_Cash</f>
        <v>594276336.599777</v>
      </c>
      <c r="S23" s="39" t="n">
        <f aca="false">CW_Close_Cash</f>
        <v>674749446.468169</v>
      </c>
      <c r="T23" s="39" t="n">
        <f aca="false">CW_Close_Cash</f>
        <v>758440310.369088</v>
      </c>
      <c r="U23" s="39" t="n">
        <f aca="false">CW_Close_Cash</f>
        <v>842416519.553927</v>
      </c>
      <c r="V23" s="39" t="n">
        <f aca="false">CW_Close_Cash</f>
        <v>929747779.356175</v>
      </c>
      <c r="W23" s="39" t="n">
        <f aca="false">CW_Close_Cash</f>
        <v>1020505985.42037</v>
      </c>
      <c r="X23" s="39" t="n">
        <f aca="false">CW_Close_Cash</f>
        <v>1114765303.02259</v>
      </c>
      <c r="Y23" s="39" t="n">
        <f aca="false">CW_Close_Cash</f>
        <v>1220477249.61729</v>
      </c>
      <c r="Z23" s="39" t="n">
        <f aca="false">CW_Close_Cash</f>
        <v>1337208905.75169</v>
      </c>
      <c r="AA23" s="39" t="n">
        <f aca="false">CW_Close_Cash</f>
        <v>1456910816.9948</v>
      </c>
      <c r="AB23" s="39" t="n">
        <f aca="false">CW_Close_Cash</f>
        <v>1579667087.03554</v>
      </c>
      <c r="AC23" s="39" t="n">
        <f aca="false">CW_Close_Cash</f>
        <v>1705564537.11062</v>
      </c>
      <c r="AD23" s="39" t="n">
        <f aca="false">CW_Close_Cash</f>
        <v>1834692806.93085</v>
      </c>
      <c r="AE23" s="39" t="n">
        <f aca="false">CW_Close_Cash</f>
        <v>1967144459.7817</v>
      </c>
      <c r="AF23" s="39" t="n">
        <f aca="false">CW_Close_Cash</f>
        <v>2103015091.98212</v>
      </c>
    </row>
    <row r="24" customFormat="false" ht="15" hidden="false" customHeight="false" outlineLevel="0" collapsed="false">
      <c r="A24" s="5"/>
      <c r="B24" s="38" t="s">
        <v>272</v>
      </c>
      <c r="C24" s="39" t="n">
        <f aca="false">C9/365*35</f>
        <v>0</v>
      </c>
      <c r="D24" s="39" t="n">
        <f aca="false">D9/365*35</f>
        <v>0</v>
      </c>
      <c r="E24" s="39" t="n">
        <f aca="false">E9/365*35</f>
        <v>0</v>
      </c>
      <c r="F24" s="39" t="n">
        <f aca="false">F9/365*35</f>
        <v>12486849.3150685</v>
      </c>
      <c r="G24" s="39" t="n">
        <f aca="false">G9/365*35</f>
        <v>13228557.3287671</v>
      </c>
      <c r="H24" s="39" t="n">
        <f aca="false">H9/365*35</f>
        <v>14014578.3011045</v>
      </c>
      <c r="I24" s="39" t="n">
        <f aca="false">I9/365*35</f>
        <v>14847571.630928</v>
      </c>
      <c r="J24" s="39" t="n">
        <f aca="false">J9/365*35</f>
        <v>15730356.8720508</v>
      </c>
      <c r="K24" s="39" t="n">
        <f aca="false">K9/365*35</f>
        <v>16665923.4037002</v>
      </c>
      <c r="L24" s="39" t="n">
        <f aca="false">L9/365*35</f>
        <v>17657440.68606</v>
      </c>
      <c r="M24" s="39" t="n">
        <f aca="false">M9/365*35</f>
        <v>18708269.1363633</v>
      </c>
      <c r="N24" s="39" t="n">
        <f aca="false">N9/365*35</f>
        <v>19821971.6631373</v>
      </c>
      <c r="O24" s="39" t="n">
        <f aca="false">O9/365*35</f>
        <v>21002325.8984897</v>
      </c>
      <c r="P24" s="39" t="n">
        <f aca="false">P9/365*35</f>
        <v>22253337.1707405</v>
      </c>
      <c r="Q24" s="39" t="n">
        <f aca="false">Q9/365*35</f>
        <v>22937885.5070089</v>
      </c>
      <c r="R24" s="39" t="n">
        <f aca="false">R9/365*35</f>
        <v>23551419.6360609</v>
      </c>
      <c r="S24" s="39" t="n">
        <f aca="false">S9/365*35</f>
        <v>24182116.0764467</v>
      </c>
      <c r="T24" s="39" t="n">
        <f aca="false">T9/365*35</f>
        <v>24830486.8760438</v>
      </c>
      <c r="U24" s="39" t="n">
        <f aca="false">U9/365*35</f>
        <v>25497060.6599755</v>
      </c>
      <c r="V24" s="39" t="n">
        <f aca="false">V9/365*35</f>
        <v>26182383.2168529</v>
      </c>
      <c r="W24" s="39" t="n">
        <f aca="false">W9/365*35</f>
        <v>26887018.1074895</v>
      </c>
      <c r="X24" s="39" t="n">
        <f aca="false">X9/365*35</f>
        <v>27611547.2970067</v>
      </c>
      <c r="Y24" s="39" t="n">
        <f aca="false">Y9/365*35</f>
        <v>28356571.8112876</v>
      </c>
      <c r="Z24" s="39" t="n">
        <f aca="false">Z9/365*35</f>
        <v>29122712.418775</v>
      </c>
      <c r="AA24" s="39" t="n">
        <f aca="false">AA9/365*35</f>
        <v>29910610.3386549</v>
      </c>
      <c r="AB24" s="39" t="n">
        <f aca="false">AB9/365*35</f>
        <v>30720927.97651</v>
      </c>
      <c r="AC24" s="39" t="n">
        <f aca="false">AC9/365*35</f>
        <v>31554349.6885737</v>
      </c>
      <c r="AD24" s="39" t="n">
        <f aca="false">AD9/365*35</f>
        <v>32411582.5757645</v>
      </c>
      <c r="AE24" s="39" t="n">
        <f aca="false">AE9/365*35</f>
        <v>33293357.3087316</v>
      </c>
      <c r="AF24" s="39" t="n">
        <f aca="false">AF9/365*35</f>
        <v>34200428.9851929</v>
      </c>
    </row>
    <row r="25" customFormat="false" ht="15" hidden="false" customHeight="false" outlineLevel="0" collapsed="false">
      <c r="A25" s="5"/>
      <c r="B25" s="38" t="s">
        <v>273</v>
      </c>
      <c r="C25" s="39" t="n">
        <f aca="false">DB_DSRA_Close</f>
        <v>3412500</v>
      </c>
      <c r="D25" s="39" t="n">
        <f aca="false">DB_DSRA_Close</f>
        <v>6825000</v>
      </c>
      <c r="E25" s="39" t="n">
        <f aca="false">DB_DSRA_Close</f>
        <v>18112500</v>
      </c>
      <c r="F25" s="39" t="n">
        <f aca="false">DB_DSRA_Close</f>
        <v>17600625</v>
      </c>
      <c r="G25" s="39" t="n">
        <f aca="false">DB_DSRA_Close</f>
        <v>17088750</v>
      </c>
      <c r="H25" s="39" t="n">
        <f aca="false">DB_DSRA_Close</f>
        <v>16576875</v>
      </c>
      <c r="I25" s="39" t="n">
        <f aca="false">DB_DSRA_Close</f>
        <v>16065000</v>
      </c>
      <c r="J25" s="39" t="n">
        <f aca="false">DB_DSRA_Close</f>
        <v>15553125</v>
      </c>
      <c r="K25" s="39" t="n">
        <f aca="false">DB_DSRA_Close</f>
        <v>15041250</v>
      </c>
      <c r="L25" s="39" t="n">
        <f aca="false">DB_DSRA_Close</f>
        <v>14529375</v>
      </c>
      <c r="M25" s="39" t="n">
        <f aca="false">DB_DSRA_Close</f>
        <v>14017500</v>
      </c>
      <c r="N25" s="39" t="n">
        <f aca="false">DB_DSRA_Close</f>
        <v>13505625</v>
      </c>
      <c r="O25" s="39" t="n">
        <f aca="false">DB_DSRA_Close</f>
        <v>12993750</v>
      </c>
      <c r="P25" s="39" t="n">
        <f aca="false">DB_DSRA_Close</f>
        <v>12481875</v>
      </c>
      <c r="Q25" s="39" t="n">
        <f aca="false">DB_DSRA_Close</f>
        <v>11970000</v>
      </c>
      <c r="R25" s="39" t="n">
        <f aca="false">DB_DSRA_Close</f>
        <v>11458125</v>
      </c>
      <c r="S25" s="39" t="n">
        <f aca="false">DB_DSRA_Close</f>
        <v>10946250</v>
      </c>
      <c r="T25" s="39" t="n">
        <f aca="false">DB_DSRA_Close</f>
        <v>10434375</v>
      </c>
      <c r="U25" s="39" t="n">
        <f aca="false">DB_DSRA_Close</f>
        <v>9922500</v>
      </c>
      <c r="V25" s="39" t="n">
        <f aca="false">DB_DSRA_Close</f>
        <v>9410625</v>
      </c>
      <c r="W25" s="39" t="n">
        <f aca="false">DB_DSRA_Close</f>
        <v>8898750</v>
      </c>
      <c r="X25" s="39" t="n">
        <f aca="false">DB_DSRA_Close</f>
        <v>8386875</v>
      </c>
      <c r="Y25" s="39" t="n">
        <f aca="false">DB_DSRA_Close</f>
        <v>0</v>
      </c>
      <c r="Z25" s="39" t="n">
        <f aca="false">DB_DSRA_Close</f>
        <v>0</v>
      </c>
      <c r="AA25" s="39" t="n">
        <f aca="false">DB_DSRA_Close</f>
        <v>0</v>
      </c>
      <c r="AB25" s="39" t="n">
        <f aca="false">DB_DSRA_Close</f>
        <v>0</v>
      </c>
      <c r="AC25" s="39" t="n">
        <f aca="false">DB_DSRA_Close</f>
        <v>0</v>
      </c>
      <c r="AD25" s="39" t="n">
        <f aca="false">DB_DSRA_Close</f>
        <v>0</v>
      </c>
      <c r="AE25" s="39" t="n">
        <f aca="false">DB_DSRA_Close</f>
        <v>0</v>
      </c>
      <c r="AF25" s="39" t="n">
        <f aca="false">DB_DSRA_Close</f>
        <v>0</v>
      </c>
    </row>
    <row r="26" customFormat="false" ht="15" hidden="false" customHeight="false" outlineLevel="0" collapsed="false">
      <c r="A26" s="5"/>
      <c r="B26" s="42" t="s">
        <v>274</v>
      </c>
      <c r="C26" s="43" t="n">
        <f aca="false">C23+C24+C25</f>
        <v>90000000</v>
      </c>
      <c r="D26" s="43" t="n">
        <f aca="false">D23+D24+D25</f>
        <v>38175000</v>
      </c>
      <c r="E26" s="43" t="n">
        <f aca="false">E23+E24+E25</f>
        <v>-20475000</v>
      </c>
      <c r="F26" s="43" t="n">
        <f aca="false">F23+F24+F25</f>
        <v>8602037.48858448</v>
      </c>
      <c r="G26" s="43" t="n">
        <f aca="false">G23+G24+G25</f>
        <v>34208147.0722146</v>
      </c>
      <c r="H26" s="43" t="n">
        <f aca="false">H23+H24+H25</f>
        <v>63938409.7589635</v>
      </c>
      <c r="I26" s="43" t="n">
        <f aca="false">I23+I24+I25</f>
        <v>97997277.20491</v>
      </c>
      <c r="J26" s="43" t="n">
        <f aca="false">J23+J24+J25</f>
        <v>136601267.135528</v>
      </c>
      <c r="K26" s="43" t="n">
        <f aca="false">K23+K24+K25</f>
        <v>179979663.941017</v>
      </c>
      <c r="L26" s="43" t="n">
        <f aca="false">L23+L24+L25</f>
        <v>228375259.528933</v>
      </c>
      <c r="M26" s="43" t="n">
        <f aca="false">M23+M24+M25</f>
        <v>282045136.727148</v>
      </c>
      <c r="N26" s="43" t="n">
        <f aca="false">N23+N24+N25</f>
        <v>341261497.659562</v>
      </c>
      <c r="O26" s="43" t="n">
        <f aca="false">O23+O24+O25</f>
        <v>406312539.653647</v>
      </c>
      <c r="P26" s="43" t="n">
        <f aca="false">P23+P24+P25</f>
        <v>477503381.383062</v>
      </c>
      <c r="Q26" s="43" t="n">
        <f aca="false">Q23+Q24+Q25</f>
        <v>551863315.835102</v>
      </c>
      <c r="R26" s="43" t="n">
        <f aca="false">R23+R24+R25</f>
        <v>629285881.235838</v>
      </c>
      <c r="S26" s="43" t="n">
        <f aca="false">S23+S24+S25</f>
        <v>709877812.544616</v>
      </c>
      <c r="T26" s="43" t="n">
        <f aca="false">T23+T24+T25</f>
        <v>793705172.245132</v>
      </c>
      <c r="U26" s="43" t="n">
        <f aca="false">U23+U24+U25</f>
        <v>877836080.213903</v>
      </c>
      <c r="V26" s="43" t="n">
        <f aca="false">V23+V24+V25</f>
        <v>965340787.573028</v>
      </c>
      <c r="W26" s="43" t="n">
        <f aca="false">W23+W24+W25</f>
        <v>1056291753.52786</v>
      </c>
      <c r="X26" s="43" t="n">
        <f aca="false">X23+X24+X25</f>
        <v>1150763725.3196</v>
      </c>
      <c r="Y26" s="43" t="n">
        <f aca="false">Y23+Y24+Y25</f>
        <v>1248833821.42858</v>
      </c>
      <c r="Z26" s="43" t="n">
        <f aca="false">Z23+Z24+Z25</f>
        <v>1366331618.17046</v>
      </c>
      <c r="AA26" s="43" t="n">
        <f aca="false">AA23+AA24+AA25</f>
        <v>1486821427.33345</v>
      </c>
      <c r="AB26" s="43" t="n">
        <f aca="false">AB23+AB24+AB25</f>
        <v>1610388015.01205</v>
      </c>
      <c r="AC26" s="43" t="n">
        <f aca="false">AC23+AC24+AC25</f>
        <v>1737118886.79919</v>
      </c>
      <c r="AD26" s="43" t="n">
        <f aca="false">AD23+AD24+AD25</f>
        <v>1867104389.50662</v>
      </c>
      <c r="AE26" s="43" t="n">
        <f aca="false">AE23+AE24+AE25</f>
        <v>2000437817.09043</v>
      </c>
      <c r="AF26" s="43" t="n">
        <f aca="false">AF23+AF24+AF25</f>
        <v>2137215520.96731</v>
      </c>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customFormat="false" ht="15" hidden="false" customHeight="false" outlineLevel="0" collapsed="false">
      <c r="A28" s="5"/>
      <c r="B28" s="38" t="s">
        <v>275</v>
      </c>
      <c r="C28" s="39" t="n">
        <f aca="false">CC_Cum_Capex+CC_Maint_Capex</f>
        <v>150000000</v>
      </c>
      <c r="D28" s="39" t="n">
        <f aca="false">CC_Cum_Capex+CC_Maint_Capex</f>
        <v>300000000</v>
      </c>
      <c r="E28" s="39" t="n">
        <f aca="false">CC_Cum_Capex+CC_Maint_Capex</f>
        <v>450000000</v>
      </c>
      <c r="F28" s="39" t="n">
        <f aca="false">CC_Cum_Capex+CC_Maint_Capex</f>
        <v>452604400</v>
      </c>
      <c r="G28" s="39" t="n">
        <f aca="false">CC_Cum_Capex+CC_Maint_Capex</f>
        <v>452759099.1</v>
      </c>
      <c r="H28" s="39" t="n">
        <f aca="false">CC_Cum_Capex+CC_Maint_Capex</f>
        <v>452923040.617088</v>
      </c>
      <c r="I28" s="39" t="n">
        <f aca="false">CC_Cum_Capex+CC_Maint_Capex</f>
        <v>453096779.225879</v>
      </c>
      <c r="J28" s="39" t="n">
        <f aca="false">CC_Cum_Capex+CC_Maint_Capex</f>
        <v>453280903.004742</v>
      </c>
      <c r="K28" s="39" t="n">
        <f aca="false">CC_Cum_Capex+CC_Maint_Capex</f>
        <v>453476035.452772</v>
      </c>
      <c r="L28" s="39" t="n">
        <f aca="false">CC_Cum_Capex+CC_Maint_Capex</f>
        <v>453682837.628807</v>
      </c>
      <c r="M28" s="39" t="n">
        <f aca="false">CC_Cum_Capex+CC_Maint_Capex</f>
        <v>453902010.41987</v>
      </c>
      <c r="N28" s="39" t="n">
        <f aca="false">CC_Cum_Capex+CC_Maint_Capex</f>
        <v>454134296.946883</v>
      </c>
      <c r="O28" s="39" t="n">
        <f aca="false">CC_Cum_Capex+CC_Maint_Capex</f>
        <v>454380485.115971</v>
      </c>
      <c r="P28" s="39" t="n">
        <f aca="false">CC_Cum_Capex+CC_Maint_Capex</f>
        <v>454641410.324183</v>
      </c>
      <c r="Q28" s="39" t="n">
        <f aca="false">CC_Cum_Capex+CC_Maint_Capex</f>
        <v>454784187.548605</v>
      </c>
      <c r="R28" s="39" t="n">
        <f aca="false">CC_Cum_Capex+CC_Maint_Capex</f>
        <v>454912153.238378</v>
      </c>
      <c r="S28" s="39" t="n">
        <f aca="false">CC_Cum_Capex+CC_Maint_Capex</f>
        <v>455043698.495945</v>
      </c>
      <c r="T28" s="39" t="n">
        <f aca="false">CC_Cum_Capex+CC_Maint_Capex</f>
        <v>455178930.119861</v>
      </c>
      <c r="U28" s="39" t="n">
        <f aca="false">CC_Cum_Capex+CC_Maint_Capex</f>
        <v>455317958.366223</v>
      </c>
      <c r="V28" s="39" t="n">
        <f aca="false">CC_Cum_Capex+CC_Maint_Capex</f>
        <v>455460897.070944</v>
      </c>
      <c r="W28" s="39" t="n">
        <f aca="false">CC_Cum_Capex+CC_Maint_Capex</f>
        <v>455607863.776705</v>
      </c>
      <c r="X28" s="39" t="n">
        <f aca="false">CC_Cum_Capex+CC_Maint_Capex</f>
        <v>455758979.864804</v>
      </c>
      <c r="Y28" s="39" t="n">
        <f aca="false">CC_Cum_Capex+CC_Maint_Capex</f>
        <v>455914370.692069</v>
      </c>
      <c r="Z28" s="39" t="n">
        <f aca="false">CC_Cum_Capex+CC_Maint_Capex</f>
        <v>456074165.733059</v>
      </c>
      <c r="AA28" s="39" t="n">
        <f aca="false">CC_Cum_Capex+CC_Maint_Capex</f>
        <v>456238498.727777</v>
      </c>
      <c r="AB28" s="39" t="n">
        <f aca="false">CC_Cum_Capex+CC_Maint_Capex</f>
        <v>456407507.835101</v>
      </c>
      <c r="AC28" s="39" t="n">
        <f aca="false">CC_Cum_Capex+CC_Maint_Capex</f>
        <v>456581335.792188</v>
      </c>
      <c r="AD28" s="39" t="n">
        <f aca="false">CC_Cum_Capex+CC_Maint_Capex</f>
        <v>456760130.080088</v>
      </c>
      <c r="AE28" s="39" t="n">
        <f aca="false">CC_Cum_Capex+CC_Maint_Capex</f>
        <v>456944043.095821</v>
      </c>
      <c r="AF28" s="39" t="n">
        <f aca="false">CC_Cum_Capex+CC_Maint_Capex</f>
        <v>457133232.331197</v>
      </c>
    </row>
    <row r="29" customFormat="false" ht="15" hidden="false" customHeight="false" outlineLevel="0" collapsed="false">
      <c r="A29" s="5"/>
      <c r="B29" s="38" t="s">
        <v>276</v>
      </c>
      <c r="C29" s="39" t="n">
        <f aca="false">-CC_Cum_Dep</f>
        <v>-0</v>
      </c>
      <c r="D29" s="39" t="n">
        <f aca="false">-CC_Cum_Dep</f>
        <v>-0</v>
      </c>
      <c r="E29" s="39" t="n">
        <f aca="false">-CC_Cum_Dep</f>
        <v>-0</v>
      </c>
      <c r="F29" s="39" t="n">
        <f aca="false">-CC_Cum_Dep</f>
        <v>-18923626.6666667</v>
      </c>
      <c r="G29" s="39" t="n">
        <f aca="false">-CC_Cum_Dep</f>
        <v>-37857566.6066667</v>
      </c>
      <c r="H29" s="39" t="n">
        <f aca="false">-CC_Cum_Dep</f>
        <v>-56802435.9811392</v>
      </c>
      <c r="I29" s="39" t="n">
        <f aca="false">-CC_Cum_Dep</f>
        <v>-75758887.9295311</v>
      </c>
      <c r="J29" s="39" t="n">
        <f aca="false">-CC_Cum_Dep</f>
        <v>-94727614.7965139</v>
      </c>
      <c r="K29" s="39" t="n">
        <f aca="false">-CC_Cum_Dep</f>
        <v>-113709350.493365</v>
      </c>
      <c r="L29" s="39" t="n">
        <f aca="false">-CC_Cum_Dep</f>
        <v>-132704873.001953</v>
      </c>
      <c r="M29" s="39" t="n">
        <f aca="false">-CC_Cum_Dep</f>
        <v>-151715007.029944</v>
      </c>
      <c r="N29" s="39" t="n">
        <f aca="false">-CC_Cum_Dep</f>
        <v>-170740626.826403</v>
      </c>
      <c r="O29" s="39" t="n">
        <f aca="false">-CC_Cum_Dep</f>
        <v>-189782659.167467</v>
      </c>
      <c r="P29" s="39" t="n">
        <f aca="false">-CC_Cum_Dep</f>
        <v>-208842086.522413</v>
      </c>
      <c r="Q29" s="39" t="n">
        <f aca="false">-CC_Cum_Dep</f>
        <v>-227911032.358987</v>
      </c>
      <c r="R29" s="39" t="n">
        <f aca="false">-CC_Cum_Dep</f>
        <v>-246988509.241545</v>
      </c>
      <c r="S29" s="39" t="n">
        <f aca="false">-CC_Cum_Dep</f>
        <v>-266074755.807941</v>
      </c>
      <c r="T29" s="39" t="n">
        <f aca="false">-CC_Cum_Dep</f>
        <v>-285170017.815932</v>
      </c>
      <c r="U29" s="39" t="n">
        <f aca="false">-CC_Cum_Dep</f>
        <v>-292274548.37368</v>
      </c>
      <c r="V29" s="39" t="n">
        <f aca="false">-CC_Cum_Dep</f>
        <v>-299388608.17841</v>
      </c>
      <c r="W29" s="39" t="n">
        <f aca="false">-CC_Cum_Dep</f>
        <v>-306512465.763524</v>
      </c>
      <c r="X29" s="39" t="n">
        <f aca="false">-CC_Cum_Dep</f>
        <v>-313646397.754511</v>
      </c>
      <c r="Y29" s="39" t="n">
        <f aca="false">-CC_Cum_Dep</f>
        <v>-320790689.133982</v>
      </c>
      <c r="Z29" s="39" t="n">
        <f aca="false">-CC_Cum_Dep</f>
        <v>-327945633.516186</v>
      </c>
      <c r="AA29" s="39" t="n">
        <f aca="false">-CC_Cum_Dep</f>
        <v>-335111533.431371</v>
      </c>
      <c r="AB29" s="39" t="n">
        <f aca="false">-CC_Cum_Dep</f>
        <v>-342288700.620378</v>
      </c>
      <c r="AC29" s="39" t="n">
        <f aca="false">-CC_Cum_Dep</f>
        <v>-349477456.339857</v>
      </c>
      <c r="AD29" s="39" t="n">
        <f aca="false">-CC_Cum_Dep</f>
        <v>-356678131.678529</v>
      </c>
      <c r="AE29" s="39" t="n">
        <f aca="false">-CC_Cum_Dep</f>
        <v>-363891067.884917</v>
      </c>
      <c r="AF29" s="39" t="n">
        <f aca="false">-CC_Cum_Dep</f>
        <v>-371116616.706997</v>
      </c>
    </row>
    <row r="30" customFormat="false" ht="15" hidden="false" customHeight="false" outlineLevel="0" collapsed="false">
      <c r="A30" s="5"/>
      <c r="B30" s="42" t="s">
        <v>277</v>
      </c>
      <c r="C30" s="43" t="n">
        <f aca="false">C28+C29</f>
        <v>150000000</v>
      </c>
      <c r="D30" s="43" t="n">
        <f aca="false">D28+D29</f>
        <v>300000000</v>
      </c>
      <c r="E30" s="43" t="n">
        <f aca="false">E28+E29</f>
        <v>450000000</v>
      </c>
      <c r="F30" s="43" t="n">
        <f aca="false">F28+F29</f>
        <v>433680773.333333</v>
      </c>
      <c r="G30" s="43" t="n">
        <f aca="false">G28+G29</f>
        <v>414901532.493333</v>
      </c>
      <c r="H30" s="43" t="n">
        <f aca="false">H28+H29</f>
        <v>396120604.635948</v>
      </c>
      <c r="I30" s="43" t="n">
        <f aca="false">I28+I29</f>
        <v>377337891.296348</v>
      </c>
      <c r="J30" s="43" t="n">
        <f aca="false">J28+J29</f>
        <v>358553288.208228</v>
      </c>
      <c r="K30" s="43" t="n">
        <f aca="false">K28+K29</f>
        <v>339766684.959406</v>
      </c>
      <c r="L30" s="43" t="n">
        <f aca="false">L28+L29</f>
        <v>320977964.626854</v>
      </c>
      <c r="M30" s="43" t="n">
        <f aca="false">M28+M29</f>
        <v>302187003.389926</v>
      </c>
      <c r="N30" s="43" t="n">
        <f aca="false">N28+N29</f>
        <v>283393670.12048</v>
      </c>
      <c r="O30" s="43" t="n">
        <f aca="false">O28+O29</f>
        <v>264597825.948503</v>
      </c>
      <c r="P30" s="43" t="n">
        <f aca="false">P28+P29</f>
        <v>245799323.80177</v>
      </c>
      <c r="Q30" s="43" t="n">
        <f aca="false">Q28+Q29</f>
        <v>226873155.189618</v>
      </c>
      <c r="R30" s="43" t="n">
        <f aca="false">R28+R29</f>
        <v>207923643.996833</v>
      </c>
      <c r="S30" s="43" t="n">
        <f aca="false">S28+S29</f>
        <v>188968942.688003</v>
      </c>
      <c r="T30" s="43" t="n">
        <f aca="false">T28+T29</f>
        <v>170008912.303928</v>
      </c>
      <c r="U30" s="43" t="n">
        <f aca="false">U28+U29</f>
        <v>163043409.992543</v>
      </c>
      <c r="V30" s="43" t="n">
        <f aca="false">V28+V29</f>
        <v>156072288.892534</v>
      </c>
      <c r="W30" s="43" t="n">
        <f aca="false">W28+W29</f>
        <v>149095398.013181</v>
      </c>
      <c r="X30" s="43" t="n">
        <f aca="false">X28+X29</f>
        <v>142112582.110294</v>
      </c>
      <c r="Y30" s="43" t="n">
        <f aca="false">Y28+Y29</f>
        <v>135123681.558087</v>
      </c>
      <c r="Z30" s="43" t="n">
        <f aca="false">Z28+Z29</f>
        <v>128128532.216873</v>
      </c>
      <c r="AA30" s="43" t="n">
        <f aca="false">AA28+AA29</f>
        <v>121126965.296406</v>
      </c>
      <c r="AB30" s="43" t="n">
        <f aca="false">AB28+AB29</f>
        <v>114118807.214723</v>
      </c>
      <c r="AC30" s="43" t="n">
        <f aca="false">AC28+AC29</f>
        <v>107103879.452331</v>
      </c>
      <c r="AD30" s="43" t="n">
        <f aca="false">AD28+AD29</f>
        <v>100081998.401559</v>
      </c>
      <c r="AE30" s="43" t="n">
        <f aca="false">AE28+AE29</f>
        <v>93052975.2109038</v>
      </c>
      <c r="AF30" s="43" t="n">
        <f aca="false">AF28+AF29</f>
        <v>86016615.6242002</v>
      </c>
    </row>
    <row r="31" customFormat="false" ht="15" hidden="false" customHeight="false" outlineLevel="0" collapsed="false">
      <c r="A31" s="5"/>
      <c r="B31" s="40" t="s">
        <v>278</v>
      </c>
      <c r="C31" s="41" t="n">
        <f aca="false">C26+C30</f>
        <v>240000000</v>
      </c>
      <c r="D31" s="41" t="n">
        <f aca="false">D26+D30</f>
        <v>338175000</v>
      </c>
      <c r="E31" s="41" t="n">
        <f aca="false">E26+E30</f>
        <v>429525000</v>
      </c>
      <c r="F31" s="41" t="n">
        <f aca="false">F26+F30</f>
        <v>442282810.821918</v>
      </c>
      <c r="G31" s="41" t="n">
        <f aca="false">G26+G30</f>
        <v>449109679.565548</v>
      </c>
      <c r="H31" s="41" t="n">
        <f aca="false">H26+H30</f>
        <v>460059014.394912</v>
      </c>
      <c r="I31" s="41" t="n">
        <f aca="false">I26+I30</f>
        <v>475335168.501258</v>
      </c>
      <c r="J31" s="41" t="n">
        <f aca="false">J26+J30</f>
        <v>495154555.343756</v>
      </c>
      <c r="K31" s="41" t="n">
        <f aca="false">K26+K30</f>
        <v>519746348.900423</v>
      </c>
      <c r="L31" s="41" t="n">
        <f aca="false">L26+L30</f>
        <v>549353224.155788</v>
      </c>
      <c r="M31" s="41" t="n">
        <f aca="false">M26+M30</f>
        <v>584232140.117074</v>
      </c>
      <c r="N31" s="41" t="n">
        <f aca="false">N26+N30</f>
        <v>624655167.780043</v>
      </c>
      <c r="O31" s="41" t="n">
        <f aca="false">O26+O30</f>
        <v>670910365.60215</v>
      </c>
      <c r="P31" s="41" t="n">
        <f aca="false">P26+P30</f>
        <v>723302705.184833</v>
      </c>
      <c r="Q31" s="41" t="n">
        <f aca="false">Q26+Q30</f>
        <v>778736471.02472</v>
      </c>
      <c r="R31" s="41" t="n">
        <f aca="false">R26+R30</f>
        <v>837209525.232671</v>
      </c>
      <c r="S31" s="41" t="n">
        <f aca="false">S26+S30</f>
        <v>898846755.232619</v>
      </c>
      <c r="T31" s="41" t="n">
        <f aca="false">T26+T30</f>
        <v>963714084.54906</v>
      </c>
      <c r="U31" s="41" t="n">
        <f aca="false">U26+U30</f>
        <v>1040879490.20645</v>
      </c>
      <c r="V31" s="41" t="n">
        <f aca="false">V26+V30</f>
        <v>1121413076.46556</v>
      </c>
      <c r="W31" s="41" t="n">
        <f aca="false">W26+W30</f>
        <v>1205387151.54104</v>
      </c>
      <c r="X31" s="41" t="n">
        <f aca="false">X26+X30</f>
        <v>1292876307.42989</v>
      </c>
      <c r="Y31" s="41" t="n">
        <f aca="false">Y26+Y30</f>
        <v>1383957502.98667</v>
      </c>
      <c r="Z31" s="41" t="n">
        <f aca="false">Z26+Z30</f>
        <v>1494460150.38733</v>
      </c>
      <c r="AA31" s="41" t="n">
        <f aca="false">AA26+AA30</f>
        <v>1607948392.62986</v>
      </c>
      <c r="AB31" s="41" t="n">
        <f aca="false">AB26+AB30</f>
        <v>1724506822.22677</v>
      </c>
      <c r="AC31" s="41" t="n">
        <f aca="false">AC26+AC30</f>
        <v>1844222766.25152</v>
      </c>
      <c r="AD31" s="41" t="n">
        <f aca="false">AD26+AD30</f>
        <v>1967186387.90818</v>
      </c>
      <c r="AE31" s="41" t="n">
        <f aca="false">AE26+AE30</f>
        <v>2093490792.30133</v>
      </c>
      <c r="AF31" s="41" t="n">
        <f aca="false">AF26+AF30</f>
        <v>2223232136.59151</v>
      </c>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customFormat="false" ht="15" hidden="false" customHeight="false" outlineLevel="0" collapsed="false">
      <c r="A33" s="5"/>
      <c r="B33" s="15" t="s">
        <v>279</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customFormat="false" ht="15" hidden="false" customHeight="false" outlineLevel="0" collapsed="false">
      <c r="A34" s="5"/>
      <c r="B34" s="38" t="s">
        <v>280</v>
      </c>
      <c r="C34" s="39" t="n">
        <f aca="false">OB_Total_Opex/365*45</f>
        <v>0</v>
      </c>
      <c r="D34" s="39" t="n">
        <f aca="false">OB_Total_Opex/365*45</f>
        <v>0</v>
      </c>
      <c r="E34" s="39" t="n">
        <f aca="false">OB_Total_Opex/365*45</f>
        <v>0</v>
      </c>
      <c r="F34" s="39" t="n">
        <f aca="false">OB_Total_Opex/365*45</f>
        <v>7791780.82191781</v>
      </c>
      <c r="G34" s="39" t="n">
        <f aca="false">OB_Total_Opex/365*45</f>
        <v>8204119.52054795</v>
      </c>
      <c r="H34" s="39" t="n">
        <f aca="false">OB_Total_Opex/365*45</f>
        <v>8640431.34295377</v>
      </c>
      <c r="I34" s="39" t="n">
        <f aca="false">OB_Total_Opex/365*45</f>
        <v>9102185.59530312</v>
      </c>
      <c r="J34" s="39" t="n">
        <f aca="false">OB_Total_Opex/365*45</f>
        <v>9590944.1043756</v>
      </c>
      <c r="K34" s="39" t="n">
        <f aca="false">OB_Total_Opex/365*45</f>
        <v>10108367.1227247</v>
      </c>
      <c r="L34" s="39" t="n">
        <f aca="false">OB_Total_Opex/365*45</f>
        <v>10656219.613368</v>
      </c>
      <c r="M34" s="39" t="n">
        <f aca="false">OB_Total_Opex/365*45</f>
        <v>11236377.938493</v>
      </c>
      <c r="N34" s="39" t="n">
        <f aca="false">OB_Total_Opex/365*45</f>
        <v>11850836.9782493</v>
      </c>
      <c r="O34" s="39" t="n">
        <f aca="false">OB_Total_Opex/365*45</f>
        <v>12501717.707383</v>
      </c>
      <c r="P34" s="39" t="n">
        <f aca="false">OB_Total_Opex/365*45</f>
        <v>13191275.259269</v>
      </c>
      <c r="Q34" s="39" t="n">
        <f aca="false">OB_Total_Opex/365*45</f>
        <v>13608897.0043096</v>
      </c>
      <c r="R34" s="39" t="n">
        <f aca="false">OB_Total_Opex/365*45</f>
        <v>13994557.3802765</v>
      </c>
      <c r="S34" s="39" t="n">
        <f aca="false">OB_Total_Opex/365*45</f>
        <v>14391222.4041685</v>
      </c>
      <c r="T34" s="39" t="n">
        <f aca="false">OB_Total_Opex/365*45</f>
        <v>14799208.0863392</v>
      </c>
      <c r="U34" s="39" t="n">
        <f aca="false">OB_Total_Opex/365*45</f>
        <v>15218839.5642263</v>
      </c>
      <c r="V34" s="39" t="n">
        <f aca="false">OB_Total_Opex/365*45</f>
        <v>15650451.3673323</v>
      </c>
      <c r="W34" s="39" t="n">
        <f aca="false">OB_Total_Opex/365*45</f>
        <v>16094387.689936</v>
      </c>
      <c r="X34" s="39" t="n">
        <f aca="false">OB_Total_Opex/365*45</f>
        <v>16551002.6717575</v>
      </c>
      <c r="Y34" s="39" t="n">
        <f aca="false">OB_Total_Opex/365*45</f>
        <v>17020660.6868116</v>
      </c>
      <c r="Z34" s="39" t="n">
        <f aca="false">OB_Total_Opex/365*45</f>
        <v>17503736.6406899</v>
      </c>
      <c r="AA34" s="39" t="n">
        <f aca="false">OB_Total_Opex/365*45</f>
        <v>18000616.2765165</v>
      </c>
      <c r="AB34" s="39" t="n">
        <f aca="false">OB_Total_Opex/365*45</f>
        <v>18511696.4898329</v>
      </c>
      <c r="AC34" s="39" t="n">
        <f aca="false">OB_Total_Opex/365*45</f>
        <v>19037385.6526744</v>
      </c>
      <c r="AD34" s="39" t="n">
        <f aca="false">OB_Total_Opex/365*45</f>
        <v>19578103.9471048</v>
      </c>
      <c r="AE34" s="39" t="n">
        <f aca="false">OB_Total_Opex/365*45</f>
        <v>20134283.7084893</v>
      </c>
      <c r="AF34" s="39" t="n">
        <f aca="false">OB_Total_Opex/365*45</f>
        <v>20706369.7787897</v>
      </c>
    </row>
    <row r="35" customFormat="false" ht="15" hidden="false" customHeight="false" outlineLevel="0" collapsed="false">
      <c r="A35" s="5"/>
      <c r="B35" s="42" t="s">
        <v>281</v>
      </c>
      <c r="C35" s="43" t="n">
        <f aca="false">C34</f>
        <v>0</v>
      </c>
      <c r="D35" s="43" t="n">
        <f aca="false">D34</f>
        <v>0</v>
      </c>
      <c r="E35" s="43" t="n">
        <f aca="false">E34</f>
        <v>0</v>
      </c>
      <c r="F35" s="43" t="n">
        <f aca="false">F34</f>
        <v>7791780.82191781</v>
      </c>
      <c r="G35" s="43" t="n">
        <f aca="false">G34</f>
        <v>8204119.52054795</v>
      </c>
      <c r="H35" s="43" t="n">
        <f aca="false">H34</f>
        <v>8640431.34295377</v>
      </c>
      <c r="I35" s="43" t="n">
        <f aca="false">I34</f>
        <v>9102185.59530312</v>
      </c>
      <c r="J35" s="43" t="n">
        <f aca="false">J34</f>
        <v>9590944.1043756</v>
      </c>
      <c r="K35" s="43" t="n">
        <f aca="false">K34</f>
        <v>10108367.1227247</v>
      </c>
      <c r="L35" s="43" t="n">
        <f aca="false">L34</f>
        <v>10656219.613368</v>
      </c>
      <c r="M35" s="43" t="n">
        <f aca="false">M34</f>
        <v>11236377.938493</v>
      </c>
      <c r="N35" s="43" t="n">
        <f aca="false">N34</f>
        <v>11850836.9782493</v>
      </c>
      <c r="O35" s="43" t="n">
        <f aca="false">O34</f>
        <v>12501717.707383</v>
      </c>
      <c r="P35" s="43" t="n">
        <f aca="false">P34</f>
        <v>13191275.259269</v>
      </c>
      <c r="Q35" s="43" t="n">
        <f aca="false">Q34</f>
        <v>13608897.0043096</v>
      </c>
      <c r="R35" s="43" t="n">
        <f aca="false">R34</f>
        <v>13994557.3802765</v>
      </c>
      <c r="S35" s="43" t="n">
        <f aca="false">S34</f>
        <v>14391222.4041685</v>
      </c>
      <c r="T35" s="43" t="n">
        <f aca="false">T34</f>
        <v>14799208.0863392</v>
      </c>
      <c r="U35" s="43" t="n">
        <f aca="false">U34</f>
        <v>15218839.5642263</v>
      </c>
      <c r="V35" s="43" t="n">
        <f aca="false">V34</f>
        <v>15650451.3673323</v>
      </c>
      <c r="W35" s="43" t="n">
        <f aca="false">W34</f>
        <v>16094387.689936</v>
      </c>
      <c r="X35" s="43" t="n">
        <f aca="false">X34</f>
        <v>16551002.6717575</v>
      </c>
      <c r="Y35" s="43" t="n">
        <f aca="false">Y34</f>
        <v>17020660.6868116</v>
      </c>
      <c r="Z35" s="43" t="n">
        <f aca="false">Z34</f>
        <v>17503736.6406899</v>
      </c>
      <c r="AA35" s="43" t="n">
        <f aca="false">AA34</f>
        <v>18000616.2765165</v>
      </c>
      <c r="AB35" s="43" t="n">
        <f aca="false">AB34</f>
        <v>18511696.4898329</v>
      </c>
      <c r="AC35" s="43" t="n">
        <f aca="false">AC34</f>
        <v>19037385.6526744</v>
      </c>
      <c r="AD35" s="43" t="n">
        <f aca="false">AD34</f>
        <v>19578103.9471048</v>
      </c>
      <c r="AE35" s="43" t="n">
        <f aca="false">AE34</f>
        <v>20134283.7084893</v>
      </c>
      <c r="AF35" s="43" t="n">
        <f aca="false">AF34</f>
        <v>20706369.7787897</v>
      </c>
    </row>
    <row r="36" customFormat="false" ht="15" hidden="false" customHeight="false" outlineLevel="0" collapsed="false">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customFormat="false" ht="15" hidden="false" customHeight="false" outlineLevel="0" collapsed="false">
      <c r="A37" s="5"/>
      <c r="B37" s="38" t="s">
        <v>282</v>
      </c>
      <c r="C37" s="39" t="n">
        <f aca="false">DB_Closing</f>
        <v>105000000</v>
      </c>
      <c r="D37" s="39" t="n">
        <f aca="false">DB_Closing</f>
        <v>210000000</v>
      </c>
      <c r="E37" s="39" t="n">
        <f aca="false">DB_Closing</f>
        <v>315000000</v>
      </c>
      <c r="F37" s="39" t="n">
        <f aca="false">DB_Closing</f>
        <v>299250000</v>
      </c>
      <c r="G37" s="39" t="n">
        <f aca="false">DB_Closing</f>
        <v>283500000</v>
      </c>
      <c r="H37" s="39" t="n">
        <f aca="false">DB_Closing</f>
        <v>267750000</v>
      </c>
      <c r="I37" s="39" t="n">
        <f aca="false">DB_Closing</f>
        <v>252000000</v>
      </c>
      <c r="J37" s="39" t="n">
        <f aca="false">DB_Closing</f>
        <v>236250000</v>
      </c>
      <c r="K37" s="39" t="n">
        <f aca="false">DB_Closing</f>
        <v>220500000</v>
      </c>
      <c r="L37" s="39" t="n">
        <f aca="false">DB_Closing</f>
        <v>204750000</v>
      </c>
      <c r="M37" s="39" t="n">
        <f aca="false">DB_Closing</f>
        <v>189000000</v>
      </c>
      <c r="N37" s="39" t="n">
        <f aca="false">DB_Closing</f>
        <v>173250000</v>
      </c>
      <c r="O37" s="39" t="n">
        <f aca="false">DB_Closing</f>
        <v>157500000</v>
      </c>
      <c r="P37" s="39" t="n">
        <f aca="false">DB_Closing</f>
        <v>141750000</v>
      </c>
      <c r="Q37" s="39" t="n">
        <f aca="false">DB_Closing</f>
        <v>126000000</v>
      </c>
      <c r="R37" s="39" t="n">
        <f aca="false">DB_Closing</f>
        <v>110250000</v>
      </c>
      <c r="S37" s="39" t="n">
        <f aca="false">DB_Closing</f>
        <v>94500000</v>
      </c>
      <c r="T37" s="39" t="n">
        <f aca="false">DB_Closing</f>
        <v>78750000</v>
      </c>
      <c r="U37" s="39" t="n">
        <f aca="false">DB_Closing</f>
        <v>63000000</v>
      </c>
      <c r="V37" s="39" t="n">
        <f aca="false">DB_Closing</f>
        <v>47250000</v>
      </c>
      <c r="W37" s="39" t="n">
        <f aca="false">DB_Closing</f>
        <v>31500000</v>
      </c>
      <c r="X37" s="39" t="n">
        <f aca="false">DB_Closing</f>
        <v>15750000</v>
      </c>
      <c r="Y37" s="39" t="n">
        <f aca="false">DB_Closing</f>
        <v>0</v>
      </c>
      <c r="Z37" s="39" t="n">
        <f aca="false">DB_Closing</f>
        <v>0</v>
      </c>
      <c r="AA37" s="39" t="n">
        <f aca="false">DB_Closing</f>
        <v>0</v>
      </c>
      <c r="AB37" s="39" t="n">
        <f aca="false">DB_Closing</f>
        <v>0</v>
      </c>
      <c r="AC37" s="39" t="n">
        <f aca="false">DB_Closing</f>
        <v>0</v>
      </c>
      <c r="AD37" s="39" t="n">
        <f aca="false">DB_Closing</f>
        <v>0</v>
      </c>
      <c r="AE37" s="39" t="n">
        <f aca="false">DB_Closing</f>
        <v>0</v>
      </c>
      <c r="AF37" s="39" t="n">
        <f aca="false">DB_Closing</f>
        <v>0</v>
      </c>
    </row>
    <row r="38" customFormat="false" ht="15" hidden="false" customHeight="false" outlineLevel="0" collapsed="false">
      <c r="A38" s="5"/>
      <c r="B38" s="40" t="s">
        <v>283</v>
      </c>
      <c r="C38" s="41" t="n">
        <f aca="false">C35+C37</f>
        <v>105000000</v>
      </c>
      <c r="D38" s="41" t="n">
        <f aca="false">D35+D37</f>
        <v>210000000</v>
      </c>
      <c r="E38" s="41" t="n">
        <f aca="false">E35+E37</f>
        <v>315000000</v>
      </c>
      <c r="F38" s="41" t="n">
        <f aca="false">F35+F37</f>
        <v>307041780.821918</v>
      </c>
      <c r="G38" s="41" t="n">
        <f aca="false">G35+G37</f>
        <v>291704119.520548</v>
      </c>
      <c r="H38" s="41" t="n">
        <f aca="false">H35+H37</f>
        <v>276390431.342954</v>
      </c>
      <c r="I38" s="41" t="n">
        <f aca="false">I35+I37</f>
        <v>261102185.595303</v>
      </c>
      <c r="J38" s="41" t="n">
        <f aca="false">J35+J37</f>
        <v>245840944.104376</v>
      </c>
      <c r="K38" s="41" t="n">
        <f aca="false">K35+K37</f>
        <v>230608367.122725</v>
      </c>
      <c r="L38" s="41" t="n">
        <f aca="false">L35+L37</f>
        <v>215406219.613368</v>
      </c>
      <c r="M38" s="41" t="n">
        <f aca="false">M35+M37</f>
        <v>200236377.938493</v>
      </c>
      <c r="N38" s="41" t="n">
        <f aca="false">N35+N37</f>
        <v>185100836.978249</v>
      </c>
      <c r="O38" s="41" t="n">
        <f aca="false">O35+O37</f>
        <v>170001717.707383</v>
      </c>
      <c r="P38" s="41" t="n">
        <f aca="false">P35+P37</f>
        <v>154941275.259269</v>
      </c>
      <c r="Q38" s="41" t="n">
        <f aca="false">Q35+Q37</f>
        <v>139608897.00431</v>
      </c>
      <c r="R38" s="41" t="n">
        <f aca="false">R35+R37</f>
        <v>124244557.380277</v>
      </c>
      <c r="S38" s="41" t="n">
        <f aca="false">S35+S37</f>
        <v>108891222.404168</v>
      </c>
      <c r="T38" s="41" t="n">
        <f aca="false">T35+T37</f>
        <v>93549208.0863392</v>
      </c>
      <c r="U38" s="41" t="n">
        <f aca="false">U35+U37</f>
        <v>78218839.5642263</v>
      </c>
      <c r="V38" s="41" t="n">
        <f aca="false">V35+V37</f>
        <v>62900451.3673323</v>
      </c>
      <c r="W38" s="41" t="n">
        <f aca="false">W35+W37</f>
        <v>47594387.689936</v>
      </c>
      <c r="X38" s="41" t="n">
        <f aca="false">X35+X37</f>
        <v>32301002.6717575</v>
      </c>
      <c r="Y38" s="41" t="n">
        <f aca="false">Y35+Y37</f>
        <v>17020660.6868116</v>
      </c>
      <c r="Z38" s="41" t="n">
        <f aca="false">Z35+Z37</f>
        <v>17503736.6406899</v>
      </c>
      <c r="AA38" s="41" t="n">
        <f aca="false">AA35+AA37</f>
        <v>18000616.2765165</v>
      </c>
      <c r="AB38" s="41" t="n">
        <f aca="false">AB35+AB37</f>
        <v>18511696.4898329</v>
      </c>
      <c r="AC38" s="41" t="n">
        <f aca="false">AC35+AC37</f>
        <v>19037385.6526744</v>
      </c>
      <c r="AD38" s="41" t="n">
        <f aca="false">AD35+AD37</f>
        <v>19578103.9471048</v>
      </c>
      <c r="AE38" s="41" t="n">
        <f aca="false">AE35+AE37</f>
        <v>20134283.7084893</v>
      </c>
      <c r="AF38" s="41" t="n">
        <f aca="false">AF35+AF37</f>
        <v>20706369.7787897</v>
      </c>
    </row>
    <row r="39" customFormat="false" ht="15" hidden="false" customHeight="false" outlineLevel="0" collapsed="false">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customFormat="false" ht="15" hidden="false" customHeight="false" outlineLevel="0" collapsed="false">
      <c r="A40" s="5"/>
      <c r="B40" s="15" t="s">
        <v>284</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row>
    <row r="41" customFormat="false" ht="15" hidden="false" customHeight="false" outlineLevel="0" collapsed="false">
      <c r="A41" s="5"/>
      <c r="B41" s="38" t="s">
        <v>285</v>
      </c>
      <c r="C41" s="39" t="n">
        <f aca="false">CW_Equity_Inj</f>
        <v>135000000</v>
      </c>
      <c r="D41" s="39" t="n">
        <f aca="false">C41+CW_Equity_Inj</f>
        <v>135000000</v>
      </c>
      <c r="E41" s="39" t="n">
        <f aca="false">D41+CW_Equity_Inj</f>
        <v>135000000</v>
      </c>
      <c r="F41" s="39" t="n">
        <f aca="false">E41+CW_Equity_Inj</f>
        <v>135000000</v>
      </c>
      <c r="G41" s="39" t="n">
        <f aca="false">F41+CW_Equity_Inj</f>
        <v>135000000</v>
      </c>
      <c r="H41" s="39" t="n">
        <f aca="false">G41+CW_Equity_Inj</f>
        <v>135000000</v>
      </c>
      <c r="I41" s="39" t="n">
        <f aca="false">H41+CW_Equity_Inj</f>
        <v>135000000</v>
      </c>
      <c r="J41" s="39" t="n">
        <f aca="false">I41+CW_Equity_Inj</f>
        <v>135000000</v>
      </c>
      <c r="K41" s="39" t="n">
        <f aca="false">J41+CW_Equity_Inj</f>
        <v>135000000</v>
      </c>
      <c r="L41" s="39" t="n">
        <f aca="false">K41+CW_Equity_Inj</f>
        <v>135000000</v>
      </c>
      <c r="M41" s="39" t="n">
        <f aca="false">L41+CW_Equity_Inj</f>
        <v>135000000</v>
      </c>
      <c r="N41" s="39" t="n">
        <f aca="false">M41+CW_Equity_Inj</f>
        <v>135000000</v>
      </c>
      <c r="O41" s="39" t="n">
        <f aca="false">N41+CW_Equity_Inj</f>
        <v>135000000</v>
      </c>
      <c r="P41" s="39" t="n">
        <f aca="false">O41+CW_Equity_Inj</f>
        <v>135000000</v>
      </c>
      <c r="Q41" s="39" t="n">
        <f aca="false">P41+CW_Equity_Inj</f>
        <v>135000000</v>
      </c>
      <c r="R41" s="39" t="n">
        <f aca="false">Q41+CW_Equity_Inj</f>
        <v>135000000</v>
      </c>
      <c r="S41" s="39" t="n">
        <f aca="false">R41+CW_Equity_Inj</f>
        <v>135000000</v>
      </c>
      <c r="T41" s="39" t="n">
        <f aca="false">S41+CW_Equity_Inj</f>
        <v>135000000</v>
      </c>
      <c r="U41" s="39" t="n">
        <f aca="false">T41+CW_Equity_Inj</f>
        <v>135000000</v>
      </c>
      <c r="V41" s="39" t="n">
        <f aca="false">U41+CW_Equity_Inj</f>
        <v>135000000</v>
      </c>
      <c r="W41" s="39" t="n">
        <f aca="false">V41+CW_Equity_Inj</f>
        <v>135000000</v>
      </c>
      <c r="X41" s="39" t="n">
        <f aca="false">W41+CW_Equity_Inj</f>
        <v>135000000</v>
      </c>
      <c r="Y41" s="39" t="n">
        <f aca="false">X41+CW_Equity_Inj</f>
        <v>135000000</v>
      </c>
      <c r="Z41" s="39" t="n">
        <f aca="false">Y41+CW_Equity_Inj</f>
        <v>135000000</v>
      </c>
      <c r="AA41" s="39" t="n">
        <f aca="false">Z41+CW_Equity_Inj</f>
        <v>135000000</v>
      </c>
      <c r="AB41" s="39" t="n">
        <f aca="false">AA41+CW_Equity_Inj</f>
        <v>135000000</v>
      </c>
      <c r="AC41" s="39" t="n">
        <f aca="false">AB41+CW_Equity_Inj</f>
        <v>135000000</v>
      </c>
      <c r="AD41" s="39" t="n">
        <f aca="false">AC41+CW_Equity_Inj</f>
        <v>135000000</v>
      </c>
      <c r="AE41" s="39" t="n">
        <f aca="false">AD41+CW_Equity_Inj</f>
        <v>135000000</v>
      </c>
      <c r="AF41" s="39" t="n">
        <f aca="false">AE41+CW_Equity_Inj</f>
        <v>135000000</v>
      </c>
    </row>
    <row r="42" customFormat="false" ht="15" hidden="false" customHeight="false" outlineLevel="0" collapsed="false">
      <c r="A42" s="5"/>
      <c r="B42" s="38" t="s">
        <v>286</v>
      </c>
      <c r="C42" s="39" t="n">
        <f aca="false">C19</f>
        <v>0</v>
      </c>
      <c r="D42" s="39" t="n">
        <f aca="false">C42+D19</f>
        <v>-6825000</v>
      </c>
      <c r="E42" s="39" t="n">
        <f aca="false">D42+E19</f>
        <v>-20475000</v>
      </c>
      <c r="F42" s="39" t="n">
        <f aca="false">E42+F19</f>
        <v>241029.999999996</v>
      </c>
      <c r="G42" s="39" t="n">
        <f aca="false">F42+G19</f>
        <v>25009960.045</v>
      </c>
      <c r="H42" s="39" t="n">
        <f aca="false">G42+H19</f>
        <v>54032082.1519581</v>
      </c>
      <c r="I42" s="39" t="n">
        <f aca="false">H42+I19</f>
        <v>87519522.6230426</v>
      </c>
      <c r="J42" s="39" t="n">
        <f aca="false">I42+J19</f>
        <v>125696930.182347</v>
      </c>
      <c r="K42" s="39" t="n">
        <f aca="false">J42+K19</f>
        <v>168802203.725407</v>
      </c>
      <c r="L42" s="39" t="n">
        <f aca="false">K42+L19</f>
        <v>217087261.9429</v>
      </c>
      <c r="M42" s="39" t="n">
        <f aca="false">L42+M19</f>
        <v>270818857.207868</v>
      </c>
      <c r="N42" s="39" t="n">
        <f aca="false">M42+N19</f>
        <v>330279436.250951</v>
      </c>
      <c r="O42" s="39" t="n">
        <f aca="false">N42+O19</f>
        <v>395768050.290807</v>
      </c>
      <c r="P42" s="39" t="n">
        <f aca="false">O42+P19</f>
        <v>467601317.437575</v>
      </c>
      <c r="Q42" s="39" t="n">
        <f aca="false">P42+Q19</f>
        <v>543008871.856605</v>
      </c>
      <c r="R42" s="39" t="n">
        <f aca="false">Q42+R19</f>
        <v>621630453.237194</v>
      </c>
      <c r="S42" s="39" t="n">
        <f aca="false">R42+S19</f>
        <v>703533171.451628</v>
      </c>
      <c r="T42" s="39" t="n">
        <f aca="false">S42+T19</f>
        <v>788786213.581843</v>
      </c>
      <c r="U42" s="39" t="n">
        <f aca="false">T42+U19</f>
        <v>886460917.881202</v>
      </c>
      <c r="V42" s="39" t="n">
        <f aca="false">U42+V19</f>
        <v>987630850.703435</v>
      </c>
      <c r="W42" s="39" t="n">
        <f aca="false">V42+W19</f>
        <v>1092371886.52726</v>
      </c>
      <c r="X42" s="39" t="n">
        <f aca="false">W42+X19</f>
        <v>1200762291.21099</v>
      </c>
      <c r="Y42" s="39" t="n">
        <f aca="false">X42+Y19</f>
        <v>1312882808.61752</v>
      </c>
      <c r="Z42" s="39" t="n">
        <f aca="false">Y42+Z19</f>
        <v>1428816750.75637</v>
      </c>
      <c r="AA42" s="39" t="n">
        <f aca="false">Z42+AA19</f>
        <v>1547882279.09613</v>
      </c>
      <c r="AB42" s="39" t="n">
        <f aca="false">AA42+AB19</f>
        <v>1670168127.2075</v>
      </c>
      <c r="AC42" s="39" t="n">
        <f aca="false">AB42+AC19</f>
        <v>1795765889.90451</v>
      </c>
      <c r="AD42" s="39" t="n">
        <f aca="false">AC42+AD19</f>
        <v>1924770129.05892</v>
      </c>
      <c r="AE42" s="39" t="n">
        <f aca="false">AD42+AE19</f>
        <v>2057278483.77078</v>
      </c>
      <c r="AF42" s="39" t="n">
        <f aca="false">AE42+AF19</f>
        <v>2193391785.08649</v>
      </c>
    </row>
    <row r="43" customFormat="false" ht="15" hidden="false" customHeight="false" outlineLevel="0" collapsed="false">
      <c r="A43" s="5"/>
      <c r="B43" s="40" t="s">
        <v>287</v>
      </c>
      <c r="C43" s="41" t="n">
        <f aca="false">C41+C42</f>
        <v>135000000</v>
      </c>
      <c r="D43" s="41" t="n">
        <f aca="false">D41+D42</f>
        <v>128175000</v>
      </c>
      <c r="E43" s="41" t="n">
        <f aca="false">E41+E42</f>
        <v>114525000</v>
      </c>
      <c r="F43" s="41" t="n">
        <f aca="false">F41+F42</f>
        <v>135241030</v>
      </c>
      <c r="G43" s="41" t="n">
        <f aca="false">G41+G42</f>
        <v>160009960.045</v>
      </c>
      <c r="H43" s="41" t="n">
        <f aca="false">H41+H42</f>
        <v>189032082.151958</v>
      </c>
      <c r="I43" s="41" t="n">
        <f aca="false">I41+I42</f>
        <v>222519522.623043</v>
      </c>
      <c r="J43" s="41" t="n">
        <f aca="false">J41+J42</f>
        <v>260696930.182347</v>
      </c>
      <c r="K43" s="41" t="n">
        <f aca="false">K41+K42</f>
        <v>303802203.725407</v>
      </c>
      <c r="L43" s="41" t="n">
        <f aca="false">L41+L42</f>
        <v>352087261.9429</v>
      </c>
      <c r="M43" s="41" t="n">
        <f aca="false">M41+M42</f>
        <v>405818857.207868</v>
      </c>
      <c r="N43" s="41" t="n">
        <f aca="false">N41+N42</f>
        <v>465279436.250951</v>
      </c>
      <c r="O43" s="41" t="n">
        <f aca="false">O41+O42</f>
        <v>530768050.290807</v>
      </c>
      <c r="P43" s="41" t="n">
        <f aca="false">P41+P42</f>
        <v>602601317.437575</v>
      </c>
      <c r="Q43" s="41" t="n">
        <f aca="false">Q41+Q42</f>
        <v>678008871.856605</v>
      </c>
      <c r="R43" s="41" t="n">
        <f aca="false">R41+R42</f>
        <v>756630453.237194</v>
      </c>
      <c r="S43" s="41" t="n">
        <f aca="false">S41+S42</f>
        <v>838533171.451628</v>
      </c>
      <c r="T43" s="41" t="n">
        <f aca="false">T41+T42</f>
        <v>923786213.581843</v>
      </c>
      <c r="U43" s="41" t="n">
        <f aca="false">U41+U42</f>
        <v>1021460917.8812</v>
      </c>
      <c r="V43" s="41" t="n">
        <f aca="false">V41+V42</f>
        <v>1122630850.70344</v>
      </c>
      <c r="W43" s="41" t="n">
        <f aca="false">W41+W42</f>
        <v>1227371886.52726</v>
      </c>
      <c r="X43" s="41" t="n">
        <f aca="false">X41+X42</f>
        <v>1335762291.21099</v>
      </c>
      <c r="Y43" s="41" t="n">
        <f aca="false">Y41+Y42</f>
        <v>1447882808.61752</v>
      </c>
      <c r="Z43" s="41" t="n">
        <f aca="false">Z41+Z42</f>
        <v>1563816750.75637</v>
      </c>
      <c r="AA43" s="41" t="n">
        <f aca="false">AA41+AA42</f>
        <v>1682882279.09613</v>
      </c>
      <c r="AB43" s="41" t="n">
        <f aca="false">AB41+AB42</f>
        <v>1805168127.2075</v>
      </c>
      <c r="AC43" s="41" t="n">
        <f aca="false">AC41+AC42</f>
        <v>1930765889.90451</v>
      </c>
      <c r="AD43" s="41" t="n">
        <f aca="false">AD41+AD42</f>
        <v>2059770129.05892</v>
      </c>
      <c r="AE43" s="41" t="n">
        <f aca="false">AE41+AE42</f>
        <v>2192278483.77078</v>
      </c>
      <c r="AF43" s="41" t="n">
        <f aca="false">AF41+AF42</f>
        <v>2328391785.08649</v>
      </c>
    </row>
    <row r="44" customFormat="false" ht="15" hidden="false" customHeight="false" outlineLevel="0" collapsed="false">
      <c r="A44" s="5"/>
      <c r="B44" s="42" t="s">
        <v>288</v>
      </c>
      <c r="C44" s="43" t="n">
        <f aca="false">C38+C43</f>
        <v>240000000</v>
      </c>
      <c r="D44" s="43" t="n">
        <f aca="false">D38+D43</f>
        <v>338175000</v>
      </c>
      <c r="E44" s="43" t="n">
        <f aca="false">E38+E43</f>
        <v>429525000</v>
      </c>
      <c r="F44" s="43" t="n">
        <f aca="false">F38+F43</f>
        <v>442282810.821918</v>
      </c>
      <c r="G44" s="43" t="n">
        <f aca="false">G38+G43</f>
        <v>451714079.565548</v>
      </c>
      <c r="H44" s="43" t="n">
        <f aca="false">H38+H43</f>
        <v>465422513.494912</v>
      </c>
      <c r="I44" s="43" t="n">
        <f aca="false">I38+I43</f>
        <v>483621708.218346</v>
      </c>
      <c r="J44" s="43" t="n">
        <f aca="false">J38+J43</f>
        <v>506537874.286722</v>
      </c>
      <c r="K44" s="43" t="n">
        <f aca="false">K38+K43</f>
        <v>534410570.848132</v>
      </c>
      <c r="L44" s="43" t="n">
        <f aca="false">L38+L43</f>
        <v>567493481.556268</v>
      </c>
      <c r="M44" s="43" t="n">
        <f aca="false">M38+M43</f>
        <v>606055235.146361</v>
      </c>
      <c r="N44" s="43" t="n">
        <f aca="false">N38+N43</f>
        <v>650380273.2292</v>
      </c>
      <c r="O44" s="43" t="n">
        <f aca="false">O38+O43</f>
        <v>700769767.99819</v>
      </c>
      <c r="P44" s="43" t="n">
        <f aca="false">P38+P43</f>
        <v>757542592.696844</v>
      </c>
      <c r="Q44" s="43" t="n">
        <f aca="false">Q38+Q43</f>
        <v>817617768.860914</v>
      </c>
      <c r="R44" s="43" t="n">
        <f aca="false">R38+R43</f>
        <v>880875010.61747</v>
      </c>
      <c r="S44" s="43" t="n">
        <f aca="false">S38+S43</f>
        <v>947424393.855796</v>
      </c>
      <c r="T44" s="43" t="n">
        <f aca="false">T38+T43</f>
        <v>1017335421.66818</v>
      </c>
      <c r="U44" s="43" t="n">
        <f aca="false">U38+U43</f>
        <v>1099679757.44543</v>
      </c>
      <c r="V44" s="43" t="n">
        <f aca="false">V38+V43</f>
        <v>1185531302.07077</v>
      </c>
      <c r="W44" s="43" t="n">
        <f aca="false">W38+W43</f>
        <v>1274966274.21719</v>
      </c>
      <c r="X44" s="43" t="n">
        <f aca="false">X38+X43</f>
        <v>1368063293.88274</v>
      </c>
      <c r="Y44" s="43" t="n">
        <f aca="false">Y38+Y43</f>
        <v>1464903469.30433</v>
      </c>
      <c r="Z44" s="43" t="n">
        <f aca="false">Z38+Z43</f>
        <v>1581320487.39706</v>
      </c>
      <c r="AA44" s="43" t="n">
        <f aca="false">AA38+AA43</f>
        <v>1700882895.37265</v>
      </c>
      <c r="AB44" s="43" t="n">
        <f aca="false">AB38+AB43</f>
        <v>1823679823.69733</v>
      </c>
      <c r="AC44" s="43" t="n">
        <f aca="false">AC38+AC43</f>
        <v>1949803275.55719</v>
      </c>
      <c r="AD44" s="43" t="n">
        <f aca="false">AD38+AD43</f>
        <v>2079348233.00603</v>
      </c>
      <c r="AE44" s="43" t="n">
        <f aca="false">AE38+AE43</f>
        <v>2212412767.47927</v>
      </c>
      <c r="AF44" s="43" t="n">
        <f aca="false">AF38+AF43</f>
        <v>2349098154.86527</v>
      </c>
    </row>
    <row r="45" customFormat="false" ht="15" hidden="false" customHeight="false" outlineLevel="0" collapsed="false">
      <c r="A45" s="5"/>
      <c r="B45" s="6" t="s">
        <v>289</v>
      </c>
      <c r="C45" s="48" t="n">
        <f aca="false">C31-C44</f>
        <v>0</v>
      </c>
      <c r="D45" s="48" t="n">
        <f aca="false">D31-D44</f>
        <v>0</v>
      </c>
      <c r="E45" s="48" t="n">
        <f aca="false">E31-E44</f>
        <v>0</v>
      </c>
      <c r="F45" s="48" t="n">
        <f aca="false">F31-F44</f>
        <v>0</v>
      </c>
      <c r="G45" s="48" t="n">
        <f aca="false">G31-G44</f>
        <v>-2604400</v>
      </c>
      <c r="H45" s="48" t="n">
        <f aca="false">H31-H44</f>
        <v>-5363499.10000002</v>
      </c>
      <c r="I45" s="48" t="n">
        <f aca="false">I31-I44</f>
        <v>-8286539.71708751</v>
      </c>
      <c r="J45" s="48" t="n">
        <f aca="false">J31-J44</f>
        <v>-11383318.9429668</v>
      </c>
      <c r="K45" s="48" t="n">
        <f aca="false">K31-K44</f>
        <v>-14664221.9477088</v>
      </c>
      <c r="L45" s="48" t="n">
        <f aca="false">L31-L44</f>
        <v>-18140257.4004806</v>
      </c>
      <c r="M45" s="48" t="n">
        <f aca="false">M31-M44</f>
        <v>-21823095.0292873</v>
      </c>
      <c r="N45" s="48" t="n">
        <f aca="false">N31-N44</f>
        <v>-25725105.4491575</v>
      </c>
      <c r="O45" s="48" t="n">
        <f aca="false">O31-O44</f>
        <v>-29859402.3960403</v>
      </c>
      <c r="P45" s="48" t="n">
        <f aca="false">P31-P44</f>
        <v>-34239887.5120112</v>
      </c>
      <c r="Q45" s="48" t="n">
        <f aca="false">Q31-Q44</f>
        <v>-38881297.8361939</v>
      </c>
      <c r="R45" s="48" t="n">
        <f aca="false">R31-R44</f>
        <v>-43665485.3847989</v>
      </c>
      <c r="S45" s="48" t="n">
        <f aca="false">S31-S44</f>
        <v>-48577638.6231772</v>
      </c>
      <c r="T45" s="48" t="n">
        <f aca="false">T31-T44</f>
        <v>-53621337.1191218</v>
      </c>
      <c r="U45" s="48" t="n">
        <f aca="false">U31-U44</f>
        <v>-58800267.2389824</v>
      </c>
      <c r="V45" s="48" t="n">
        <f aca="false">V31-V44</f>
        <v>-64118225.6052058</v>
      </c>
      <c r="W45" s="48" t="n">
        <f aca="false">W31-W44</f>
        <v>-69579122.6761494</v>
      </c>
      <c r="X45" s="48" t="n">
        <f aca="false">X31-X44</f>
        <v>-75186986.4528544</v>
      </c>
      <c r="Y45" s="48" t="n">
        <f aca="false">Y31-Y44</f>
        <v>-80945966.3176587</v>
      </c>
      <c r="Z45" s="48" t="n">
        <f aca="false">Z31-Z44</f>
        <v>-86860337.009727</v>
      </c>
      <c r="AA45" s="48" t="n">
        <f aca="false">AA31-AA44</f>
        <v>-92934502.7427857</v>
      </c>
      <c r="AB45" s="48" t="n">
        <f aca="false">AB31-AB44</f>
        <v>-99173001.4705625</v>
      </c>
      <c r="AC45" s="48" t="n">
        <f aca="false">AC31-AC44</f>
        <v>-105580509.305663</v>
      </c>
      <c r="AD45" s="48" t="n">
        <f aca="false">AD31-AD44</f>
        <v>-112161845.097851</v>
      </c>
      <c r="AE45" s="48" t="n">
        <f aca="false">AE31-AE44</f>
        <v>-118921975.177939</v>
      </c>
      <c r="AF45" s="48" t="n">
        <f aca="false">AF31-AF44</f>
        <v>-125866018.27376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F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290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23</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customFormat="false" ht="15" hidden="false" customHeight="false" outlineLevel="0" collapsed="false">
      <c r="A8" s="5"/>
      <c r="B8" s="15" t="s">
        <v>291</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row>
    <row r="9" customFormat="false" ht="15" hidden="false" customHeight="false" outlineLevel="0" collapsed="false">
      <c r="A9" s="5"/>
      <c r="B9" s="38" t="s">
        <v>292</v>
      </c>
      <c r="C9" s="39" t="n">
        <f aca="false">CW_CFO+CW_CFI</f>
        <v>-150000000</v>
      </c>
      <c r="D9" s="39" t="n">
        <f aca="false">CW_CFO+CW_CFI</f>
        <v>-150000000</v>
      </c>
      <c r="E9" s="39" t="n">
        <f aca="false">CW_CFO+CW_CFI</f>
        <v>-150000000</v>
      </c>
      <c r="F9" s="39" t="n">
        <f aca="false">CW_CFO+CW_CFI</f>
        <v>52815188.173516</v>
      </c>
      <c r="G9" s="39" t="n">
        <f aca="false">CW_CFO+CW_CFI</f>
        <v>60065651.5699315</v>
      </c>
      <c r="H9" s="39" t="n">
        <f aca="false">CW_CFO+CW_CFI</f>
        <v>63121741.7144116</v>
      </c>
      <c r="I9" s="39" t="n">
        <f aca="false">CW_CFO+CW_CFI</f>
        <v>66379624.116123</v>
      </c>
      <c r="J9" s="39" t="n">
        <f aca="false">CW_CFO+CW_CFI</f>
        <v>69851204.6894946</v>
      </c>
      <c r="K9" s="39" t="n">
        <f aca="false">CW_CFO+CW_CFI</f>
        <v>73549080.2738397</v>
      </c>
      <c r="L9" s="39" t="n">
        <f aca="false">CW_CFO+CW_CFI</f>
        <v>77486578.3055569</v>
      </c>
      <c r="M9" s="39" t="n">
        <f aca="false">CW_CFO+CW_CFI</f>
        <v>81677798.7479109</v>
      </c>
      <c r="N9" s="39" t="n">
        <f aca="false">CW_CFO+CW_CFI</f>
        <v>86137658.4056409</v>
      </c>
      <c r="O9" s="39" t="n">
        <f aca="false">CW_CFO+CW_CFI</f>
        <v>90881937.7587319</v>
      </c>
      <c r="P9" s="39" t="n">
        <f aca="false">CW_CFO+CW_CFI</f>
        <v>95927330.4571649</v>
      </c>
      <c r="Q9" s="39" t="n">
        <f aca="false">CW_CFO+CW_CFI</f>
        <v>98639136.1157711</v>
      </c>
      <c r="R9" s="39" t="n">
        <f aca="false">CW_CFO+CW_CFI</f>
        <v>100749031.271684</v>
      </c>
      <c r="S9" s="39" t="n">
        <f aca="false">CW_CFO+CW_CFI</f>
        <v>102877484.868392</v>
      </c>
      <c r="T9" s="39" t="n">
        <f aca="false">CW_CFO+CW_CFI</f>
        <v>105071488.900919</v>
      </c>
      <c r="U9" s="39" t="n">
        <f aca="false">CW_CFO+CW_CFI</f>
        <v>104333084.184839</v>
      </c>
      <c r="V9" s="39" t="n">
        <f aca="false">CW_CFO+CW_CFI</f>
        <v>106664384.802248</v>
      </c>
      <c r="W9" s="39" t="n">
        <f aca="false">CW_CFO+CW_CFI</f>
        <v>109067581.064199</v>
      </c>
      <c r="X9" s="39" t="n">
        <f aca="false">CW_CFO+CW_CFI</f>
        <v>111544942.602215</v>
      </c>
      <c r="Y9" s="39" t="n">
        <f aca="false">CW_CFO+CW_CFI</f>
        <v>114098821.594706</v>
      </c>
      <c r="Z9" s="39" t="n">
        <f aca="false">CW_CFO+CW_CFI</f>
        <v>116731656.134391</v>
      </c>
      <c r="AA9" s="39" t="n">
        <f aca="false">CW_CFO+CW_CFI</f>
        <v>119701911.243114</v>
      </c>
      <c r="AB9" s="39" t="n">
        <f aca="false">CW_CFO+CW_CFI</f>
        <v>122756270.040737</v>
      </c>
      <c r="AC9" s="39" t="n">
        <f aca="false">CW_CFO+CW_CFI</f>
        <v>125897450.075082</v>
      </c>
      <c r="AD9" s="39" t="n">
        <f aca="false">CW_CFO+CW_CFI</f>
        <v>129128269.820233</v>
      </c>
      <c r="AE9" s="39" t="n">
        <f aca="false">CW_CFO+CW_CFI</f>
        <v>132451652.850844</v>
      </c>
      <c r="AF9" s="39" t="n">
        <f aca="false">CW_CFO+CW_CFI</f>
        <v>135870632.200426</v>
      </c>
    </row>
    <row r="10" customFormat="false" ht="15" hidden="false" customHeight="false" outlineLevel="0" collapsed="false">
      <c r="A10" s="5"/>
      <c r="B10" s="6" t="s">
        <v>293</v>
      </c>
      <c r="C10" s="49" t="n">
        <f aca="false">IRR(C9:AF9)</f>
        <v>0.144972496628828</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customFormat="false" ht="15" hidden="false" customHeight="false" outlineLevel="0" collapsed="false">
      <c r="A11" s="5"/>
      <c r="B11" s="6" t="s">
        <v>294</v>
      </c>
      <c r="C11" s="50" t="n">
        <f aca="false">NPV(Target_IRR,C9:AF9)</f>
        <v>91090769.5549454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customFormat="false" ht="15" hidden="false" customHeight="false" outlineLevel="0" collapsed="false">
      <c r="A13" s="5"/>
      <c r="B13" s="15" t="s">
        <v>295</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row>
    <row r="14" customFormat="false" ht="15" hidden="false" customHeight="false" outlineLevel="0" collapsed="false">
      <c r="A14" s="5"/>
      <c r="B14" s="38" t="s">
        <v>296</v>
      </c>
      <c r="C14" s="39" t="n">
        <f aca="false">-C36+MAX(0,C34)</f>
        <v>0</v>
      </c>
      <c r="D14" s="39" t="n">
        <f aca="false">-D36+MAX(0,D34)</f>
        <v>0</v>
      </c>
      <c r="E14" s="39" t="n">
        <f aca="false">-E36+MAX(0,E34)</f>
        <v>0</v>
      </c>
      <c r="F14" s="39" t="n">
        <f aca="false">-F36+MAX(0,F34)</f>
        <v>0</v>
      </c>
      <c r="G14" s="39" t="n">
        <f aca="false">-G36+MAX(0,G34)</f>
        <v>0</v>
      </c>
      <c r="H14" s="39" t="n">
        <f aca="false">-H36+MAX(0,H34)</f>
        <v>0</v>
      </c>
      <c r="I14" s="39" t="n">
        <f aca="false">-I36+MAX(0,I34)</f>
        <v>0</v>
      </c>
      <c r="J14" s="39" t="n">
        <f aca="false">-J36+MAX(0,J34)</f>
        <v>0</v>
      </c>
      <c r="K14" s="39" t="n">
        <f aca="false">-K36+MAX(0,K34)</f>
        <v>0</v>
      </c>
      <c r="L14" s="39" t="n">
        <f aca="false">-L36+MAX(0,L34)</f>
        <v>0</v>
      </c>
      <c r="M14" s="39" t="n">
        <f aca="false">-M36+MAX(0,M34)</f>
        <v>0</v>
      </c>
      <c r="N14" s="39" t="n">
        <f aca="false">-N36+MAX(0,N34)</f>
        <v>0</v>
      </c>
      <c r="O14" s="39" t="n">
        <f aca="false">-O36+MAX(0,O34)</f>
        <v>0</v>
      </c>
      <c r="P14" s="39" t="n">
        <f aca="false">-P36+MAX(0,P34)</f>
        <v>0</v>
      </c>
      <c r="Q14" s="39" t="n">
        <f aca="false">-Q36+MAX(0,Q34)</f>
        <v>0</v>
      </c>
      <c r="R14" s="39" t="n">
        <f aca="false">-R36+MAX(0,R34)</f>
        <v>0</v>
      </c>
      <c r="S14" s="39" t="n">
        <f aca="false">-S36+MAX(0,S34)</f>
        <v>0</v>
      </c>
      <c r="T14" s="39" t="n">
        <f aca="false">-T36+MAX(0,T34)</f>
        <v>0</v>
      </c>
      <c r="U14" s="39" t="n">
        <f aca="false">-U36+MAX(0,U34)</f>
        <v>0</v>
      </c>
      <c r="V14" s="39" t="n">
        <f aca="false">-V36+MAX(0,V34)</f>
        <v>0</v>
      </c>
      <c r="W14" s="39" t="n">
        <f aca="false">-W36+MAX(0,W34)</f>
        <v>0</v>
      </c>
      <c r="X14" s="39" t="n">
        <f aca="false">-X36+MAX(0,X34)</f>
        <v>0</v>
      </c>
      <c r="Y14" s="39" t="n">
        <f aca="false">-Y36+MAX(0,Y34)</f>
        <v>0</v>
      </c>
      <c r="Z14" s="39" t="n">
        <f aca="false">-Z36+MAX(0,Z34)</f>
        <v>0</v>
      </c>
      <c r="AA14" s="39" t="n">
        <f aca="false">-AA36+MAX(0,AA34)</f>
        <v>0</v>
      </c>
      <c r="AB14" s="39" t="n">
        <f aca="false">-AB36+MAX(0,AB34)</f>
        <v>0</v>
      </c>
      <c r="AC14" s="39" t="n">
        <f aca="false">-AC36+MAX(0,AC34)</f>
        <v>0</v>
      </c>
      <c r="AD14" s="39" t="n">
        <f aca="false">-AD36+MAX(0,AD34)</f>
        <v>0</v>
      </c>
      <c r="AE14" s="39" t="n">
        <f aca="false">-AE36+MAX(0,AE34)</f>
        <v>0</v>
      </c>
      <c r="AF14" s="39" t="n">
        <f aca="false">-AF36+MAX(0,AF34)</f>
        <v>0</v>
      </c>
    </row>
    <row r="15" customFormat="false" ht="15" hidden="false" customHeight="false" outlineLevel="0" collapsed="false">
      <c r="A15" s="5"/>
      <c r="B15" s="6" t="s">
        <v>297</v>
      </c>
      <c r="C15" s="49" t="n">
        <f aca="false">IFERROR(IRR(C14:AF14),0)</f>
        <v>0</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row>
    <row r="16" customFormat="false" ht="15" hidden="false" customHeight="false" outlineLevel="0" collapsed="false">
      <c r="A16" s="5"/>
      <c r="B16" s="6" t="s">
        <v>298</v>
      </c>
      <c r="C16" s="50" t="n">
        <f aca="false">NPV(Target_IRR,C14:AF14)</f>
        <v>0</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row>
    <row r="17" customFormat="false" ht="15" hidden="false" customHeight="false" outlineLevel="0" collapsed="false">
      <c r="A17" s="5"/>
      <c r="B17" s="6" t="s">
        <v>299</v>
      </c>
      <c r="C17" s="51" t="n">
        <f aca="false">IFERROR(MATCH(TRUE(),INDEX(C14:AF14&gt;0,0),0),0)</f>
        <v>0</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customFormat="false" ht="15" hidden="false" customHeight="false" outlineLevel="0" collapsed="false">
      <c r="A18" s="5"/>
      <c r="B18" s="6" t="s">
        <v>300</v>
      </c>
      <c r="C18" s="52" t="n">
        <f aca="false">IFERROR(SUMPRODUCT((C14:AF14&gt;0)*C14:AF14)/ABS(SUMPRODUCT((C14:AF14&lt;0)*C14:AF14)),0)</f>
        <v>0</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50"/>
    <col collapsed="false" customWidth="true" hidden="false" outlineLevel="0" max="4" min="4" style="0" width="15"/>
  </cols>
  <sheetData>
    <row r="1" customFormat="false" ht="15" hidden="false" customHeight="false" outlineLevel="0" collapsed="false">
      <c r="A1" s="5"/>
      <c r="B1" s="5"/>
      <c r="C1" s="5"/>
      <c r="D1" s="5"/>
    </row>
    <row r="2" customFormat="false" ht="22.05" hidden="false" customHeight="false" outlineLevel="0" collapsed="false">
      <c r="A2" s="5"/>
      <c r="B2" s="26" t="s">
        <v>24</v>
      </c>
      <c r="C2" s="5"/>
      <c r="D2" s="5"/>
    </row>
    <row r="3" customFormat="false" ht="15" hidden="false" customHeight="false" outlineLevel="0" collapsed="false">
      <c r="A3" s="5"/>
      <c r="B3" s="8" t="s">
        <v>25</v>
      </c>
      <c r="C3" s="5"/>
      <c r="D3" s="5"/>
    </row>
    <row r="4" customFormat="false" ht="15" hidden="false" customHeight="false" outlineLevel="0" collapsed="false">
      <c r="A4" s="5"/>
      <c r="B4" s="5"/>
      <c r="C4" s="5"/>
      <c r="D4" s="5"/>
    </row>
    <row r="5" customFormat="false" ht="15" hidden="false" customHeight="false" outlineLevel="0" collapsed="false">
      <c r="A5" s="5"/>
      <c r="B5" s="53" t="s">
        <v>301</v>
      </c>
      <c r="C5" s="53" t="s">
        <v>302</v>
      </c>
      <c r="D5" s="35" t="s">
        <v>303</v>
      </c>
    </row>
    <row r="6" customFormat="false" ht="15" hidden="false" customHeight="false" outlineLevel="0" collapsed="false">
      <c r="A6" s="5"/>
      <c r="B6" s="5"/>
      <c r="C6" s="5"/>
      <c r="D6" s="5"/>
    </row>
    <row r="7" customFormat="false" ht="15" hidden="false" customHeight="false" outlineLevel="0" collapsed="false">
      <c r="A7" s="5"/>
      <c r="B7" s="6" t="s">
        <v>304</v>
      </c>
      <c r="C7" s="8" t="s">
        <v>305</v>
      </c>
      <c r="D7" s="54" t="str">
        <f aca="false">IF(MAX(ABS(Financial_Statements!C45:AF45))&lt;1,"PASS","FAIL")</f>
        <v>PASS</v>
      </c>
    </row>
    <row r="8" customFormat="false" ht="15" hidden="false" customHeight="false" outlineLevel="0" collapsed="false">
      <c r="A8" s="5"/>
      <c r="B8" s="6" t="s">
        <v>306</v>
      </c>
      <c r="C8" s="8" t="s">
        <v>307</v>
      </c>
      <c r="D8" s="54" t="str">
        <f aca="false">IF(MIN(Cash_Flow_Waterfall!C42:AF42)&gt;=-1,"PASS","WARN")</f>
        <v>WARN</v>
      </c>
    </row>
    <row r="9" customFormat="false" ht="15" hidden="false" customHeight="false" outlineLevel="0" collapsed="false">
      <c r="A9" s="5"/>
      <c r="B9" s="6" t="s">
        <v>308</v>
      </c>
      <c r="C9" s="8" t="s">
        <v>309</v>
      </c>
      <c r="D9" s="54" t="str">
        <f aca="false">IF(_xlfn.MINIFS(Cash_Flow_Waterfall!C44:AF44,Cash_Flow_Waterfall!C44:AF44,"&gt;0")&gt;=1.2,"PASS","FAIL")</f>
        <v>PASS</v>
      </c>
    </row>
    <row r="10" customFormat="false" ht="15" hidden="false" customHeight="false" outlineLevel="0" collapsed="false">
      <c r="A10" s="5"/>
      <c r="B10" s="6" t="s">
        <v>202</v>
      </c>
      <c r="C10" s="8" t="s">
        <v>310</v>
      </c>
      <c r="D10" s="54" t="str">
        <f aca="false">IF(MAX(Traffic_Capacity!C15:AF15)&lt;=Max_Utilisation+0.001,"PASS","FAIL")</f>
        <v>PASS</v>
      </c>
    </row>
    <row r="11" customFormat="false" ht="15" hidden="false" customHeight="false" outlineLevel="0" collapsed="false">
      <c r="A11" s="5"/>
      <c r="B11" s="6" t="s">
        <v>225</v>
      </c>
      <c r="C11" s="8" t="s">
        <v>311</v>
      </c>
      <c r="D11" s="54" t="str">
        <f aca="false">IF(AND(MIN(Opex_Build!C23:AF23)&gt;=0.4,MAX(Opex_Build!C23:AF23)&lt;=0.6),"PASS","WARN")</f>
        <v>WARN</v>
      </c>
    </row>
    <row r="12" customFormat="false" ht="15" hidden="false" customHeight="false" outlineLevel="0" collapsed="false">
      <c r="A12" s="5"/>
      <c r="B12" s="6" t="s">
        <v>312</v>
      </c>
      <c r="C12" s="8" t="s">
        <v>313</v>
      </c>
      <c r="D12" s="54" t="str">
        <f aca="false">IF(ABS(Debt_Schedule!AF16)&lt;1,"PASS","FAIL")</f>
        <v>PASS</v>
      </c>
    </row>
    <row r="13" customFormat="false" ht="15" hidden="false" customHeight="false" outlineLevel="0" collapsed="false">
      <c r="A13" s="5"/>
      <c r="B13" s="6" t="s">
        <v>314</v>
      </c>
      <c r="C13" s="8" t="s">
        <v>315</v>
      </c>
      <c r="D13" s="54" t="str">
        <f aca="false">IF(Traffic_Capacity!AF6=Concession_Length,"PASS","FAIL")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3" t="s">
        <v>44</v>
      </c>
      <c r="C5" s="20" t="s">
        <v>45</v>
      </c>
      <c r="D5" s="20" t="s">
        <v>46</v>
      </c>
      <c r="E5" s="3" t="s">
        <v>47</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21" t="s">
        <v>48</v>
      </c>
      <c r="C6" s="22"/>
      <c r="D6" s="22"/>
      <c r="E6" s="22"/>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49</v>
      </c>
      <c r="C7" s="23" t="n">
        <v>30</v>
      </c>
      <c r="D7" s="8" t="s">
        <v>50</v>
      </c>
      <c r="E7" s="8" t="s">
        <v>51</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52</v>
      </c>
      <c r="C8" s="23" t="n">
        <v>3</v>
      </c>
      <c r="D8" s="8" t="s">
        <v>50</v>
      </c>
      <c r="E8" s="8" t="s">
        <v>53</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54</v>
      </c>
      <c r="C9" s="23" t="n">
        <v>4</v>
      </c>
      <c r="D9" s="8" t="s">
        <v>55</v>
      </c>
      <c r="E9" s="8" t="s">
        <v>56</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57</v>
      </c>
      <c r="C10" s="24" t="n">
        <v>0.025</v>
      </c>
      <c r="D10" s="8" t="s">
        <v>58</v>
      </c>
      <c r="E10" s="8" t="s">
        <v>59</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60</v>
      </c>
      <c r="C11" s="24" t="n">
        <v>0.03</v>
      </c>
      <c r="D11" s="8" t="s">
        <v>58</v>
      </c>
      <c r="E11" s="8" t="s">
        <v>61</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1" t="s">
        <v>62</v>
      </c>
      <c r="C12" s="22"/>
      <c r="D12" s="22"/>
      <c r="E12" s="22"/>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63</v>
      </c>
      <c r="C13" s="23" t="n">
        <v>1000000</v>
      </c>
      <c r="D13" s="8" t="s">
        <v>64</v>
      </c>
      <c r="E13" s="8" t="s">
        <v>65</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66</v>
      </c>
      <c r="C14" s="23" t="n">
        <v>600000</v>
      </c>
      <c r="D14" s="8" t="s">
        <v>64</v>
      </c>
      <c r="E14" s="8" t="s">
        <v>67</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68</v>
      </c>
      <c r="C15" s="24" t="n">
        <v>0.035</v>
      </c>
      <c r="D15" s="8" t="s">
        <v>58</v>
      </c>
      <c r="E15" s="8" t="s">
        <v>69</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70</v>
      </c>
      <c r="C16" s="24" t="n">
        <v>0.85</v>
      </c>
      <c r="D16" s="8" t="s">
        <v>58</v>
      </c>
      <c r="E16" s="8" t="s">
        <v>71</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72</v>
      </c>
      <c r="C17" s="23" t="n">
        <v>500</v>
      </c>
      <c r="D17" s="8" t="s">
        <v>73</v>
      </c>
      <c r="E17" s="8" t="s">
        <v>74</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75</v>
      </c>
      <c r="C18" s="24" t="n">
        <v>0.02</v>
      </c>
      <c r="D18" s="8" t="s">
        <v>58</v>
      </c>
      <c r="E18" s="8" t="s">
        <v>76</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1" t="s">
        <v>77</v>
      </c>
      <c r="C19" s="22"/>
      <c r="D19" s="22"/>
      <c r="E19" s="22"/>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78</v>
      </c>
      <c r="C20" s="25" t="n">
        <v>180</v>
      </c>
      <c r="D20" s="8" t="s">
        <v>79</v>
      </c>
      <c r="E20" s="8" t="s">
        <v>80</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81</v>
      </c>
      <c r="C21" s="24" t="n">
        <v>0.025</v>
      </c>
      <c r="D21" s="8" t="s">
        <v>58</v>
      </c>
      <c r="E21" s="8" t="s">
        <v>82</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83</v>
      </c>
      <c r="C22" s="25" t="n">
        <v>25000</v>
      </c>
      <c r="D22" s="8" t="s">
        <v>84</v>
      </c>
      <c r="E22" s="8" t="s">
        <v>85</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86</v>
      </c>
      <c r="C23" s="24" t="n">
        <v>0.05</v>
      </c>
      <c r="D23" s="8" t="s">
        <v>58</v>
      </c>
      <c r="E23" s="8" t="s">
        <v>87</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88</v>
      </c>
      <c r="C24" s="24" t="n">
        <v>0.04</v>
      </c>
      <c r="D24" s="8" t="s">
        <v>58</v>
      </c>
      <c r="E24" s="8" t="s">
        <v>89</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21" t="s">
        <v>90</v>
      </c>
      <c r="C25" s="22"/>
      <c r="D25" s="22"/>
      <c r="E25" s="22"/>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91</v>
      </c>
      <c r="C26" s="25" t="n">
        <v>45</v>
      </c>
      <c r="D26" s="8" t="s">
        <v>79</v>
      </c>
      <c r="E26" s="8" t="s">
        <v>92</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93</v>
      </c>
      <c r="C27" s="25" t="n">
        <v>12</v>
      </c>
      <c r="D27" s="8" t="s">
        <v>79</v>
      </c>
      <c r="E27" s="8" t="s">
        <v>94</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7" t="s">
        <v>95</v>
      </c>
      <c r="C28" s="25" t="n">
        <v>15</v>
      </c>
      <c r="D28" s="8" t="s">
        <v>79</v>
      </c>
      <c r="E28" s="8" t="s">
        <v>96</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21" t="s">
        <v>97</v>
      </c>
      <c r="C29" s="22"/>
      <c r="D29" s="22"/>
      <c r="E29" s="22"/>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7" t="s">
        <v>98</v>
      </c>
      <c r="C30" s="25" t="n">
        <v>15000000</v>
      </c>
      <c r="D30" s="8" t="s">
        <v>99</v>
      </c>
      <c r="E30" s="8" t="s">
        <v>100</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7" t="s">
        <v>101</v>
      </c>
      <c r="C31" s="25" t="n">
        <v>5000000</v>
      </c>
      <c r="D31" s="8" t="s">
        <v>99</v>
      </c>
      <c r="E31" s="8" t="s">
        <v>102</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21" t="s">
        <v>103</v>
      </c>
      <c r="C32" s="22"/>
      <c r="D32" s="22"/>
      <c r="E32" s="22"/>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7" t="s">
        <v>104</v>
      </c>
      <c r="C33" s="25" t="n">
        <v>450000000</v>
      </c>
      <c r="D33" s="8" t="s">
        <v>105</v>
      </c>
      <c r="E33" s="8" t="s">
        <v>106</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7" t="s">
        <v>107</v>
      </c>
      <c r="C34" s="24" t="n">
        <v>0.02</v>
      </c>
      <c r="D34" s="8" t="s">
        <v>58</v>
      </c>
      <c r="E34" s="8" t="s">
        <v>108</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7" t="s">
        <v>109</v>
      </c>
      <c r="C35" s="23" t="n">
        <v>40</v>
      </c>
      <c r="D35" s="8" t="s">
        <v>50</v>
      </c>
      <c r="E35" s="8" t="s">
        <v>110</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7" t="s">
        <v>111</v>
      </c>
      <c r="C36" s="23" t="n">
        <v>15</v>
      </c>
      <c r="D36" s="8" t="s">
        <v>50</v>
      </c>
      <c r="E36" s="8" t="s">
        <v>112</v>
      </c>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7" t="s">
        <v>113</v>
      </c>
      <c r="C37" s="24" t="n">
        <v>0.6</v>
      </c>
      <c r="D37" s="8" t="s">
        <v>58</v>
      </c>
      <c r="E37" s="8" t="s">
        <v>114</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7" t="s">
        <v>115</v>
      </c>
      <c r="C38" s="24" t="n">
        <v>0.4</v>
      </c>
      <c r="D38" s="8" t="s">
        <v>58</v>
      </c>
      <c r="E38" s="8" t="s">
        <v>116</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21" t="s">
        <v>117</v>
      </c>
      <c r="C39" s="22"/>
      <c r="D39" s="22"/>
      <c r="E39" s="22"/>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7" t="s">
        <v>118</v>
      </c>
      <c r="C40" s="24" t="n">
        <v>0.7</v>
      </c>
      <c r="D40" s="8" t="s">
        <v>58</v>
      </c>
      <c r="E40" s="8" t="s">
        <v>119</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7" t="s">
        <v>120</v>
      </c>
      <c r="C41" s="23" t="n">
        <v>20</v>
      </c>
      <c r="D41" s="8" t="s">
        <v>50</v>
      </c>
      <c r="E41" s="8" t="s">
        <v>121</v>
      </c>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7" t="s">
        <v>122</v>
      </c>
      <c r="C42" s="24" t="n">
        <v>0.04</v>
      </c>
      <c r="D42" s="8" t="s">
        <v>58</v>
      </c>
      <c r="E42" s="8" t="s">
        <v>123</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7" t="s">
        <v>124</v>
      </c>
      <c r="C43" s="24" t="n">
        <v>0.025</v>
      </c>
      <c r="D43" s="8" t="s">
        <v>58</v>
      </c>
      <c r="E43" s="8" t="s">
        <v>125</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7" t="s">
        <v>126</v>
      </c>
      <c r="C44" s="23" t="n">
        <v>6</v>
      </c>
      <c r="D44" s="8" t="s">
        <v>127</v>
      </c>
      <c r="E44" s="8" t="s">
        <v>128</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21" t="s">
        <v>129</v>
      </c>
      <c r="C45" s="22"/>
      <c r="D45" s="22"/>
      <c r="E45" s="22"/>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7" t="s">
        <v>130</v>
      </c>
      <c r="C46" s="24" t="n">
        <v>0.25</v>
      </c>
      <c r="D46" s="8" t="s">
        <v>58</v>
      </c>
      <c r="E46" s="8" t="s">
        <v>131</v>
      </c>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7" t="s">
        <v>132</v>
      </c>
      <c r="C47" s="25" t="n">
        <v>135000000</v>
      </c>
      <c r="D47" s="8" t="s">
        <v>105</v>
      </c>
      <c r="E47" s="8" t="s">
        <v>133</v>
      </c>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7" t="s">
        <v>134</v>
      </c>
      <c r="C48" s="24" t="n">
        <v>0.12</v>
      </c>
      <c r="D48" s="8" t="s">
        <v>58</v>
      </c>
      <c r="E48" s="8" t="s">
        <v>135</v>
      </c>
      <c r="F48" s="5"/>
      <c r="G48" s="5"/>
      <c r="H48" s="5"/>
      <c r="I48" s="5"/>
      <c r="J48" s="5"/>
      <c r="K48" s="5"/>
      <c r="L48" s="5"/>
      <c r="M48" s="5"/>
      <c r="N48" s="5"/>
      <c r="O48" s="5"/>
      <c r="P48" s="5"/>
      <c r="Q48" s="5"/>
      <c r="R48" s="5"/>
      <c r="S48" s="5"/>
      <c r="T48" s="5"/>
      <c r="U48" s="5"/>
      <c r="V48" s="5"/>
      <c r="W48" s="5"/>
      <c r="X48" s="5"/>
      <c r="Y48" s="5"/>
      <c r="Z48" s="5"/>
      <c r="AA48" s="5"/>
      <c r="AB48" s="5"/>
      <c r="AC48" s="5"/>
      <c r="AD4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6" t="s">
        <v>136</v>
      </c>
    </row>
    <row r="3" customFormat="false" ht="3.75" hidden="false" customHeight="true" outlineLevel="0" collapsed="false">
      <c r="A3" s="5"/>
      <c r="B3" s="27"/>
    </row>
    <row r="4" customFormat="false" ht="15" hidden="false" customHeight="false" outlineLevel="0" collapsed="false">
      <c r="A4" s="5"/>
      <c r="B4" s="5"/>
    </row>
    <row r="5" customFormat="false" ht="19.5" hidden="false" customHeight="true" outlineLevel="0" collapsed="false">
      <c r="A5" s="5"/>
      <c r="B5" s="28" t="s">
        <v>137</v>
      </c>
    </row>
    <row r="6" customFormat="false" ht="48" hidden="false" customHeight="true" outlineLevel="0" collapsed="false">
      <c r="A6" s="5"/>
      <c r="B6" s="29" t="s">
        <v>138</v>
      </c>
    </row>
    <row r="7" customFormat="false" ht="15" hidden="false" customHeight="false" outlineLevel="0" collapsed="false">
      <c r="A7" s="5"/>
      <c r="B7" s="5"/>
    </row>
    <row r="8" customFormat="false" ht="19.5" hidden="false" customHeight="true" outlineLevel="0" collapsed="false">
      <c r="A8" s="5"/>
      <c r="B8" s="28" t="s">
        <v>139</v>
      </c>
    </row>
    <row r="9" customFormat="false" ht="61.5" hidden="false" customHeight="true" outlineLevel="0" collapsed="false">
      <c r="A9" s="5"/>
      <c r="B9" s="29" t="s">
        <v>140</v>
      </c>
    </row>
    <row r="10" customFormat="false" ht="15" hidden="false" customHeight="false" outlineLevel="0" collapsed="false">
      <c r="A10" s="5"/>
      <c r="B10" s="5"/>
    </row>
    <row r="11" customFormat="false" ht="19.5" hidden="false" customHeight="true" outlineLevel="0" collapsed="false">
      <c r="A11" s="5"/>
      <c r="B11" s="28" t="s">
        <v>141</v>
      </c>
    </row>
    <row r="12" customFormat="false" ht="75.75" hidden="false" customHeight="true" outlineLevel="0" collapsed="false">
      <c r="A12" s="5"/>
      <c r="B12" s="29" t="s">
        <v>142</v>
      </c>
    </row>
    <row r="13" customFormat="false" ht="15" hidden="false" customHeight="false" outlineLevel="0" collapsed="false">
      <c r="A13" s="5"/>
      <c r="B13" s="5"/>
    </row>
    <row r="14" customFormat="false" ht="19.5" hidden="false" customHeight="true" outlineLevel="0" collapsed="false">
      <c r="A14" s="5"/>
      <c r="B14" s="28" t="s">
        <v>143</v>
      </c>
    </row>
    <row r="15" customFormat="false" ht="61.5" hidden="false" customHeight="true" outlineLevel="0" collapsed="false">
      <c r="A15" s="5"/>
      <c r="B15" s="29" t="s">
        <v>144</v>
      </c>
    </row>
    <row r="16" customFormat="false" ht="15" hidden="false" customHeight="false" outlineLevel="0" collapsed="false">
      <c r="A16" s="5"/>
      <c r="B16" s="5"/>
    </row>
    <row r="17" customFormat="false" ht="19.5" hidden="false" customHeight="true" outlineLevel="0" collapsed="false">
      <c r="A17" s="5"/>
      <c r="B17" s="28" t="s">
        <v>145</v>
      </c>
    </row>
    <row r="18" customFormat="false" ht="33.75" hidden="false" customHeight="true" outlineLevel="0" collapsed="false">
      <c r="A18" s="5"/>
      <c r="B18" s="29" t="s">
        <v>146</v>
      </c>
    </row>
    <row r="19" customFormat="false" ht="15" hidden="false" customHeight="false" outlineLevel="0" collapsed="false">
      <c r="A19" s="5"/>
      <c r="B19" s="5"/>
    </row>
    <row r="20" customFormat="false" ht="19.5" hidden="false" customHeight="true" outlineLevel="0" collapsed="false">
      <c r="A20" s="5"/>
      <c r="B20" s="28" t="s">
        <v>147</v>
      </c>
    </row>
    <row r="21" customFormat="false" ht="33.75" hidden="false" customHeight="true" outlineLevel="0" collapsed="false">
      <c r="A21" s="5"/>
      <c r="B21" s="29" t="s">
        <v>148</v>
      </c>
    </row>
    <row r="22" customFormat="false" ht="15" hidden="false" customHeight="false" outlineLevel="0" collapsed="false">
      <c r="A22" s="5"/>
      <c r="B22" s="5"/>
    </row>
    <row r="23" customFormat="false" ht="21.75" hidden="false" customHeight="true" outlineLevel="0" collapsed="false">
      <c r="A23" s="5"/>
      <c r="B23" s="30" t="s">
        <v>149</v>
      </c>
    </row>
    <row r="24" customFormat="false" ht="15" hidden="false" customHeight="false" outlineLevel="0" collapsed="false">
      <c r="A24" s="5"/>
      <c r="B24" s="5"/>
    </row>
    <row r="25" customFormat="false" ht="18" hidden="false" customHeight="true" outlineLevel="0" collapsed="false">
      <c r="A25" s="5"/>
      <c r="B25" s="31" t="s">
        <v>150</v>
      </c>
    </row>
    <row r="26" customFormat="false" ht="201.75" hidden="false" customHeight="true" outlineLevel="0" collapsed="false">
      <c r="A26" s="5"/>
      <c r="B26" s="32" t="s">
        <v>151</v>
      </c>
    </row>
    <row r="27" customFormat="false" ht="15" hidden="false" customHeight="false" outlineLevel="0" collapsed="false">
      <c r="A27" s="5"/>
      <c r="B27" s="5"/>
    </row>
    <row r="28" customFormat="false" ht="18" hidden="false" customHeight="true" outlineLevel="0" collapsed="false">
      <c r="A28" s="5"/>
      <c r="B28" s="33" t="s">
        <v>152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F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153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154</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8" t="s">
        <v>186</v>
      </c>
      <c r="C7" s="37" t="s">
        <v>187</v>
      </c>
      <c r="D7" s="37" t="s">
        <v>187</v>
      </c>
      <c r="E7" s="37" t="s">
        <v>187</v>
      </c>
      <c r="F7" s="37" t="s">
        <v>188</v>
      </c>
      <c r="G7" s="37" t="s">
        <v>188</v>
      </c>
      <c r="H7" s="37" t="s">
        <v>188</v>
      </c>
      <c r="I7" s="37" t="s">
        <v>188</v>
      </c>
      <c r="J7" s="37" t="s">
        <v>188</v>
      </c>
      <c r="K7" s="37" t="s">
        <v>188</v>
      </c>
      <c r="L7" s="37" t="s">
        <v>188</v>
      </c>
      <c r="M7" s="37" t="s">
        <v>188</v>
      </c>
      <c r="N7" s="37" t="s">
        <v>188</v>
      </c>
      <c r="O7" s="37" t="s">
        <v>188</v>
      </c>
      <c r="P7" s="37" t="s">
        <v>188</v>
      </c>
      <c r="Q7" s="37" t="s">
        <v>188</v>
      </c>
      <c r="R7" s="37" t="s">
        <v>188</v>
      </c>
      <c r="S7" s="37" t="s">
        <v>188</v>
      </c>
      <c r="T7" s="37" t="s">
        <v>188</v>
      </c>
      <c r="U7" s="37" t="s">
        <v>188</v>
      </c>
      <c r="V7" s="37" t="s">
        <v>188</v>
      </c>
      <c r="W7" s="37" t="s">
        <v>188</v>
      </c>
      <c r="X7" s="37" t="s">
        <v>188</v>
      </c>
      <c r="Y7" s="37" t="s">
        <v>188</v>
      </c>
      <c r="Z7" s="37" t="s">
        <v>188</v>
      </c>
      <c r="AA7" s="37" t="s">
        <v>188</v>
      </c>
      <c r="AB7" s="37" t="s">
        <v>188</v>
      </c>
      <c r="AC7" s="37" t="s">
        <v>188</v>
      </c>
      <c r="AD7" s="37" t="s">
        <v>188</v>
      </c>
      <c r="AE7" s="37" t="s">
        <v>188</v>
      </c>
      <c r="AF7" s="37" t="s">
        <v>188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customFormat="false" ht="15" hidden="false" customHeight="false" outlineLevel="0" collapsed="false">
      <c r="A9" s="5"/>
      <c r="B9" s="15" t="s">
        <v>104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customFormat="false" ht="15" hidden="false" customHeight="false" outlineLevel="0" collapsed="false">
      <c r="A10" s="5"/>
      <c r="B10" s="38" t="s">
        <v>189</v>
      </c>
      <c r="C10" s="39" t="n">
        <f aca="false">IF(C6&lt;=Construction_Period,Construction_Capex*Civil_Pct/Construction_Period,0)</f>
        <v>90000000</v>
      </c>
      <c r="D10" s="39" t="n">
        <f aca="false">IF(D6&lt;=Construction_Period,Construction_Capex*Civil_Pct/Construction_Period,0)</f>
        <v>90000000</v>
      </c>
      <c r="E10" s="39" t="n">
        <f aca="false">IF(E6&lt;=Construction_Period,Construction_Capex*Civil_Pct/Construction_Period,0)</f>
        <v>90000000</v>
      </c>
      <c r="F10" s="39" t="n">
        <f aca="false">IF(F6&lt;=Construction_Period,Construction_Capex*Civil_Pct/Construction_Period,0)</f>
        <v>0</v>
      </c>
      <c r="G10" s="39" t="n">
        <f aca="false">IF(G6&lt;=Construction_Period,Construction_Capex*Civil_Pct/Construction_Period,0)</f>
        <v>0</v>
      </c>
      <c r="H10" s="39" t="n">
        <f aca="false">IF(H6&lt;=Construction_Period,Construction_Capex*Civil_Pct/Construction_Period,0)</f>
        <v>0</v>
      </c>
      <c r="I10" s="39" t="n">
        <f aca="false">IF(I6&lt;=Construction_Period,Construction_Capex*Civil_Pct/Construction_Period,0)</f>
        <v>0</v>
      </c>
      <c r="J10" s="39" t="n">
        <f aca="false">IF(J6&lt;=Construction_Period,Construction_Capex*Civil_Pct/Construction_Period,0)</f>
        <v>0</v>
      </c>
      <c r="K10" s="39" t="n">
        <f aca="false">IF(K6&lt;=Construction_Period,Construction_Capex*Civil_Pct/Construction_Period,0)</f>
        <v>0</v>
      </c>
      <c r="L10" s="39" t="n">
        <f aca="false">IF(L6&lt;=Construction_Period,Construction_Capex*Civil_Pct/Construction_Period,0)</f>
        <v>0</v>
      </c>
      <c r="M10" s="39" t="n">
        <f aca="false">IF(M6&lt;=Construction_Period,Construction_Capex*Civil_Pct/Construction_Period,0)</f>
        <v>0</v>
      </c>
      <c r="N10" s="39" t="n">
        <f aca="false">IF(N6&lt;=Construction_Period,Construction_Capex*Civil_Pct/Construction_Period,0)</f>
        <v>0</v>
      </c>
      <c r="O10" s="39" t="n">
        <f aca="false">IF(O6&lt;=Construction_Period,Construction_Capex*Civil_Pct/Construction_Period,0)</f>
        <v>0</v>
      </c>
      <c r="P10" s="39" t="n">
        <f aca="false">IF(P6&lt;=Construction_Period,Construction_Capex*Civil_Pct/Construction_Period,0)</f>
        <v>0</v>
      </c>
      <c r="Q10" s="39" t="n">
        <f aca="false">IF(Q6&lt;=Construction_Period,Construction_Capex*Civil_Pct/Construction_Period,0)</f>
        <v>0</v>
      </c>
      <c r="R10" s="39" t="n">
        <f aca="false">IF(R6&lt;=Construction_Period,Construction_Capex*Civil_Pct/Construction_Period,0)</f>
        <v>0</v>
      </c>
      <c r="S10" s="39" t="n">
        <f aca="false">IF(S6&lt;=Construction_Period,Construction_Capex*Civil_Pct/Construction_Period,0)</f>
        <v>0</v>
      </c>
      <c r="T10" s="39" t="n">
        <f aca="false">IF(T6&lt;=Construction_Period,Construction_Capex*Civil_Pct/Construction_Period,0)</f>
        <v>0</v>
      </c>
      <c r="U10" s="39" t="n">
        <f aca="false">IF(U6&lt;=Construction_Period,Construction_Capex*Civil_Pct/Construction_Period,0)</f>
        <v>0</v>
      </c>
      <c r="V10" s="39" t="n">
        <f aca="false">IF(V6&lt;=Construction_Period,Construction_Capex*Civil_Pct/Construction_Period,0)</f>
        <v>0</v>
      </c>
      <c r="W10" s="39" t="n">
        <f aca="false">IF(W6&lt;=Construction_Period,Construction_Capex*Civil_Pct/Construction_Period,0)</f>
        <v>0</v>
      </c>
      <c r="X10" s="39" t="n">
        <f aca="false">IF(X6&lt;=Construction_Period,Construction_Capex*Civil_Pct/Construction_Period,0)</f>
        <v>0</v>
      </c>
      <c r="Y10" s="39" t="n">
        <f aca="false">IF(Y6&lt;=Construction_Period,Construction_Capex*Civil_Pct/Construction_Period,0)</f>
        <v>0</v>
      </c>
      <c r="Z10" s="39" t="n">
        <f aca="false">IF(Z6&lt;=Construction_Period,Construction_Capex*Civil_Pct/Construction_Period,0)</f>
        <v>0</v>
      </c>
      <c r="AA10" s="39" t="n">
        <f aca="false">IF(AA6&lt;=Construction_Period,Construction_Capex*Civil_Pct/Construction_Period,0)</f>
        <v>0</v>
      </c>
      <c r="AB10" s="39" t="n">
        <f aca="false">IF(AB6&lt;=Construction_Period,Construction_Capex*Civil_Pct/Construction_Period,0)</f>
        <v>0</v>
      </c>
      <c r="AC10" s="39" t="n">
        <f aca="false">IF(AC6&lt;=Construction_Period,Construction_Capex*Civil_Pct/Construction_Period,0)</f>
        <v>0</v>
      </c>
      <c r="AD10" s="39" t="n">
        <f aca="false">IF(AD6&lt;=Construction_Period,Construction_Capex*Civil_Pct/Construction_Period,0)</f>
        <v>0</v>
      </c>
      <c r="AE10" s="39" t="n">
        <f aca="false">IF(AE6&lt;=Construction_Period,Construction_Capex*Civil_Pct/Construction_Period,0)</f>
        <v>0</v>
      </c>
      <c r="AF10" s="39" t="n">
        <f aca="false">IF(AF6&lt;=Construction_Period,Construction_Capex*Civil_Pct/Construction_Period,0)</f>
        <v>0</v>
      </c>
    </row>
    <row r="11" customFormat="false" ht="15" hidden="false" customHeight="false" outlineLevel="0" collapsed="false">
      <c r="A11" s="5"/>
      <c r="B11" s="38" t="s">
        <v>190</v>
      </c>
      <c r="C11" s="39" t="n">
        <f aca="false">IF(C6&lt;=Construction_Period,Construction_Capex*Equip_Pct/Construction_Period,0)</f>
        <v>60000000</v>
      </c>
      <c r="D11" s="39" t="n">
        <f aca="false">IF(D6&lt;=Construction_Period,Construction_Capex*Equip_Pct/Construction_Period,0)</f>
        <v>60000000</v>
      </c>
      <c r="E11" s="39" t="n">
        <f aca="false">IF(E6&lt;=Construction_Period,Construction_Capex*Equip_Pct/Construction_Period,0)</f>
        <v>60000000</v>
      </c>
      <c r="F11" s="39" t="n">
        <f aca="false">IF(F6&lt;=Construction_Period,Construction_Capex*Equip_Pct/Construction_Period,0)</f>
        <v>0</v>
      </c>
      <c r="G11" s="39" t="n">
        <f aca="false">IF(G6&lt;=Construction_Period,Construction_Capex*Equip_Pct/Construction_Period,0)</f>
        <v>0</v>
      </c>
      <c r="H11" s="39" t="n">
        <f aca="false">IF(H6&lt;=Construction_Period,Construction_Capex*Equip_Pct/Construction_Period,0)</f>
        <v>0</v>
      </c>
      <c r="I11" s="39" t="n">
        <f aca="false">IF(I6&lt;=Construction_Period,Construction_Capex*Equip_Pct/Construction_Period,0)</f>
        <v>0</v>
      </c>
      <c r="J11" s="39" t="n">
        <f aca="false">IF(J6&lt;=Construction_Period,Construction_Capex*Equip_Pct/Construction_Period,0)</f>
        <v>0</v>
      </c>
      <c r="K11" s="39" t="n">
        <f aca="false">IF(K6&lt;=Construction_Period,Construction_Capex*Equip_Pct/Construction_Period,0)</f>
        <v>0</v>
      </c>
      <c r="L11" s="39" t="n">
        <f aca="false">IF(L6&lt;=Construction_Period,Construction_Capex*Equip_Pct/Construction_Period,0)</f>
        <v>0</v>
      </c>
      <c r="M11" s="39" t="n">
        <f aca="false">IF(M6&lt;=Construction_Period,Construction_Capex*Equip_Pct/Construction_Period,0)</f>
        <v>0</v>
      </c>
      <c r="N11" s="39" t="n">
        <f aca="false">IF(N6&lt;=Construction_Period,Construction_Capex*Equip_Pct/Construction_Period,0)</f>
        <v>0</v>
      </c>
      <c r="O11" s="39" t="n">
        <f aca="false">IF(O6&lt;=Construction_Period,Construction_Capex*Equip_Pct/Construction_Period,0)</f>
        <v>0</v>
      </c>
      <c r="P11" s="39" t="n">
        <f aca="false">IF(P6&lt;=Construction_Period,Construction_Capex*Equip_Pct/Construction_Period,0)</f>
        <v>0</v>
      </c>
      <c r="Q11" s="39" t="n">
        <f aca="false">IF(Q6&lt;=Construction_Period,Construction_Capex*Equip_Pct/Construction_Period,0)</f>
        <v>0</v>
      </c>
      <c r="R11" s="39" t="n">
        <f aca="false">IF(R6&lt;=Construction_Period,Construction_Capex*Equip_Pct/Construction_Period,0)</f>
        <v>0</v>
      </c>
      <c r="S11" s="39" t="n">
        <f aca="false">IF(S6&lt;=Construction_Period,Construction_Capex*Equip_Pct/Construction_Period,0)</f>
        <v>0</v>
      </c>
      <c r="T11" s="39" t="n">
        <f aca="false">IF(T6&lt;=Construction_Period,Construction_Capex*Equip_Pct/Construction_Period,0)</f>
        <v>0</v>
      </c>
      <c r="U11" s="39" t="n">
        <f aca="false">IF(U6&lt;=Construction_Period,Construction_Capex*Equip_Pct/Construction_Period,0)</f>
        <v>0</v>
      </c>
      <c r="V11" s="39" t="n">
        <f aca="false">IF(V6&lt;=Construction_Period,Construction_Capex*Equip_Pct/Construction_Period,0)</f>
        <v>0</v>
      </c>
      <c r="W11" s="39" t="n">
        <f aca="false">IF(W6&lt;=Construction_Period,Construction_Capex*Equip_Pct/Construction_Period,0)</f>
        <v>0</v>
      </c>
      <c r="X11" s="39" t="n">
        <f aca="false">IF(X6&lt;=Construction_Period,Construction_Capex*Equip_Pct/Construction_Period,0)</f>
        <v>0</v>
      </c>
      <c r="Y11" s="39" t="n">
        <f aca="false">IF(Y6&lt;=Construction_Period,Construction_Capex*Equip_Pct/Construction_Period,0)</f>
        <v>0</v>
      </c>
      <c r="Z11" s="39" t="n">
        <f aca="false">IF(Z6&lt;=Construction_Period,Construction_Capex*Equip_Pct/Construction_Period,0)</f>
        <v>0</v>
      </c>
      <c r="AA11" s="39" t="n">
        <f aca="false">IF(AA6&lt;=Construction_Period,Construction_Capex*Equip_Pct/Construction_Period,0)</f>
        <v>0</v>
      </c>
      <c r="AB11" s="39" t="n">
        <f aca="false">IF(AB6&lt;=Construction_Period,Construction_Capex*Equip_Pct/Construction_Period,0)</f>
        <v>0</v>
      </c>
      <c r="AC11" s="39" t="n">
        <f aca="false">IF(AC6&lt;=Construction_Period,Construction_Capex*Equip_Pct/Construction_Period,0)</f>
        <v>0</v>
      </c>
      <c r="AD11" s="39" t="n">
        <f aca="false">IF(AD6&lt;=Construction_Period,Construction_Capex*Equip_Pct/Construction_Period,0)</f>
        <v>0</v>
      </c>
      <c r="AE11" s="39" t="n">
        <f aca="false">IF(AE6&lt;=Construction_Period,Construction_Capex*Equip_Pct/Construction_Period,0)</f>
        <v>0</v>
      </c>
      <c r="AF11" s="39" t="n">
        <f aca="false">IF(AF6&lt;=Construction_Period,Construction_Capex*Equip_Pct/Construction_Period,0)</f>
        <v>0</v>
      </c>
    </row>
    <row r="12" customFormat="false" ht="15" hidden="false" customHeight="false" outlineLevel="0" collapsed="false">
      <c r="A12" s="5"/>
      <c r="B12" s="40" t="s">
        <v>191</v>
      </c>
      <c r="C12" s="41" t="n">
        <f aca="false">C10+C11</f>
        <v>150000000</v>
      </c>
      <c r="D12" s="41" t="n">
        <f aca="false">D10+D11</f>
        <v>150000000</v>
      </c>
      <c r="E12" s="41" t="n">
        <f aca="false">E10+E11</f>
        <v>150000000</v>
      </c>
      <c r="F12" s="41" t="n">
        <f aca="false">F10+F11</f>
        <v>0</v>
      </c>
      <c r="G12" s="41" t="n">
        <f aca="false">G10+G11</f>
        <v>0</v>
      </c>
      <c r="H12" s="41" t="n">
        <f aca="false">H10+H11</f>
        <v>0</v>
      </c>
      <c r="I12" s="41" t="n">
        <f aca="false">I10+I11</f>
        <v>0</v>
      </c>
      <c r="J12" s="41" t="n">
        <f aca="false">J10+J11</f>
        <v>0</v>
      </c>
      <c r="K12" s="41" t="n">
        <f aca="false">K10+K11</f>
        <v>0</v>
      </c>
      <c r="L12" s="41" t="n">
        <f aca="false">L10+L11</f>
        <v>0</v>
      </c>
      <c r="M12" s="41" t="n">
        <f aca="false">M10+M11</f>
        <v>0</v>
      </c>
      <c r="N12" s="41" t="n">
        <f aca="false">N10+N11</f>
        <v>0</v>
      </c>
      <c r="O12" s="41" t="n">
        <f aca="false">O10+O11</f>
        <v>0</v>
      </c>
      <c r="P12" s="41" t="n">
        <f aca="false">P10+P11</f>
        <v>0</v>
      </c>
      <c r="Q12" s="41" t="n">
        <f aca="false">Q10+Q11</f>
        <v>0</v>
      </c>
      <c r="R12" s="41" t="n">
        <f aca="false">R10+R11</f>
        <v>0</v>
      </c>
      <c r="S12" s="41" t="n">
        <f aca="false">S10+S11</f>
        <v>0</v>
      </c>
      <c r="T12" s="41" t="n">
        <f aca="false">T10+T11</f>
        <v>0</v>
      </c>
      <c r="U12" s="41" t="n">
        <f aca="false">U10+U11</f>
        <v>0</v>
      </c>
      <c r="V12" s="41" t="n">
        <f aca="false">V10+V11</f>
        <v>0</v>
      </c>
      <c r="W12" s="41" t="n">
        <f aca="false">W10+W11</f>
        <v>0</v>
      </c>
      <c r="X12" s="41" t="n">
        <f aca="false">X10+X11</f>
        <v>0</v>
      </c>
      <c r="Y12" s="41" t="n">
        <f aca="false">Y10+Y11</f>
        <v>0</v>
      </c>
      <c r="Z12" s="41" t="n">
        <f aca="false">Z10+Z11</f>
        <v>0</v>
      </c>
      <c r="AA12" s="41" t="n">
        <f aca="false">AA10+AA11</f>
        <v>0</v>
      </c>
      <c r="AB12" s="41" t="n">
        <f aca="false">AB10+AB11</f>
        <v>0</v>
      </c>
      <c r="AC12" s="41" t="n">
        <f aca="false">AC10+AC11</f>
        <v>0</v>
      </c>
      <c r="AD12" s="41" t="n">
        <f aca="false">AD10+AD11</f>
        <v>0</v>
      </c>
      <c r="AE12" s="41" t="n">
        <f aca="false">AE10+AE11</f>
        <v>0</v>
      </c>
      <c r="AF12" s="41" t="n">
        <f aca="false">AF10+AF11</f>
        <v>0</v>
      </c>
    </row>
    <row r="13" customFormat="false" ht="15" hidden="false" customHeight="false" outlineLevel="0" collapsed="false">
      <c r="A13" s="5"/>
      <c r="B13" s="38" t="s">
        <v>192</v>
      </c>
      <c r="C13" s="39" t="n">
        <f aca="false">C12</f>
        <v>150000000</v>
      </c>
      <c r="D13" s="39" t="n">
        <f aca="false">C13+D12</f>
        <v>300000000</v>
      </c>
      <c r="E13" s="39" t="n">
        <f aca="false">D13+E12</f>
        <v>450000000</v>
      </c>
      <c r="F13" s="39" t="n">
        <f aca="false">E13+F12</f>
        <v>450000000</v>
      </c>
      <c r="G13" s="39" t="n">
        <f aca="false">F13+G12</f>
        <v>450000000</v>
      </c>
      <c r="H13" s="39" t="n">
        <f aca="false">G13+H12</f>
        <v>450000000</v>
      </c>
      <c r="I13" s="39" t="n">
        <f aca="false">H13+I12</f>
        <v>450000000</v>
      </c>
      <c r="J13" s="39" t="n">
        <f aca="false">I13+J12</f>
        <v>450000000</v>
      </c>
      <c r="K13" s="39" t="n">
        <f aca="false">J13+K12</f>
        <v>450000000</v>
      </c>
      <c r="L13" s="39" t="n">
        <f aca="false">K13+L12</f>
        <v>450000000</v>
      </c>
      <c r="M13" s="39" t="n">
        <f aca="false">L13+M12</f>
        <v>450000000</v>
      </c>
      <c r="N13" s="39" t="n">
        <f aca="false">M13+N12</f>
        <v>450000000</v>
      </c>
      <c r="O13" s="39" t="n">
        <f aca="false">N13+O12</f>
        <v>450000000</v>
      </c>
      <c r="P13" s="39" t="n">
        <f aca="false">O13+P12</f>
        <v>450000000</v>
      </c>
      <c r="Q13" s="39" t="n">
        <f aca="false">P13+Q12</f>
        <v>450000000</v>
      </c>
      <c r="R13" s="39" t="n">
        <f aca="false">Q13+R12</f>
        <v>450000000</v>
      </c>
      <c r="S13" s="39" t="n">
        <f aca="false">R13+S12</f>
        <v>450000000</v>
      </c>
      <c r="T13" s="39" t="n">
        <f aca="false">S13+T12</f>
        <v>450000000</v>
      </c>
      <c r="U13" s="39" t="n">
        <f aca="false">T13+U12</f>
        <v>450000000</v>
      </c>
      <c r="V13" s="39" t="n">
        <f aca="false">U13+V12</f>
        <v>450000000</v>
      </c>
      <c r="W13" s="39" t="n">
        <f aca="false">V13+W12</f>
        <v>450000000</v>
      </c>
      <c r="X13" s="39" t="n">
        <f aca="false">W13+X12</f>
        <v>450000000</v>
      </c>
      <c r="Y13" s="39" t="n">
        <f aca="false">X13+Y12</f>
        <v>450000000</v>
      </c>
      <c r="Z13" s="39" t="n">
        <f aca="false">Y13+Z12</f>
        <v>450000000</v>
      </c>
      <c r="AA13" s="39" t="n">
        <f aca="false">Z13+AA12</f>
        <v>450000000</v>
      </c>
      <c r="AB13" s="39" t="n">
        <f aca="false">AA13+AB12</f>
        <v>450000000</v>
      </c>
      <c r="AC13" s="39" t="n">
        <f aca="false">AB13+AC12</f>
        <v>450000000</v>
      </c>
      <c r="AD13" s="39" t="n">
        <f aca="false">AC13+AD12</f>
        <v>450000000</v>
      </c>
      <c r="AE13" s="39" t="n">
        <f aca="false">AD13+AE12</f>
        <v>450000000</v>
      </c>
      <c r="AF13" s="39" t="n">
        <f aca="false">AE13+AF12</f>
        <v>450000000</v>
      </c>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5" customFormat="false" ht="15" hidden="false" customHeight="false" outlineLevel="0" collapsed="false">
      <c r="A15" s="5"/>
      <c r="B15" s="15" t="s">
        <v>193</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row>
    <row r="16" customFormat="false" ht="15" hidden="false" customHeight="false" outlineLevel="0" collapsed="false">
      <c r="A16" s="5"/>
      <c r="B16" s="38" t="s">
        <v>193</v>
      </c>
      <c r="C16" s="39" t="n">
        <f aca="false">IF(C6&gt;=Ops_Start_Year,RB_Total_Revenue*Maint_Capex_Pct,0)</f>
        <v>0</v>
      </c>
      <c r="D16" s="39" t="n">
        <f aca="false">IF(D6&gt;=Ops_Start_Year,RB_Total_Revenue*Maint_Capex_Pct,0)</f>
        <v>0</v>
      </c>
      <c r="E16" s="39" t="n">
        <f aca="false">IF(E6&gt;=Ops_Start_Year,RB_Total_Revenue*Maint_Capex_Pct,0)</f>
        <v>0</v>
      </c>
      <c r="F16" s="39" t="n">
        <f aca="false">IF(F6&gt;=Ops_Start_Year,RB_Total_Revenue*Maint_Capex_Pct,0)</f>
        <v>2604400</v>
      </c>
      <c r="G16" s="39" t="n">
        <f aca="false">IF(G6&gt;=Ops_Start_Year,RB_Total_Revenue*Maint_Capex_Pct,0)</f>
        <v>2759099.1</v>
      </c>
      <c r="H16" s="39" t="n">
        <f aca="false">IF(H6&gt;=Ops_Start_Year,RB_Total_Revenue*Maint_Capex_Pct,0)</f>
        <v>2923040.6170875</v>
      </c>
      <c r="I16" s="39" t="n">
        <f aca="false">IF(I6&gt;=Ops_Start_Year,RB_Total_Revenue*Maint_Capex_Pct,0)</f>
        <v>3096779.22587926</v>
      </c>
      <c r="J16" s="39" t="n">
        <f aca="false">IF(J6&gt;=Ops_Start_Year,RB_Total_Revenue*Maint_Capex_Pct,0)</f>
        <v>3280903.00474203</v>
      </c>
      <c r="K16" s="39" t="n">
        <f aca="false">IF(K6&gt;=Ops_Start_Year,RB_Total_Revenue*Maint_Capex_Pct,0)</f>
        <v>3476035.45277175</v>
      </c>
      <c r="L16" s="39" t="n">
        <f aca="false">IF(L6&gt;=Ops_Start_Year,RB_Total_Revenue*Maint_Capex_Pct,0)</f>
        <v>3682837.62880681</v>
      </c>
      <c r="M16" s="39" t="n">
        <f aca="false">IF(M6&gt;=Ops_Start_Year,RB_Total_Revenue*Maint_Capex_Pct,0)</f>
        <v>3902010.41987006</v>
      </c>
      <c r="N16" s="39" t="n">
        <f aca="false">IF(N6&gt;=Ops_Start_Year,RB_Total_Revenue*Maint_Capex_Pct,0)</f>
        <v>4134296.94688293</v>
      </c>
      <c r="O16" s="39" t="n">
        <f aca="false">IF(O6&gt;=Ops_Start_Year,RB_Total_Revenue*Maint_Capex_Pct,0)</f>
        <v>4380485.11597071</v>
      </c>
      <c r="P16" s="39" t="n">
        <f aca="false">IF(P6&gt;=Ops_Start_Year,RB_Total_Revenue*Maint_Capex_Pct,0)</f>
        <v>4641410.32418301</v>
      </c>
      <c r="Q16" s="39" t="n">
        <f aca="false">IF(Q6&gt;=Ops_Start_Year,RB_Total_Revenue*Maint_Capex_Pct,0)</f>
        <v>4784187.54860472</v>
      </c>
      <c r="R16" s="39" t="n">
        <f aca="false">IF(R6&gt;=Ops_Start_Year,RB_Total_Revenue*Maint_Capex_Pct,0)</f>
        <v>4912153.23837841</v>
      </c>
      <c r="S16" s="39" t="n">
        <f aca="false">IF(S6&gt;=Ops_Start_Year,RB_Total_Revenue*Maint_Capex_Pct,0)</f>
        <v>5043698.49594461</v>
      </c>
      <c r="T16" s="39" t="n">
        <f aca="false">IF(T6&gt;=Ops_Start_Year,RB_Total_Revenue*Maint_Capex_Pct,0)</f>
        <v>5178930.11986057</v>
      </c>
      <c r="U16" s="39" t="n">
        <f aca="false">IF(U6&gt;=Ops_Start_Year,RB_Total_Revenue*Maint_Capex_Pct,0)</f>
        <v>5317958.36622347</v>
      </c>
      <c r="V16" s="39" t="n">
        <f aca="false">IF(V6&gt;=Ops_Start_Year,RB_Total_Revenue*Maint_Capex_Pct,0)</f>
        <v>5460897.07094361</v>
      </c>
      <c r="W16" s="39" t="n">
        <f aca="false">IF(W6&gt;=Ops_Start_Year,RB_Total_Revenue*Maint_Capex_Pct,0)</f>
        <v>5607863.77670495</v>
      </c>
      <c r="X16" s="39" t="n">
        <f aca="false">IF(X6&gt;=Ops_Start_Year,RB_Total_Revenue*Maint_Capex_Pct,0)</f>
        <v>5758979.86480425</v>
      </c>
      <c r="Y16" s="39" t="n">
        <f aca="false">IF(Y6&gt;=Ops_Start_Year,RB_Total_Revenue*Maint_Capex_Pct,0)</f>
        <v>5914370.69206856</v>
      </c>
      <c r="Z16" s="39" t="n">
        <f aca="false">IF(Z6&gt;=Ops_Start_Year,RB_Total_Revenue*Maint_Capex_Pct,0)</f>
        <v>6074165.73305879</v>
      </c>
      <c r="AA16" s="39" t="n">
        <f aca="false">IF(AA6&gt;=Ops_Start_Year,RB_Total_Revenue*Maint_Capex_Pct,0)</f>
        <v>6238498.7277766</v>
      </c>
      <c r="AB16" s="39" t="n">
        <f aca="false">IF(AB6&gt;=Ops_Start_Year,RB_Total_Revenue*Maint_Capex_Pct,0)</f>
        <v>6407507.83510066</v>
      </c>
      <c r="AC16" s="39" t="n">
        <f aca="false">IF(AC6&gt;=Ops_Start_Year,RB_Total_Revenue*Maint_Capex_Pct,0)</f>
        <v>6581335.79218823</v>
      </c>
      <c r="AD16" s="39" t="n">
        <f aca="false">IF(AD6&gt;=Ops_Start_Year,RB_Total_Revenue*Maint_Capex_Pct,0)</f>
        <v>6760130.08008803</v>
      </c>
      <c r="AE16" s="39" t="n">
        <f aca="false">IF(AE6&gt;=Ops_Start_Year,RB_Total_Revenue*Maint_Capex_Pct,0)</f>
        <v>6944043.09582116</v>
      </c>
      <c r="AF16" s="39" t="n">
        <f aca="false">IF(AF6&gt;=Ops_Start_Year,RB_Total_Revenue*Maint_Capex_Pct,0)</f>
        <v>7133232.33119738</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customFormat="false" ht="15" hidden="false" customHeight="false" outlineLevel="0" collapsed="false">
      <c r="A18" s="5"/>
      <c r="B18" s="15" t="s">
        <v>194</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customFormat="false" ht="15" hidden="false" customHeight="false" outlineLevel="0" collapsed="false">
      <c r="A19" s="5"/>
      <c r="B19" s="38" t="s">
        <v>195</v>
      </c>
      <c r="C19" s="39" t="n">
        <f aca="false">IF(AND(C6&gt;=Ops_Start_Year,C6&lt;Ops_Start_Year+Civil_Life),Construction_Capex*Civil_Pct/Civil_Life,0)</f>
        <v>0</v>
      </c>
      <c r="D19" s="39" t="n">
        <f aca="false">IF(AND(D6&gt;=Ops_Start_Year,D6&lt;Ops_Start_Year+Civil_Life),Construction_Capex*Civil_Pct/Civil_Life,0)</f>
        <v>0</v>
      </c>
      <c r="E19" s="39" t="n">
        <f aca="false">IF(AND(E6&gt;=Ops_Start_Year,E6&lt;Ops_Start_Year+Civil_Life),Construction_Capex*Civil_Pct/Civil_Life,0)</f>
        <v>0</v>
      </c>
      <c r="F19" s="39" t="n">
        <f aca="false">IF(AND(F6&gt;=Ops_Start_Year,F6&lt;Ops_Start_Year+Civil_Life),Construction_Capex*Civil_Pct/Civil_Life,0)</f>
        <v>6750000</v>
      </c>
      <c r="G19" s="39" t="n">
        <f aca="false">IF(AND(G6&gt;=Ops_Start_Year,G6&lt;Ops_Start_Year+Civil_Life),Construction_Capex*Civil_Pct/Civil_Life,0)</f>
        <v>6750000</v>
      </c>
      <c r="H19" s="39" t="n">
        <f aca="false">IF(AND(H6&gt;=Ops_Start_Year,H6&lt;Ops_Start_Year+Civil_Life),Construction_Capex*Civil_Pct/Civil_Life,0)</f>
        <v>6750000</v>
      </c>
      <c r="I19" s="39" t="n">
        <f aca="false">IF(AND(I6&gt;=Ops_Start_Year,I6&lt;Ops_Start_Year+Civil_Life),Construction_Capex*Civil_Pct/Civil_Life,0)</f>
        <v>6750000</v>
      </c>
      <c r="J19" s="39" t="n">
        <f aca="false">IF(AND(J6&gt;=Ops_Start_Year,J6&lt;Ops_Start_Year+Civil_Life),Construction_Capex*Civil_Pct/Civil_Life,0)</f>
        <v>6750000</v>
      </c>
      <c r="K19" s="39" t="n">
        <f aca="false">IF(AND(K6&gt;=Ops_Start_Year,K6&lt;Ops_Start_Year+Civil_Life),Construction_Capex*Civil_Pct/Civil_Life,0)</f>
        <v>6750000</v>
      </c>
      <c r="L19" s="39" t="n">
        <f aca="false">IF(AND(L6&gt;=Ops_Start_Year,L6&lt;Ops_Start_Year+Civil_Life),Construction_Capex*Civil_Pct/Civil_Life,0)</f>
        <v>6750000</v>
      </c>
      <c r="M19" s="39" t="n">
        <f aca="false">IF(AND(M6&gt;=Ops_Start_Year,M6&lt;Ops_Start_Year+Civil_Life),Construction_Capex*Civil_Pct/Civil_Life,0)</f>
        <v>6750000</v>
      </c>
      <c r="N19" s="39" t="n">
        <f aca="false">IF(AND(N6&gt;=Ops_Start_Year,N6&lt;Ops_Start_Year+Civil_Life),Construction_Capex*Civil_Pct/Civil_Life,0)</f>
        <v>6750000</v>
      </c>
      <c r="O19" s="39" t="n">
        <f aca="false">IF(AND(O6&gt;=Ops_Start_Year,O6&lt;Ops_Start_Year+Civil_Life),Construction_Capex*Civil_Pct/Civil_Life,0)</f>
        <v>6750000</v>
      </c>
      <c r="P19" s="39" t="n">
        <f aca="false">IF(AND(P6&gt;=Ops_Start_Year,P6&lt;Ops_Start_Year+Civil_Life),Construction_Capex*Civil_Pct/Civil_Life,0)</f>
        <v>6750000</v>
      </c>
      <c r="Q19" s="39" t="n">
        <f aca="false">IF(AND(Q6&gt;=Ops_Start_Year,Q6&lt;Ops_Start_Year+Civil_Life),Construction_Capex*Civil_Pct/Civil_Life,0)</f>
        <v>6750000</v>
      </c>
      <c r="R19" s="39" t="n">
        <f aca="false">IF(AND(R6&gt;=Ops_Start_Year,R6&lt;Ops_Start_Year+Civil_Life),Construction_Capex*Civil_Pct/Civil_Life,0)</f>
        <v>6750000</v>
      </c>
      <c r="S19" s="39" t="n">
        <f aca="false">IF(AND(S6&gt;=Ops_Start_Year,S6&lt;Ops_Start_Year+Civil_Life),Construction_Capex*Civil_Pct/Civil_Life,0)</f>
        <v>6750000</v>
      </c>
      <c r="T19" s="39" t="n">
        <f aca="false">IF(AND(T6&gt;=Ops_Start_Year,T6&lt;Ops_Start_Year+Civil_Life),Construction_Capex*Civil_Pct/Civil_Life,0)</f>
        <v>6750000</v>
      </c>
      <c r="U19" s="39" t="n">
        <f aca="false">IF(AND(U6&gt;=Ops_Start_Year,U6&lt;Ops_Start_Year+Civil_Life),Construction_Capex*Civil_Pct/Civil_Life,0)</f>
        <v>6750000</v>
      </c>
      <c r="V19" s="39" t="n">
        <f aca="false">IF(AND(V6&gt;=Ops_Start_Year,V6&lt;Ops_Start_Year+Civil_Life),Construction_Capex*Civil_Pct/Civil_Life,0)</f>
        <v>6750000</v>
      </c>
      <c r="W19" s="39" t="n">
        <f aca="false">IF(AND(W6&gt;=Ops_Start_Year,W6&lt;Ops_Start_Year+Civil_Life),Construction_Capex*Civil_Pct/Civil_Life,0)</f>
        <v>6750000</v>
      </c>
      <c r="X19" s="39" t="n">
        <f aca="false">IF(AND(X6&gt;=Ops_Start_Year,X6&lt;Ops_Start_Year+Civil_Life),Construction_Capex*Civil_Pct/Civil_Life,0)</f>
        <v>6750000</v>
      </c>
      <c r="Y19" s="39" t="n">
        <f aca="false">IF(AND(Y6&gt;=Ops_Start_Year,Y6&lt;Ops_Start_Year+Civil_Life),Construction_Capex*Civil_Pct/Civil_Life,0)</f>
        <v>6750000</v>
      </c>
      <c r="Z19" s="39" t="n">
        <f aca="false">IF(AND(Z6&gt;=Ops_Start_Year,Z6&lt;Ops_Start_Year+Civil_Life),Construction_Capex*Civil_Pct/Civil_Life,0)</f>
        <v>6750000</v>
      </c>
      <c r="AA19" s="39" t="n">
        <f aca="false">IF(AND(AA6&gt;=Ops_Start_Year,AA6&lt;Ops_Start_Year+Civil_Life),Construction_Capex*Civil_Pct/Civil_Life,0)</f>
        <v>6750000</v>
      </c>
      <c r="AB19" s="39" t="n">
        <f aca="false">IF(AND(AB6&gt;=Ops_Start_Year,AB6&lt;Ops_Start_Year+Civil_Life),Construction_Capex*Civil_Pct/Civil_Life,0)</f>
        <v>6750000</v>
      </c>
      <c r="AC19" s="39" t="n">
        <f aca="false">IF(AND(AC6&gt;=Ops_Start_Year,AC6&lt;Ops_Start_Year+Civil_Life),Construction_Capex*Civil_Pct/Civil_Life,0)</f>
        <v>6750000</v>
      </c>
      <c r="AD19" s="39" t="n">
        <f aca="false">IF(AND(AD6&gt;=Ops_Start_Year,AD6&lt;Ops_Start_Year+Civil_Life),Construction_Capex*Civil_Pct/Civil_Life,0)</f>
        <v>6750000</v>
      </c>
      <c r="AE19" s="39" t="n">
        <f aca="false">IF(AND(AE6&gt;=Ops_Start_Year,AE6&lt;Ops_Start_Year+Civil_Life),Construction_Capex*Civil_Pct/Civil_Life,0)</f>
        <v>6750000</v>
      </c>
      <c r="AF19" s="39" t="n">
        <f aca="false">IF(AND(AF6&gt;=Ops_Start_Year,AF6&lt;Ops_Start_Year+Civil_Life),Construction_Capex*Civil_Pct/Civil_Life,0)</f>
        <v>6750000</v>
      </c>
    </row>
    <row r="20" customFormat="false" ht="15" hidden="false" customHeight="false" outlineLevel="0" collapsed="false">
      <c r="A20" s="5"/>
      <c r="B20" s="38" t="s">
        <v>196</v>
      </c>
      <c r="C20" s="39" t="n">
        <f aca="false">IF(AND(C6&gt;=Ops_Start_Year,C6&lt;Ops_Start_Year+Equip_Life),Construction_Capex*Equip_Pct/Equip_Life,0)</f>
        <v>0</v>
      </c>
      <c r="D20" s="39" t="n">
        <f aca="false">IF(AND(D6&gt;=Ops_Start_Year,D6&lt;Ops_Start_Year+Equip_Life),Construction_Capex*Equip_Pct/Equip_Life,0)</f>
        <v>0</v>
      </c>
      <c r="E20" s="39" t="n">
        <f aca="false">IF(AND(E6&gt;=Ops_Start_Year,E6&lt;Ops_Start_Year+Equip_Life),Construction_Capex*Equip_Pct/Equip_Life,0)</f>
        <v>0</v>
      </c>
      <c r="F20" s="39" t="n">
        <f aca="false">IF(AND(F6&gt;=Ops_Start_Year,F6&lt;Ops_Start_Year+Equip_Life),Construction_Capex*Equip_Pct/Equip_Life,0)</f>
        <v>12000000</v>
      </c>
      <c r="G20" s="39" t="n">
        <f aca="false">IF(AND(G6&gt;=Ops_Start_Year,G6&lt;Ops_Start_Year+Equip_Life),Construction_Capex*Equip_Pct/Equip_Life,0)</f>
        <v>12000000</v>
      </c>
      <c r="H20" s="39" t="n">
        <f aca="false">IF(AND(H6&gt;=Ops_Start_Year,H6&lt;Ops_Start_Year+Equip_Life),Construction_Capex*Equip_Pct/Equip_Life,0)</f>
        <v>12000000</v>
      </c>
      <c r="I20" s="39" t="n">
        <f aca="false">IF(AND(I6&gt;=Ops_Start_Year,I6&lt;Ops_Start_Year+Equip_Life),Construction_Capex*Equip_Pct/Equip_Life,0)</f>
        <v>12000000</v>
      </c>
      <c r="J20" s="39" t="n">
        <f aca="false">IF(AND(J6&gt;=Ops_Start_Year,J6&lt;Ops_Start_Year+Equip_Life),Construction_Capex*Equip_Pct/Equip_Life,0)</f>
        <v>12000000</v>
      </c>
      <c r="K20" s="39" t="n">
        <f aca="false">IF(AND(K6&gt;=Ops_Start_Year,K6&lt;Ops_Start_Year+Equip_Life),Construction_Capex*Equip_Pct/Equip_Life,0)</f>
        <v>12000000</v>
      </c>
      <c r="L20" s="39" t="n">
        <f aca="false">IF(AND(L6&gt;=Ops_Start_Year,L6&lt;Ops_Start_Year+Equip_Life),Construction_Capex*Equip_Pct/Equip_Life,0)</f>
        <v>12000000</v>
      </c>
      <c r="M20" s="39" t="n">
        <f aca="false">IF(AND(M6&gt;=Ops_Start_Year,M6&lt;Ops_Start_Year+Equip_Life),Construction_Capex*Equip_Pct/Equip_Life,0)</f>
        <v>12000000</v>
      </c>
      <c r="N20" s="39" t="n">
        <f aca="false">IF(AND(N6&gt;=Ops_Start_Year,N6&lt;Ops_Start_Year+Equip_Life),Construction_Capex*Equip_Pct/Equip_Life,0)</f>
        <v>12000000</v>
      </c>
      <c r="O20" s="39" t="n">
        <f aca="false">IF(AND(O6&gt;=Ops_Start_Year,O6&lt;Ops_Start_Year+Equip_Life),Construction_Capex*Equip_Pct/Equip_Life,0)</f>
        <v>12000000</v>
      </c>
      <c r="P20" s="39" t="n">
        <f aca="false">IF(AND(P6&gt;=Ops_Start_Year,P6&lt;Ops_Start_Year+Equip_Life),Construction_Capex*Equip_Pct/Equip_Life,0)</f>
        <v>12000000</v>
      </c>
      <c r="Q20" s="39" t="n">
        <f aca="false">IF(AND(Q6&gt;=Ops_Start_Year,Q6&lt;Ops_Start_Year+Equip_Life),Construction_Capex*Equip_Pct/Equip_Life,0)</f>
        <v>12000000</v>
      </c>
      <c r="R20" s="39" t="n">
        <f aca="false">IF(AND(R6&gt;=Ops_Start_Year,R6&lt;Ops_Start_Year+Equip_Life),Construction_Capex*Equip_Pct/Equip_Life,0)</f>
        <v>12000000</v>
      </c>
      <c r="S20" s="39" t="n">
        <f aca="false">IF(AND(S6&gt;=Ops_Start_Year,S6&lt;Ops_Start_Year+Equip_Life),Construction_Capex*Equip_Pct/Equip_Life,0)</f>
        <v>12000000</v>
      </c>
      <c r="T20" s="39" t="n">
        <f aca="false">IF(AND(T6&gt;=Ops_Start_Year,T6&lt;Ops_Start_Year+Equip_Life),Construction_Capex*Equip_Pct/Equip_Life,0)</f>
        <v>12000000</v>
      </c>
      <c r="U20" s="39" t="n">
        <f aca="false">IF(AND(U6&gt;=Ops_Start_Year,U6&lt;Ops_Start_Year+Equip_Life),Construction_Capex*Equip_Pct/Equip_Life,0)</f>
        <v>0</v>
      </c>
      <c r="V20" s="39" t="n">
        <f aca="false">IF(AND(V6&gt;=Ops_Start_Year,V6&lt;Ops_Start_Year+Equip_Life),Construction_Capex*Equip_Pct/Equip_Life,0)</f>
        <v>0</v>
      </c>
      <c r="W20" s="39" t="n">
        <f aca="false">IF(AND(W6&gt;=Ops_Start_Year,W6&lt;Ops_Start_Year+Equip_Life),Construction_Capex*Equip_Pct/Equip_Life,0)</f>
        <v>0</v>
      </c>
      <c r="X20" s="39" t="n">
        <f aca="false">IF(AND(X6&gt;=Ops_Start_Year,X6&lt;Ops_Start_Year+Equip_Life),Construction_Capex*Equip_Pct/Equip_Life,0)</f>
        <v>0</v>
      </c>
      <c r="Y20" s="39" t="n">
        <f aca="false">IF(AND(Y6&gt;=Ops_Start_Year,Y6&lt;Ops_Start_Year+Equip_Life),Construction_Capex*Equip_Pct/Equip_Life,0)</f>
        <v>0</v>
      </c>
      <c r="Z20" s="39" t="n">
        <f aca="false">IF(AND(Z6&gt;=Ops_Start_Year,Z6&lt;Ops_Start_Year+Equip_Life),Construction_Capex*Equip_Pct/Equip_Life,0)</f>
        <v>0</v>
      </c>
      <c r="AA20" s="39" t="n">
        <f aca="false">IF(AND(AA6&gt;=Ops_Start_Year,AA6&lt;Ops_Start_Year+Equip_Life),Construction_Capex*Equip_Pct/Equip_Life,0)</f>
        <v>0</v>
      </c>
      <c r="AB20" s="39" t="n">
        <f aca="false">IF(AND(AB6&gt;=Ops_Start_Year,AB6&lt;Ops_Start_Year+Equip_Life),Construction_Capex*Equip_Pct/Equip_Life,0)</f>
        <v>0</v>
      </c>
      <c r="AC20" s="39" t="n">
        <f aca="false">IF(AND(AC6&gt;=Ops_Start_Year,AC6&lt;Ops_Start_Year+Equip_Life),Construction_Capex*Equip_Pct/Equip_Life,0)</f>
        <v>0</v>
      </c>
      <c r="AD20" s="39" t="n">
        <f aca="false">IF(AND(AD6&gt;=Ops_Start_Year,AD6&lt;Ops_Start_Year+Equip_Life),Construction_Capex*Equip_Pct/Equip_Life,0)</f>
        <v>0</v>
      </c>
      <c r="AE20" s="39" t="n">
        <f aca="false">IF(AND(AE6&gt;=Ops_Start_Year,AE6&lt;Ops_Start_Year+Equip_Life),Construction_Capex*Equip_Pct/Equip_Life,0)</f>
        <v>0</v>
      </c>
      <c r="AF20" s="39" t="n">
        <f aca="false">IF(AND(AF6&gt;=Ops_Start_Year,AF6&lt;Ops_Start_Year+Equip_Life),Construction_Capex*Equip_Pct/Equip_Life,0)</f>
        <v>0</v>
      </c>
    </row>
    <row r="21" customFormat="false" ht="15" hidden="false" customHeight="false" outlineLevel="0" collapsed="false">
      <c r="A21" s="5"/>
      <c r="B21" s="38" t="s">
        <v>197</v>
      </c>
      <c r="C21" s="39" t="n">
        <f aca="false">IF(C6&gt;=Ops_Start_Year,C16/Equip_Life,0)</f>
        <v>0</v>
      </c>
      <c r="D21" s="39" t="n">
        <f aca="false">IF(D6&gt;=Ops_Start_Year,D16/Equip_Life,0)</f>
        <v>0</v>
      </c>
      <c r="E21" s="39" t="n">
        <f aca="false">IF(E6&gt;=Ops_Start_Year,E16/Equip_Life,0)</f>
        <v>0</v>
      </c>
      <c r="F21" s="39" t="n">
        <f aca="false">IF(F6&gt;=Ops_Start_Year,F16/Equip_Life,0)</f>
        <v>173626.666666667</v>
      </c>
      <c r="G21" s="39" t="n">
        <f aca="false">IF(G6&gt;=Ops_Start_Year,G16/Equip_Life,0)</f>
        <v>183939.94</v>
      </c>
      <c r="H21" s="39" t="n">
        <f aca="false">IF(H6&gt;=Ops_Start_Year,H16/Equip_Life,0)</f>
        <v>194869.3744725</v>
      </c>
      <c r="I21" s="39" t="n">
        <f aca="false">IF(I6&gt;=Ops_Start_Year,I16/Equip_Life,0)</f>
        <v>206451.948391951</v>
      </c>
      <c r="J21" s="39" t="n">
        <f aca="false">IF(J6&gt;=Ops_Start_Year,J16/Equip_Life,0)</f>
        <v>218726.866982802</v>
      </c>
      <c r="K21" s="39" t="n">
        <f aca="false">IF(K6&gt;=Ops_Start_Year,K16/Equip_Life,0)</f>
        <v>231735.69685145</v>
      </c>
      <c r="L21" s="39" t="n">
        <f aca="false">IF(L6&gt;=Ops_Start_Year,L16/Equip_Life,0)</f>
        <v>245522.508587121</v>
      </c>
      <c r="M21" s="39" t="n">
        <f aca="false">IF(M6&gt;=Ops_Start_Year,M16/Equip_Life,0)</f>
        <v>260134.027991338</v>
      </c>
      <c r="N21" s="39" t="n">
        <f aca="false">IF(N6&gt;=Ops_Start_Year,N16/Equip_Life,0)</f>
        <v>275619.796458862</v>
      </c>
      <c r="O21" s="39" t="n">
        <f aca="false">IF(O6&gt;=Ops_Start_Year,O16/Equip_Life,0)</f>
        <v>292032.341064714</v>
      </c>
      <c r="P21" s="39" t="n">
        <f aca="false">IF(P6&gt;=Ops_Start_Year,P16/Equip_Life,0)</f>
        <v>309427.354945534</v>
      </c>
      <c r="Q21" s="39" t="n">
        <f aca="false">IF(Q6&gt;=Ops_Start_Year,Q16/Equip_Life,0)</f>
        <v>318945.836573648</v>
      </c>
      <c r="R21" s="39" t="n">
        <f aca="false">IF(R6&gt;=Ops_Start_Year,R16/Equip_Life,0)</f>
        <v>327476.882558561</v>
      </c>
      <c r="S21" s="39" t="n">
        <f aca="false">IF(S6&gt;=Ops_Start_Year,S16/Equip_Life,0)</f>
        <v>336246.566396307</v>
      </c>
      <c r="T21" s="39" t="n">
        <f aca="false">IF(T6&gt;=Ops_Start_Year,T16/Equip_Life,0)</f>
        <v>345262.007990705</v>
      </c>
      <c r="U21" s="39" t="n">
        <f aca="false">IF(U6&gt;=Ops_Start_Year,U16/Equip_Life,0)</f>
        <v>354530.557748231</v>
      </c>
      <c r="V21" s="39" t="n">
        <f aca="false">IF(V6&gt;=Ops_Start_Year,V16/Equip_Life,0)</f>
        <v>364059.804729574</v>
      </c>
      <c r="W21" s="39" t="n">
        <f aca="false">IF(W6&gt;=Ops_Start_Year,W16/Equip_Life,0)</f>
        <v>373857.585113663</v>
      </c>
      <c r="X21" s="39" t="n">
        <f aca="false">IF(X6&gt;=Ops_Start_Year,X16/Equip_Life,0)</f>
        <v>383931.99098695</v>
      </c>
      <c r="Y21" s="39" t="n">
        <f aca="false">IF(Y6&gt;=Ops_Start_Year,Y16/Equip_Life,0)</f>
        <v>394291.379471238</v>
      </c>
      <c r="Z21" s="39" t="n">
        <f aca="false">IF(Z6&gt;=Ops_Start_Year,Z16/Equip_Life,0)</f>
        <v>404944.382203919</v>
      </c>
      <c r="AA21" s="39" t="n">
        <f aca="false">IF(AA6&gt;=Ops_Start_Year,AA16/Equip_Life,0)</f>
        <v>415899.915185107</v>
      </c>
      <c r="AB21" s="39" t="n">
        <f aca="false">IF(AB6&gt;=Ops_Start_Year,AB16/Equip_Life,0)</f>
        <v>427167.189006711</v>
      </c>
      <c r="AC21" s="39" t="n">
        <f aca="false">IF(AC6&gt;=Ops_Start_Year,AC16/Equip_Life,0)</f>
        <v>438755.719479215</v>
      </c>
      <c r="AD21" s="39" t="n">
        <f aca="false">IF(AD6&gt;=Ops_Start_Year,AD16/Equip_Life,0)</f>
        <v>450675.338672536</v>
      </c>
      <c r="AE21" s="39" t="n">
        <f aca="false">IF(AE6&gt;=Ops_Start_Year,AE16/Equip_Life,0)</f>
        <v>462936.206388078</v>
      </c>
      <c r="AF21" s="39" t="n">
        <f aca="false">IF(AF6&gt;=Ops_Start_Year,AF16/Equip_Life,0)</f>
        <v>475548.822079825</v>
      </c>
    </row>
    <row r="22" customFormat="false" ht="15" hidden="false" customHeight="false" outlineLevel="0" collapsed="false">
      <c r="A22" s="5"/>
      <c r="B22" s="40" t="s">
        <v>198</v>
      </c>
      <c r="C22" s="41" t="n">
        <f aca="false">C19+C20+C21</f>
        <v>0</v>
      </c>
      <c r="D22" s="41" t="n">
        <f aca="false">D19+D20+D21</f>
        <v>0</v>
      </c>
      <c r="E22" s="41" t="n">
        <f aca="false">E19+E20+E21</f>
        <v>0</v>
      </c>
      <c r="F22" s="41" t="n">
        <f aca="false">F19+F20+F21</f>
        <v>18923626.6666667</v>
      </c>
      <c r="G22" s="41" t="n">
        <f aca="false">G19+G20+G21</f>
        <v>18933939.94</v>
      </c>
      <c r="H22" s="41" t="n">
        <f aca="false">H19+H20+H21</f>
        <v>18944869.3744725</v>
      </c>
      <c r="I22" s="41" t="n">
        <f aca="false">I19+I20+I21</f>
        <v>18956451.948392</v>
      </c>
      <c r="J22" s="41" t="n">
        <f aca="false">J19+J20+J21</f>
        <v>18968726.8669828</v>
      </c>
      <c r="K22" s="41" t="n">
        <f aca="false">K19+K20+K21</f>
        <v>18981735.6968515</v>
      </c>
      <c r="L22" s="41" t="n">
        <f aca="false">L19+L20+L21</f>
        <v>18995522.5085871</v>
      </c>
      <c r="M22" s="41" t="n">
        <f aca="false">M19+M20+M21</f>
        <v>19010134.0279913</v>
      </c>
      <c r="N22" s="41" t="n">
        <f aca="false">N19+N20+N21</f>
        <v>19025619.7964589</v>
      </c>
      <c r="O22" s="41" t="n">
        <f aca="false">O19+O20+O21</f>
        <v>19042032.3410647</v>
      </c>
      <c r="P22" s="41" t="n">
        <f aca="false">P19+P20+P21</f>
        <v>19059427.3549455</v>
      </c>
      <c r="Q22" s="41" t="n">
        <f aca="false">Q19+Q20+Q21</f>
        <v>19068945.8365737</v>
      </c>
      <c r="R22" s="41" t="n">
        <f aca="false">R19+R20+R21</f>
        <v>19077476.8825586</v>
      </c>
      <c r="S22" s="41" t="n">
        <f aca="false">S19+S20+S21</f>
        <v>19086246.5663963</v>
      </c>
      <c r="T22" s="41" t="n">
        <f aca="false">T19+T20+T21</f>
        <v>19095262.0079907</v>
      </c>
      <c r="U22" s="41" t="n">
        <f aca="false">U19+U20+U21</f>
        <v>7104530.55774823</v>
      </c>
      <c r="V22" s="41" t="n">
        <f aca="false">V19+V20+V21</f>
        <v>7114059.80472957</v>
      </c>
      <c r="W22" s="41" t="n">
        <f aca="false">W19+W20+W21</f>
        <v>7123857.58511366</v>
      </c>
      <c r="X22" s="41" t="n">
        <f aca="false">X19+X20+X21</f>
        <v>7133931.99098695</v>
      </c>
      <c r="Y22" s="41" t="n">
        <f aca="false">Y19+Y20+Y21</f>
        <v>7144291.37947124</v>
      </c>
      <c r="Z22" s="41" t="n">
        <f aca="false">Z19+Z20+Z21</f>
        <v>7154944.38220392</v>
      </c>
      <c r="AA22" s="41" t="n">
        <f aca="false">AA19+AA20+AA21</f>
        <v>7165899.91518511</v>
      </c>
      <c r="AB22" s="41" t="n">
        <f aca="false">AB19+AB20+AB21</f>
        <v>7177167.18900671</v>
      </c>
      <c r="AC22" s="41" t="n">
        <f aca="false">AC19+AC20+AC21</f>
        <v>7188755.71947922</v>
      </c>
      <c r="AD22" s="41" t="n">
        <f aca="false">AD19+AD20+AD21</f>
        <v>7200675.33867254</v>
      </c>
      <c r="AE22" s="41" t="n">
        <f aca="false">AE19+AE20+AE21</f>
        <v>7212936.20638808</v>
      </c>
      <c r="AF22" s="41" t="n">
        <f aca="false">AF19+AF20+AF21</f>
        <v>7225548.82207983</v>
      </c>
    </row>
    <row r="23" customFormat="false" ht="15" hidden="false" customHeight="false" outlineLevel="0" collapsed="false">
      <c r="A23" s="5"/>
      <c r="B23" s="38" t="s">
        <v>199</v>
      </c>
      <c r="C23" s="39" t="n">
        <f aca="false">C22</f>
        <v>0</v>
      </c>
      <c r="D23" s="39" t="n">
        <f aca="false">C23+D22</f>
        <v>0</v>
      </c>
      <c r="E23" s="39" t="n">
        <f aca="false">D23+E22</f>
        <v>0</v>
      </c>
      <c r="F23" s="39" t="n">
        <f aca="false">E23+F22</f>
        <v>18923626.6666667</v>
      </c>
      <c r="G23" s="39" t="n">
        <f aca="false">F23+G22</f>
        <v>37857566.6066667</v>
      </c>
      <c r="H23" s="39" t="n">
        <f aca="false">G23+H22</f>
        <v>56802435.9811392</v>
      </c>
      <c r="I23" s="39" t="n">
        <f aca="false">H23+I22</f>
        <v>75758887.9295311</v>
      </c>
      <c r="J23" s="39" t="n">
        <f aca="false">I23+J22</f>
        <v>94727614.7965139</v>
      </c>
      <c r="K23" s="39" t="n">
        <f aca="false">J23+K22</f>
        <v>113709350.493365</v>
      </c>
      <c r="L23" s="39" t="n">
        <f aca="false">K23+L22</f>
        <v>132704873.001953</v>
      </c>
      <c r="M23" s="39" t="n">
        <f aca="false">L23+M22</f>
        <v>151715007.029944</v>
      </c>
      <c r="N23" s="39" t="n">
        <f aca="false">M23+N22</f>
        <v>170740626.826403</v>
      </c>
      <c r="O23" s="39" t="n">
        <f aca="false">N23+O22</f>
        <v>189782659.167467</v>
      </c>
      <c r="P23" s="39" t="n">
        <f aca="false">O23+P22</f>
        <v>208842086.522413</v>
      </c>
      <c r="Q23" s="39" t="n">
        <f aca="false">P23+Q22</f>
        <v>227911032.358987</v>
      </c>
      <c r="R23" s="39" t="n">
        <f aca="false">Q23+R22</f>
        <v>246988509.241545</v>
      </c>
      <c r="S23" s="39" t="n">
        <f aca="false">R23+S22</f>
        <v>266074755.807941</v>
      </c>
      <c r="T23" s="39" t="n">
        <f aca="false">S23+T22</f>
        <v>285170017.815932</v>
      </c>
      <c r="U23" s="39" t="n">
        <f aca="false">T23+U22</f>
        <v>292274548.37368</v>
      </c>
      <c r="V23" s="39" t="n">
        <f aca="false">U23+V22</f>
        <v>299388608.17841</v>
      </c>
      <c r="W23" s="39" t="n">
        <f aca="false">V23+W22</f>
        <v>306512465.763524</v>
      </c>
      <c r="X23" s="39" t="n">
        <f aca="false">W23+X22</f>
        <v>313646397.754511</v>
      </c>
      <c r="Y23" s="39" t="n">
        <f aca="false">X23+Y22</f>
        <v>320790689.133982</v>
      </c>
      <c r="Z23" s="39" t="n">
        <f aca="false">Y23+Z22</f>
        <v>327945633.516186</v>
      </c>
      <c r="AA23" s="39" t="n">
        <f aca="false">Z23+AA22</f>
        <v>335111533.431371</v>
      </c>
      <c r="AB23" s="39" t="n">
        <f aca="false">AA23+AB22</f>
        <v>342288700.620378</v>
      </c>
      <c r="AC23" s="39" t="n">
        <f aca="false">AB23+AC22</f>
        <v>349477456.339857</v>
      </c>
      <c r="AD23" s="39" t="n">
        <f aca="false">AC23+AD22</f>
        <v>356678131.678529</v>
      </c>
      <c r="AE23" s="39" t="n">
        <f aca="false">AD23+AE22</f>
        <v>363891067.884917</v>
      </c>
      <c r="AF23" s="39" t="n">
        <f aca="false">AE23+AF22</f>
        <v>371116616.706997</v>
      </c>
    </row>
    <row r="24" customFormat="false" ht="15" hidden="false" customHeight="false" outlineLevel="0" collapsed="false">
      <c r="A24" s="5"/>
      <c r="B24" s="42" t="s">
        <v>200</v>
      </c>
      <c r="C24" s="43" t="n">
        <f aca="false">C13+C16-C23</f>
        <v>150000000</v>
      </c>
      <c r="D24" s="43" t="n">
        <f aca="false">D13+D16-D23</f>
        <v>300000000</v>
      </c>
      <c r="E24" s="43" t="n">
        <f aca="false">E13+E16-E23</f>
        <v>450000000</v>
      </c>
      <c r="F24" s="43" t="n">
        <f aca="false">F13+F16-F23</f>
        <v>433680773.333333</v>
      </c>
      <c r="G24" s="43" t="n">
        <f aca="false">G13+G16-G23</f>
        <v>414901532.493333</v>
      </c>
      <c r="H24" s="43" t="n">
        <f aca="false">H13+H16-H23</f>
        <v>396120604.635948</v>
      </c>
      <c r="I24" s="43" t="n">
        <f aca="false">I13+I16-I23</f>
        <v>377337891.296348</v>
      </c>
      <c r="J24" s="43" t="n">
        <f aca="false">J13+J16-J23</f>
        <v>358553288.208228</v>
      </c>
      <c r="K24" s="43" t="n">
        <f aca="false">K13+K16-K23</f>
        <v>339766684.959406</v>
      </c>
      <c r="L24" s="43" t="n">
        <f aca="false">L13+L16-L23</f>
        <v>320977964.626854</v>
      </c>
      <c r="M24" s="43" t="n">
        <f aca="false">M13+M16-M23</f>
        <v>302187003.389926</v>
      </c>
      <c r="N24" s="43" t="n">
        <f aca="false">N13+N16-N23</f>
        <v>283393670.12048</v>
      </c>
      <c r="O24" s="43" t="n">
        <f aca="false">O13+O16-O23</f>
        <v>264597825.948503</v>
      </c>
      <c r="P24" s="43" t="n">
        <f aca="false">P13+P16-P23</f>
        <v>245799323.80177</v>
      </c>
      <c r="Q24" s="43" t="n">
        <f aca="false">Q13+Q16-Q23</f>
        <v>226873155.189618</v>
      </c>
      <c r="R24" s="43" t="n">
        <f aca="false">R13+R16-R23</f>
        <v>207923643.996833</v>
      </c>
      <c r="S24" s="43" t="n">
        <f aca="false">S13+S16-S23</f>
        <v>188968942.688003</v>
      </c>
      <c r="T24" s="43" t="n">
        <f aca="false">T13+T16-T23</f>
        <v>170008912.303928</v>
      </c>
      <c r="U24" s="43" t="n">
        <f aca="false">U13+U16-U23</f>
        <v>163043409.992543</v>
      </c>
      <c r="V24" s="43" t="n">
        <f aca="false">V13+V16-V23</f>
        <v>156072288.892534</v>
      </c>
      <c r="W24" s="43" t="n">
        <f aca="false">W13+W16-W23</f>
        <v>149095398.013181</v>
      </c>
      <c r="X24" s="43" t="n">
        <f aca="false">X13+X16-X23</f>
        <v>142112582.110294</v>
      </c>
      <c r="Y24" s="43" t="n">
        <f aca="false">Y13+Y16-Y23</f>
        <v>135123681.558087</v>
      </c>
      <c r="Z24" s="43" t="n">
        <f aca="false">Z13+Z16-Z23</f>
        <v>128128532.216873</v>
      </c>
      <c r="AA24" s="43" t="n">
        <f aca="false">AA13+AA16-AA23</f>
        <v>121126965.296406</v>
      </c>
      <c r="AB24" s="43" t="n">
        <f aca="false">AB13+AB16-AB23</f>
        <v>114118807.214723</v>
      </c>
      <c r="AC24" s="43" t="n">
        <f aca="false">AC13+AC16-AC23</f>
        <v>107103879.452331</v>
      </c>
      <c r="AD24" s="43" t="n">
        <f aca="false">AD13+AD16-AD23</f>
        <v>100081998.401559</v>
      </c>
      <c r="AE24" s="43" t="n">
        <f aca="false">AE13+AE16-AE23</f>
        <v>93052975.2109038</v>
      </c>
      <c r="AF24" s="43" t="n">
        <f aca="false">AF13+AF16-AF23</f>
        <v>86016615.6242002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201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11</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8" t="s">
        <v>186</v>
      </c>
      <c r="C7" s="37" t="s">
        <v>187</v>
      </c>
      <c r="D7" s="37" t="s">
        <v>187</v>
      </c>
      <c r="E7" s="37" t="s">
        <v>187</v>
      </c>
      <c r="F7" s="37" t="s">
        <v>188</v>
      </c>
      <c r="G7" s="37" t="s">
        <v>188</v>
      </c>
      <c r="H7" s="37" t="s">
        <v>188</v>
      </c>
      <c r="I7" s="37" t="s">
        <v>188</v>
      </c>
      <c r="J7" s="37" t="s">
        <v>188</v>
      </c>
      <c r="K7" s="37" t="s">
        <v>188</v>
      </c>
      <c r="L7" s="37" t="s">
        <v>188</v>
      </c>
      <c r="M7" s="37" t="s">
        <v>188</v>
      </c>
      <c r="N7" s="37" t="s">
        <v>188</v>
      </c>
      <c r="O7" s="37" t="s">
        <v>188</v>
      </c>
      <c r="P7" s="37" t="s">
        <v>188</v>
      </c>
      <c r="Q7" s="37" t="s">
        <v>188</v>
      </c>
      <c r="R7" s="37" t="s">
        <v>188</v>
      </c>
      <c r="S7" s="37" t="s">
        <v>188</v>
      </c>
      <c r="T7" s="37" t="s">
        <v>188</v>
      </c>
      <c r="U7" s="37" t="s">
        <v>188</v>
      </c>
      <c r="V7" s="37" t="s">
        <v>188</v>
      </c>
      <c r="W7" s="37" t="s">
        <v>188</v>
      </c>
      <c r="X7" s="37" t="s">
        <v>188</v>
      </c>
      <c r="Y7" s="37" t="s">
        <v>188</v>
      </c>
      <c r="Z7" s="37" t="s">
        <v>188</v>
      </c>
      <c r="AA7" s="37" t="s">
        <v>188</v>
      </c>
      <c r="AB7" s="37" t="s">
        <v>188</v>
      </c>
      <c r="AC7" s="37" t="s">
        <v>188</v>
      </c>
      <c r="AD7" s="37" t="s">
        <v>188</v>
      </c>
      <c r="AE7" s="37" t="s">
        <v>188</v>
      </c>
      <c r="AF7" s="37" t="s">
        <v>188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customFormat="false" ht="15" hidden="false" customHeight="false" outlineLevel="0" collapsed="false">
      <c r="A9" s="5"/>
      <c r="B9" s="15" t="s">
        <v>202</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customFormat="false" ht="15" hidden="false" customHeight="false" outlineLevel="0" collapsed="false">
      <c r="A10" s="5"/>
      <c r="B10" s="38" t="s">
        <v>63</v>
      </c>
      <c r="C10" s="44" t="n">
        <f aca="false">Terminal_Capacity</f>
        <v>1000000</v>
      </c>
      <c r="D10" s="44" t="n">
        <f aca="false">Terminal_Capacity</f>
        <v>1000000</v>
      </c>
      <c r="E10" s="44" t="n">
        <f aca="false">Terminal_Capacity</f>
        <v>1000000</v>
      </c>
      <c r="F10" s="44" t="n">
        <f aca="false">Terminal_Capacity</f>
        <v>1000000</v>
      </c>
      <c r="G10" s="44" t="n">
        <f aca="false">Terminal_Capacity</f>
        <v>1000000</v>
      </c>
      <c r="H10" s="44" t="n">
        <f aca="false">Terminal_Capacity</f>
        <v>1000000</v>
      </c>
      <c r="I10" s="44" t="n">
        <f aca="false">Terminal_Capacity</f>
        <v>1000000</v>
      </c>
      <c r="J10" s="44" t="n">
        <f aca="false">Terminal_Capacity</f>
        <v>1000000</v>
      </c>
      <c r="K10" s="44" t="n">
        <f aca="false">Terminal_Capacity</f>
        <v>1000000</v>
      </c>
      <c r="L10" s="44" t="n">
        <f aca="false">Terminal_Capacity</f>
        <v>1000000</v>
      </c>
      <c r="M10" s="44" t="n">
        <f aca="false">Terminal_Capacity</f>
        <v>1000000</v>
      </c>
      <c r="N10" s="44" t="n">
        <f aca="false">Terminal_Capacity</f>
        <v>1000000</v>
      </c>
      <c r="O10" s="44" t="n">
        <f aca="false">Terminal_Capacity</f>
        <v>1000000</v>
      </c>
      <c r="P10" s="44" t="n">
        <f aca="false">Terminal_Capacity</f>
        <v>1000000</v>
      </c>
      <c r="Q10" s="44" t="n">
        <f aca="false">Terminal_Capacity</f>
        <v>1000000</v>
      </c>
      <c r="R10" s="44" t="n">
        <f aca="false">Terminal_Capacity</f>
        <v>1000000</v>
      </c>
      <c r="S10" s="44" t="n">
        <f aca="false">Terminal_Capacity</f>
        <v>1000000</v>
      </c>
      <c r="T10" s="44" t="n">
        <f aca="false">Terminal_Capacity</f>
        <v>1000000</v>
      </c>
      <c r="U10" s="44" t="n">
        <f aca="false">Terminal_Capacity</f>
        <v>1000000</v>
      </c>
      <c r="V10" s="44" t="n">
        <f aca="false">Terminal_Capacity</f>
        <v>1000000</v>
      </c>
      <c r="W10" s="44" t="n">
        <f aca="false">Terminal_Capacity</f>
        <v>1000000</v>
      </c>
      <c r="X10" s="44" t="n">
        <f aca="false">Terminal_Capacity</f>
        <v>1000000</v>
      </c>
      <c r="Y10" s="44" t="n">
        <f aca="false">Terminal_Capacity</f>
        <v>1000000</v>
      </c>
      <c r="Z10" s="44" t="n">
        <f aca="false">Terminal_Capacity</f>
        <v>1000000</v>
      </c>
      <c r="AA10" s="44" t="n">
        <f aca="false">Terminal_Capacity</f>
        <v>1000000</v>
      </c>
      <c r="AB10" s="44" t="n">
        <f aca="false">Terminal_Capacity</f>
        <v>1000000</v>
      </c>
      <c r="AC10" s="44" t="n">
        <f aca="false">Terminal_Capacity</f>
        <v>1000000</v>
      </c>
      <c r="AD10" s="44" t="n">
        <f aca="false">Terminal_Capacity</f>
        <v>1000000</v>
      </c>
      <c r="AE10" s="44" t="n">
        <f aca="false">Terminal_Capacity</f>
        <v>1000000</v>
      </c>
      <c r="AF10" s="44" t="n">
        <f aca="false">Terminal_Capacity</f>
        <v>1000000</v>
      </c>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customFormat="false" ht="15" hidden="false" customHeight="false" outlineLevel="0" collapsed="false">
      <c r="A12" s="5"/>
      <c r="B12" s="15" t="s">
        <v>203</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row>
    <row r="13" customFormat="false" ht="15" hidden="false" customHeight="false" outlineLevel="0" collapsed="false">
      <c r="A13" s="5"/>
      <c r="B13" s="38" t="s">
        <v>204</v>
      </c>
      <c r="C13" s="44" t="n">
        <f aca="false">IF(AND(C6&gt;=Ops_Start_Year,C6&lt;=Concession_Length),Y1_Volume,0)</f>
        <v>0</v>
      </c>
      <c r="D13" s="44" t="n">
        <f aca="false">IF(OR(D6&lt;Ops_Start_Year,D6&gt;Concession_Length),0,IF(D6=Ops_Start_Year,Y1_Volume,C13*(1+Volume_Growth)))</f>
        <v>0</v>
      </c>
      <c r="E13" s="44" t="n">
        <f aca="false">IF(OR(E6&lt;Ops_Start_Year,E6&gt;Concession_Length),0,IF(E6=Ops_Start_Year,Y1_Volume,D13*(1+Volume_Growth)))</f>
        <v>0</v>
      </c>
      <c r="F13" s="44" t="n">
        <f aca="false">IF(OR(F6&lt;Ops_Start_Year,F6&gt;Concession_Length),0,IF(F6=Ops_Start_Year,Y1_Volume,E13*(1+Volume_Growth)))</f>
        <v>600000</v>
      </c>
      <c r="G13" s="44" t="n">
        <f aca="false">IF(OR(G6&lt;Ops_Start_Year,G6&gt;Concession_Length),0,IF(G6=Ops_Start_Year,Y1_Volume,F13*(1+Volume_Growth)))</f>
        <v>621000</v>
      </c>
      <c r="H13" s="44" t="n">
        <f aca="false">IF(OR(H6&lt;Ops_Start_Year,H6&gt;Concession_Length),0,IF(H6=Ops_Start_Year,Y1_Volume,G13*(1+Volume_Growth)))</f>
        <v>642735</v>
      </c>
      <c r="I13" s="44" t="n">
        <f aca="false">IF(OR(I6&lt;Ops_Start_Year,I6&gt;Concession_Length),0,IF(I6=Ops_Start_Year,Y1_Volume,H13*(1+Volume_Growth)))</f>
        <v>665230.725</v>
      </c>
      <c r="J13" s="44" t="n">
        <f aca="false">IF(OR(J6&lt;Ops_Start_Year,J6&gt;Concession_Length),0,IF(J6=Ops_Start_Year,Y1_Volume,I13*(1+Volume_Growth)))</f>
        <v>688513.800375</v>
      </c>
      <c r="K13" s="44" t="n">
        <f aca="false">IF(OR(K6&lt;Ops_Start_Year,K6&gt;Concession_Length),0,IF(K6=Ops_Start_Year,Y1_Volume,J13*(1+Volume_Growth)))</f>
        <v>712611.783388125</v>
      </c>
      <c r="L13" s="44" t="n">
        <f aca="false">IF(OR(L6&lt;Ops_Start_Year,L6&gt;Concession_Length),0,IF(L6=Ops_Start_Year,Y1_Volume,K13*(1+Volume_Growth)))</f>
        <v>737553.195806709</v>
      </c>
      <c r="M13" s="44" t="n">
        <f aca="false">IF(OR(M6&lt;Ops_Start_Year,M6&gt;Concession_Length),0,IF(M6=Ops_Start_Year,Y1_Volume,L13*(1+Volume_Growth)))</f>
        <v>763367.557659944</v>
      </c>
      <c r="N13" s="44" t="n">
        <f aca="false">IF(OR(N6&lt;Ops_Start_Year,N6&gt;Concession_Length),0,IF(N6=Ops_Start_Year,Y1_Volume,M13*(1+Volume_Growth)))</f>
        <v>790085.422178042</v>
      </c>
      <c r="O13" s="44" t="n">
        <f aca="false">IF(OR(O6&lt;Ops_Start_Year,O6&gt;Concession_Length),0,IF(O6=Ops_Start_Year,Y1_Volume,N13*(1+Volume_Growth)))</f>
        <v>817738.411954273</v>
      </c>
      <c r="P13" s="44" t="n">
        <f aca="false">IF(OR(P6&lt;Ops_Start_Year,P6&gt;Concession_Length),0,IF(P6=Ops_Start_Year,Y1_Volume,O13*(1+Volume_Growth)))</f>
        <v>846359.256372673</v>
      </c>
      <c r="Q13" s="44" t="n">
        <f aca="false">IF(OR(Q6&lt;Ops_Start_Year,Q6&gt;Concession_Length),0,IF(Q6=Ops_Start_Year,Y1_Volume,P13*(1+Volume_Growth)))</f>
        <v>875981.830345716</v>
      </c>
      <c r="R13" s="44" t="n">
        <f aca="false">IF(OR(R6&lt;Ops_Start_Year,R6&gt;Concession_Length),0,IF(R6=Ops_Start_Year,Y1_Volume,Q13*(1+Volume_Growth)))</f>
        <v>906641.194407816</v>
      </c>
      <c r="S13" s="44" t="n">
        <f aca="false">IF(OR(S6&lt;Ops_Start_Year,S6&gt;Concession_Length),0,IF(S6=Ops_Start_Year,Y1_Volume,R13*(1+Volume_Growth)))</f>
        <v>938373.63621209</v>
      </c>
      <c r="T13" s="44" t="n">
        <f aca="false">IF(OR(T6&lt;Ops_Start_Year,T6&gt;Concession_Length),0,IF(T6=Ops_Start_Year,Y1_Volume,S13*(1+Volume_Growth)))</f>
        <v>971216.713479513</v>
      </c>
      <c r="U13" s="44" t="n">
        <f aca="false">IF(OR(U6&lt;Ops_Start_Year,U6&gt;Concession_Length),0,IF(U6=Ops_Start_Year,Y1_Volume,T13*(1+Volume_Growth)))</f>
        <v>1005209.2984513</v>
      </c>
      <c r="V13" s="44" t="n">
        <f aca="false">IF(OR(V6&lt;Ops_Start_Year,V6&gt;Concession_Length),0,IF(V6=Ops_Start_Year,Y1_Volume,U13*(1+Volume_Growth)))</f>
        <v>1040391.62389709</v>
      </c>
      <c r="W13" s="44" t="n">
        <f aca="false">IF(OR(W6&lt;Ops_Start_Year,W6&gt;Concession_Length),0,IF(W6=Ops_Start_Year,Y1_Volume,V13*(1+Volume_Growth)))</f>
        <v>1076805.33073349</v>
      </c>
      <c r="X13" s="44" t="n">
        <f aca="false">IF(OR(X6&lt;Ops_Start_Year,X6&gt;Concession_Length),0,IF(X6=Ops_Start_Year,Y1_Volume,W13*(1+Volume_Growth)))</f>
        <v>1114493.51730916</v>
      </c>
      <c r="Y13" s="44" t="n">
        <f aca="false">IF(OR(Y6&lt;Ops_Start_Year,Y6&gt;Concession_Length),0,IF(Y6=Ops_Start_Year,Y1_Volume,X13*(1+Volume_Growth)))</f>
        <v>1153500.79041498</v>
      </c>
      <c r="Z13" s="44" t="n">
        <f aca="false">IF(OR(Z6&lt;Ops_Start_Year,Z6&gt;Concession_Length),0,IF(Z6=Ops_Start_Year,Y1_Volume,Y13*(1+Volume_Growth)))</f>
        <v>1193873.31807951</v>
      </c>
      <c r="AA13" s="44" t="n">
        <f aca="false">IF(OR(AA6&lt;Ops_Start_Year,AA6&gt;Concession_Length),0,IF(AA6=Ops_Start_Year,Y1_Volume,Z13*(1+Volume_Growth)))</f>
        <v>1235658.88421229</v>
      </c>
      <c r="AB13" s="44" t="n">
        <f aca="false">IF(OR(AB6&lt;Ops_Start_Year,AB6&gt;Concession_Length),0,IF(AB6=Ops_Start_Year,Y1_Volume,AA13*(1+Volume_Growth)))</f>
        <v>1278906.94515972</v>
      </c>
      <c r="AC13" s="44" t="n">
        <f aca="false">IF(OR(AC6&lt;Ops_Start_Year,AC6&gt;Concession_Length),0,IF(AC6=Ops_Start_Year,Y1_Volume,AB13*(1+Volume_Growth)))</f>
        <v>1323668.68824031</v>
      </c>
      <c r="AD13" s="44" t="n">
        <f aca="false">IF(OR(AD6&lt;Ops_Start_Year,AD6&gt;Concession_Length),0,IF(AD6=Ops_Start_Year,Y1_Volume,AC13*(1+Volume_Growth)))</f>
        <v>1369997.09232872</v>
      </c>
      <c r="AE13" s="44" t="n">
        <f aca="false">IF(OR(AE6&lt;Ops_Start_Year,AE6&gt;Concession_Length),0,IF(AE6=Ops_Start_Year,Y1_Volume,AD13*(1+Volume_Growth)))</f>
        <v>1417946.99056022</v>
      </c>
      <c r="AF13" s="44" t="n">
        <f aca="false">IF(OR(AF6&lt;Ops_Start_Year,AF6&gt;Concession_Length),0,IF(AF6=Ops_Start_Year,Y1_Volume,AE13*(1+Volume_Growth)))</f>
        <v>1467575.13522983</v>
      </c>
    </row>
    <row r="14" customFormat="false" ht="15" hidden="false" customHeight="false" outlineLevel="0" collapsed="false">
      <c r="A14" s="5"/>
      <c r="B14" s="42" t="s">
        <v>205</v>
      </c>
      <c r="C14" s="45" t="n">
        <f aca="false">MIN(C13,C10*Max_Utilisation)</f>
        <v>0</v>
      </c>
      <c r="D14" s="45" t="n">
        <f aca="false">MIN(D13,D10*Max_Utilisation)</f>
        <v>0</v>
      </c>
      <c r="E14" s="45" t="n">
        <f aca="false">MIN(E13,E10*Max_Utilisation)</f>
        <v>0</v>
      </c>
      <c r="F14" s="45" t="n">
        <f aca="false">MIN(F13,F10*Max_Utilisation)</f>
        <v>600000</v>
      </c>
      <c r="G14" s="45" t="n">
        <f aca="false">MIN(G13,G10*Max_Utilisation)</f>
        <v>621000</v>
      </c>
      <c r="H14" s="45" t="n">
        <f aca="false">MIN(H13,H10*Max_Utilisation)</f>
        <v>642735</v>
      </c>
      <c r="I14" s="45" t="n">
        <f aca="false">MIN(I13,I10*Max_Utilisation)</f>
        <v>665230.725</v>
      </c>
      <c r="J14" s="45" t="n">
        <f aca="false">MIN(J13,J10*Max_Utilisation)</f>
        <v>688513.800375</v>
      </c>
      <c r="K14" s="45" t="n">
        <f aca="false">MIN(K13,K10*Max_Utilisation)</f>
        <v>712611.783388125</v>
      </c>
      <c r="L14" s="45" t="n">
        <f aca="false">MIN(L13,L10*Max_Utilisation)</f>
        <v>737553.195806709</v>
      </c>
      <c r="M14" s="45" t="n">
        <f aca="false">MIN(M13,M10*Max_Utilisation)</f>
        <v>763367.557659944</v>
      </c>
      <c r="N14" s="45" t="n">
        <f aca="false">MIN(N13,N10*Max_Utilisation)</f>
        <v>790085.422178042</v>
      </c>
      <c r="O14" s="45" t="n">
        <f aca="false">MIN(O13,O10*Max_Utilisation)</f>
        <v>817738.411954273</v>
      </c>
      <c r="P14" s="45" t="n">
        <f aca="false">MIN(P13,P10*Max_Utilisation)</f>
        <v>846359.256372673</v>
      </c>
      <c r="Q14" s="45" t="n">
        <f aca="false">MIN(Q13,Q10*Max_Utilisation)</f>
        <v>850000</v>
      </c>
      <c r="R14" s="45" t="n">
        <f aca="false">MIN(R13,R10*Max_Utilisation)</f>
        <v>850000</v>
      </c>
      <c r="S14" s="45" t="n">
        <f aca="false">MIN(S13,S10*Max_Utilisation)</f>
        <v>850000</v>
      </c>
      <c r="T14" s="45" t="n">
        <f aca="false">MIN(T13,T10*Max_Utilisation)</f>
        <v>850000</v>
      </c>
      <c r="U14" s="45" t="n">
        <f aca="false">MIN(U13,U10*Max_Utilisation)</f>
        <v>850000</v>
      </c>
      <c r="V14" s="45" t="n">
        <f aca="false">MIN(V13,V10*Max_Utilisation)</f>
        <v>850000</v>
      </c>
      <c r="W14" s="45" t="n">
        <f aca="false">MIN(W13,W10*Max_Utilisation)</f>
        <v>850000</v>
      </c>
      <c r="X14" s="45" t="n">
        <f aca="false">MIN(X13,X10*Max_Utilisation)</f>
        <v>850000</v>
      </c>
      <c r="Y14" s="45" t="n">
        <f aca="false">MIN(Y13,Y10*Max_Utilisation)</f>
        <v>850000</v>
      </c>
      <c r="Z14" s="45" t="n">
        <f aca="false">MIN(Z13,Z10*Max_Utilisation)</f>
        <v>850000</v>
      </c>
      <c r="AA14" s="45" t="n">
        <f aca="false">MIN(AA13,AA10*Max_Utilisation)</f>
        <v>850000</v>
      </c>
      <c r="AB14" s="45" t="n">
        <f aca="false">MIN(AB13,AB10*Max_Utilisation)</f>
        <v>850000</v>
      </c>
      <c r="AC14" s="45" t="n">
        <f aca="false">MIN(AC13,AC10*Max_Utilisation)</f>
        <v>850000</v>
      </c>
      <c r="AD14" s="45" t="n">
        <f aca="false">MIN(AD13,AD10*Max_Utilisation)</f>
        <v>850000</v>
      </c>
      <c r="AE14" s="45" t="n">
        <f aca="false">MIN(AE13,AE10*Max_Utilisation)</f>
        <v>850000</v>
      </c>
      <c r="AF14" s="45" t="n">
        <f aca="false">MIN(AF13,AF10*Max_Utilisation)</f>
        <v>850000</v>
      </c>
    </row>
    <row r="15" customFormat="false" ht="15" hidden="false" customHeight="false" outlineLevel="0" collapsed="false">
      <c r="A15" s="5"/>
      <c r="B15" s="38" t="s">
        <v>206</v>
      </c>
      <c r="C15" s="46" t="n">
        <f aca="false">IF(C10=0,0,C14/C10)</f>
        <v>0</v>
      </c>
      <c r="D15" s="46" t="n">
        <f aca="false">IF(D10=0,0,D14/D10)</f>
        <v>0</v>
      </c>
      <c r="E15" s="46" t="n">
        <f aca="false">IF(E10=0,0,E14/E10)</f>
        <v>0</v>
      </c>
      <c r="F15" s="46" t="n">
        <f aca="false">IF(F10=0,0,F14/F10)</f>
        <v>0.6</v>
      </c>
      <c r="G15" s="46" t="n">
        <f aca="false">IF(G10=0,0,G14/G10)</f>
        <v>0.621</v>
      </c>
      <c r="H15" s="46" t="n">
        <f aca="false">IF(H10=0,0,H14/H10)</f>
        <v>0.642735</v>
      </c>
      <c r="I15" s="46" t="n">
        <f aca="false">IF(I10=0,0,I14/I10)</f>
        <v>0.665230725</v>
      </c>
      <c r="J15" s="46" t="n">
        <f aca="false">IF(J10=0,0,J14/J10)</f>
        <v>0.688513800375</v>
      </c>
      <c r="K15" s="46" t="n">
        <f aca="false">IF(K10=0,0,K14/K10)</f>
        <v>0.712611783388125</v>
      </c>
      <c r="L15" s="46" t="n">
        <f aca="false">IF(L10=0,0,L14/L10)</f>
        <v>0.737553195806709</v>
      </c>
      <c r="M15" s="46" t="n">
        <f aca="false">IF(M10=0,0,M14/M10)</f>
        <v>0.763367557659944</v>
      </c>
      <c r="N15" s="46" t="n">
        <f aca="false">IF(N10=0,0,N14/N10)</f>
        <v>0.790085422178042</v>
      </c>
      <c r="O15" s="46" t="n">
        <f aca="false">IF(O10=0,0,O14/O10)</f>
        <v>0.817738411954273</v>
      </c>
      <c r="P15" s="46" t="n">
        <f aca="false">IF(P10=0,0,P14/P10)</f>
        <v>0.846359256372673</v>
      </c>
      <c r="Q15" s="46" t="n">
        <f aca="false">IF(Q10=0,0,Q14/Q10)</f>
        <v>0.85</v>
      </c>
      <c r="R15" s="46" t="n">
        <f aca="false">IF(R10=0,0,R14/R10)</f>
        <v>0.85</v>
      </c>
      <c r="S15" s="46" t="n">
        <f aca="false">IF(S10=0,0,S14/S10)</f>
        <v>0.85</v>
      </c>
      <c r="T15" s="46" t="n">
        <f aca="false">IF(T10=0,0,T14/T10)</f>
        <v>0.85</v>
      </c>
      <c r="U15" s="46" t="n">
        <f aca="false">IF(U10=0,0,U14/U10)</f>
        <v>0.85</v>
      </c>
      <c r="V15" s="46" t="n">
        <f aca="false">IF(V10=0,0,V14/V10)</f>
        <v>0.85</v>
      </c>
      <c r="W15" s="46" t="n">
        <f aca="false">IF(W10=0,0,W14/W10)</f>
        <v>0.85</v>
      </c>
      <c r="X15" s="46" t="n">
        <f aca="false">IF(X10=0,0,X14/X10)</f>
        <v>0.85</v>
      </c>
      <c r="Y15" s="46" t="n">
        <f aca="false">IF(Y10=0,0,Y14/Y10)</f>
        <v>0.85</v>
      </c>
      <c r="Z15" s="46" t="n">
        <f aca="false">IF(Z10=0,0,Z14/Z10)</f>
        <v>0.85</v>
      </c>
      <c r="AA15" s="46" t="n">
        <f aca="false">IF(AA10=0,0,AA14/AA10)</f>
        <v>0.85</v>
      </c>
      <c r="AB15" s="46" t="n">
        <f aca="false">IF(AB10=0,0,AB14/AB10)</f>
        <v>0.85</v>
      </c>
      <c r="AC15" s="46" t="n">
        <f aca="false">IF(AC10=0,0,AC14/AC10)</f>
        <v>0.85</v>
      </c>
      <c r="AD15" s="46" t="n">
        <f aca="false">IF(AD10=0,0,AD14/AD10)</f>
        <v>0.85</v>
      </c>
      <c r="AE15" s="46" t="n">
        <f aca="false">IF(AE10=0,0,AE14/AE10)</f>
        <v>0.85</v>
      </c>
      <c r="AF15" s="46" t="n">
        <f aca="false">IF(AF10=0,0,AF14/AF10)</f>
        <v>0.85</v>
      </c>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row>
    <row r="17" customFormat="false" ht="15" hidden="false" customHeight="false" outlineLevel="0" collapsed="false">
      <c r="A17" s="5"/>
      <c r="B17" s="38" t="s">
        <v>207</v>
      </c>
      <c r="C17" s="44" t="n">
        <f aca="false">IF(AND(C6&gt;=Ops_Start_Year,C6&lt;=Concession_Length),Vessel_Calls_Y1,0)</f>
        <v>0</v>
      </c>
      <c r="D17" s="44" t="n">
        <f aca="false">IF(OR(D6&lt;Ops_Start_Year,D6&gt;Concession_Length),0,IF(D6=Ops_Start_Year,Vessel_Calls_Y1,C17*(1+Vessel_Call_Growth)))</f>
        <v>0</v>
      </c>
      <c r="E17" s="44" t="n">
        <f aca="false">IF(OR(E6&lt;Ops_Start_Year,E6&gt;Concession_Length),0,IF(E6=Ops_Start_Year,Vessel_Calls_Y1,D17*(1+Vessel_Call_Growth)))</f>
        <v>0</v>
      </c>
      <c r="F17" s="44" t="n">
        <f aca="false">IF(OR(F6&lt;Ops_Start_Year,F6&gt;Concession_Length),0,IF(F6=Ops_Start_Year,Vessel_Calls_Y1,E17*(1+Vessel_Call_Growth)))</f>
        <v>500</v>
      </c>
      <c r="G17" s="44" t="n">
        <f aca="false">IF(OR(G6&lt;Ops_Start_Year,G6&gt;Concession_Length),0,IF(G6=Ops_Start_Year,Vessel_Calls_Y1,F17*(1+Vessel_Call_Growth)))</f>
        <v>510</v>
      </c>
      <c r="H17" s="44" t="n">
        <f aca="false">IF(OR(H6&lt;Ops_Start_Year,H6&gt;Concession_Length),0,IF(H6=Ops_Start_Year,Vessel_Calls_Y1,G17*(1+Vessel_Call_Growth)))</f>
        <v>520.2</v>
      </c>
      <c r="I17" s="44" t="n">
        <f aca="false">IF(OR(I6&lt;Ops_Start_Year,I6&gt;Concession_Length),0,IF(I6=Ops_Start_Year,Vessel_Calls_Y1,H17*(1+Vessel_Call_Growth)))</f>
        <v>530.604</v>
      </c>
      <c r="J17" s="44" t="n">
        <f aca="false">IF(OR(J6&lt;Ops_Start_Year,J6&gt;Concession_Length),0,IF(J6=Ops_Start_Year,Vessel_Calls_Y1,I17*(1+Vessel_Call_Growth)))</f>
        <v>541.21608</v>
      </c>
      <c r="K17" s="44" t="n">
        <f aca="false">IF(OR(K6&lt;Ops_Start_Year,K6&gt;Concession_Length),0,IF(K6=Ops_Start_Year,Vessel_Calls_Y1,J17*(1+Vessel_Call_Growth)))</f>
        <v>552.0404016</v>
      </c>
      <c r="L17" s="44" t="n">
        <f aca="false">IF(OR(L6&lt;Ops_Start_Year,L6&gt;Concession_Length),0,IF(L6=Ops_Start_Year,Vessel_Calls_Y1,K17*(1+Vessel_Call_Growth)))</f>
        <v>563.081209632</v>
      </c>
      <c r="M17" s="44" t="n">
        <f aca="false">IF(OR(M6&lt;Ops_Start_Year,M6&gt;Concession_Length),0,IF(M6=Ops_Start_Year,Vessel_Calls_Y1,L17*(1+Vessel_Call_Growth)))</f>
        <v>574.34283382464</v>
      </c>
      <c r="N17" s="44" t="n">
        <f aca="false">IF(OR(N6&lt;Ops_Start_Year,N6&gt;Concession_Length),0,IF(N6=Ops_Start_Year,Vessel_Calls_Y1,M17*(1+Vessel_Call_Growth)))</f>
        <v>585.829690501133</v>
      </c>
      <c r="O17" s="44" t="n">
        <f aca="false">IF(OR(O6&lt;Ops_Start_Year,O6&gt;Concession_Length),0,IF(O6=Ops_Start_Year,Vessel_Calls_Y1,N17*(1+Vessel_Call_Growth)))</f>
        <v>597.546284311156</v>
      </c>
      <c r="P17" s="44" t="n">
        <f aca="false">IF(OR(P6&lt;Ops_Start_Year,P6&gt;Concession_Length),0,IF(P6=Ops_Start_Year,Vessel_Calls_Y1,O17*(1+Vessel_Call_Growth)))</f>
        <v>609.497209997379</v>
      </c>
      <c r="Q17" s="44" t="n">
        <f aca="false">IF(OR(Q6&lt;Ops_Start_Year,Q6&gt;Concession_Length),0,IF(Q6=Ops_Start_Year,Vessel_Calls_Y1,P17*(1+Vessel_Call_Growth)))</f>
        <v>621.687154197326</v>
      </c>
      <c r="R17" s="44" t="n">
        <f aca="false">IF(OR(R6&lt;Ops_Start_Year,R6&gt;Concession_Length),0,IF(R6=Ops_Start_Year,Vessel_Calls_Y1,Q17*(1+Vessel_Call_Growth)))</f>
        <v>634.120897281273</v>
      </c>
      <c r="S17" s="44" t="n">
        <f aca="false">IF(OR(S6&lt;Ops_Start_Year,S6&gt;Concession_Length),0,IF(S6=Ops_Start_Year,Vessel_Calls_Y1,R17*(1+Vessel_Call_Growth)))</f>
        <v>646.803315226898</v>
      </c>
      <c r="T17" s="44" t="n">
        <f aca="false">IF(OR(T6&lt;Ops_Start_Year,T6&gt;Concession_Length),0,IF(T6=Ops_Start_Year,Vessel_Calls_Y1,S17*(1+Vessel_Call_Growth)))</f>
        <v>659.739381531436</v>
      </c>
      <c r="U17" s="44" t="n">
        <f aca="false">IF(OR(U6&lt;Ops_Start_Year,U6&gt;Concession_Length),0,IF(U6=Ops_Start_Year,Vessel_Calls_Y1,T17*(1+Vessel_Call_Growth)))</f>
        <v>672.934169162065</v>
      </c>
      <c r="V17" s="44" t="n">
        <f aca="false">IF(OR(V6&lt;Ops_Start_Year,V6&gt;Concession_Length),0,IF(V6=Ops_Start_Year,Vessel_Calls_Y1,U17*(1+Vessel_Call_Growth)))</f>
        <v>686.392852545307</v>
      </c>
      <c r="W17" s="44" t="n">
        <f aca="false">IF(OR(W6&lt;Ops_Start_Year,W6&gt;Concession_Length),0,IF(W6=Ops_Start_Year,Vessel_Calls_Y1,V17*(1+Vessel_Call_Growth)))</f>
        <v>700.120709596213</v>
      </c>
      <c r="X17" s="44" t="n">
        <f aca="false">IF(OR(X6&lt;Ops_Start_Year,X6&gt;Concession_Length),0,IF(X6=Ops_Start_Year,Vessel_Calls_Y1,W17*(1+Vessel_Call_Growth)))</f>
        <v>714.123123788137</v>
      </c>
      <c r="Y17" s="44" t="n">
        <f aca="false">IF(OR(Y6&lt;Ops_Start_Year,Y6&gt;Concession_Length),0,IF(Y6=Ops_Start_Year,Vessel_Calls_Y1,X17*(1+Vessel_Call_Growth)))</f>
        <v>728.4055862639</v>
      </c>
      <c r="Z17" s="44" t="n">
        <f aca="false">IF(OR(Z6&lt;Ops_Start_Year,Z6&gt;Concession_Length),0,IF(Z6=Ops_Start_Year,Vessel_Calls_Y1,Y17*(1+Vessel_Call_Growth)))</f>
        <v>742.973697989178</v>
      </c>
      <c r="AA17" s="44" t="n">
        <f aca="false">IF(OR(AA6&lt;Ops_Start_Year,AA6&gt;Concession_Length),0,IF(AA6=Ops_Start_Year,Vessel_Calls_Y1,Z17*(1+Vessel_Call_Growth)))</f>
        <v>757.833171948961</v>
      </c>
      <c r="AB17" s="44" t="n">
        <f aca="false">IF(OR(AB6&lt;Ops_Start_Year,AB6&gt;Concession_Length),0,IF(AB6=Ops_Start_Year,Vessel_Calls_Y1,AA17*(1+Vessel_Call_Growth)))</f>
        <v>772.98983538794</v>
      </c>
      <c r="AC17" s="44" t="n">
        <f aca="false">IF(OR(AC6&lt;Ops_Start_Year,AC6&gt;Concession_Length),0,IF(AC6=Ops_Start_Year,Vessel_Calls_Y1,AB17*(1+Vessel_Call_Growth)))</f>
        <v>788.449632095699</v>
      </c>
      <c r="AD17" s="44" t="n">
        <f aca="false">IF(OR(AD6&lt;Ops_Start_Year,AD6&gt;Concession_Length),0,IF(AD6=Ops_Start_Year,Vessel_Calls_Y1,AC17*(1+Vessel_Call_Growth)))</f>
        <v>804.218624737613</v>
      </c>
      <c r="AE17" s="44" t="n">
        <f aca="false">IF(OR(AE6&lt;Ops_Start_Year,AE6&gt;Concession_Length),0,IF(AE6=Ops_Start_Year,Vessel_Calls_Y1,AD17*(1+Vessel_Call_Growth)))</f>
        <v>820.302997232365</v>
      </c>
      <c r="AF17" s="44" t="n">
        <f aca="false">IF(OR(AF6&lt;Ops_Start_Year,AF6&gt;Concession_Length),0,IF(AF6=Ops_Start_Year,Vessel_Calls_Y1,AE17*(1+Vessel_Call_Growth)))</f>
        <v>836.709057177013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208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13</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8" t="s">
        <v>186</v>
      </c>
      <c r="C7" s="37" t="s">
        <v>187</v>
      </c>
      <c r="D7" s="37" t="s">
        <v>187</v>
      </c>
      <c r="E7" s="37" t="s">
        <v>187</v>
      </c>
      <c r="F7" s="37" t="s">
        <v>188</v>
      </c>
      <c r="G7" s="37" t="s">
        <v>188</v>
      </c>
      <c r="H7" s="37" t="s">
        <v>188</v>
      </c>
      <c r="I7" s="37" t="s">
        <v>188</v>
      </c>
      <c r="J7" s="37" t="s">
        <v>188</v>
      </c>
      <c r="K7" s="37" t="s">
        <v>188</v>
      </c>
      <c r="L7" s="37" t="s">
        <v>188</v>
      </c>
      <c r="M7" s="37" t="s">
        <v>188</v>
      </c>
      <c r="N7" s="37" t="s">
        <v>188</v>
      </c>
      <c r="O7" s="37" t="s">
        <v>188</v>
      </c>
      <c r="P7" s="37" t="s">
        <v>188</v>
      </c>
      <c r="Q7" s="37" t="s">
        <v>188</v>
      </c>
      <c r="R7" s="37" t="s">
        <v>188</v>
      </c>
      <c r="S7" s="37" t="s">
        <v>188</v>
      </c>
      <c r="T7" s="37" t="s">
        <v>188</v>
      </c>
      <c r="U7" s="37" t="s">
        <v>188</v>
      </c>
      <c r="V7" s="37" t="s">
        <v>188</v>
      </c>
      <c r="W7" s="37" t="s">
        <v>188</v>
      </c>
      <c r="X7" s="37" t="s">
        <v>188</v>
      </c>
      <c r="Y7" s="37" t="s">
        <v>188</v>
      </c>
      <c r="Z7" s="37" t="s">
        <v>188</v>
      </c>
      <c r="AA7" s="37" t="s">
        <v>188</v>
      </c>
      <c r="AB7" s="37" t="s">
        <v>188</v>
      </c>
      <c r="AC7" s="37" t="s">
        <v>188</v>
      </c>
      <c r="AD7" s="37" t="s">
        <v>188</v>
      </c>
      <c r="AE7" s="37" t="s">
        <v>188</v>
      </c>
      <c r="AF7" s="37" t="s">
        <v>188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customFormat="false" ht="15" hidden="false" customHeight="false" outlineLevel="0" collapsed="false">
      <c r="A9" s="5"/>
      <c r="B9" s="15" t="s">
        <v>209</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customFormat="false" ht="15" hidden="false" customHeight="false" outlineLevel="0" collapsed="false">
      <c r="A10" s="5"/>
      <c r="B10" s="38" t="s">
        <v>210</v>
      </c>
      <c r="C10" s="39" t="n">
        <f aca="false">IF(AND(C6&gt;=Ops_Start_Year,C6&lt;=Concession_Length),Stev_Tariff*(1+Tariff_Inflation)^(C6-Ops_Start_Year),0)</f>
        <v>0</v>
      </c>
      <c r="D10" s="39" t="n">
        <f aca="false">IF(AND(D6&gt;=Ops_Start_Year,D6&lt;=Concession_Length),Stev_Tariff*(1+Tariff_Inflation)^(D6-Ops_Start_Year),0)</f>
        <v>0</v>
      </c>
      <c r="E10" s="39" t="n">
        <f aca="false">IF(AND(E6&gt;=Ops_Start_Year,E6&lt;=Concession_Length),Stev_Tariff*(1+Tariff_Inflation)^(E6-Ops_Start_Year),0)</f>
        <v>0</v>
      </c>
      <c r="F10" s="39" t="n">
        <f aca="false">IF(AND(F6&gt;=Ops_Start_Year,F6&lt;=Concession_Length),Stev_Tariff*(1+Tariff_Inflation)^(F6-Ops_Start_Year),0)</f>
        <v>180</v>
      </c>
      <c r="G10" s="39" t="n">
        <f aca="false">IF(AND(G6&gt;=Ops_Start_Year,G6&lt;=Concession_Length),Stev_Tariff*(1+Tariff_Inflation)^(G6-Ops_Start_Year),0)</f>
        <v>184.5</v>
      </c>
      <c r="H10" s="39" t="n">
        <f aca="false">IF(AND(H6&gt;=Ops_Start_Year,H6&lt;=Concession_Length),Stev_Tariff*(1+Tariff_Inflation)^(H6-Ops_Start_Year),0)</f>
        <v>189.1125</v>
      </c>
      <c r="I10" s="39" t="n">
        <f aca="false">IF(AND(I6&gt;=Ops_Start_Year,I6&lt;=Concession_Length),Stev_Tariff*(1+Tariff_Inflation)^(I6-Ops_Start_Year),0)</f>
        <v>193.8403125</v>
      </c>
      <c r="J10" s="39" t="n">
        <f aca="false">IF(AND(J6&gt;=Ops_Start_Year,J6&lt;=Concession_Length),Stev_Tariff*(1+Tariff_Inflation)^(J6-Ops_Start_Year),0)</f>
        <v>198.6863203125</v>
      </c>
      <c r="K10" s="39" t="n">
        <f aca="false">IF(AND(K6&gt;=Ops_Start_Year,K6&lt;=Concession_Length),Stev_Tariff*(1+Tariff_Inflation)^(K6-Ops_Start_Year),0)</f>
        <v>203.653478320312</v>
      </c>
      <c r="L10" s="39" t="n">
        <f aca="false">IF(AND(L6&gt;=Ops_Start_Year,L6&lt;=Concession_Length),Stev_Tariff*(1+Tariff_Inflation)^(L6-Ops_Start_Year),0)</f>
        <v>208.74481527832</v>
      </c>
      <c r="M10" s="39" t="n">
        <f aca="false">IF(AND(M6&gt;=Ops_Start_Year,M6&lt;=Concession_Length),Stev_Tariff*(1+Tariff_Inflation)^(M6-Ops_Start_Year),0)</f>
        <v>213.963435660278</v>
      </c>
      <c r="N10" s="39" t="n">
        <f aca="false">IF(AND(N6&gt;=Ops_Start_Year,N6&lt;=Concession_Length),Stev_Tariff*(1+Tariff_Inflation)^(N6-Ops_Start_Year),0)</f>
        <v>219.312521551785</v>
      </c>
      <c r="O10" s="39" t="n">
        <f aca="false">IF(AND(O6&gt;=Ops_Start_Year,O6&lt;=Concession_Length),Stev_Tariff*(1+Tariff_Inflation)^(O6-Ops_Start_Year),0)</f>
        <v>224.79533459058</v>
      </c>
      <c r="P10" s="39" t="n">
        <f aca="false">IF(AND(P6&gt;=Ops_Start_Year,P6&lt;=Concession_Length),Stev_Tariff*(1+Tariff_Inflation)^(P6-Ops_Start_Year),0)</f>
        <v>230.415217955344</v>
      </c>
      <c r="Q10" s="39" t="n">
        <f aca="false">IF(AND(Q6&gt;=Ops_Start_Year,Q6&lt;=Concession_Length),Stev_Tariff*(1+Tariff_Inflation)^(Q6-Ops_Start_Year),0)</f>
        <v>236.175598404228</v>
      </c>
      <c r="R10" s="39" t="n">
        <f aca="false">IF(AND(R6&gt;=Ops_Start_Year,R6&lt;=Concession_Length),Stev_Tariff*(1+Tariff_Inflation)^(R6-Ops_Start_Year),0)</f>
        <v>242.079988364333</v>
      </c>
      <c r="S10" s="39" t="n">
        <f aca="false">IF(AND(S6&gt;=Ops_Start_Year,S6&lt;=Concession_Length),Stev_Tariff*(1+Tariff_Inflation)^(S6-Ops_Start_Year),0)</f>
        <v>248.131988073442</v>
      </c>
      <c r="T10" s="39" t="n">
        <f aca="false">IF(AND(T6&gt;=Ops_Start_Year,T6&lt;=Concession_Length),Stev_Tariff*(1+Tariff_Inflation)^(T6-Ops_Start_Year),0)</f>
        <v>254.335287775278</v>
      </c>
      <c r="U10" s="39" t="n">
        <f aca="false">IF(AND(U6&gt;=Ops_Start_Year,U6&lt;=Concession_Length),Stev_Tariff*(1+Tariff_Inflation)^(U6-Ops_Start_Year),0)</f>
        <v>260.69366996966</v>
      </c>
      <c r="V10" s="39" t="n">
        <f aca="false">IF(AND(V6&gt;=Ops_Start_Year,V6&lt;=Concession_Length),Stev_Tariff*(1+Tariff_Inflation)^(V6-Ops_Start_Year),0)</f>
        <v>267.211011718901</v>
      </c>
      <c r="W10" s="39" t="n">
        <f aca="false">IF(AND(W6&gt;=Ops_Start_Year,W6&lt;=Concession_Length),Stev_Tariff*(1+Tariff_Inflation)^(W6-Ops_Start_Year),0)</f>
        <v>273.891287011874</v>
      </c>
      <c r="X10" s="39" t="n">
        <f aca="false">IF(AND(X6&gt;=Ops_Start_Year,X6&lt;=Concession_Length),Stev_Tariff*(1+Tariff_Inflation)^(X6-Ops_Start_Year),0)</f>
        <v>280.738569187171</v>
      </c>
      <c r="Y10" s="39" t="n">
        <f aca="false">IF(AND(Y6&gt;=Ops_Start_Year,Y6&lt;=Concession_Length),Stev_Tariff*(1+Tariff_Inflation)^(Y6-Ops_Start_Year),0)</f>
        <v>287.75703341685</v>
      </c>
      <c r="Z10" s="39" t="n">
        <f aca="false">IF(AND(Z6&gt;=Ops_Start_Year,Z6&lt;=Concession_Length),Stev_Tariff*(1+Tariff_Inflation)^(Z6-Ops_Start_Year),0)</f>
        <v>294.950959252271</v>
      </c>
      <c r="AA10" s="39" t="n">
        <f aca="false">IF(AND(AA6&gt;=Ops_Start_Year,AA6&lt;=Concession_Length),Stev_Tariff*(1+Tariff_Inflation)^(AA6-Ops_Start_Year),0)</f>
        <v>302.324733233578</v>
      </c>
      <c r="AB10" s="39" t="n">
        <f aca="false">IF(AND(AB6&gt;=Ops_Start_Year,AB6&lt;=Concession_Length),Stev_Tariff*(1+Tariff_Inflation)^(AB6-Ops_Start_Year),0)</f>
        <v>309.882851564417</v>
      </c>
      <c r="AC10" s="39" t="n">
        <f aca="false">IF(AND(AC6&gt;=Ops_Start_Year,AC6&lt;=Concession_Length),Stev_Tariff*(1+Tariff_Inflation)^(AC6-Ops_Start_Year),0)</f>
        <v>317.629922853528</v>
      </c>
      <c r="AD10" s="39" t="n">
        <f aca="false">IF(AND(AD6&gt;=Ops_Start_Year,AD6&lt;=Concession_Length),Stev_Tariff*(1+Tariff_Inflation)^(AD6-Ops_Start_Year),0)</f>
        <v>325.570670924866</v>
      </c>
      <c r="AE10" s="39" t="n">
        <f aca="false">IF(AND(AE6&gt;=Ops_Start_Year,AE6&lt;=Concession_Length),Stev_Tariff*(1+Tariff_Inflation)^(AE6-Ops_Start_Year),0)</f>
        <v>333.709937697987</v>
      </c>
      <c r="AF10" s="39" t="n">
        <f aca="false">IF(AND(AF6&gt;=Ops_Start_Year,AF6&lt;=Concession_Length),Stev_Tariff*(1+Tariff_Inflation)^(AF6-Ops_Start_Year),0)</f>
        <v>342.052686140437</v>
      </c>
    </row>
    <row r="11" customFormat="false" ht="15" hidden="false" customHeight="false" outlineLevel="0" collapsed="false">
      <c r="A11" s="5"/>
      <c r="B11" s="42" t="s">
        <v>211</v>
      </c>
      <c r="C11" s="43" t="n">
        <f aca="false">TC_Handled_Volume*C10</f>
        <v>0</v>
      </c>
      <c r="D11" s="43" t="n">
        <f aca="false">TC_Handled_Volume*D10</f>
        <v>0</v>
      </c>
      <c r="E11" s="43" t="n">
        <f aca="false">TC_Handled_Volume*E10</f>
        <v>0</v>
      </c>
      <c r="F11" s="43" t="n">
        <f aca="false">TC_Handled_Volume*F10</f>
        <v>108000000</v>
      </c>
      <c r="G11" s="43" t="n">
        <f aca="false">TC_Handled_Volume*G10</f>
        <v>114574500</v>
      </c>
      <c r="H11" s="43" t="n">
        <f aca="false">TC_Handled_Volume*H10</f>
        <v>121549222.6875</v>
      </c>
      <c r="I11" s="43" t="n">
        <f aca="false">TC_Handled_Volume*I10</f>
        <v>128948531.618602</v>
      </c>
      <c r="J11" s="43" t="n">
        <f aca="false">TC_Handled_Volume*J10</f>
        <v>136798273.480884</v>
      </c>
      <c r="K11" s="43" t="n">
        <f aca="false">TC_Handled_Volume*K10</f>
        <v>145125868.379033</v>
      </c>
      <c r="L11" s="43" t="n">
        <f aca="false">TC_Handled_Volume*L10</f>
        <v>153960405.616606</v>
      </c>
      <c r="M11" s="43" t="n">
        <f aca="false">TC_Handled_Volume*M10</f>
        <v>163332745.308517</v>
      </c>
      <c r="N11" s="43" t="n">
        <f aca="false">TC_Handled_Volume*N10</f>
        <v>173275626.179173</v>
      </c>
      <c r="O11" s="43" t="n">
        <f aca="false">TC_Handled_Volume*O10</f>
        <v>183823779.92283</v>
      </c>
      <c r="P11" s="43" t="n">
        <f aca="false">TC_Handled_Volume*P10</f>
        <v>195014052.525632</v>
      </c>
      <c r="Q11" s="43" t="n">
        <f aca="false">TC_Handled_Volume*Q10</f>
        <v>200749258.643594</v>
      </c>
      <c r="R11" s="43" t="n">
        <f aca="false">TC_Handled_Volume*R10</f>
        <v>205767990.109683</v>
      </c>
      <c r="S11" s="43" t="n">
        <f aca="false">TC_Handled_Volume*S10</f>
        <v>210912189.862426</v>
      </c>
      <c r="T11" s="43" t="n">
        <f aca="false">TC_Handled_Volume*T10</f>
        <v>216184994.608986</v>
      </c>
      <c r="U11" s="43" t="n">
        <f aca="false">TC_Handled_Volume*U10</f>
        <v>221589619.474211</v>
      </c>
      <c r="V11" s="43" t="n">
        <f aca="false">TC_Handled_Volume*V10</f>
        <v>227129359.961066</v>
      </c>
      <c r="W11" s="43" t="n">
        <f aca="false">TC_Handled_Volume*W10</f>
        <v>232807593.960093</v>
      </c>
      <c r="X11" s="43" t="n">
        <f aca="false">TC_Handled_Volume*X10</f>
        <v>238627783.809095</v>
      </c>
      <c r="Y11" s="43" t="n">
        <f aca="false">TC_Handled_Volume*Y10</f>
        <v>244593478.404322</v>
      </c>
      <c r="Z11" s="43" t="n">
        <f aca="false">TC_Handled_Volume*Z10</f>
        <v>250708315.36443</v>
      </c>
      <c r="AA11" s="43" t="n">
        <f aca="false">TC_Handled_Volume*AA10</f>
        <v>256976023.248541</v>
      </c>
      <c r="AB11" s="43" t="n">
        <f aca="false">TC_Handled_Volume*AB10</f>
        <v>263400423.829755</v>
      </c>
      <c r="AC11" s="43" t="n">
        <f aca="false">TC_Handled_Volume*AC10</f>
        <v>269985434.425498</v>
      </c>
      <c r="AD11" s="43" t="n">
        <f aca="false">TC_Handled_Volume*AD10</f>
        <v>276735070.286136</v>
      </c>
      <c r="AE11" s="43" t="n">
        <f aca="false">TC_Handled_Volume*AE10</f>
        <v>283653447.043289</v>
      </c>
      <c r="AF11" s="43" t="n">
        <f aca="false">TC_Handled_Volume*AF10</f>
        <v>290744783.219371</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customFormat="false" ht="15" hidden="false" customHeight="false" outlineLevel="0" collapsed="false">
      <c r="A13" s="5"/>
      <c r="B13" s="15" t="s">
        <v>212</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row>
    <row r="14" customFormat="false" ht="15" hidden="false" customHeight="false" outlineLevel="0" collapsed="false">
      <c r="A14" s="5"/>
      <c r="B14" s="38" t="s">
        <v>213</v>
      </c>
      <c r="C14" s="39" t="n">
        <f aca="false">TC_Vessel_Calls*Wharfage_Per_Call*(1+Tariff_Inflation)^(MAX(0,C6-Ops_Start_Year))</f>
        <v>0</v>
      </c>
      <c r="D14" s="39" t="n">
        <f aca="false">TC_Vessel_Calls*Wharfage_Per_Call*(1+Tariff_Inflation)^(MAX(0,D6-Ops_Start_Year))</f>
        <v>0</v>
      </c>
      <c r="E14" s="39" t="n">
        <f aca="false">TC_Vessel_Calls*Wharfage_Per_Call*(1+Tariff_Inflation)^(MAX(0,E6-Ops_Start_Year))</f>
        <v>0</v>
      </c>
      <c r="F14" s="39" t="n">
        <f aca="false">TC_Vessel_Calls*Wharfage_Per_Call*(1+Tariff_Inflation)^(MAX(0,F6-Ops_Start_Year))</f>
        <v>12500000</v>
      </c>
      <c r="G14" s="39" t="n">
        <f aca="false">TC_Vessel_Calls*Wharfage_Per_Call*(1+Tariff_Inflation)^(MAX(0,G6-Ops_Start_Year))</f>
        <v>13068750</v>
      </c>
      <c r="H14" s="39" t="n">
        <f aca="false">TC_Vessel_Calls*Wharfage_Per_Call*(1+Tariff_Inflation)^(MAX(0,H6-Ops_Start_Year))</f>
        <v>13663378.125</v>
      </c>
      <c r="I14" s="39" t="n">
        <f aca="false">TC_Vessel_Calls*Wharfage_Per_Call*(1+Tariff_Inflation)^(MAX(0,I6-Ops_Start_Year))</f>
        <v>14285061.8296875</v>
      </c>
      <c r="J14" s="39" t="n">
        <f aca="false">TC_Vessel_Calls*Wharfage_Per_Call*(1+Tariff_Inflation)^(MAX(0,J6-Ops_Start_Year))</f>
        <v>14935032.1429383</v>
      </c>
      <c r="K14" s="39" t="n">
        <f aca="false">TC_Vessel_Calls*Wharfage_Per_Call*(1+Tariff_Inflation)^(MAX(0,K6-Ops_Start_Year))</f>
        <v>15614576.105442</v>
      </c>
      <c r="L14" s="39" t="n">
        <f aca="false">TC_Vessel_Calls*Wharfage_Per_Call*(1+Tariff_Inflation)^(MAX(0,L6-Ops_Start_Year))</f>
        <v>16325039.3182396</v>
      </c>
      <c r="M14" s="39" t="n">
        <f aca="false">TC_Vessel_Calls*Wharfage_Per_Call*(1+Tariff_Inflation)^(MAX(0,M6-Ops_Start_Year))</f>
        <v>17067828.6072195</v>
      </c>
      <c r="N14" s="39" t="n">
        <f aca="false">TC_Vessel_Calls*Wharfage_Per_Call*(1+Tariff_Inflation)^(MAX(0,N6-Ops_Start_Year))</f>
        <v>17844414.808848</v>
      </c>
      <c r="O14" s="39" t="n">
        <f aca="false">TC_Vessel_Calls*Wharfage_Per_Call*(1+Tariff_Inflation)^(MAX(0,O6-Ops_Start_Year))</f>
        <v>18656335.6826505</v>
      </c>
      <c r="P14" s="39" t="n">
        <f aca="false">TC_Vessel_Calls*Wharfage_Per_Call*(1+Tariff_Inflation)^(MAX(0,P6-Ops_Start_Year))</f>
        <v>19505198.9562111</v>
      </c>
      <c r="Q14" s="39" t="n">
        <f aca="false">TC_Vessel_Calls*Wharfage_Per_Call*(1+Tariff_Inflation)^(MAX(0,Q6-Ops_Start_Year))</f>
        <v>20392685.5087187</v>
      </c>
      <c r="R14" s="39" t="n">
        <f aca="false">TC_Vessel_Calls*Wharfage_Per_Call*(1+Tariff_Inflation)^(MAX(0,R6-Ops_Start_Year))</f>
        <v>21320552.6993655</v>
      </c>
      <c r="S14" s="39" t="n">
        <f aca="false">TC_Vessel_Calls*Wharfage_Per_Call*(1+Tariff_Inflation)^(MAX(0,S6-Ops_Start_Year))</f>
        <v>22290637.8471866</v>
      </c>
      <c r="T14" s="39" t="n">
        <f aca="false">TC_Vessel_Calls*Wharfage_Per_Call*(1+Tariff_Inflation)^(MAX(0,T6-Ops_Start_Year))</f>
        <v>23304861.8692336</v>
      </c>
      <c r="U14" s="39" t="n">
        <f aca="false">TC_Vessel_Calls*Wharfage_Per_Call*(1+Tariff_Inflation)^(MAX(0,U6-Ops_Start_Year))</f>
        <v>24365233.0842837</v>
      </c>
      <c r="V14" s="39" t="n">
        <f aca="false">TC_Vessel_Calls*Wharfage_Per_Call*(1+Tariff_Inflation)^(MAX(0,V6-Ops_Start_Year))</f>
        <v>25473851.1896186</v>
      </c>
      <c r="W14" s="39" t="n">
        <f aca="false">TC_Vessel_Calls*Wharfage_Per_Call*(1+Tariff_Inflation)^(MAX(0,W6-Ops_Start_Year))</f>
        <v>26632911.4187462</v>
      </c>
      <c r="X14" s="39" t="n">
        <f aca="false">TC_Vessel_Calls*Wharfage_Per_Call*(1+Tariff_Inflation)^(MAX(0,X6-Ops_Start_Year))</f>
        <v>27844708.8882992</v>
      </c>
      <c r="Y14" s="39" t="n">
        <f aca="false">TC_Vessel_Calls*Wharfage_Per_Call*(1+Tariff_Inflation)^(MAX(0,Y6-Ops_Start_Year))</f>
        <v>29111643.1427168</v>
      </c>
      <c r="Z14" s="39" t="n">
        <f aca="false">TC_Vessel_Calls*Wharfage_Per_Call*(1+Tariff_Inflation)^(MAX(0,Z6-Ops_Start_Year))</f>
        <v>30436222.9057104</v>
      </c>
      <c r="AA14" s="39" t="n">
        <f aca="false">TC_Vessel_Calls*Wharfage_Per_Call*(1+Tariff_Inflation)^(MAX(0,AA6-Ops_Start_Year))</f>
        <v>31821071.0479202</v>
      </c>
      <c r="AB14" s="39" t="n">
        <f aca="false">TC_Vessel_Calls*Wharfage_Per_Call*(1+Tariff_Inflation)^(MAX(0,AB6-Ops_Start_Year))</f>
        <v>33268929.7806006</v>
      </c>
      <c r="AC14" s="39" t="n">
        <f aca="false">TC_Vessel_Calls*Wharfage_Per_Call*(1+Tariff_Inflation)^(MAX(0,AC6-Ops_Start_Year))</f>
        <v>34782666.0856179</v>
      </c>
      <c r="AD14" s="39" t="n">
        <f aca="false">TC_Vessel_Calls*Wharfage_Per_Call*(1+Tariff_Inflation)^(MAX(0,AD6-Ops_Start_Year))</f>
        <v>36365277.3925135</v>
      </c>
      <c r="AE14" s="39" t="n">
        <f aca="false">TC_Vessel_Calls*Wharfage_Per_Call*(1+Tariff_Inflation)^(MAX(0,AE6-Ops_Start_Year))</f>
        <v>38019897.5138729</v>
      </c>
      <c r="AF14" s="39" t="n">
        <f aca="false">TC_Vessel_Calls*Wharfage_Per_Call*(1+Tariff_Inflation)^(MAX(0,AF6-Ops_Start_Year))</f>
        <v>39749802.8507541</v>
      </c>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row>
    <row r="16" customFormat="false" ht="15" hidden="false" customHeight="false" outlineLevel="0" collapsed="false">
      <c r="A16" s="5"/>
      <c r="B16" s="38" t="s">
        <v>214</v>
      </c>
      <c r="C16" s="39" t="n">
        <f aca="false">C11*Storage_Pct</f>
        <v>0</v>
      </c>
      <c r="D16" s="39" t="n">
        <f aca="false">D11*Storage_Pct</f>
        <v>0</v>
      </c>
      <c r="E16" s="39" t="n">
        <f aca="false">E11*Storage_Pct</f>
        <v>0</v>
      </c>
      <c r="F16" s="39" t="n">
        <f aca="false">F11*Storage_Pct</f>
        <v>5400000</v>
      </c>
      <c r="G16" s="39" t="n">
        <f aca="false">G11*Storage_Pct</f>
        <v>5728725</v>
      </c>
      <c r="H16" s="39" t="n">
        <f aca="false">H11*Storage_Pct</f>
        <v>6077461.134375</v>
      </c>
      <c r="I16" s="39" t="n">
        <f aca="false">I11*Storage_Pct</f>
        <v>6447426.58093008</v>
      </c>
      <c r="J16" s="39" t="n">
        <f aca="false">J11*Storage_Pct</f>
        <v>6839913.67404419</v>
      </c>
      <c r="K16" s="39" t="n">
        <f aca="false">K11*Storage_Pct</f>
        <v>7256293.41895163</v>
      </c>
      <c r="L16" s="39" t="n">
        <f aca="false">L11*Storage_Pct</f>
        <v>7698020.28083031</v>
      </c>
      <c r="M16" s="39" t="n">
        <f aca="false">M11*Storage_Pct</f>
        <v>8166637.26542586</v>
      </c>
      <c r="N16" s="39" t="n">
        <f aca="false">N11*Storage_Pct</f>
        <v>8663781.30895865</v>
      </c>
      <c r="O16" s="39" t="n">
        <f aca="false">O11*Storage_Pct</f>
        <v>9191188.99614151</v>
      </c>
      <c r="P16" s="39" t="n">
        <f aca="false">P11*Storage_Pct</f>
        <v>9750702.62628162</v>
      </c>
      <c r="Q16" s="39" t="n">
        <f aca="false">Q11*Storage_Pct</f>
        <v>10037462.9321797</v>
      </c>
      <c r="R16" s="39" t="n">
        <f aca="false">R11*Storage_Pct</f>
        <v>10288399.5054842</v>
      </c>
      <c r="S16" s="39" t="n">
        <f aca="false">S11*Storage_Pct</f>
        <v>10545609.4931213</v>
      </c>
      <c r="T16" s="39" t="n">
        <f aca="false">T11*Storage_Pct</f>
        <v>10809249.7304493</v>
      </c>
      <c r="U16" s="39" t="n">
        <f aca="false">U11*Storage_Pct</f>
        <v>11079480.9737105</v>
      </c>
      <c r="V16" s="39" t="n">
        <f aca="false">V11*Storage_Pct</f>
        <v>11356467.9980533</v>
      </c>
      <c r="W16" s="39" t="n">
        <f aca="false">W11*Storage_Pct</f>
        <v>11640379.6980046</v>
      </c>
      <c r="X16" s="39" t="n">
        <f aca="false">X11*Storage_Pct</f>
        <v>11931389.1904547</v>
      </c>
      <c r="Y16" s="39" t="n">
        <f aca="false">Y11*Storage_Pct</f>
        <v>12229673.9202161</v>
      </c>
      <c r="Z16" s="39" t="n">
        <f aca="false">Z11*Storage_Pct</f>
        <v>12535415.7682215</v>
      </c>
      <c r="AA16" s="39" t="n">
        <f aca="false">AA11*Storage_Pct</f>
        <v>12848801.1624271</v>
      </c>
      <c r="AB16" s="39" t="n">
        <f aca="false">AB11*Storage_Pct</f>
        <v>13170021.1914877</v>
      </c>
      <c r="AC16" s="39" t="n">
        <f aca="false">AC11*Storage_Pct</f>
        <v>13499271.7212749</v>
      </c>
      <c r="AD16" s="39" t="n">
        <f aca="false">AD11*Storage_Pct</f>
        <v>13836753.5143068</v>
      </c>
      <c r="AE16" s="39" t="n">
        <f aca="false">AE11*Storage_Pct</f>
        <v>14182672.3521645</v>
      </c>
      <c r="AF16" s="39" t="n">
        <f aca="false">AF11*Storage_Pct</f>
        <v>14537239.1609686</v>
      </c>
    </row>
    <row r="17" customFormat="false" ht="15" hidden="false" customHeight="false" outlineLevel="0" collapsed="false">
      <c r="A17" s="5"/>
      <c r="B17" s="38" t="s">
        <v>215</v>
      </c>
      <c r="C17" s="39" t="n">
        <f aca="false">C11*VAS_Pct</f>
        <v>0</v>
      </c>
      <c r="D17" s="39" t="n">
        <f aca="false">D11*VAS_Pct</f>
        <v>0</v>
      </c>
      <c r="E17" s="39" t="n">
        <f aca="false">E11*VAS_Pct</f>
        <v>0</v>
      </c>
      <c r="F17" s="39" t="n">
        <f aca="false">F11*VAS_Pct</f>
        <v>4320000</v>
      </c>
      <c r="G17" s="39" t="n">
        <f aca="false">G11*VAS_Pct</f>
        <v>4582980</v>
      </c>
      <c r="H17" s="39" t="n">
        <f aca="false">H11*VAS_Pct</f>
        <v>4861968.9075</v>
      </c>
      <c r="I17" s="39" t="n">
        <f aca="false">I11*VAS_Pct</f>
        <v>5157941.26474406</v>
      </c>
      <c r="J17" s="39" t="n">
        <f aca="false">J11*VAS_Pct</f>
        <v>5471930.93923536</v>
      </c>
      <c r="K17" s="39" t="n">
        <f aca="false">K11*VAS_Pct</f>
        <v>5805034.7351613</v>
      </c>
      <c r="L17" s="39" t="n">
        <f aca="false">L11*VAS_Pct</f>
        <v>6158416.22466425</v>
      </c>
      <c r="M17" s="39" t="n">
        <f aca="false">M11*VAS_Pct</f>
        <v>6533309.81234068</v>
      </c>
      <c r="N17" s="39" t="n">
        <f aca="false">N11*VAS_Pct</f>
        <v>6931025.04716692</v>
      </c>
      <c r="O17" s="39" t="n">
        <f aca="false">O11*VAS_Pct</f>
        <v>7352951.19691321</v>
      </c>
      <c r="P17" s="39" t="n">
        <f aca="false">P11*VAS_Pct</f>
        <v>7800562.1010253</v>
      </c>
      <c r="Q17" s="39" t="n">
        <f aca="false">Q11*VAS_Pct</f>
        <v>8029970.34574375</v>
      </c>
      <c r="R17" s="39" t="n">
        <f aca="false">R11*VAS_Pct</f>
        <v>8230719.60438734</v>
      </c>
      <c r="S17" s="39" t="n">
        <f aca="false">S11*VAS_Pct</f>
        <v>8436487.59449702</v>
      </c>
      <c r="T17" s="39" t="n">
        <f aca="false">T11*VAS_Pct</f>
        <v>8647399.78435945</v>
      </c>
      <c r="U17" s="39" t="n">
        <f aca="false">U11*VAS_Pct</f>
        <v>8863584.77896843</v>
      </c>
      <c r="V17" s="39" t="n">
        <f aca="false">V11*VAS_Pct</f>
        <v>9085174.39844264</v>
      </c>
      <c r="W17" s="39" t="n">
        <f aca="false">W11*VAS_Pct</f>
        <v>9312303.75840371</v>
      </c>
      <c r="X17" s="39" t="n">
        <f aca="false">X11*VAS_Pct</f>
        <v>9545111.3523638</v>
      </c>
      <c r="Y17" s="39" t="n">
        <f aca="false">Y11*VAS_Pct</f>
        <v>9783739.13617289</v>
      </c>
      <c r="Z17" s="39" t="n">
        <f aca="false">Z11*VAS_Pct</f>
        <v>10028332.6145772</v>
      </c>
      <c r="AA17" s="39" t="n">
        <f aca="false">AA11*VAS_Pct</f>
        <v>10279040.9299416</v>
      </c>
      <c r="AB17" s="39" t="n">
        <f aca="false">AB11*VAS_Pct</f>
        <v>10536016.9531902</v>
      </c>
      <c r="AC17" s="39" t="n">
        <f aca="false">AC11*VAS_Pct</f>
        <v>10799417.3770199</v>
      </c>
      <c r="AD17" s="39" t="n">
        <f aca="false">AD11*VAS_Pct</f>
        <v>11069402.8114454</v>
      </c>
      <c r="AE17" s="39" t="n">
        <f aca="false">AE11*VAS_Pct</f>
        <v>11346137.8817316</v>
      </c>
      <c r="AF17" s="39" t="n">
        <f aca="false">AF11*VAS_Pct</f>
        <v>11629791.3287749</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customFormat="false" ht="15" hidden="false" customHeight="false" outlineLevel="0" collapsed="false">
      <c r="A19" s="5"/>
      <c r="B19" s="40" t="s">
        <v>216</v>
      </c>
      <c r="C19" s="41" t="n">
        <f aca="false">C11+C14+C16+C17</f>
        <v>0</v>
      </c>
      <c r="D19" s="41" t="n">
        <f aca="false">D11+D14+D16+D17</f>
        <v>0</v>
      </c>
      <c r="E19" s="41" t="n">
        <f aca="false">E11+E14+E16+E17</f>
        <v>0</v>
      </c>
      <c r="F19" s="41" t="n">
        <f aca="false">F11+F14+F16+F17</f>
        <v>130220000</v>
      </c>
      <c r="G19" s="41" t="n">
        <f aca="false">G11+G14+G16+G17</f>
        <v>137954955</v>
      </c>
      <c r="H19" s="41" t="n">
        <f aca="false">H11+H14+H16+H17</f>
        <v>146152030.854375</v>
      </c>
      <c r="I19" s="41" t="n">
        <f aca="false">I11+I14+I16+I17</f>
        <v>154838961.293963</v>
      </c>
      <c r="J19" s="41" t="n">
        <f aca="false">J11+J14+J16+J17</f>
        <v>164045150.237102</v>
      </c>
      <c r="K19" s="41" t="n">
        <f aca="false">K11+K14+K16+K17</f>
        <v>173801772.638588</v>
      </c>
      <c r="L19" s="41" t="n">
        <f aca="false">L11+L14+L16+L17</f>
        <v>184141881.44034</v>
      </c>
      <c r="M19" s="41" t="n">
        <f aca="false">M11+M14+M16+M17</f>
        <v>195100520.993503</v>
      </c>
      <c r="N19" s="41" t="n">
        <f aca="false">N11+N14+N16+N17</f>
        <v>206714847.344147</v>
      </c>
      <c r="O19" s="41" t="n">
        <f aca="false">O11+O14+O16+O17</f>
        <v>219024255.798535</v>
      </c>
      <c r="P19" s="41" t="n">
        <f aca="false">P11+P14+P16+P17</f>
        <v>232070516.20915</v>
      </c>
      <c r="Q19" s="41" t="n">
        <f aca="false">Q11+Q14+Q16+Q17</f>
        <v>239209377.430236</v>
      </c>
      <c r="R19" s="41" t="n">
        <f aca="false">R11+R14+R16+R17</f>
        <v>245607661.91892</v>
      </c>
      <c r="S19" s="41" t="n">
        <f aca="false">S11+S14+S16+S17</f>
        <v>252184924.79723</v>
      </c>
      <c r="T19" s="41" t="n">
        <f aca="false">T11+T14+T16+T17</f>
        <v>258946505.993029</v>
      </c>
      <c r="U19" s="41" t="n">
        <f aca="false">U11+U14+U16+U17</f>
        <v>265897918.311173</v>
      </c>
      <c r="V19" s="41" t="n">
        <f aca="false">V11+V14+V16+V17</f>
        <v>273044853.547181</v>
      </c>
      <c r="W19" s="41" t="n">
        <f aca="false">W11+W14+W16+W17</f>
        <v>280393188.835247</v>
      </c>
      <c r="X19" s="41" t="n">
        <f aca="false">X11+X14+X16+X17</f>
        <v>287948993.240213</v>
      </c>
      <c r="Y19" s="41" t="n">
        <f aca="false">Y11+Y14+Y16+Y17</f>
        <v>295718534.603428</v>
      </c>
      <c r="Z19" s="41" t="n">
        <f aca="false">Z11+Z14+Z16+Z17</f>
        <v>303708286.652939</v>
      </c>
      <c r="AA19" s="41" t="n">
        <f aca="false">AA11+AA14+AA16+AA17</f>
        <v>311924936.38883</v>
      </c>
      <c r="AB19" s="41" t="n">
        <f aca="false">AB11+AB14+AB16+AB17</f>
        <v>320375391.755033</v>
      </c>
      <c r="AC19" s="41" t="n">
        <f aca="false">AC11+AC14+AC16+AC17</f>
        <v>329066789.609411</v>
      </c>
      <c r="AD19" s="41" t="n">
        <f aca="false">AD11+AD14+AD16+AD17</f>
        <v>338006504.004402</v>
      </c>
      <c r="AE19" s="41" t="n">
        <f aca="false">AE11+AE14+AE16+AE17</f>
        <v>347202154.791058</v>
      </c>
      <c r="AF19" s="41" t="n">
        <f aca="false">AF11+AF14+AF16+AF17</f>
        <v>356661616.559869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F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217</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15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8" t="s">
        <v>186</v>
      </c>
      <c r="C7" s="37" t="s">
        <v>187</v>
      </c>
      <c r="D7" s="37" t="s">
        <v>187</v>
      </c>
      <c r="E7" s="37" t="s">
        <v>187</v>
      </c>
      <c r="F7" s="37" t="s">
        <v>188</v>
      </c>
      <c r="G7" s="37" t="s">
        <v>188</v>
      </c>
      <c r="H7" s="37" t="s">
        <v>188</v>
      </c>
      <c r="I7" s="37" t="s">
        <v>188</v>
      </c>
      <c r="J7" s="37" t="s">
        <v>188</v>
      </c>
      <c r="K7" s="37" t="s">
        <v>188</v>
      </c>
      <c r="L7" s="37" t="s">
        <v>188</v>
      </c>
      <c r="M7" s="37" t="s">
        <v>188</v>
      </c>
      <c r="N7" s="37" t="s">
        <v>188</v>
      </c>
      <c r="O7" s="37" t="s">
        <v>188</v>
      </c>
      <c r="P7" s="37" t="s">
        <v>188</v>
      </c>
      <c r="Q7" s="37" t="s">
        <v>188</v>
      </c>
      <c r="R7" s="37" t="s">
        <v>188</v>
      </c>
      <c r="S7" s="37" t="s">
        <v>188</v>
      </c>
      <c r="T7" s="37" t="s">
        <v>188</v>
      </c>
      <c r="U7" s="37" t="s">
        <v>188</v>
      </c>
      <c r="V7" s="37" t="s">
        <v>188</v>
      </c>
      <c r="W7" s="37" t="s">
        <v>188</v>
      </c>
      <c r="X7" s="37" t="s">
        <v>188</v>
      </c>
      <c r="Y7" s="37" t="s">
        <v>188</v>
      </c>
      <c r="Z7" s="37" t="s">
        <v>188</v>
      </c>
      <c r="AA7" s="37" t="s">
        <v>188</v>
      </c>
      <c r="AB7" s="37" t="s">
        <v>188</v>
      </c>
      <c r="AC7" s="37" t="s">
        <v>188</v>
      </c>
      <c r="AD7" s="37" t="s">
        <v>188</v>
      </c>
      <c r="AE7" s="37" t="s">
        <v>188</v>
      </c>
      <c r="AF7" s="37" t="s">
        <v>188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customFormat="false" ht="15" hidden="false" customHeight="false" outlineLevel="0" collapsed="false">
      <c r="A9" s="5"/>
      <c r="B9" s="15" t="s">
        <v>90</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customFormat="false" ht="15" hidden="false" customHeight="false" outlineLevel="0" collapsed="false">
      <c r="A10" s="5"/>
      <c r="B10" s="38" t="s">
        <v>218</v>
      </c>
      <c r="C10" s="39" t="n">
        <f aca="false">TC_Handled_Volume*Var_Labour*(1+Opex_Inflation)^(MAX(0,C6-Ops_Start_Year))</f>
        <v>0</v>
      </c>
      <c r="D10" s="39" t="n">
        <f aca="false">TC_Handled_Volume*Var_Labour*(1+Opex_Inflation)^(MAX(0,D6-Ops_Start_Year))</f>
        <v>0</v>
      </c>
      <c r="E10" s="39" t="n">
        <f aca="false">TC_Handled_Volume*Var_Labour*(1+Opex_Inflation)^(MAX(0,E6-Ops_Start_Year))</f>
        <v>0</v>
      </c>
      <c r="F10" s="39" t="n">
        <f aca="false">TC_Handled_Volume*Var_Labour*(1+Opex_Inflation)^(MAX(0,F6-Ops_Start_Year))</f>
        <v>27000000</v>
      </c>
      <c r="G10" s="39" t="n">
        <f aca="false">TC_Handled_Volume*Var_Labour*(1+Opex_Inflation)^(MAX(0,G6-Ops_Start_Year))</f>
        <v>28783350</v>
      </c>
      <c r="H10" s="39" t="n">
        <f aca="false">TC_Handled_Volume*Var_Labour*(1+Opex_Inflation)^(MAX(0,H6-Ops_Start_Year))</f>
        <v>30684490.2675</v>
      </c>
      <c r="I10" s="39" t="n">
        <f aca="false">TC_Handled_Volume*Var_Labour*(1+Opex_Inflation)^(MAX(0,I6-Ops_Start_Year))</f>
        <v>32711200.8496684</v>
      </c>
      <c r="J10" s="39" t="n">
        <f aca="false">TC_Handled_Volume*Var_Labour*(1+Opex_Inflation)^(MAX(0,J6-Ops_Start_Year))</f>
        <v>34871775.665789</v>
      </c>
      <c r="K10" s="39" t="n">
        <f aca="false">TC_Handled_Volume*Var_Labour*(1+Opex_Inflation)^(MAX(0,K6-Ops_Start_Year))</f>
        <v>37175056.4485143</v>
      </c>
      <c r="L10" s="39" t="n">
        <f aca="false">TC_Handled_Volume*Var_Labour*(1+Opex_Inflation)^(MAX(0,L6-Ops_Start_Year))</f>
        <v>39630468.9269387</v>
      </c>
      <c r="M10" s="39" t="n">
        <f aca="false">TC_Handled_Volume*Var_Labour*(1+Opex_Inflation)^(MAX(0,M6-Ops_Start_Year))</f>
        <v>42248061.399563</v>
      </c>
      <c r="N10" s="39" t="n">
        <f aca="false">TC_Handled_Volume*Var_Labour*(1+Opex_Inflation)^(MAX(0,N6-Ops_Start_Year))</f>
        <v>45038545.8550041</v>
      </c>
      <c r="O10" s="39" t="n">
        <f aca="false">TC_Handled_Volume*Var_Labour*(1+Opex_Inflation)^(MAX(0,O6-Ops_Start_Year))</f>
        <v>48013341.8087271</v>
      </c>
      <c r="P10" s="39" t="n">
        <f aca="false">TC_Handled_Volume*Var_Labour*(1+Opex_Inflation)^(MAX(0,P6-Ops_Start_Year))</f>
        <v>51184623.0351936</v>
      </c>
      <c r="Q10" s="39" t="n">
        <f aca="false">TC_Handled_Volume*Var_Labour*(1+Opex_Inflation)^(MAX(0,Q6-Ops_Start_Year))</f>
        <v>52946945.5552101</v>
      </c>
      <c r="R10" s="39" t="n">
        <f aca="false">TC_Handled_Volume*Var_Labour*(1+Opex_Inflation)^(MAX(0,R6-Ops_Start_Year))</f>
        <v>54535353.9218664</v>
      </c>
      <c r="S10" s="39" t="n">
        <f aca="false">TC_Handled_Volume*Var_Labour*(1+Opex_Inflation)^(MAX(0,S6-Ops_Start_Year))</f>
        <v>56171414.5395224</v>
      </c>
      <c r="T10" s="39" t="n">
        <f aca="false">TC_Handled_Volume*Var_Labour*(1+Opex_Inflation)^(MAX(0,T6-Ops_Start_Year))</f>
        <v>57856556.975708</v>
      </c>
      <c r="U10" s="39" t="n">
        <f aca="false">TC_Handled_Volume*Var_Labour*(1+Opex_Inflation)^(MAX(0,U6-Ops_Start_Year))</f>
        <v>59592253.6849793</v>
      </c>
      <c r="V10" s="39" t="n">
        <f aca="false">TC_Handled_Volume*Var_Labour*(1+Opex_Inflation)^(MAX(0,V6-Ops_Start_Year))</f>
        <v>61380021.2955287</v>
      </c>
      <c r="W10" s="39" t="n">
        <f aca="false">TC_Handled_Volume*Var_Labour*(1+Opex_Inflation)^(MAX(0,W6-Ops_Start_Year))</f>
        <v>63221421.9343945</v>
      </c>
      <c r="X10" s="39" t="n">
        <f aca="false">TC_Handled_Volume*Var_Labour*(1+Opex_Inflation)^(MAX(0,X6-Ops_Start_Year))</f>
        <v>65118064.5924264</v>
      </c>
      <c r="Y10" s="39" t="n">
        <f aca="false">TC_Handled_Volume*Var_Labour*(1+Opex_Inflation)^(MAX(0,Y6-Ops_Start_Year))</f>
        <v>67071606.5301991</v>
      </c>
      <c r="Z10" s="39" t="n">
        <f aca="false">TC_Handled_Volume*Var_Labour*(1+Opex_Inflation)^(MAX(0,Z6-Ops_Start_Year))</f>
        <v>69083754.7261051</v>
      </c>
      <c r="AA10" s="39" t="n">
        <f aca="false">TC_Handled_Volume*Var_Labour*(1+Opex_Inflation)^(MAX(0,AA6-Ops_Start_Year))</f>
        <v>71156267.3678883</v>
      </c>
      <c r="AB10" s="39" t="n">
        <f aca="false">TC_Handled_Volume*Var_Labour*(1+Opex_Inflation)^(MAX(0,AB6-Ops_Start_Year))</f>
        <v>73290955.3889249</v>
      </c>
      <c r="AC10" s="39" t="n">
        <f aca="false">TC_Handled_Volume*Var_Labour*(1+Opex_Inflation)^(MAX(0,AC6-Ops_Start_Year))</f>
        <v>75489684.0505927</v>
      </c>
      <c r="AD10" s="39" t="n">
        <f aca="false">TC_Handled_Volume*Var_Labour*(1+Opex_Inflation)^(MAX(0,AD6-Ops_Start_Year))</f>
        <v>77754374.5721105</v>
      </c>
      <c r="AE10" s="39" t="n">
        <f aca="false">TC_Handled_Volume*Var_Labour*(1+Opex_Inflation)^(MAX(0,AE6-Ops_Start_Year))</f>
        <v>80087005.8092738</v>
      </c>
      <c r="AF10" s="39" t="n">
        <f aca="false">TC_Handled_Volume*Var_Labour*(1+Opex_Inflation)^(MAX(0,AF6-Ops_Start_Year))</f>
        <v>82489615.983552</v>
      </c>
    </row>
    <row r="11" customFormat="false" ht="15" hidden="false" customHeight="false" outlineLevel="0" collapsed="false">
      <c r="A11" s="5"/>
      <c r="B11" s="38" t="s">
        <v>93</v>
      </c>
      <c r="C11" s="39" t="n">
        <f aca="false">TC_Handled_Volume*Var_Power*(1+CPI_Inflation)^(MAX(0,C6-Ops_Start_Year))</f>
        <v>0</v>
      </c>
      <c r="D11" s="39" t="n">
        <f aca="false">TC_Handled_Volume*Var_Power*(1+CPI_Inflation)^(MAX(0,D6-Ops_Start_Year))</f>
        <v>0</v>
      </c>
      <c r="E11" s="39" t="n">
        <f aca="false">TC_Handled_Volume*Var_Power*(1+CPI_Inflation)^(MAX(0,E6-Ops_Start_Year))</f>
        <v>0</v>
      </c>
      <c r="F11" s="39" t="n">
        <f aca="false">TC_Handled_Volume*Var_Power*(1+CPI_Inflation)^(MAX(0,F6-Ops_Start_Year))</f>
        <v>7200000</v>
      </c>
      <c r="G11" s="39" t="n">
        <f aca="false">TC_Handled_Volume*Var_Power*(1+CPI_Inflation)^(MAX(0,G6-Ops_Start_Year))</f>
        <v>7638300</v>
      </c>
      <c r="H11" s="39" t="n">
        <f aca="false">TC_Handled_Volume*Var_Power*(1+CPI_Inflation)^(MAX(0,H6-Ops_Start_Year))</f>
        <v>8103281.5125</v>
      </c>
      <c r="I11" s="39" t="n">
        <f aca="false">TC_Handled_Volume*Var_Power*(1+CPI_Inflation)^(MAX(0,I6-Ops_Start_Year))</f>
        <v>8596568.77457343</v>
      </c>
      <c r="J11" s="39" t="n">
        <f aca="false">TC_Handled_Volume*Var_Power*(1+CPI_Inflation)^(MAX(0,J6-Ops_Start_Year))</f>
        <v>9119884.89872559</v>
      </c>
      <c r="K11" s="39" t="n">
        <f aca="false">TC_Handled_Volume*Var_Power*(1+CPI_Inflation)^(MAX(0,K6-Ops_Start_Year))</f>
        <v>9675057.89193551</v>
      </c>
      <c r="L11" s="39" t="n">
        <f aca="false">TC_Handled_Volume*Var_Power*(1+CPI_Inflation)^(MAX(0,L6-Ops_Start_Year))</f>
        <v>10264027.0411071</v>
      </c>
      <c r="M11" s="39" t="n">
        <f aca="false">TC_Handled_Volume*Var_Power*(1+CPI_Inflation)^(MAX(0,M6-Ops_Start_Year))</f>
        <v>10888849.6872345</v>
      </c>
      <c r="N11" s="39" t="n">
        <f aca="false">TC_Handled_Volume*Var_Power*(1+CPI_Inflation)^(MAX(0,N6-Ops_Start_Year))</f>
        <v>11551708.4119449</v>
      </c>
      <c r="O11" s="39" t="n">
        <f aca="false">TC_Handled_Volume*Var_Power*(1+CPI_Inflation)^(MAX(0,O6-Ops_Start_Year))</f>
        <v>12254918.661522</v>
      </c>
      <c r="P11" s="39" t="n">
        <f aca="false">TC_Handled_Volume*Var_Power*(1+CPI_Inflation)^(MAX(0,P6-Ops_Start_Year))</f>
        <v>13000936.8350422</v>
      </c>
      <c r="Q11" s="39" t="n">
        <f aca="false">TC_Handled_Volume*Var_Power*(1+CPI_Inflation)^(MAX(0,Q6-Ops_Start_Year))</f>
        <v>13383283.9095729</v>
      </c>
      <c r="R11" s="39" t="n">
        <f aca="false">TC_Handled_Volume*Var_Power*(1+CPI_Inflation)^(MAX(0,R6-Ops_Start_Year))</f>
        <v>13717866.0073122</v>
      </c>
      <c r="S11" s="39" t="n">
        <f aca="false">TC_Handled_Volume*Var_Power*(1+CPI_Inflation)^(MAX(0,S6-Ops_Start_Year))</f>
        <v>14060812.657495</v>
      </c>
      <c r="T11" s="39" t="n">
        <f aca="false">TC_Handled_Volume*Var_Power*(1+CPI_Inflation)^(MAX(0,T6-Ops_Start_Year))</f>
        <v>14412332.9739324</v>
      </c>
      <c r="U11" s="39" t="n">
        <f aca="false">TC_Handled_Volume*Var_Power*(1+CPI_Inflation)^(MAX(0,U6-Ops_Start_Year))</f>
        <v>14772641.2982807</v>
      </c>
      <c r="V11" s="39" t="n">
        <f aca="false">TC_Handled_Volume*Var_Power*(1+CPI_Inflation)^(MAX(0,V6-Ops_Start_Year))</f>
        <v>15141957.3307377</v>
      </c>
      <c r="W11" s="39" t="n">
        <f aca="false">TC_Handled_Volume*Var_Power*(1+CPI_Inflation)^(MAX(0,W6-Ops_Start_Year))</f>
        <v>15520506.2640062</v>
      </c>
      <c r="X11" s="39" t="n">
        <f aca="false">TC_Handled_Volume*Var_Power*(1+CPI_Inflation)^(MAX(0,X6-Ops_Start_Year))</f>
        <v>15908518.9206063</v>
      </c>
      <c r="Y11" s="39" t="n">
        <f aca="false">TC_Handled_Volume*Var_Power*(1+CPI_Inflation)^(MAX(0,Y6-Ops_Start_Year))</f>
        <v>16306231.8936215</v>
      </c>
      <c r="Z11" s="39" t="n">
        <f aca="false">TC_Handled_Volume*Var_Power*(1+CPI_Inflation)^(MAX(0,Z6-Ops_Start_Year))</f>
        <v>16713887.690962</v>
      </c>
      <c r="AA11" s="39" t="n">
        <f aca="false">TC_Handled_Volume*Var_Power*(1+CPI_Inflation)^(MAX(0,AA6-Ops_Start_Year))</f>
        <v>17131734.8832361</v>
      </c>
      <c r="AB11" s="39" t="n">
        <f aca="false">TC_Handled_Volume*Var_Power*(1+CPI_Inflation)^(MAX(0,AB6-Ops_Start_Year))</f>
        <v>17560028.255317</v>
      </c>
      <c r="AC11" s="39" t="n">
        <f aca="false">TC_Handled_Volume*Var_Power*(1+CPI_Inflation)^(MAX(0,AC6-Ops_Start_Year))</f>
        <v>17999028.9616999</v>
      </c>
      <c r="AD11" s="39" t="n">
        <f aca="false">TC_Handled_Volume*Var_Power*(1+CPI_Inflation)^(MAX(0,AD6-Ops_Start_Year))</f>
        <v>18449004.6857424</v>
      </c>
      <c r="AE11" s="39" t="n">
        <f aca="false">TC_Handled_Volume*Var_Power*(1+CPI_Inflation)^(MAX(0,AE6-Ops_Start_Year))</f>
        <v>18910229.802886</v>
      </c>
      <c r="AF11" s="39" t="n">
        <f aca="false">TC_Handled_Volume*Var_Power*(1+CPI_Inflation)^(MAX(0,AF6-Ops_Start_Year))</f>
        <v>19382985.5479581</v>
      </c>
    </row>
    <row r="12" customFormat="false" ht="15" hidden="false" customHeight="false" outlineLevel="0" collapsed="false">
      <c r="A12" s="5"/>
      <c r="B12" s="38" t="s">
        <v>219</v>
      </c>
      <c r="C12" s="39" t="n">
        <f aca="false">TC_Handled_Volume*Var_Concession_Fee*(1+CPI_Inflation)^(MAX(0,C6-Ops_Start_Year))</f>
        <v>0</v>
      </c>
      <c r="D12" s="39" t="n">
        <f aca="false">TC_Handled_Volume*Var_Concession_Fee*(1+CPI_Inflation)^(MAX(0,D6-Ops_Start_Year))</f>
        <v>0</v>
      </c>
      <c r="E12" s="39" t="n">
        <f aca="false">TC_Handled_Volume*Var_Concession_Fee*(1+CPI_Inflation)^(MAX(0,E6-Ops_Start_Year))</f>
        <v>0</v>
      </c>
      <c r="F12" s="39" t="n">
        <f aca="false">TC_Handled_Volume*Var_Concession_Fee*(1+CPI_Inflation)^(MAX(0,F6-Ops_Start_Year))</f>
        <v>9000000</v>
      </c>
      <c r="G12" s="39" t="n">
        <f aca="false">TC_Handled_Volume*Var_Concession_Fee*(1+CPI_Inflation)^(MAX(0,G6-Ops_Start_Year))</f>
        <v>9547875</v>
      </c>
      <c r="H12" s="39" t="n">
        <f aca="false">TC_Handled_Volume*Var_Concession_Fee*(1+CPI_Inflation)^(MAX(0,H6-Ops_Start_Year))</f>
        <v>10129101.890625</v>
      </c>
      <c r="I12" s="39" t="n">
        <f aca="false">TC_Handled_Volume*Var_Concession_Fee*(1+CPI_Inflation)^(MAX(0,I6-Ops_Start_Year))</f>
        <v>10745710.9682168</v>
      </c>
      <c r="J12" s="39" t="n">
        <f aca="false">TC_Handled_Volume*Var_Concession_Fee*(1+CPI_Inflation)^(MAX(0,J6-Ops_Start_Year))</f>
        <v>11399856.123407</v>
      </c>
      <c r="K12" s="39" t="n">
        <f aca="false">TC_Handled_Volume*Var_Concession_Fee*(1+CPI_Inflation)^(MAX(0,K6-Ops_Start_Year))</f>
        <v>12093822.3649194</v>
      </c>
      <c r="L12" s="39" t="n">
        <f aca="false">TC_Handled_Volume*Var_Concession_Fee*(1+CPI_Inflation)^(MAX(0,L6-Ops_Start_Year))</f>
        <v>12830033.8013839</v>
      </c>
      <c r="M12" s="39" t="n">
        <f aca="false">TC_Handled_Volume*Var_Concession_Fee*(1+CPI_Inflation)^(MAX(0,M6-Ops_Start_Year))</f>
        <v>13611062.1090431</v>
      </c>
      <c r="N12" s="39" t="n">
        <f aca="false">TC_Handled_Volume*Var_Concession_Fee*(1+CPI_Inflation)^(MAX(0,N6-Ops_Start_Year))</f>
        <v>14439635.5149311</v>
      </c>
      <c r="O12" s="39" t="n">
        <f aca="false">TC_Handled_Volume*Var_Concession_Fee*(1+CPI_Inflation)^(MAX(0,O6-Ops_Start_Year))</f>
        <v>15318648.3269025</v>
      </c>
      <c r="P12" s="39" t="n">
        <f aca="false">TC_Handled_Volume*Var_Concession_Fee*(1+CPI_Inflation)^(MAX(0,P6-Ops_Start_Year))</f>
        <v>16251171.0438027</v>
      </c>
      <c r="Q12" s="39" t="n">
        <f aca="false">TC_Handled_Volume*Var_Concession_Fee*(1+CPI_Inflation)^(MAX(0,Q6-Ops_Start_Year))</f>
        <v>16729104.8869661</v>
      </c>
      <c r="R12" s="39" t="n">
        <f aca="false">TC_Handled_Volume*Var_Concession_Fee*(1+CPI_Inflation)^(MAX(0,R6-Ops_Start_Year))</f>
        <v>17147332.5091403</v>
      </c>
      <c r="S12" s="39" t="n">
        <f aca="false">TC_Handled_Volume*Var_Concession_Fee*(1+CPI_Inflation)^(MAX(0,S6-Ops_Start_Year))</f>
        <v>17576015.8218688</v>
      </c>
      <c r="T12" s="39" t="n">
        <f aca="false">TC_Handled_Volume*Var_Concession_Fee*(1+CPI_Inflation)^(MAX(0,T6-Ops_Start_Year))</f>
        <v>18015416.2174155</v>
      </c>
      <c r="U12" s="39" t="n">
        <f aca="false">TC_Handled_Volume*Var_Concession_Fee*(1+CPI_Inflation)^(MAX(0,U6-Ops_Start_Year))</f>
        <v>18465801.6228509</v>
      </c>
      <c r="V12" s="39" t="n">
        <f aca="false">TC_Handled_Volume*Var_Concession_Fee*(1+CPI_Inflation)^(MAX(0,V6-Ops_Start_Year))</f>
        <v>18927446.6634222</v>
      </c>
      <c r="W12" s="39" t="n">
        <f aca="false">TC_Handled_Volume*Var_Concession_Fee*(1+CPI_Inflation)^(MAX(0,W6-Ops_Start_Year))</f>
        <v>19400632.8300077</v>
      </c>
      <c r="X12" s="39" t="n">
        <f aca="false">TC_Handled_Volume*Var_Concession_Fee*(1+CPI_Inflation)^(MAX(0,X6-Ops_Start_Year))</f>
        <v>19885648.6507579</v>
      </c>
      <c r="Y12" s="39" t="n">
        <f aca="false">TC_Handled_Volume*Var_Concession_Fee*(1+CPI_Inflation)^(MAX(0,Y6-Ops_Start_Year))</f>
        <v>20382789.8670269</v>
      </c>
      <c r="Z12" s="39" t="n">
        <f aca="false">TC_Handled_Volume*Var_Concession_Fee*(1+CPI_Inflation)^(MAX(0,Z6-Ops_Start_Year))</f>
        <v>20892359.6137025</v>
      </c>
      <c r="AA12" s="39" t="n">
        <f aca="false">TC_Handled_Volume*Var_Concession_Fee*(1+CPI_Inflation)^(MAX(0,AA6-Ops_Start_Year))</f>
        <v>21414668.6040451</v>
      </c>
      <c r="AB12" s="39" t="n">
        <f aca="false">TC_Handled_Volume*Var_Concession_Fee*(1+CPI_Inflation)^(MAX(0,AB6-Ops_Start_Year))</f>
        <v>21950035.3191462</v>
      </c>
      <c r="AC12" s="39" t="n">
        <f aca="false">TC_Handled_Volume*Var_Concession_Fee*(1+CPI_Inflation)^(MAX(0,AC6-Ops_Start_Year))</f>
        <v>22498786.2021249</v>
      </c>
      <c r="AD12" s="39" t="n">
        <f aca="false">TC_Handled_Volume*Var_Concession_Fee*(1+CPI_Inflation)^(MAX(0,AD6-Ops_Start_Year))</f>
        <v>23061255.857178</v>
      </c>
      <c r="AE12" s="39" t="n">
        <f aca="false">TC_Handled_Volume*Var_Concession_Fee*(1+CPI_Inflation)^(MAX(0,AE6-Ops_Start_Year))</f>
        <v>23637787.2536074</v>
      </c>
      <c r="AF12" s="39" t="n">
        <f aca="false">TC_Handled_Volume*Var_Concession_Fee*(1+CPI_Inflation)^(MAX(0,AF6-Ops_Start_Year))</f>
        <v>24228731.9349476</v>
      </c>
    </row>
    <row r="13" customFormat="false" ht="15" hidden="false" customHeight="false" outlineLevel="0" collapsed="false">
      <c r="A13" s="5"/>
      <c r="B13" s="42" t="s">
        <v>220</v>
      </c>
      <c r="C13" s="43" t="n">
        <f aca="false">C10+C11+C12</f>
        <v>0</v>
      </c>
      <c r="D13" s="43" t="n">
        <f aca="false">D10+D11+D12</f>
        <v>0</v>
      </c>
      <c r="E13" s="43" t="n">
        <f aca="false">E10+E11+E12</f>
        <v>0</v>
      </c>
      <c r="F13" s="43" t="n">
        <f aca="false">F10+F11+F12</f>
        <v>43200000</v>
      </c>
      <c r="G13" s="43" t="n">
        <f aca="false">G10+G11+G12</f>
        <v>45969525</v>
      </c>
      <c r="H13" s="43" t="n">
        <f aca="false">H10+H11+H12</f>
        <v>48916873.670625</v>
      </c>
      <c r="I13" s="43" t="n">
        <f aca="false">I10+I11+I12</f>
        <v>52053480.5924586</v>
      </c>
      <c r="J13" s="43" t="n">
        <f aca="false">J10+J11+J12</f>
        <v>55391516.6879216</v>
      </c>
      <c r="K13" s="43" t="n">
        <f aca="false">K10+K11+K12</f>
        <v>58943936.7053692</v>
      </c>
      <c r="L13" s="43" t="n">
        <f aca="false">L10+L11+L12</f>
        <v>62724529.7694296</v>
      </c>
      <c r="M13" s="43" t="n">
        <f aca="false">M10+M11+M12</f>
        <v>66747973.1958406</v>
      </c>
      <c r="N13" s="43" t="n">
        <f aca="false">N10+N11+N12</f>
        <v>71029889.7818801</v>
      </c>
      <c r="O13" s="43" t="n">
        <f aca="false">O10+O11+O12</f>
        <v>75586908.7971517</v>
      </c>
      <c r="P13" s="43" t="n">
        <f aca="false">P10+P11+P12</f>
        <v>80436730.9140384</v>
      </c>
      <c r="Q13" s="43" t="n">
        <f aca="false">Q10+Q11+Q12</f>
        <v>83059334.3517491</v>
      </c>
      <c r="R13" s="43" t="n">
        <f aca="false">R10+R11+R12</f>
        <v>85400552.4383189</v>
      </c>
      <c r="S13" s="43" t="n">
        <f aca="false">S10+S11+S12</f>
        <v>87808243.0188862</v>
      </c>
      <c r="T13" s="43" t="n">
        <f aca="false">T10+T11+T12</f>
        <v>90284306.167056</v>
      </c>
      <c r="U13" s="43" t="n">
        <f aca="false">U10+U11+U12</f>
        <v>92830696.6061109</v>
      </c>
      <c r="V13" s="43" t="n">
        <f aca="false">V10+V11+V12</f>
        <v>95449425.2896886</v>
      </c>
      <c r="W13" s="43" t="n">
        <f aca="false">W10+W11+W12</f>
        <v>98142561.0284084</v>
      </c>
      <c r="X13" s="43" t="n">
        <f aca="false">X10+X11+X12</f>
        <v>100912232.163791</v>
      </c>
      <c r="Y13" s="43" t="n">
        <f aca="false">Y10+Y11+Y12</f>
        <v>103760628.290847</v>
      </c>
      <c r="Z13" s="43" t="n">
        <f aca="false">Z10+Z11+Z12</f>
        <v>106690002.03077</v>
      </c>
      <c r="AA13" s="43" t="n">
        <f aca="false">AA10+AA11+AA12</f>
        <v>109702670.855169</v>
      </c>
      <c r="AB13" s="43" t="n">
        <f aca="false">AB10+AB11+AB12</f>
        <v>112801018.963388</v>
      </c>
      <c r="AC13" s="43" t="n">
        <f aca="false">AC10+AC11+AC12</f>
        <v>115987499.214417</v>
      </c>
      <c r="AD13" s="43" t="n">
        <f aca="false">AD10+AD11+AD12</f>
        <v>119264635.115031</v>
      </c>
      <c r="AE13" s="43" t="n">
        <f aca="false">AE10+AE11+AE12</f>
        <v>122635022.865767</v>
      </c>
      <c r="AF13" s="43" t="n">
        <f aca="false">AF10+AF11+AF12</f>
        <v>126101333.466458</v>
      </c>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5" customFormat="false" ht="15" hidden="false" customHeight="false" outlineLevel="0" collapsed="false">
      <c r="A15" s="5"/>
      <c r="B15" s="15" t="s">
        <v>97</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row>
    <row r="16" customFormat="false" ht="15" hidden="false" customHeight="false" outlineLevel="0" collapsed="false">
      <c r="A16" s="5"/>
      <c r="B16" s="38" t="s">
        <v>98</v>
      </c>
      <c r="C16" s="39" t="n">
        <f aca="false">IF(C6&gt;=Ops_Start_Year,Fixed_Opex*(1+Opex_Inflation)^(MAX(0,C6-Ops_Start_Year)),0)</f>
        <v>0</v>
      </c>
      <c r="D16" s="39" t="n">
        <f aca="false">IF(D6&gt;=Ops_Start_Year,Fixed_Opex*(1+Opex_Inflation)^(MAX(0,D6-Ops_Start_Year)),0)</f>
        <v>0</v>
      </c>
      <c r="E16" s="39" t="n">
        <f aca="false">IF(E6&gt;=Ops_Start_Year,Fixed_Opex*(1+Opex_Inflation)^(MAX(0,E6-Ops_Start_Year)),0)</f>
        <v>0</v>
      </c>
      <c r="F16" s="39" t="n">
        <f aca="false">IF(F6&gt;=Ops_Start_Year,Fixed_Opex*(1+Opex_Inflation)^(MAX(0,F6-Ops_Start_Year)),0)</f>
        <v>15000000</v>
      </c>
      <c r="G16" s="39" t="n">
        <f aca="false">IF(G6&gt;=Ops_Start_Year,Fixed_Opex*(1+Opex_Inflation)^(MAX(0,G6-Ops_Start_Year)),0)</f>
        <v>15450000</v>
      </c>
      <c r="H16" s="39" t="n">
        <f aca="false">IF(H6&gt;=Ops_Start_Year,Fixed_Opex*(1+Opex_Inflation)^(MAX(0,H6-Ops_Start_Year)),0)</f>
        <v>15913500</v>
      </c>
      <c r="I16" s="39" t="n">
        <f aca="false">IF(I6&gt;=Ops_Start_Year,Fixed_Opex*(1+Opex_Inflation)^(MAX(0,I6-Ops_Start_Year)),0)</f>
        <v>16390905</v>
      </c>
      <c r="J16" s="39" t="n">
        <f aca="false">IF(J6&gt;=Ops_Start_Year,Fixed_Opex*(1+Opex_Inflation)^(MAX(0,J6-Ops_Start_Year)),0)</f>
        <v>16882632.15</v>
      </c>
      <c r="K16" s="39" t="n">
        <f aca="false">IF(K6&gt;=Ops_Start_Year,Fixed_Opex*(1+Opex_Inflation)^(MAX(0,K6-Ops_Start_Year)),0)</f>
        <v>17389111.1145</v>
      </c>
      <c r="L16" s="39" t="n">
        <f aca="false">IF(L6&gt;=Ops_Start_Year,Fixed_Opex*(1+Opex_Inflation)^(MAX(0,L6-Ops_Start_Year)),0)</f>
        <v>17910784.447935</v>
      </c>
      <c r="M16" s="39" t="n">
        <f aca="false">IF(M6&gt;=Ops_Start_Year,Fixed_Opex*(1+Opex_Inflation)^(MAX(0,M6-Ops_Start_Year)),0)</f>
        <v>18448107.9813731</v>
      </c>
      <c r="N16" s="39" t="n">
        <f aca="false">IF(N6&gt;=Ops_Start_Year,Fixed_Opex*(1+Opex_Inflation)^(MAX(0,N6-Ops_Start_Year)),0)</f>
        <v>19001551.2208142</v>
      </c>
      <c r="O16" s="39" t="n">
        <f aca="false">IF(O6&gt;=Ops_Start_Year,Fixed_Opex*(1+Opex_Inflation)^(MAX(0,O6-Ops_Start_Year)),0)</f>
        <v>19571597.7574387</v>
      </c>
      <c r="P16" s="39" t="n">
        <f aca="false">IF(P6&gt;=Ops_Start_Year,Fixed_Opex*(1+Opex_Inflation)^(MAX(0,P6-Ops_Start_Year)),0)</f>
        <v>20158745.6901618</v>
      </c>
      <c r="Q16" s="39" t="n">
        <f aca="false">IF(Q6&gt;=Ops_Start_Year,Fixed_Opex*(1+Opex_Inflation)^(MAX(0,Q6-Ops_Start_Year)),0)</f>
        <v>20763508.0608667</v>
      </c>
      <c r="R16" s="39" t="n">
        <f aca="false">IF(R6&gt;=Ops_Start_Year,Fixed_Opex*(1+Opex_Inflation)^(MAX(0,R6-Ops_Start_Year)),0)</f>
        <v>21386413.3026927</v>
      </c>
      <c r="S16" s="39" t="n">
        <f aca="false">IF(S6&gt;=Ops_Start_Year,Fixed_Opex*(1+Opex_Inflation)^(MAX(0,S6-Ops_Start_Year)),0)</f>
        <v>22028005.7017735</v>
      </c>
      <c r="T16" s="39" t="n">
        <f aca="false">IF(T6&gt;=Ops_Start_Year,Fixed_Opex*(1+Opex_Inflation)^(MAX(0,T6-Ops_Start_Year)),0)</f>
        <v>22688845.8728267</v>
      </c>
      <c r="U16" s="39" t="n">
        <f aca="false">IF(U6&gt;=Ops_Start_Year,Fixed_Opex*(1+Opex_Inflation)^(MAX(0,U6-Ops_Start_Year)),0)</f>
        <v>23369511.2490115</v>
      </c>
      <c r="V16" s="39" t="n">
        <f aca="false">IF(V6&gt;=Ops_Start_Year,Fixed_Opex*(1+Opex_Inflation)^(MAX(0,V6-Ops_Start_Year)),0)</f>
        <v>24070596.5864818</v>
      </c>
      <c r="W16" s="39" t="n">
        <f aca="false">IF(W6&gt;=Ops_Start_Year,Fixed_Opex*(1+Opex_Inflation)^(MAX(0,W6-Ops_Start_Year)),0)</f>
        <v>24792714.4840763</v>
      </c>
      <c r="X16" s="39" t="n">
        <f aca="false">IF(X6&gt;=Ops_Start_Year,Fixed_Opex*(1+Opex_Inflation)^(MAX(0,X6-Ops_Start_Year)),0)</f>
        <v>25536495.9185986</v>
      </c>
      <c r="Y16" s="39" t="n">
        <f aca="false">IF(Y6&gt;=Ops_Start_Year,Fixed_Opex*(1+Opex_Inflation)^(MAX(0,Y6-Ops_Start_Year)),0)</f>
        <v>26302590.7961565</v>
      </c>
      <c r="Z16" s="39" t="n">
        <f aca="false">IF(Z6&gt;=Ops_Start_Year,Fixed_Opex*(1+Opex_Inflation)^(MAX(0,Z6-Ops_Start_Year)),0)</f>
        <v>27091668.5200412</v>
      </c>
      <c r="AA16" s="39" t="n">
        <f aca="false">IF(AA6&gt;=Ops_Start_Year,Fixed_Opex*(1+Opex_Inflation)^(MAX(0,AA6-Ops_Start_Year)),0)</f>
        <v>27904418.5756425</v>
      </c>
      <c r="AB16" s="39" t="n">
        <f aca="false">IF(AB6&gt;=Ops_Start_Year,Fixed_Opex*(1+Opex_Inflation)^(MAX(0,AB6-Ops_Start_Year)),0)</f>
        <v>28741551.1329117</v>
      </c>
      <c r="AC16" s="39" t="n">
        <f aca="false">IF(AC6&gt;=Ops_Start_Year,Fixed_Opex*(1+Opex_Inflation)^(MAX(0,AC6-Ops_Start_Year)),0)</f>
        <v>29603797.6668991</v>
      </c>
      <c r="AD16" s="39" t="n">
        <f aca="false">IF(AD6&gt;=Ops_Start_Year,Fixed_Opex*(1+Opex_Inflation)^(MAX(0,AD6-Ops_Start_Year)),0)</f>
        <v>30491911.5969061</v>
      </c>
      <c r="AE16" s="39" t="n">
        <f aca="false">IF(AE6&gt;=Ops_Start_Year,Fixed_Opex*(1+Opex_Inflation)^(MAX(0,AE6-Ops_Start_Year)),0)</f>
        <v>31406668.9448132</v>
      </c>
      <c r="AF16" s="39" t="n">
        <f aca="false">IF(AF6&gt;=Ops_Start_Year,Fixed_Opex*(1+Opex_Inflation)^(MAX(0,AF6-Ops_Start_Year)),0)</f>
        <v>32348869.0131576</v>
      </c>
    </row>
    <row r="17" customFormat="false" ht="15" hidden="false" customHeight="false" outlineLevel="0" collapsed="false">
      <c r="A17" s="5"/>
      <c r="B17" s="38" t="s">
        <v>221</v>
      </c>
      <c r="C17" s="39" t="n">
        <f aca="false">IF(C6&gt;=Ops_Start_Year,Fixed_Concession*(1+CPI_Inflation)^(MAX(0,C6-Ops_Start_Year)),0)</f>
        <v>0</v>
      </c>
      <c r="D17" s="39" t="n">
        <f aca="false">IF(D6&gt;=Ops_Start_Year,Fixed_Concession*(1+CPI_Inflation)^(MAX(0,D6-Ops_Start_Year)),0)</f>
        <v>0</v>
      </c>
      <c r="E17" s="39" t="n">
        <f aca="false">IF(E6&gt;=Ops_Start_Year,Fixed_Concession*(1+CPI_Inflation)^(MAX(0,E6-Ops_Start_Year)),0)</f>
        <v>0</v>
      </c>
      <c r="F17" s="39" t="n">
        <f aca="false">IF(F6&gt;=Ops_Start_Year,Fixed_Concession*(1+CPI_Inflation)^(MAX(0,F6-Ops_Start_Year)),0)</f>
        <v>5000000</v>
      </c>
      <c r="G17" s="39" t="n">
        <f aca="false">IF(G6&gt;=Ops_Start_Year,Fixed_Concession*(1+CPI_Inflation)^(MAX(0,G6-Ops_Start_Year)),0)</f>
        <v>5125000</v>
      </c>
      <c r="H17" s="39" t="n">
        <f aca="false">IF(H6&gt;=Ops_Start_Year,Fixed_Concession*(1+CPI_Inflation)^(MAX(0,H6-Ops_Start_Year)),0)</f>
        <v>5253125</v>
      </c>
      <c r="I17" s="39" t="n">
        <f aca="false">IF(I6&gt;=Ops_Start_Year,Fixed_Concession*(1+CPI_Inflation)^(MAX(0,I6-Ops_Start_Year)),0)</f>
        <v>5384453.125</v>
      </c>
      <c r="J17" s="39" t="n">
        <f aca="false">IF(J6&gt;=Ops_Start_Year,Fixed_Concession*(1+CPI_Inflation)^(MAX(0,J6-Ops_Start_Year)),0)</f>
        <v>5519064.453125</v>
      </c>
      <c r="K17" s="39" t="n">
        <f aca="false">IF(K6&gt;=Ops_Start_Year,Fixed_Concession*(1+CPI_Inflation)^(MAX(0,K6-Ops_Start_Year)),0)</f>
        <v>5657041.06445312</v>
      </c>
      <c r="L17" s="39" t="n">
        <f aca="false">IF(L6&gt;=Ops_Start_Year,Fixed_Concession*(1+CPI_Inflation)^(MAX(0,L6-Ops_Start_Year)),0)</f>
        <v>5798467.09106445</v>
      </c>
      <c r="M17" s="39" t="n">
        <f aca="false">IF(M6&gt;=Ops_Start_Year,Fixed_Concession*(1+CPI_Inflation)^(MAX(0,M6-Ops_Start_Year)),0)</f>
        <v>5943428.76834106</v>
      </c>
      <c r="N17" s="39" t="n">
        <f aca="false">IF(N6&gt;=Ops_Start_Year,Fixed_Concession*(1+CPI_Inflation)^(MAX(0,N6-Ops_Start_Year)),0)</f>
        <v>6092014.48754959</v>
      </c>
      <c r="O17" s="39" t="n">
        <f aca="false">IF(O6&gt;=Ops_Start_Year,Fixed_Concession*(1+CPI_Inflation)^(MAX(0,O6-Ops_Start_Year)),0)</f>
        <v>6244314.84973833</v>
      </c>
      <c r="P17" s="39" t="n">
        <f aca="false">IF(P6&gt;=Ops_Start_Year,Fixed_Concession*(1+CPI_Inflation)^(MAX(0,P6-Ops_Start_Year)),0)</f>
        <v>6400422.72098178</v>
      </c>
      <c r="Q17" s="39" t="n">
        <f aca="false">IF(Q6&gt;=Ops_Start_Year,Fixed_Concession*(1+CPI_Inflation)^(MAX(0,Q6-Ops_Start_Year)),0)</f>
        <v>6560433.28900633</v>
      </c>
      <c r="R17" s="39" t="n">
        <f aca="false">IF(R6&gt;=Ops_Start_Year,Fixed_Concession*(1+CPI_Inflation)^(MAX(0,R6-Ops_Start_Year)),0)</f>
        <v>6724444.12123149</v>
      </c>
      <c r="S17" s="39" t="n">
        <f aca="false">IF(S6&gt;=Ops_Start_Year,Fixed_Concession*(1+CPI_Inflation)^(MAX(0,S6-Ops_Start_Year)),0)</f>
        <v>6892555.22426227</v>
      </c>
      <c r="T17" s="39" t="n">
        <f aca="false">IF(T6&gt;=Ops_Start_Year,Fixed_Concession*(1+CPI_Inflation)^(MAX(0,T6-Ops_Start_Year)),0)</f>
        <v>7064869.10486883</v>
      </c>
      <c r="U17" s="39" t="n">
        <f aca="false">IF(U6&gt;=Ops_Start_Year,Fixed_Concession*(1+CPI_Inflation)^(MAX(0,U6-Ops_Start_Year)),0)</f>
        <v>7241490.83249055</v>
      </c>
      <c r="V17" s="39" t="n">
        <f aca="false">IF(V6&gt;=Ops_Start_Year,Fixed_Concession*(1+CPI_Inflation)^(MAX(0,V6-Ops_Start_Year)),0)</f>
        <v>7422528.10330281</v>
      </c>
      <c r="W17" s="39" t="n">
        <f aca="false">IF(W6&gt;=Ops_Start_Year,Fixed_Concession*(1+CPI_Inflation)^(MAX(0,W6-Ops_Start_Year)),0)</f>
        <v>7608091.30588538</v>
      </c>
      <c r="X17" s="39" t="n">
        <f aca="false">IF(X6&gt;=Ops_Start_Year,Fixed_Concession*(1+CPI_Inflation)^(MAX(0,X6-Ops_Start_Year)),0)</f>
        <v>7798293.58853252</v>
      </c>
      <c r="Y17" s="39" t="n">
        <f aca="false">IF(Y6&gt;=Ops_Start_Year,Fixed_Concession*(1+CPI_Inflation)^(MAX(0,Y6-Ops_Start_Year)),0)</f>
        <v>7993250.92824583</v>
      </c>
      <c r="Z17" s="39" t="n">
        <f aca="false">IF(Z6&gt;=Ops_Start_Year,Fixed_Concession*(1+CPI_Inflation)^(MAX(0,Z6-Ops_Start_Year)),0)</f>
        <v>8193082.20145197</v>
      </c>
      <c r="AA17" s="39" t="n">
        <f aca="false">IF(AA6&gt;=Ops_Start_Year,Fixed_Concession*(1+CPI_Inflation)^(MAX(0,AA6-Ops_Start_Year)),0)</f>
        <v>8397909.25648827</v>
      </c>
      <c r="AB17" s="39" t="n">
        <f aca="false">IF(AB6&gt;=Ops_Start_Year,Fixed_Concession*(1+CPI_Inflation)^(MAX(0,AB6-Ops_Start_Year)),0)</f>
        <v>8607856.98790048</v>
      </c>
      <c r="AC17" s="39" t="n">
        <f aca="false">IF(AC6&gt;=Ops_Start_Year,Fixed_Concession*(1+CPI_Inflation)^(MAX(0,AC6-Ops_Start_Year)),0)</f>
        <v>8823053.41259799</v>
      </c>
      <c r="AD17" s="39" t="n">
        <f aca="false">IF(AD6&gt;=Ops_Start_Year,Fixed_Concession*(1+CPI_Inflation)^(MAX(0,AD6-Ops_Start_Year)),0)</f>
        <v>9043629.74791294</v>
      </c>
      <c r="AE17" s="39" t="n">
        <f aca="false">IF(AE6&gt;=Ops_Start_Year,Fixed_Concession*(1+CPI_Inflation)^(MAX(0,AE6-Ops_Start_Year)),0)</f>
        <v>9269720.49161076</v>
      </c>
      <c r="AF17" s="39" t="n">
        <f aca="false">IF(AF6&gt;=Ops_Start_Year,Fixed_Concession*(1+CPI_Inflation)^(MAX(0,AF6-Ops_Start_Year)),0)</f>
        <v>9501463.50390103</v>
      </c>
    </row>
    <row r="18" customFormat="false" ht="15" hidden="false" customHeight="false" outlineLevel="0" collapsed="false">
      <c r="A18" s="5"/>
      <c r="B18" s="42" t="s">
        <v>222</v>
      </c>
      <c r="C18" s="43" t="n">
        <f aca="false">C16+C17</f>
        <v>0</v>
      </c>
      <c r="D18" s="43" t="n">
        <f aca="false">D16+D17</f>
        <v>0</v>
      </c>
      <c r="E18" s="43" t="n">
        <f aca="false">E16+E17</f>
        <v>0</v>
      </c>
      <c r="F18" s="43" t="n">
        <f aca="false">F16+F17</f>
        <v>20000000</v>
      </c>
      <c r="G18" s="43" t="n">
        <f aca="false">G16+G17</f>
        <v>20575000</v>
      </c>
      <c r="H18" s="43" t="n">
        <f aca="false">H16+H17</f>
        <v>21166625</v>
      </c>
      <c r="I18" s="43" t="n">
        <f aca="false">I16+I17</f>
        <v>21775358.125</v>
      </c>
      <c r="J18" s="43" t="n">
        <f aca="false">J16+J17</f>
        <v>22401696.603125</v>
      </c>
      <c r="K18" s="43" t="n">
        <f aca="false">K16+K17</f>
        <v>23046152.1789531</v>
      </c>
      <c r="L18" s="43" t="n">
        <f aca="false">L16+L17</f>
        <v>23709251.5389995</v>
      </c>
      <c r="M18" s="43" t="n">
        <f aca="false">M16+M17</f>
        <v>24391536.7497141</v>
      </c>
      <c r="N18" s="43" t="n">
        <f aca="false">N16+N17</f>
        <v>25093565.7083638</v>
      </c>
      <c r="O18" s="43" t="n">
        <f aca="false">O16+O17</f>
        <v>25815912.607177</v>
      </c>
      <c r="P18" s="43" t="n">
        <f aca="false">P16+P17</f>
        <v>26559168.4111436</v>
      </c>
      <c r="Q18" s="43" t="n">
        <f aca="false">Q16+Q17</f>
        <v>27323941.349873</v>
      </c>
      <c r="R18" s="43" t="n">
        <f aca="false">R16+R17</f>
        <v>28110857.4239242</v>
      </c>
      <c r="S18" s="43" t="n">
        <f aca="false">S16+S17</f>
        <v>28920560.9260357</v>
      </c>
      <c r="T18" s="43" t="n">
        <f aca="false">T16+T17</f>
        <v>29753714.9776955</v>
      </c>
      <c r="U18" s="43" t="n">
        <f aca="false">U16+U17</f>
        <v>30611002.081502</v>
      </c>
      <c r="V18" s="43" t="n">
        <f aca="false">V16+V17</f>
        <v>31493124.6897846</v>
      </c>
      <c r="W18" s="43" t="n">
        <f aca="false">W16+W17</f>
        <v>32400805.7899617</v>
      </c>
      <c r="X18" s="43" t="n">
        <f aca="false">X16+X17</f>
        <v>33334789.5071311</v>
      </c>
      <c r="Y18" s="43" t="n">
        <f aca="false">Y16+Y17</f>
        <v>34295841.7244024</v>
      </c>
      <c r="Z18" s="43" t="n">
        <f aca="false">Z16+Z17</f>
        <v>35284750.7214932</v>
      </c>
      <c r="AA18" s="43" t="n">
        <f aca="false">AA16+AA17</f>
        <v>36302327.8321307</v>
      </c>
      <c r="AB18" s="43" t="n">
        <f aca="false">AB16+AB17</f>
        <v>37349408.1208122</v>
      </c>
      <c r="AC18" s="43" t="n">
        <f aca="false">AC16+AC17</f>
        <v>38426851.0794971</v>
      </c>
      <c r="AD18" s="43" t="n">
        <f aca="false">AD16+AD17</f>
        <v>39535541.344819</v>
      </c>
      <c r="AE18" s="43" t="n">
        <f aca="false">AE16+AE17</f>
        <v>40676389.436424</v>
      </c>
      <c r="AF18" s="43" t="n">
        <f aca="false">AF16+AF17</f>
        <v>41850332.5170587</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row>
    <row r="20" customFormat="false" ht="15" hidden="false" customHeight="false" outlineLevel="0" collapsed="false">
      <c r="A20" s="5"/>
      <c r="B20" s="40" t="s">
        <v>223</v>
      </c>
      <c r="C20" s="41" t="n">
        <f aca="false">C13+C18</f>
        <v>0</v>
      </c>
      <c r="D20" s="41" t="n">
        <f aca="false">D13+D18</f>
        <v>0</v>
      </c>
      <c r="E20" s="41" t="n">
        <f aca="false">E13+E18</f>
        <v>0</v>
      </c>
      <c r="F20" s="41" t="n">
        <f aca="false">F13+F18</f>
        <v>63200000</v>
      </c>
      <c r="G20" s="41" t="n">
        <f aca="false">G13+G18</f>
        <v>66544525</v>
      </c>
      <c r="H20" s="41" t="n">
        <f aca="false">H13+H18</f>
        <v>70083498.670625</v>
      </c>
      <c r="I20" s="41" t="n">
        <f aca="false">I13+I18</f>
        <v>73828838.7174586</v>
      </c>
      <c r="J20" s="41" t="n">
        <f aca="false">J13+J18</f>
        <v>77793213.2910466</v>
      </c>
      <c r="K20" s="41" t="n">
        <f aca="false">K13+K18</f>
        <v>81990088.8843223</v>
      </c>
      <c r="L20" s="41" t="n">
        <f aca="false">L13+L18</f>
        <v>86433781.3084291</v>
      </c>
      <c r="M20" s="41" t="n">
        <f aca="false">M13+M18</f>
        <v>91139509.9455547</v>
      </c>
      <c r="N20" s="41" t="n">
        <f aca="false">N13+N18</f>
        <v>96123455.4902439</v>
      </c>
      <c r="O20" s="41" t="n">
        <f aca="false">O13+O18</f>
        <v>101402821.404329</v>
      </c>
      <c r="P20" s="41" t="n">
        <f aca="false">P13+P18</f>
        <v>106995899.325182</v>
      </c>
      <c r="Q20" s="41" t="n">
        <f aca="false">Q13+Q18</f>
        <v>110383275.701622</v>
      </c>
      <c r="R20" s="41" t="n">
        <f aca="false">R13+R18</f>
        <v>113511409.862243</v>
      </c>
      <c r="S20" s="41" t="n">
        <f aca="false">S13+S18</f>
        <v>116728803.944922</v>
      </c>
      <c r="T20" s="41" t="n">
        <f aca="false">T13+T18</f>
        <v>120038021.144751</v>
      </c>
      <c r="U20" s="41" t="n">
        <f aca="false">U13+U18</f>
        <v>123441698.687613</v>
      </c>
      <c r="V20" s="41" t="n">
        <f aca="false">V13+V18</f>
        <v>126942549.979473</v>
      </c>
      <c r="W20" s="41" t="n">
        <f aca="false">W13+W18</f>
        <v>130543366.81837</v>
      </c>
      <c r="X20" s="41" t="n">
        <f aca="false">X13+X18</f>
        <v>134247021.670922</v>
      </c>
      <c r="Y20" s="41" t="n">
        <f aca="false">Y13+Y18</f>
        <v>138056470.01525</v>
      </c>
      <c r="Z20" s="41" t="n">
        <f aca="false">Z13+Z18</f>
        <v>141974752.752263</v>
      </c>
      <c r="AA20" s="41" t="n">
        <f aca="false">AA13+AA18</f>
        <v>146004998.6873</v>
      </c>
      <c r="AB20" s="41" t="n">
        <f aca="false">AB13+AB18</f>
        <v>150150427.0842</v>
      </c>
      <c r="AC20" s="41" t="n">
        <f aca="false">AC13+AC18</f>
        <v>154414350.293915</v>
      </c>
      <c r="AD20" s="41" t="n">
        <f aca="false">AD13+AD18</f>
        <v>158800176.45985</v>
      </c>
      <c r="AE20" s="41" t="n">
        <f aca="false">AE13+AE18</f>
        <v>163311412.302191</v>
      </c>
      <c r="AF20" s="41" t="n">
        <f aca="false">AF13+AF18</f>
        <v>167951665.983516</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row>
    <row r="22" customFormat="false" ht="15" hidden="false" customHeight="false" outlineLevel="0" collapsed="false">
      <c r="A22" s="5"/>
      <c r="B22" s="42" t="s">
        <v>224</v>
      </c>
      <c r="C22" s="43" t="n">
        <f aca="false">RB_Total_Revenue-C20</f>
        <v>0</v>
      </c>
      <c r="D22" s="43" t="n">
        <f aca="false">RB_Total_Revenue-D20</f>
        <v>0</v>
      </c>
      <c r="E22" s="43" t="n">
        <f aca="false">RB_Total_Revenue-E20</f>
        <v>0</v>
      </c>
      <c r="F22" s="43" t="n">
        <f aca="false">RB_Total_Revenue-F20</f>
        <v>67020000</v>
      </c>
      <c r="G22" s="43" t="n">
        <f aca="false">RB_Total_Revenue-G20</f>
        <v>71410430</v>
      </c>
      <c r="H22" s="43" t="n">
        <f aca="false">RB_Total_Revenue-H20</f>
        <v>76068532.18375</v>
      </c>
      <c r="I22" s="43" t="n">
        <f aca="false">RB_Total_Revenue-I20</f>
        <v>81010122.5765046</v>
      </c>
      <c r="J22" s="43" t="n">
        <f aca="false">RB_Total_Revenue-J20</f>
        <v>86251936.9460551</v>
      </c>
      <c r="K22" s="43" t="n">
        <f aca="false">RB_Total_Revenue-K20</f>
        <v>91811683.7542652</v>
      </c>
      <c r="L22" s="43" t="n">
        <f aca="false">RB_Total_Revenue-L20</f>
        <v>97708100.1319113</v>
      </c>
      <c r="M22" s="43" t="n">
        <f aca="false">RB_Total_Revenue-M20</f>
        <v>103961011.047948</v>
      </c>
      <c r="N22" s="43" t="n">
        <f aca="false">RB_Total_Revenue-N20</f>
        <v>110591391.853903</v>
      </c>
      <c r="O22" s="43" t="n">
        <f aca="false">RB_Total_Revenue-O20</f>
        <v>117621434.394207</v>
      </c>
      <c r="P22" s="43" t="n">
        <f aca="false">RB_Total_Revenue-P20</f>
        <v>125074616.883968</v>
      </c>
      <c r="Q22" s="43" t="n">
        <f aca="false">RB_Total_Revenue-Q20</f>
        <v>128826101.728614</v>
      </c>
      <c r="R22" s="43" t="n">
        <f aca="false">RB_Total_Revenue-R20</f>
        <v>132096252.056677</v>
      </c>
      <c r="S22" s="43" t="n">
        <f aca="false">RB_Total_Revenue-S20</f>
        <v>135456120.852308</v>
      </c>
      <c r="T22" s="43" t="n">
        <f aca="false">RB_Total_Revenue-T20</f>
        <v>138908484.848277</v>
      </c>
      <c r="U22" s="43" t="n">
        <f aca="false">RB_Total_Revenue-U20</f>
        <v>142456219.623561</v>
      </c>
      <c r="V22" s="43" t="n">
        <f aca="false">RB_Total_Revenue-V20</f>
        <v>146102303.567707</v>
      </c>
      <c r="W22" s="43" t="n">
        <f aca="false">RB_Total_Revenue-W20</f>
        <v>149849822.016877</v>
      </c>
      <c r="X22" s="43" t="n">
        <f aca="false">RB_Total_Revenue-X20</f>
        <v>153701971.569291</v>
      </c>
      <c r="Y22" s="43" t="n">
        <f aca="false">RB_Total_Revenue-Y20</f>
        <v>157662064.588178</v>
      </c>
      <c r="Z22" s="43" t="n">
        <f aca="false">RB_Total_Revenue-Z20</f>
        <v>161733533.900677</v>
      </c>
      <c r="AA22" s="43" t="n">
        <f aca="false">RB_Total_Revenue-AA20</f>
        <v>165919937.70153</v>
      </c>
      <c r="AB22" s="43" t="n">
        <f aca="false">RB_Total_Revenue-AB20</f>
        <v>170224964.670833</v>
      </c>
      <c r="AC22" s="43" t="n">
        <f aca="false">RB_Total_Revenue-AC20</f>
        <v>174652439.315497</v>
      </c>
      <c r="AD22" s="43" t="n">
        <f aca="false">RB_Total_Revenue-AD20</f>
        <v>179206327.544552</v>
      </c>
      <c r="AE22" s="43" t="n">
        <f aca="false">RB_Total_Revenue-AE20</f>
        <v>183890742.488867</v>
      </c>
      <c r="AF22" s="43" t="n">
        <f aca="false">RB_Total_Revenue-AF20</f>
        <v>188709950.576353</v>
      </c>
    </row>
    <row r="23" customFormat="false" ht="15" hidden="false" customHeight="false" outlineLevel="0" collapsed="false">
      <c r="A23" s="5"/>
      <c r="B23" s="38" t="s">
        <v>225</v>
      </c>
      <c r="C23" s="46" t="n">
        <f aca="false">IF(RB_Total_Revenue=0,0,C22/RB_Total_Revenue)</f>
        <v>0</v>
      </c>
      <c r="D23" s="46" t="n">
        <f aca="false">IF(RB_Total_Revenue=0,0,D22/RB_Total_Revenue)</f>
        <v>0</v>
      </c>
      <c r="E23" s="46" t="n">
        <f aca="false">IF(RB_Total_Revenue=0,0,E22/RB_Total_Revenue)</f>
        <v>0</v>
      </c>
      <c r="F23" s="46" t="n">
        <f aca="false">IF(RB_Total_Revenue=0,0,F22/RB_Total_Revenue)</f>
        <v>0.514667485793273</v>
      </c>
      <c r="G23" s="46" t="n">
        <f aca="false">IF(RB_Total_Revenue=0,0,G22/RB_Total_Revenue)</f>
        <v>0.517635847150253</v>
      </c>
      <c r="H23" s="46" t="n">
        <f aca="false">IF(RB_Total_Revenue=0,0,H22/RB_Total_Revenue)</f>
        <v>0.520475368963872</v>
      </c>
      <c r="I23" s="46" t="n">
        <f aca="false">IF(RB_Total_Revenue=0,0,I22/RB_Total_Revenue)</f>
        <v>0.52318952477798</v>
      </c>
      <c r="J23" s="46" t="n">
        <f aca="false">IF(RB_Total_Revenue=0,0,J22/RB_Total_Revenue)</f>
        <v>0.525781693767791</v>
      </c>
      <c r="K23" s="46" t="n">
        <f aca="false">IF(RB_Total_Revenue=0,0,K22/RB_Total_Revenue)</f>
        <v>0.528255163111502</v>
      </c>
      <c r="L23" s="46" t="n">
        <f aca="false">IF(RB_Total_Revenue=0,0,L22/RB_Total_Revenue)</f>
        <v>0.530613130308259</v>
      </c>
      <c r="M23" s="46" t="n">
        <f aca="false">IF(RB_Total_Revenue=0,0,M22/RB_Total_Revenue)</f>
        <v>0.53285870544349</v>
      </c>
      <c r="N23" s="46" t="n">
        <f aca="false">IF(RB_Total_Revenue=0,0,N22/RB_Total_Revenue)</f>
        <v>0.534994913402548</v>
      </c>
      <c r="O23" s="46" t="n">
        <f aca="false">IF(RB_Total_Revenue=0,0,O22/RB_Total_Revenue)</f>
        <v>0.537024696033658</v>
      </c>
      <c r="P23" s="46" t="n">
        <f aca="false">IF(RB_Total_Revenue=0,0,P22/RB_Total_Revenue)</f>
        <v>0.538950914261106</v>
      </c>
      <c r="Q23" s="46" t="n">
        <f aca="false">IF(RB_Total_Revenue=0,0,Q22/RB_Total_Revenue)</f>
        <v>0.538549546479152</v>
      </c>
      <c r="R23" s="46" t="n">
        <f aca="false">IF(RB_Total_Revenue=0,0,R22/RB_Total_Revenue)</f>
        <v>0.537834410476513</v>
      </c>
      <c r="S23" s="46" t="n">
        <f aca="false">IF(RB_Total_Revenue=0,0,S22/RB_Total_Revenue)</f>
        <v>0.537130127668108</v>
      </c>
      <c r="T23" s="46" t="n">
        <f aca="false">IF(RB_Total_Revenue=0,0,T22/RB_Total_Revenue)</f>
        <v>0.536436992326194</v>
      </c>
      <c r="U23" s="46" t="n">
        <f aca="false">IF(RB_Total_Revenue=0,0,U22/RB_Total_Revenue)</f>
        <v>0.535755302367007</v>
      </c>
      <c r="V23" s="46" t="n">
        <f aca="false">IF(RB_Total_Revenue=0,0,V22/RB_Total_Revenue)</f>
        <v>0.535085359308784</v>
      </c>
      <c r="W23" s="46" t="n">
        <f aca="false">IF(RB_Total_Revenue=0,0,W22/RB_Total_Revenue)</f>
        <v>0.534427468225434</v>
      </c>
      <c r="X23" s="46" t="n">
        <f aca="false">IF(RB_Total_Revenue=0,0,X22/RB_Total_Revenue)</f>
        <v>0.533781937695715</v>
      </c>
      <c r="Y23" s="46" t="n">
        <f aca="false">IF(RB_Total_Revenue=0,0,Y22/RB_Total_Revenue)</f>
        <v>0.533149079747775</v>
      </c>
      <c r="Z23" s="46" t="n">
        <f aca="false">IF(RB_Total_Revenue=0,0,Z22/RB_Total_Revenue)</f>
        <v>0.532529209798929</v>
      </c>
      <c r="AA23" s="46" t="n">
        <f aca="false">IF(RB_Total_Revenue=0,0,AA22/RB_Total_Revenue)</f>
        <v>0.531922646590532</v>
      </c>
      <c r="AB23" s="46" t="n">
        <f aca="false">IF(RB_Total_Revenue=0,0,AB22/RB_Total_Revenue)</f>
        <v>0.531329712117811</v>
      </c>
      <c r="AC23" s="46" t="n">
        <f aca="false">IF(RB_Total_Revenue=0,0,AC22/RB_Total_Revenue)</f>
        <v>0.530750731554533</v>
      </c>
      <c r="AD23" s="46" t="n">
        <f aca="false">IF(RB_Total_Revenue=0,0,AD22/RB_Total_Revenue)</f>
        <v>0.530186033172362</v>
      </c>
      <c r="AE23" s="46" t="n">
        <f aca="false">IF(RB_Total_Revenue=0,0,AE22/RB_Total_Revenue)</f>
        <v>0.529635948254786</v>
      </c>
      <c r="AF23" s="46" t="n">
        <f aca="false">IF(RB_Total_Revenue=0,0,AF22/RB_Total_Revenue)</f>
        <v>0.529100811005481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F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226</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227</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8" t="s">
        <v>186</v>
      </c>
      <c r="C7" s="37" t="s">
        <v>187</v>
      </c>
      <c r="D7" s="37" t="s">
        <v>187</v>
      </c>
      <c r="E7" s="37" t="s">
        <v>187</v>
      </c>
      <c r="F7" s="37" t="s">
        <v>188</v>
      </c>
      <c r="G7" s="37" t="s">
        <v>188</v>
      </c>
      <c r="H7" s="37" t="s">
        <v>188</v>
      </c>
      <c r="I7" s="37" t="s">
        <v>188</v>
      </c>
      <c r="J7" s="37" t="s">
        <v>188</v>
      </c>
      <c r="K7" s="37" t="s">
        <v>188</v>
      </c>
      <c r="L7" s="37" t="s">
        <v>188</v>
      </c>
      <c r="M7" s="37" t="s">
        <v>188</v>
      </c>
      <c r="N7" s="37" t="s">
        <v>188</v>
      </c>
      <c r="O7" s="37" t="s">
        <v>188</v>
      </c>
      <c r="P7" s="37" t="s">
        <v>188</v>
      </c>
      <c r="Q7" s="37" t="s">
        <v>188</v>
      </c>
      <c r="R7" s="37" t="s">
        <v>188</v>
      </c>
      <c r="S7" s="37" t="s">
        <v>188</v>
      </c>
      <c r="T7" s="37" t="s">
        <v>188</v>
      </c>
      <c r="U7" s="37" t="s">
        <v>188</v>
      </c>
      <c r="V7" s="37" t="s">
        <v>188</v>
      </c>
      <c r="W7" s="37" t="s">
        <v>188</v>
      </c>
      <c r="X7" s="37" t="s">
        <v>188</v>
      </c>
      <c r="Y7" s="37" t="s">
        <v>188</v>
      </c>
      <c r="Z7" s="37" t="s">
        <v>188</v>
      </c>
      <c r="AA7" s="37" t="s">
        <v>188</v>
      </c>
      <c r="AB7" s="37" t="s">
        <v>188</v>
      </c>
      <c r="AC7" s="37" t="s">
        <v>188</v>
      </c>
      <c r="AD7" s="37" t="s">
        <v>188</v>
      </c>
      <c r="AE7" s="37" t="s">
        <v>188</v>
      </c>
      <c r="AF7" s="37" t="s">
        <v>188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customFormat="false" ht="15" hidden="false" customHeight="false" outlineLevel="0" collapsed="false">
      <c r="A9" s="5"/>
      <c r="B9" s="15" t="s">
        <v>228</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customFormat="false" ht="15" hidden="false" customHeight="false" outlineLevel="0" collapsed="false">
      <c r="A10" s="5"/>
      <c r="B10" s="38" t="s">
        <v>229</v>
      </c>
      <c r="C10" s="39" t="n">
        <f aca="false">IF(C6=1,Construction_Capex*Debt_Capitalisation,0)</f>
        <v>315000000</v>
      </c>
      <c r="D10" s="39" t="n">
        <f aca="false">IF(D6=1,Construction_Capex*Debt_Capitalisation,0)</f>
        <v>0</v>
      </c>
      <c r="E10" s="39" t="n">
        <f aca="false">IF(E6=1,Construction_Capex*Debt_Capitalisation,0)</f>
        <v>0</v>
      </c>
      <c r="F10" s="39" t="n">
        <f aca="false">IF(F6=1,Construction_Capex*Debt_Capitalisation,0)</f>
        <v>0</v>
      </c>
      <c r="G10" s="39" t="n">
        <f aca="false">IF(G6=1,Construction_Capex*Debt_Capitalisation,0)</f>
        <v>0</v>
      </c>
      <c r="H10" s="39" t="n">
        <f aca="false">IF(H6=1,Construction_Capex*Debt_Capitalisation,0)</f>
        <v>0</v>
      </c>
      <c r="I10" s="39" t="n">
        <f aca="false">IF(I6=1,Construction_Capex*Debt_Capitalisation,0)</f>
        <v>0</v>
      </c>
      <c r="J10" s="39" t="n">
        <f aca="false">IF(J6=1,Construction_Capex*Debt_Capitalisation,0)</f>
        <v>0</v>
      </c>
      <c r="K10" s="39" t="n">
        <f aca="false">IF(K6=1,Construction_Capex*Debt_Capitalisation,0)</f>
        <v>0</v>
      </c>
      <c r="L10" s="39" t="n">
        <f aca="false">IF(L6=1,Construction_Capex*Debt_Capitalisation,0)</f>
        <v>0</v>
      </c>
      <c r="M10" s="39" t="n">
        <f aca="false">IF(M6=1,Construction_Capex*Debt_Capitalisation,0)</f>
        <v>0</v>
      </c>
      <c r="N10" s="39" t="n">
        <f aca="false">IF(N6=1,Construction_Capex*Debt_Capitalisation,0)</f>
        <v>0</v>
      </c>
      <c r="O10" s="39" t="n">
        <f aca="false">IF(O6=1,Construction_Capex*Debt_Capitalisation,0)</f>
        <v>0</v>
      </c>
      <c r="P10" s="39" t="n">
        <f aca="false">IF(P6=1,Construction_Capex*Debt_Capitalisation,0)</f>
        <v>0</v>
      </c>
      <c r="Q10" s="39" t="n">
        <f aca="false">IF(Q6=1,Construction_Capex*Debt_Capitalisation,0)</f>
        <v>0</v>
      </c>
      <c r="R10" s="39" t="n">
        <f aca="false">IF(R6=1,Construction_Capex*Debt_Capitalisation,0)</f>
        <v>0</v>
      </c>
      <c r="S10" s="39" t="n">
        <f aca="false">IF(S6=1,Construction_Capex*Debt_Capitalisation,0)</f>
        <v>0</v>
      </c>
      <c r="T10" s="39" t="n">
        <f aca="false">IF(T6=1,Construction_Capex*Debt_Capitalisation,0)</f>
        <v>0</v>
      </c>
      <c r="U10" s="39" t="n">
        <f aca="false">IF(U6=1,Construction_Capex*Debt_Capitalisation,0)</f>
        <v>0</v>
      </c>
      <c r="V10" s="39" t="n">
        <f aca="false">IF(V6=1,Construction_Capex*Debt_Capitalisation,0)</f>
        <v>0</v>
      </c>
      <c r="W10" s="39" t="n">
        <f aca="false">IF(W6=1,Construction_Capex*Debt_Capitalisation,0)</f>
        <v>0</v>
      </c>
      <c r="X10" s="39" t="n">
        <f aca="false">IF(X6=1,Construction_Capex*Debt_Capitalisation,0)</f>
        <v>0</v>
      </c>
      <c r="Y10" s="39" t="n">
        <f aca="false">IF(Y6=1,Construction_Capex*Debt_Capitalisation,0)</f>
        <v>0</v>
      </c>
      <c r="Z10" s="39" t="n">
        <f aca="false">IF(Z6=1,Construction_Capex*Debt_Capitalisation,0)</f>
        <v>0</v>
      </c>
      <c r="AA10" s="39" t="n">
        <f aca="false">IF(AA6=1,Construction_Capex*Debt_Capitalisation,0)</f>
        <v>0</v>
      </c>
      <c r="AB10" s="39" t="n">
        <f aca="false">IF(AB6=1,Construction_Capex*Debt_Capitalisation,0)</f>
        <v>0</v>
      </c>
      <c r="AC10" s="39" t="n">
        <f aca="false">IF(AC6=1,Construction_Capex*Debt_Capitalisation,0)</f>
        <v>0</v>
      </c>
      <c r="AD10" s="39" t="n">
        <f aca="false">IF(AD6=1,Construction_Capex*Debt_Capitalisation,0)</f>
        <v>0</v>
      </c>
      <c r="AE10" s="39" t="n">
        <f aca="false">IF(AE6=1,Construction_Capex*Debt_Capitalisation,0)</f>
        <v>0</v>
      </c>
      <c r="AF10" s="39" t="n">
        <f aca="false">IF(AF6=1,Construction_Capex*Debt_Capitalisation,0)</f>
        <v>0</v>
      </c>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customFormat="false" ht="15" hidden="false" customHeight="false" outlineLevel="0" collapsed="false">
      <c r="A12" s="5"/>
      <c r="B12" s="15" t="s">
        <v>230</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row>
    <row r="13" customFormat="false" ht="15" hidden="false" customHeight="false" outlineLevel="0" collapsed="false">
      <c r="A13" s="5"/>
      <c r="B13" s="38" t="s">
        <v>231</v>
      </c>
      <c r="C13" s="39" t="n">
        <f aca="false">0</f>
        <v>0</v>
      </c>
      <c r="D13" s="39" t="n">
        <f aca="false">C16</f>
        <v>105000000</v>
      </c>
      <c r="E13" s="39" t="n">
        <f aca="false">D16</f>
        <v>210000000</v>
      </c>
      <c r="F13" s="39" t="n">
        <f aca="false">E16</f>
        <v>315000000</v>
      </c>
      <c r="G13" s="39" t="n">
        <f aca="false">F16</f>
        <v>299250000</v>
      </c>
      <c r="H13" s="39" t="n">
        <f aca="false">G16</f>
        <v>283500000</v>
      </c>
      <c r="I13" s="39" t="n">
        <f aca="false">H16</f>
        <v>267750000</v>
      </c>
      <c r="J13" s="39" t="n">
        <f aca="false">I16</f>
        <v>252000000</v>
      </c>
      <c r="K13" s="39" t="n">
        <f aca="false">J16</f>
        <v>236250000</v>
      </c>
      <c r="L13" s="39" t="n">
        <f aca="false">K16</f>
        <v>220500000</v>
      </c>
      <c r="M13" s="39" t="n">
        <f aca="false">L16</f>
        <v>204750000</v>
      </c>
      <c r="N13" s="39" t="n">
        <f aca="false">M16</f>
        <v>189000000</v>
      </c>
      <c r="O13" s="39" t="n">
        <f aca="false">N16</f>
        <v>173250000</v>
      </c>
      <c r="P13" s="39" t="n">
        <f aca="false">O16</f>
        <v>157500000</v>
      </c>
      <c r="Q13" s="39" t="n">
        <f aca="false">P16</f>
        <v>141750000</v>
      </c>
      <c r="R13" s="39" t="n">
        <f aca="false">Q16</f>
        <v>126000000</v>
      </c>
      <c r="S13" s="39" t="n">
        <f aca="false">R16</f>
        <v>110250000</v>
      </c>
      <c r="T13" s="39" t="n">
        <f aca="false">S16</f>
        <v>94500000</v>
      </c>
      <c r="U13" s="39" t="n">
        <f aca="false">T16</f>
        <v>78750000</v>
      </c>
      <c r="V13" s="39" t="n">
        <f aca="false">U16</f>
        <v>63000000</v>
      </c>
      <c r="W13" s="39" t="n">
        <f aca="false">V16</f>
        <v>47250000</v>
      </c>
      <c r="X13" s="39" t="n">
        <f aca="false">W16</f>
        <v>31500000</v>
      </c>
      <c r="Y13" s="39" t="n">
        <f aca="false">X16</f>
        <v>15750000</v>
      </c>
      <c r="Z13" s="39" t="n">
        <f aca="false">Y16</f>
        <v>0</v>
      </c>
      <c r="AA13" s="39" t="n">
        <f aca="false">Z16</f>
        <v>0</v>
      </c>
      <c r="AB13" s="39" t="n">
        <f aca="false">AA16</f>
        <v>0</v>
      </c>
      <c r="AC13" s="39" t="n">
        <f aca="false">AB16</f>
        <v>0</v>
      </c>
      <c r="AD13" s="39" t="n">
        <f aca="false">AC16</f>
        <v>0</v>
      </c>
      <c r="AE13" s="39" t="n">
        <f aca="false">AD16</f>
        <v>0</v>
      </c>
      <c r="AF13" s="39" t="n">
        <f aca="false">AE16</f>
        <v>0</v>
      </c>
    </row>
    <row r="14" customFormat="false" ht="15" hidden="false" customHeight="false" outlineLevel="0" collapsed="false">
      <c r="A14" s="5"/>
      <c r="B14" s="38" t="s">
        <v>232</v>
      </c>
      <c r="C14" s="39" t="n">
        <f aca="false">IF(C6&lt;=Construction_Period,Construction_Capex*Debt_Capitalisation/Construction_Period,0)</f>
        <v>105000000</v>
      </c>
      <c r="D14" s="39" t="n">
        <f aca="false">IF(D6&lt;=Construction_Period,Construction_Capex*Debt_Capitalisation/Construction_Period,0)</f>
        <v>105000000</v>
      </c>
      <c r="E14" s="39" t="n">
        <f aca="false">IF(E6&lt;=Construction_Period,Construction_Capex*Debt_Capitalisation/Construction_Period,0)</f>
        <v>105000000</v>
      </c>
      <c r="F14" s="39" t="n">
        <f aca="false">IF(F6&lt;=Construction_Period,Construction_Capex*Debt_Capitalisation/Construction_Period,0)</f>
        <v>0</v>
      </c>
      <c r="G14" s="39" t="n">
        <f aca="false">IF(G6&lt;=Construction_Period,Construction_Capex*Debt_Capitalisation/Construction_Period,0)</f>
        <v>0</v>
      </c>
      <c r="H14" s="39" t="n">
        <f aca="false">IF(H6&lt;=Construction_Period,Construction_Capex*Debt_Capitalisation/Construction_Period,0)</f>
        <v>0</v>
      </c>
      <c r="I14" s="39" t="n">
        <f aca="false">IF(I6&lt;=Construction_Period,Construction_Capex*Debt_Capitalisation/Construction_Period,0)</f>
        <v>0</v>
      </c>
      <c r="J14" s="39" t="n">
        <f aca="false">IF(J6&lt;=Construction_Period,Construction_Capex*Debt_Capitalisation/Construction_Period,0)</f>
        <v>0</v>
      </c>
      <c r="K14" s="39" t="n">
        <f aca="false">IF(K6&lt;=Construction_Period,Construction_Capex*Debt_Capitalisation/Construction_Period,0)</f>
        <v>0</v>
      </c>
      <c r="L14" s="39" t="n">
        <f aca="false">IF(L6&lt;=Construction_Period,Construction_Capex*Debt_Capitalisation/Construction_Period,0)</f>
        <v>0</v>
      </c>
      <c r="M14" s="39" t="n">
        <f aca="false">IF(M6&lt;=Construction_Period,Construction_Capex*Debt_Capitalisation/Construction_Period,0)</f>
        <v>0</v>
      </c>
      <c r="N14" s="39" t="n">
        <f aca="false">IF(N6&lt;=Construction_Period,Construction_Capex*Debt_Capitalisation/Construction_Period,0)</f>
        <v>0</v>
      </c>
      <c r="O14" s="39" t="n">
        <f aca="false">IF(O6&lt;=Construction_Period,Construction_Capex*Debt_Capitalisation/Construction_Period,0)</f>
        <v>0</v>
      </c>
      <c r="P14" s="39" t="n">
        <f aca="false">IF(P6&lt;=Construction_Period,Construction_Capex*Debt_Capitalisation/Construction_Period,0)</f>
        <v>0</v>
      </c>
      <c r="Q14" s="39" t="n">
        <f aca="false">IF(Q6&lt;=Construction_Period,Construction_Capex*Debt_Capitalisation/Construction_Period,0)</f>
        <v>0</v>
      </c>
      <c r="R14" s="39" t="n">
        <f aca="false">IF(R6&lt;=Construction_Period,Construction_Capex*Debt_Capitalisation/Construction_Period,0)</f>
        <v>0</v>
      </c>
      <c r="S14" s="39" t="n">
        <f aca="false">IF(S6&lt;=Construction_Period,Construction_Capex*Debt_Capitalisation/Construction_Period,0)</f>
        <v>0</v>
      </c>
      <c r="T14" s="39" t="n">
        <f aca="false">IF(T6&lt;=Construction_Period,Construction_Capex*Debt_Capitalisation/Construction_Period,0)</f>
        <v>0</v>
      </c>
      <c r="U14" s="39" t="n">
        <f aca="false">IF(U6&lt;=Construction_Period,Construction_Capex*Debt_Capitalisation/Construction_Period,0)</f>
        <v>0</v>
      </c>
      <c r="V14" s="39" t="n">
        <f aca="false">IF(V6&lt;=Construction_Period,Construction_Capex*Debt_Capitalisation/Construction_Period,0)</f>
        <v>0</v>
      </c>
      <c r="W14" s="39" t="n">
        <f aca="false">IF(W6&lt;=Construction_Period,Construction_Capex*Debt_Capitalisation/Construction_Period,0)</f>
        <v>0</v>
      </c>
      <c r="X14" s="39" t="n">
        <f aca="false">IF(X6&lt;=Construction_Period,Construction_Capex*Debt_Capitalisation/Construction_Period,0)</f>
        <v>0</v>
      </c>
      <c r="Y14" s="39" t="n">
        <f aca="false">IF(Y6&lt;=Construction_Period,Construction_Capex*Debt_Capitalisation/Construction_Period,0)</f>
        <v>0</v>
      </c>
      <c r="Z14" s="39" t="n">
        <f aca="false">IF(Z6&lt;=Construction_Period,Construction_Capex*Debt_Capitalisation/Construction_Period,0)</f>
        <v>0</v>
      </c>
      <c r="AA14" s="39" t="n">
        <f aca="false">IF(AA6&lt;=Construction_Period,Construction_Capex*Debt_Capitalisation/Construction_Period,0)</f>
        <v>0</v>
      </c>
      <c r="AB14" s="39" t="n">
        <f aca="false">IF(AB6&lt;=Construction_Period,Construction_Capex*Debt_Capitalisation/Construction_Period,0)</f>
        <v>0</v>
      </c>
      <c r="AC14" s="39" t="n">
        <f aca="false">IF(AC6&lt;=Construction_Period,Construction_Capex*Debt_Capitalisation/Construction_Period,0)</f>
        <v>0</v>
      </c>
      <c r="AD14" s="39" t="n">
        <f aca="false">IF(AD6&lt;=Construction_Period,Construction_Capex*Debt_Capitalisation/Construction_Period,0)</f>
        <v>0</v>
      </c>
      <c r="AE14" s="39" t="n">
        <f aca="false">IF(AE6&lt;=Construction_Period,Construction_Capex*Debt_Capitalisation/Construction_Period,0)</f>
        <v>0</v>
      </c>
      <c r="AF14" s="39" t="n">
        <f aca="false">IF(AF6&lt;=Construction_Period,Construction_Capex*Debt_Capitalisation/Construction_Period,0)</f>
        <v>0</v>
      </c>
    </row>
    <row r="15" customFormat="false" ht="15" hidden="false" customHeight="false" outlineLevel="0" collapsed="false">
      <c r="A15" s="5"/>
      <c r="B15" s="38" t="s">
        <v>233</v>
      </c>
      <c r="C15" s="39" t="n">
        <f aca="false">IF(AND(C6&gt;=Ops_Start_Year,C6&lt;Ops_Start_Year+Debt_Tenor),MIN(Construction_Capex*Debt_Capitalisation/Debt_Tenor,C13+C14),0)</f>
        <v>0</v>
      </c>
      <c r="D15" s="39" t="n">
        <f aca="false">IF(AND(D6&gt;=Ops_Start_Year,D6&lt;Ops_Start_Year+Debt_Tenor),MIN(Construction_Capex*Debt_Capitalisation/Debt_Tenor,D13+D14),0)</f>
        <v>0</v>
      </c>
      <c r="E15" s="39" t="n">
        <f aca="false">IF(AND(E6&gt;=Ops_Start_Year,E6&lt;Ops_Start_Year+Debt_Tenor),MIN(Construction_Capex*Debt_Capitalisation/Debt_Tenor,E13+E14),0)</f>
        <v>0</v>
      </c>
      <c r="F15" s="39" t="n">
        <f aca="false">IF(AND(F6&gt;=Ops_Start_Year,F6&lt;Ops_Start_Year+Debt_Tenor),MIN(Construction_Capex*Debt_Capitalisation/Debt_Tenor,F13+F14),0)</f>
        <v>15750000</v>
      </c>
      <c r="G15" s="39" t="n">
        <f aca="false">IF(AND(G6&gt;=Ops_Start_Year,G6&lt;Ops_Start_Year+Debt_Tenor),MIN(Construction_Capex*Debt_Capitalisation/Debt_Tenor,G13+G14),0)</f>
        <v>15750000</v>
      </c>
      <c r="H15" s="39" t="n">
        <f aca="false">IF(AND(H6&gt;=Ops_Start_Year,H6&lt;Ops_Start_Year+Debt_Tenor),MIN(Construction_Capex*Debt_Capitalisation/Debt_Tenor,H13+H14),0)</f>
        <v>15750000</v>
      </c>
      <c r="I15" s="39" t="n">
        <f aca="false">IF(AND(I6&gt;=Ops_Start_Year,I6&lt;Ops_Start_Year+Debt_Tenor),MIN(Construction_Capex*Debt_Capitalisation/Debt_Tenor,I13+I14),0)</f>
        <v>15750000</v>
      </c>
      <c r="J15" s="39" t="n">
        <f aca="false">IF(AND(J6&gt;=Ops_Start_Year,J6&lt;Ops_Start_Year+Debt_Tenor),MIN(Construction_Capex*Debt_Capitalisation/Debt_Tenor,J13+J14),0)</f>
        <v>15750000</v>
      </c>
      <c r="K15" s="39" t="n">
        <f aca="false">IF(AND(K6&gt;=Ops_Start_Year,K6&lt;Ops_Start_Year+Debt_Tenor),MIN(Construction_Capex*Debt_Capitalisation/Debt_Tenor,K13+K14),0)</f>
        <v>15750000</v>
      </c>
      <c r="L15" s="39" t="n">
        <f aca="false">IF(AND(L6&gt;=Ops_Start_Year,L6&lt;Ops_Start_Year+Debt_Tenor),MIN(Construction_Capex*Debt_Capitalisation/Debt_Tenor,L13+L14),0)</f>
        <v>15750000</v>
      </c>
      <c r="M15" s="39" t="n">
        <f aca="false">IF(AND(M6&gt;=Ops_Start_Year,M6&lt;Ops_Start_Year+Debt_Tenor),MIN(Construction_Capex*Debt_Capitalisation/Debt_Tenor,M13+M14),0)</f>
        <v>15750000</v>
      </c>
      <c r="N15" s="39" t="n">
        <f aca="false">IF(AND(N6&gt;=Ops_Start_Year,N6&lt;Ops_Start_Year+Debt_Tenor),MIN(Construction_Capex*Debt_Capitalisation/Debt_Tenor,N13+N14),0)</f>
        <v>15750000</v>
      </c>
      <c r="O15" s="39" t="n">
        <f aca="false">IF(AND(O6&gt;=Ops_Start_Year,O6&lt;Ops_Start_Year+Debt_Tenor),MIN(Construction_Capex*Debt_Capitalisation/Debt_Tenor,O13+O14),0)</f>
        <v>15750000</v>
      </c>
      <c r="P15" s="39" t="n">
        <f aca="false">IF(AND(P6&gt;=Ops_Start_Year,P6&lt;Ops_Start_Year+Debt_Tenor),MIN(Construction_Capex*Debt_Capitalisation/Debt_Tenor,P13+P14),0)</f>
        <v>15750000</v>
      </c>
      <c r="Q15" s="39" t="n">
        <f aca="false">IF(AND(Q6&gt;=Ops_Start_Year,Q6&lt;Ops_Start_Year+Debt_Tenor),MIN(Construction_Capex*Debt_Capitalisation/Debt_Tenor,Q13+Q14),0)</f>
        <v>15750000</v>
      </c>
      <c r="R15" s="39" t="n">
        <f aca="false">IF(AND(R6&gt;=Ops_Start_Year,R6&lt;Ops_Start_Year+Debt_Tenor),MIN(Construction_Capex*Debt_Capitalisation/Debt_Tenor,R13+R14),0)</f>
        <v>15750000</v>
      </c>
      <c r="S15" s="39" t="n">
        <f aca="false">IF(AND(S6&gt;=Ops_Start_Year,S6&lt;Ops_Start_Year+Debt_Tenor),MIN(Construction_Capex*Debt_Capitalisation/Debt_Tenor,S13+S14),0)</f>
        <v>15750000</v>
      </c>
      <c r="T15" s="39" t="n">
        <f aca="false">IF(AND(T6&gt;=Ops_Start_Year,T6&lt;Ops_Start_Year+Debt_Tenor),MIN(Construction_Capex*Debt_Capitalisation/Debt_Tenor,T13+T14),0)</f>
        <v>15750000</v>
      </c>
      <c r="U15" s="39" t="n">
        <f aca="false">IF(AND(U6&gt;=Ops_Start_Year,U6&lt;Ops_Start_Year+Debt_Tenor),MIN(Construction_Capex*Debt_Capitalisation/Debt_Tenor,U13+U14),0)</f>
        <v>15750000</v>
      </c>
      <c r="V15" s="39" t="n">
        <f aca="false">IF(AND(V6&gt;=Ops_Start_Year,V6&lt;Ops_Start_Year+Debt_Tenor),MIN(Construction_Capex*Debt_Capitalisation/Debt_Tenor,V13+V14),0)</f>
        <v>15750000</v>
      </c>
      <c r="W15" s="39" t="n">
        <f aca="false">IF(AND(W6&gt;=Ops_Start_Year,W6&lt;Ops_Start_Year+Debt_Tenor),MIN(Construction_Capex*Debt_Capitalisation/Debt_Tenor,W13+W14),0)</f>
        <v>15750000</v>
      </c>
      <c r="X15" s="39" t="n">
        <f aca="false">IF(AND(X6&gt;=Ops_Start_Year,X6&lt;Ops_Start_Year+Debt_Tenor),MIN(Construction_Capex*Debt_Capitalisation/Debt_Tenor,X13+X14),0)</f>
        <v>15750000</v>
      </c>
      <c r="Y15" s="39" t="n">
        <f aca="false">IF(AND(Y6&gt;=Ops_Start_Year,Y6&lt;Ops_Start_Year+Debt_Tenor),MIN(Construction_Capex*Debt_Capitalisation/Debt_Tenor,Y13+Y14),0)</f>
        <v>15750000</v>
      </c>
      <c r="Z15" s="39" t="n">
        <f aca="false">IF(AND(Z6&gt;=Ops_Start_Year,Z6&lt;Ops_Start_Year+Debt_Tenor),MIN(Construction_Capex*Debt_Capitalisation/Debt_Tenor,Z13+Z14),0)</f>
        <v>0</v>
      </c>
      <c r="AA15" s="39" t="n">
        <f aca="false">IF(AND(AA6&gt;=Ops_Start_Year,AA6&lt;Ops_Start_Year+Debt_Tenor),MIN(Construction_Capex*Debt_Capitalisation/Debt_Tenor,AA13+AA14),0)</f>
        <v>0</v>
      </c>
      <c r="AB15" s="39" t="n">
        <f aca="false">IF(AND(AB6&gt;=Ops_Start_Year,AB6&lt;Ops_Start_Year+Debt_Tenor),MIN(Construction_Capex*Debt_Capitalisation/Debt_Tenor,AB13+AB14),0)</f>
        <v>0</v>
      </c>
      <c r="AC15" s="39" t="n">
        <f aca="false">IF(AND(AC6&gt;=Ops_Start_Year,AC6&lt;Ops_Start_Year+Debt_Tenor),MIN(Construction_Capex*Debt_Capitalisation/Debt_Tenor,AC13+AC14),0)</f>
        <v>0</v>
      </c>
      <c r="AD15" s="39" t="n">
        <f aca="false">IF(AND(AD6&gt;=Ops_Start_Year,AD6&lt;Ops_Start_Year+Debt_Tenor),MIN(Construction_Capex*Debt_Capitalisation/Debt_Tenor,AD13+AD14),0)</f>
        <v>0</v>
      </c>
      <c r="AE15" s="39" t="n">
        <f aca="false">IF(AND(AE6&gt;=Ops_Start_Year,AE6&lt;Ops_Start_Year+Debt_Tenor),MIN(Construction_Capex*Debt_Capitalisation/Debt_Tenor,AE13+AE14),0)</f>
        <v>0</v>
      </c>
      <c r="AF15" s="39" t="n">
        <f aca="false">IF(AND(AF6&gt;=Ops_Start_Year,AF6&lt;Ops_Start_Year+Debt_Tenor),MIN(Construction_Capex*Debt_Capitalisation/Debt_Tenor,AF13+AF14),0)</f>
        <v>0</v>
      </c>
    </row>
    <row r="16" customFormat="false" ht="15" hidden="false" customHeight="false" outlineLevel="0" collapsed="false">
      <c r="A16" s="5"/>
      <c r="B16" s="42" t="s">
        <v>234</v>
      </c>
      <c r="C16" s="43" t="n">
        <f aca="false">C13+C14-C15</f>
        <v>105000000</v>
      </c>
      <c r="D16" s="43" t="n">
        <f aca="false">D13+D14-D15</f>
        <v>210000000</v>
      </c>
      <c r="E16" s="43" t="n">
        <f aca="false">E13+E14-E15</f>
        <v>315000000</v>
      </c>
      <c r="F16" s="43" t="n">
        <f aca="false">F13+F14-F15</f>
        <v>299250000</v>
      </c>
      <c r="G16" s="43" t="n">
        <f aca="false">G13+G14-G15</f>
        <v>283500000</v>
      </c>
      <c r="H16" s="43" t="n">
        <f aca="false">H13+H14-H15</f>
        <v>267750000</v>
      </c>
      <c r="I16" s="43" t="n">
        <f aca="false">I13+I14-I15</f>
        <v>252000000</v>
      </c>
      <c r="J16" s="43" t="n">
        <f aca="false">J13+J14-J15</f>
        <v>236250000</v>
      </c>
      <c r="K16" s="43" t="n">
        <f aca="false">K13+K14-K15</f>
        <v>220500000</v>
      </c>
      <c r="L16" s="43" t="n">
        <f aca="false">L13+L14-L15</f>
        <v>204750000</v>
      </c>
      <c r="M16" s="43" t="n">
        <f aca="false">M13+M14-M15</f>
        <v>189000000</v>
      </c>
      <c r="N16" s="43" t="n">
        <f aca="false">N13+N14-N15</f>
        <v>173250000</v>
      </c>
      <c r="O16" s="43" t="n">
        <f aca="false">O13+O14-O15</f>
        <v>157500000</v>
      </c>
      <c r="P16" s="43" t="n">
        <f aca="false">P13+P14-P15</f>
        <v>141750000</v>
      </c>
      <c r="Q16" s="43" t="n">
        <f aca="false">Q13+Q14-Q15</f>
        <v>126000000</v>
      </c>
      <c r="R16" s="43" t="n">
        <f aca="false">R13+R14-R15</f>
        <v>110250000</v>
      </c>
      <c r="S16" s="43" t="n">
        <f aca="false">S13+S14-S15</f>
        <v>94500000</v>
      </c>
      <c r="T16" s="43" t="n">
        <f aca="false">T13+T14-T15</f>
        <v>78750000</v>
      </c>
      <c r="U16" s="43" t="n">
        <f aca="false">U13+U14-U15</f>
        <v>63000000</v>
      </c>
      <c r="V16" s="43" t="n">
        <f aca="false">V13+V14-V15</f>
        <v>47250000</v>
      </c>
      <c r="W16" s="43" t="n">
        <f aca="false">W13+W14-W15</f>
        <v>31500000</v>
      </c>
      <c r="X16" s="43" t="n">
        <f aca="false">X13+X14-X15</f>
        <v>15750000</v>
      </c>
      <c r="Y16" s="43" t="n">
        <f aca="false">Y13+Y14-Y15</f>
        <v>0</v>
      </c>
      <c r="Z16" s="43" t="n">
        <f aca="false">Z13+Z14-Z15</f>
        <v>0</v>
      </c>
      <c r="AA16" s="43" t="n">
        <f aca="false">AA13+AA14-AA15</f>
        <v>0</v>
      </c>
      <c r="AB16" s="43" t="n">
        <f aca="false">AB13+AB14-AB15</f>
        <v>0</v>
      </c>
      <c r="AC16" s="43" t="n">
        <f aca="false">AC13+AC14-AC15</f>
        <v>0</v>
      </c>
      <c r="AD16" s="43" t="n">
        <f aca="false">AD13+AD14-AD15</f>
        <v>0</v>
      </c>
      <c r="AE16" s="43" t="n">
        <f aca="false">AE13+AE14-AE15</f>
        <v>0</v>
      </c>
      <c r="AF16" s="43" t="n">
        <f aca="false">AF13+AF14-AF15</f>
        <v>0</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customFormat="false" ht="15" hidden="false" customHeight="false" outlineLevel="0" collapsed="false">
      <c r="A18" s="5"/>
      <c r="B18" s="15" t="s">
        <v>235</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customFormat="false" ht="15" hidden="false" customHeight="false" outlineLevel="0" collapsed="false">
      <c r="A19" s="5"/>
      <c r="B19" s="38" t="s">
        <v>236</v>
      </c>
      <c r="C19" s="39" t="n">
        <f aca="false">C13*(Base_Rate+Debt_Margin)</f>
        <v>0</v>
      </c>
      <c r="D19" s="39" t="n">
        <f aca="false">D13*(Base_Rate+Debt_Margin)</f>
        <v>6825000</v>
      </c>
      <c r="E19" s="39" t="n">
        <f aca="false">E13*(Base_Rate+Debt_Margin)</f>
        <v>13650000</v>
      </c>
      <c r="F19" s="39" t="n">
        <f aca="false">F13*(Base_Rate+Debt_Margin)</f>
        <v>20475000</v>
      </c>
      <c r="G19" s="39" t="n">
        <f aca="false">G13*(Base_Rate+Debt_Margin)</f>
        <v>19451250</v>
      </c>
      <c r="H19" s="39" t="n">
        <f aca="false">H13*(Base_Rate+Debt_Margin)</f>
        <v>18427500</v>
      </c>
      <c r="I19" s="39" t="n">
        <f aca="false">I13*(Base_Rate+Debt_Margin)</f>
        <v>17403750</v>
      </c>
      <c r="J19" s="39" t="n">
        <f aca="false">J13*(Base_Rate+Debt_Margin)</f>
        <v>16380000</v>
      </c>
      <c r="K19" s="39" t="n">
        <f aca="false">K13*(Base_Rate+Debt_Margin)</f>
        <v>15356250</v>
      </c>
      <c r="L19" s="39" t="n">
        <f aca="false">L13*(Base_Rate+Debt_Margin)</f>
        <v>14332500</v>
      </c>
      <c r="M19" s="39" t="n">
        <f aca="false">M13*(Base_Rate+Debt_Margin)</f>
        <v>13308750</v>
      </c>
      <c r="N19" s="39" t="n">
        <f aca="false">N13*(Base_Rate+Debt_Margin)</f>
        <v>12285000</v>
      </c>
      <c r="O19" s="39" t="n">
        <f aca="false">O13*(Base_Rate+Debt_Margin)</f>
        <v>11261250</v>
      </c>
      <c r="P19" s="39" t="n">
        <f aca="false">P13*(Base_Rate+Debt_Margin)</f>
        <v>10237500</v>
      </c>
      <c r="Q19" s="39" t="n">
        <f aca="false">Q13*(Base_Rate+Debt_Margin)</f>
        <v>9213750</v>
      </c>
      <c r="R19" s="39" t="n">
        <f aca="false">R13*(Base_Rate+Debt_Margin)</f>
        <v>8190000</v>
      </c>
      <c r="S19" s="39" t="n">
        <f aca="false">S13*(Base_Rate+Debt_Margin)</f>
        <v>7166250</v>
      </c>
      <c r="T19" s="39" t="n">
        <f aca="false">T13*(Base_Rate+Debt_Margin)</f>
        <v>6142500</v>
      </c>
      <c r="U19" s="39" t="n">
        <f aca="false">U13*(Base_Rate+Debt_Margin)</f>
        <v>5118750</v>
      </c>
      <c r="V19" s="39" t="n">
        <f aca="false">V13*(Base_Rate+Debt_Margin)</f>
        <v>4095000</v>
      </c>
      <c r="W19" s="39" t="n">
        <f aca="false">W13*(Base_Rate+Debt_Margin)</f>
        <v>3071250</v>
      </c>
      <c r="X19" s="39" t="n">
        <f aca="false">X13*(Base_Rate+Debt_Margin)</f>
        <v>2047500</v>
      </c>
      <c r="Y19" s="39" t="n">
        <f aca="false">Y13*(Base_Rate+Debt_Margin)</f>
        <v>1023750</v>
      </c>
      <c r="Z19" s="39" t="n">
        <f aca="false">Z13*(Base_Rate+Debt_Margin)</f>
        <v>0</v>
      </c>
      <c r="AA19" s="39" t="n">
        <f aca="false">AA13*(Base_Rate+Debt_Margin)</f>
        <v>0</v>
      </c>
      <c r="AB19" s="39" t="n">
        <f aca="false">AB13*(Base_Rate+Debt_Margin)</f>
        <v>0</v>
      </c>
      <c r="AC19" s="39" t="n">
        <f aca="false">AC13*(Base_Rate+Debt_Margin)</f>
        <v>0</v>
      </c>
      <c r="AD19" s="39" t="n">
        <f aca="false">AD13*(Base_Rate+Debt_Margin)</f>
        <v>0</v>
      </c>
      <c r="AE19" s="39" t="n">
        <f aca="false">AE13*(Base_Rate+Debt_Margin)</f>
        <v>0</v>
      </c>
      <c r="AF19" s="39" t="n">
        <f aca="false">AF13*(Base_Rate+Debt_Margin)</f>
        <v>0</v>
      </c>
    </row>
    <row r="20" customFormat="false" ht="15" hidden="false" customHeight="false" outlineLevel="0" collapsed="false">
      <c r="A20" s="5"/>
      <c r="B20" s="42" t="s">
        <v>237</v>
      </c>
      <c r="C20" s="43" t="n">
        <f aca="false">C15+C19</f>
        <v>0</v>
      </c>
      <c r="D20" s="43" t="n">
        <f aca="false">D15+D19</f>
        <v>6825000</v>
      </c>
      <c r="E20" s="43" t="n">
        <f aca="false">E15+E19</f>
        <v>13650000</v>
      </c>
      <c r="F20" s="43" t="n">
        <f aca="false">F15+F19</f>
        <v>36225000</v>
      </c>
      <c r="G20" s="43" t="n">
        <f aca="false">G15+G19</f>
        <v>35201250</v>
      </c>
      <c r="H20" s="43" t="n">
        <f aca="false">H15+H19</f>
        <v>34177500</v>
      </c>
      <c r="I20" s="43" t="n">
        <f aca="false">I15+I19</f>
        <v>33153750</v>
      </c>
      <c r="J20" s="43" t="n">
        <f aca="false">J15+J19</f>
        <v>32130000</v>
      </c>
      <c r="K20" s="43" t="n">
        <f aca="false">K15+K19</f>
        <v>31106250</v>
      </c>
      <c r="L20" s="43" t="n">
        <f aca="false">L15+L19</f>
        <v>30082500</v>
      </c>
      <c r="M20" s="43" t="n">
        <f aca="false">M15+M19</f>
        <v>29058750</v>
      </c>
      <c r="N20" s="43" t="n">
        <f aca="false">N15+N19</f>
        <v>28035000</v>
      </c>
      <c r="O20" s="43" t="n">
        <f aca="false">O15+O19</f>
        <v>27011250</v>
      </c>
      <c r="P20" s="43" t="n">
        <f aca="false">P15+P19</f>
        <v>25987500</v>
      </c>
      <c r="Q20" s="43" t="n">
        <f aca="false">Q15+Q19</f>
        <v>24963750</v>
      </c>
      <c r="R20" s="43" t="n">
        <f aca="false">R15+R19</f>
        <v>23940000</v>
      </c>
      <c r="S20" s="43" t="n">
        <f aca="false">S15+S19</f>
        <v>22916250</v>
      </c>
      <c r="T20" s="43" t="n">
        <f aca="false">T15+T19</f>
        <v>21892500</v>
      </c>
      <c r="U20" s="43" t="n">
        <f aca="false">U15+U19</f>
        <v>20868750</v>
      </c>
      <c r="V20" s="43" t="n">
        <f aca="false">V15+V19</f>
        <v>19845000</v>
      </c>
      <c r="W20" s="43" t="n">
        <f aca="false">W15+W19</f>
        <v>18821250</v>
      </c>
      <c r="X20" s="43" t="n">
        <f aca="false">X15+X19</f>
        <v>17797500</v>
      </c>
      <c r="Y20" s="43" t="n">
        <f aca="false">Y15+Y19</f>
        <v>16773750</v>
      </c>
      <c r="Z20" s="43" t="n">
        <f aca="false">Z15+Z19</f>
        <v>0</v>
      </c>
      <c r="AA20" s="43" t="n">
        <f aca="false">AA15+AA19</f>
        <v>0</v>
      </c>
      <c r="AB20" s="43" t="n">
        <f aca="false">AB15+AB19</f>
        <v>0</v>
      </c>
      <c r="AC20" s="43" t="n">
        <f aca="false">AC15+AC19</f>
        <v>0</v>
      </c>
      <c r="AD20" s="43" t="n">
        <f aca="false">AD15+AD19</f>
        <v>0</v>
      </c>
      <c r="AE20" s="43" t="n">
        <f aca="false">AE15+AE19</f>
        <v>0</v>
      </c>
      <c r="AF20" s="43" t="n">
        <f aca="false">AF15+AF19</f>
        <v>0</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row>
    <row r="22" customFormat="false" ht="15" hidden="false" customHeight="false" outlineLevel="0" collapsed="false">
      <c r="A22" s="5"/>
      <c r="B22" s="15" t="s">
        <v>238</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row>
    <row r="23" customFormat="false" ht="15" hidden="false" customHeight="false" outlineLevel="0" collapsed="false">
      <c r="A23" s="5"/>
      <c r="B23" s="38" t="s">
        <v>239</v>
      </c>
      <c r="C23" s="39" t="n">
        <f aca="false">D20*DSRA_Months/12</f>
        <v>3412500</v>
      </c>
      <c r="D23" s="39" t="n">
        <f aca="false">E20*DSRA_Months/12</f>
        <v>6825000</v>
      </c>
      <c r="E23" s="39" t="n">
        <f aca="false">F20*DSRA_Months/12</f>
        <v>18112500</v>
      </c>
      <c r="F23" s="39" t="n">
        <f aca="false">G20*DSRA_Months/12</f>
        <v>17600625</v>
      </c>
      <c r="G23" s="39" t="n">
        <f aca="false">H20*DSRA_Months/12</f>
        <v>17088750</v>
      </c>
      <c r="H23" s="39" t="n">
        <f aca="false">I20*DSRA_Months/12</f>
        <v>16576875</v>
      </c>
      <c r="I23" s="39" t="n">
        <f aca="false">J20*DSRA_Months/12</f>
        <v>16065000</v>
      </c>
      <c r="J23" s="39" t="n">
        <f aca="false">K20*DSRA_Months/12</f>
        <v>15553125</v>
      </c>
      <c r="K23" s="39" t="n">
        <f aca="false">L20*DSRA_Months/12</f>
        <v>15041250</v>
      </c>
      <c r="L23" s="39" t="n">
        <f aca="false">M20*DSRA_Months/12</f>
        <v>14529375</v>
      </c>
      <c r="M23" s="39" t="n">
        <f aca="false">N20*DSRA_Months/12</f>
        <v>14017500</v>
      </c>
      <c r="N23" s="39" t="n">
        <f aca="false">O20*DSRA_Months/12</f>
        <v>13505625</v>
      </c>
      <c r="O23" s="39" t="n">
        <f aca="false">P20*DSRA_Months/12</f>
        <v>12993750</v>
      </c>
      <c r="P23" s="39" t="n">
        <f aca="false">Q20*DSRA_Months/12</f>
        <v>12481875</v>
      </c>
      <c r="Q23" s="39" t="n">
        <f aca="false">R20*DSRA_Months/12</f>
        <v>11970000</v>
      </c>
      <c r="R23" s="39" t="n">
        <f aca="false">S20*DSRA_Months/12</f>
        <v>11458125</v>
      </c>
      <c r="S23" s="39" t="n">
        <f aca="false">T20*DSRA_Months/12</f>
        <v>10946250</v>
      </c>
      <c r="T23" s="39" t="n">
        <f aca="false">U20*DSRA_Months/12</f>
        <v>10434375</v>
      </c>
      <c r="U23" s="39" t="n">
        <f aca="false">V20*DSRA_Months/12</f>
        <v>9922500</v>
      </c>
      <c r="V23" s="39" t="n">
        <f aca="false">W20*DSRA_Months/12</f>
        <v>9410625</v>
      </c>
      <c r="W23" s="39" t="n">
        <f aca="false">X20*DSRA_Months/12</f>
        <v>8898750</v>
      </c>
      <c r="X23" s="39" t="n">
        <f aca="false">Y20*DSRA_Months/12</f>
        <v>8386875</v>
      </c>
      <c r="Y23" s="39" t="n">
        <f aca="false">Z20*DSRA_Months/12</f>
        <v>0</v>
      </c>
      <c r="Z23" s="39" t="n">
        <f aca="false">AA20*DSRA_Months/12</f>
        <v>0</v>
      </c>
      <c r="AA23" s="39" t="n">
        <f aca="false">AB20*DSRA_Months/12</f>
        <v>0</v>
      </c>
      <c r="AB23" s="39" t="n">
        <f aca="false">AC20*DSRA_Months/12</f>
        <v>0</v>
      </c>
      <c r="AC23" s="39" t="n">
        <f aca="false">AD20*DSRA_Months/12</f>
        <v>0</v>
      </c>
      <c r="AD23" s="39" t="n">
        <f aca="false">AE20*DSRA_Months/12</f>
        <v>0</v>
      </c>
      <c r="AE23" s="39" t="n">
        <f aca="false">AF20*DSRA_Months/12</f>
        <v>0</v>
      </c>
      <c r="AF23" s="39" t="n">
        <f aca="false">0</f>
        <v>0</v>
      </c>
    </row>
    <row r="24" customFormat="false" ht="15" hidden="false" customHeight="false" outlineLevel="0" collapsed="false">
      <c r="A24" s="5"/>
      <c r="B24" s="38" t="s">
        <v>240</v>
      </c>
      <c r="C24" s="39" t="n">
        <f aca="false">0</f>
        <v>0</v>
      </c>
      <c r="D24" s="39" t="n">
        <f aca="false">C26</f>
        <v>3412500</v>
      </c>
      <c r="E24" s="39" t="n">
        <f aca="false">D26</f>
        <v>6825000</v>
      </c>
      <c r="F24" s="39" t="n">
        <f aca="false">E26</f>
        <v>18112500</v>
      </c>
      <c r="G24" s="39" t="n">
        <f aca="false">F26</f>
        <v>17600625</v>
      </c>
      <c r="H24" s="39" t="n">
        <f aca="false">G26</f>
        <v>17088750</v>
      </c>
      <c r="I24" s="39" t="n">
        <f aca="false">H26</f>
        <v>16576875</v>
      </c>
      <c r="J24" s="39" t="n">
        <f aca="false">I26</f>
        <v>16065000</v>
      </c>
      <c r="K24" s="39" t="n">
        <f aca="false">J26</f>
        <v>15553125</v>
      </c>
      <c r="L24" s="39" t="n">
        <f aca="false">K26</f>
        <v>15041250</v>
      </c>
      <c r="M24" s="39" t="n">
        <f aca="false">L26</f>
        <v>14529375</v>
      </c>
      <c r="N24" s="39" t="n">
        <f aca="false">M26</f>
        <v>14017500</v>
      </c>
      <c r="O24" s="39" t="n">
        <f aca="false">N26</f>
        <v>13505625</v>
      </c>
      <c r="P24" s="39" t="n">
        <f aca="false">O26</f>
        <v>12993750</v>
      </c>
      <c r="Q24" s="39" t="n">
        <f aca="false">P26</f>
        <v>12481875</v>
      </c>
      <c r="R24" s="39" t="n">
        <f aca="false">Q26</f>
        <v>11970000</v>
      </c>
      <c r="S24" s="39" t="n">
        <f aca="false">R26</f>
        <v>11458125</v>
      </c>
      <c r="T24" s="39" t="n">
        <f aca="false">S26</f>
        <v>10946250</v>
      </c>
      <c r="U24" s="39" t="n">
        <f aca="false">T26</f>
        <v>10434375</v>
      </c>
      <c r="V24" s="39" t="n">
        <f aca="false">U26</f>
        <v>9922500</v>
      </c>
      <c r="W24" s="39" t="n">
        <f aca="false">V26</f>
        <v>9410625</v>
      </c>
      <c r="X24" s="39" t="n">
        <f aca="false">W26</f>
        <v>8898750</v>
      </c>
      <c r="Y24" s="39" t="n">
        <f aca="false">X26</f>
        <v>8386875</v>
      </c>
      <c r="Z24" s="39" t="n">
        <f aca="false">Y26</f>
        <v>0</v>
      </c>
      <c r="AA24" s="39" t="n">
        <f aca="false">Z26</f>
        <v>0</v>
      </c>
      <c r="AB24" s="39" t="n">
        <f aca="false">AA26</f>
        <v>0</v>
      </c>
      <c r="AC24" s="39" t="n">
        <f aca="false">AB26</f>
        <v>0</v>
      </c>
      <c r="AD24" s="39" t="n">
        <f aca="false">AC26</f>
        <v>0</v>
      </c>
      <c r="AE24" s="39" t="n">
        <f aca="false">AD26</f>
        <v>0</v>
      </c>
      <c r="AF24" s="39" t="n">
        <f aca="false">AE26</f>
        <v>0</v>
      </c>
    </row>
    <row r="25" customFormat="false" ht="15" hidden="false" customHeight="false" outlineLevel="0" collapsed="false">
      <c r="A25" s="5"/>
      <c r="B25" s="38" t="s">
        <v>241</v>
      </c>
      <c r="C25" s="39" t="n">
        <f aca="false">C23-C24</f>
        <v>3412500</v>
      </c>
      <c r="D25" s="39" t="n">
        <f aca="false">D23-D24</f>
        <v>3412500</v>
      </c>
      <c r="E25" s="39" t="n">
        <f aca="false">E23-E24</f>
        <v>11287500</v>
      </c>
      <c r="F25" s="39" t="n">
        <f aca="false">F23-F24</f>
        <v>-511875</v>
      </c>
      <c r="G25" s="39" t="n">
        <f aca="false">G23-G24</f>
        <v>-511875</v>
      </c>
      <c r="H25" s="39" t="n">
        <f aca="false">H23-H24</f>
        <v>-511875</v>
      </c>
      <c r="I25" s="39" t="n">
        <f aca="false">I23-I24</f>
        <v>-511875</v>
      </c>
      <c r="J25" s="39" t="n">
        <f aca="false">J23-J24</f>
        <v>-511875</v>
      </c>
      <c r="K25" s="39" t="n">
        <f aca="false">K23-K24</f>
        <v>-511875</v>
      </c>
      <c r="L25" s="39" t="n">
        <f aca="false">L23-L24</f>
        <v>-511875</v>
      </c>
      <c r="M25" s="39" t="n">
        <f aca="false">M23-M24</f>
        <v>-511875</v>
      </c>
      <c r="N25" s="39" t="n">
        <f aca="false">N23-N24</f>
        <v>-511875</v>
      </c>
      <c r="O25" s="39" t="n">
        <f aca="false">O23-O24</f>
        <v>-511875</v>
      </c>
      <c r="P25" s="39" t="n">
        <f aca="false">P23-P24</f>
        <v>-511875</v>
      </c>
      <c r="Q25" s="39" t="n">
        <f aca="false">Q23-Q24</f>
        <v>-511875</v>
      </c>
      <c r="R25" s="39" t="n">
        <f aca="false">R23-R24</f>
        <v>-511875</v>
      </c>
      <c r="S25" s="39" t="n">
        <f aca="false">S23-S24</f>
        <v>-511875</v>
      </c>
      <c r="T25" s="39" t="n">
        <f aca="false">T23-T24</f>
        <v>-511875</v>
      </c>
      <c r="U25" s="39" t="n">
        <f aca="false">U23-U24</f>
        <v>-511875</v>
      </c>
      <c r="V25" s="39" t="n">
        <f aca="false">V23-V24</f>
        <v>-511875</v>
      </c>
      <c r="W25" s="39" t="n">
        <f aca="false">W23-W24</f>
        <v>-511875</v>
      </c>
      <c r="X25" s="39" t="n">
        <f aca="false">X23-X24</f>
        <v>-511875</v>
      </c>
      <c r="Y25" s="39" t="n">
        <f aca="false">Y23-Y24</f>
        <v>-8386875</v>
      </c>
      <c r="Z25" s="39" t="n">
        <f aca="false">Z23-Z24</f>
        <v>0</v>
      </c>
      <c r="AA25" s="39" t="n">
        <f aca="false">AA23-AA24</f>
        <v>0</v>
      </c>
      <c r="AB25" s="39" t="n">
        <f aca="false">AB23-AB24</f>
        <v>0</v>
      </c>
      <c r="AC25" s="39" t="n">
        <f aca="false">AC23-AC24</f>
        <v>0</v>
      </c>
      <c r="AD25" s="39" t="n">
        <f aca="false">AD23-AD24</f>
        <v>0</v>
      </c>
      <c r="AE25" s="39" t="n">
        <f aca="false">AE23-AE24</f>
        <v>0</v>
      </c>
      <c r="AF25" s="39" t="n">
        <f aca="false">AF23-AF24</f>
        <v>0</v>
      </c>
    </row>
    <row r="26" customFormat="false" ht="15" hidden="false" customHeight="false" outlineLevel="0" collapsed="false">
      <c r="A26" s="5"/>
      <c r="B26" s="42" t="s">
        <v>242</v>
      </c>
      <c r="C26" s="43" t="n">
        <f aca="false">C24+C25</f>
        <v>3412500</v>
      </c>
      <c r="D26" s="43" t="n">
        <f aca="false">D24+D25</f>
        <v>6825000</v>
      </c>
      <c r="E26" s="43" t="n">
        <f aca="false">E24+E25</f>
        <v>18112500</v>
      </c>
      <c r="F26" s="43" t="n">
        <f aca="false">F24+F25</f>
        <v>17600625</v>
      </c>
      <c r="G26" s="43" t="n">
        <f aca="false">G24+G25</f>
        <v>17088750</v>
      </c>
      <c r="H26" s="43" t="n">
        <f aca="false">H24+H25</f>
        <v>16576875</v>
      </c>
      <c r="I26" s="43" t="n">
        <f aca="false">I24+I25</f>
        <v>16065000</v>
      </c>
      <c r="J26" s="43" t="n">
        <f aca="false">J24+J25</f>
        <v>15553125</v>
      </c>
      <c r="K26" s="43" t="n">
        <f aca="false">K24+K25</f>
        <v>15041250</v>
      </c>
      <c r="L26" s="43" t="n">
        <f aca="false">L24+L25</f>
        <v>14529375</v>
      </c>
      <c r="M26" s="43" t="n">
        <f aca="false">M24+M25</f>
        <v>14017500</v>
      </c>
      <c r="N26" s="43" t="n">
        <f aca="false">N24+N25</f>
        <v>13505625</v>
      </c>
      <c r="O26" s="43" t="n">
        <f aca="false">O24+O25</f>
        <v>12993750</v>
      </c>
      <c r="P26" s="43" t="n">
        <f aca="false">P24+P25</f>
        <v>12481875</v>
      </c>
      <c r="Q26" s="43" t="n">
        <f aca="false">Q24+Q25</f>
        <v>11970000</v>
      </c>
      <c r="R26" s="43" t="n">
        <f aca="false">R24+R25</f>
        <v>11458125</v>
      </c>
      <c r="S26" s="43" t="n">
        <f aca="false">S24+S25</f>
        <v>10946250</v>
      </c>
      <c r="T26" s="43" t="n">
        <f aca="false">T24+T25</f>
        <v>10434375</v>
      </c>
      <c r="U26" s="43" t="n">
        <f aca="false">U24+U25</f>
        <v>9922500</v>
      </c>
      <c r="V26" s="43" t="n">
        <f aca="false">V24+V25</f>
        <v>9410625</v>
      </c>
      <c r="W26" s="43" t="n">
        <f aca="false">W24+W25</f>
        <v>8898750</v>
      </c>
      <c r="X26" s="43" t="n">
        <f aca="false">X24+X25</f>
        <v>8386875</v>
      </c>
      <c r="Y26" s="43" t="n">
        <f aca="false">Y24+Y25</f>
        <v>0</v>
      </c>
      <c r="Z26" s="43" t="n">
        <f aca="false">Z24+Z25</f>
        <v>0</v>
      </c>
      <c r="AA26" s="43" t="n">
        <f aca="false">AA24+AA25</f>
        <v>0</v>
      </c>
      <c r="AB26" s="43" t="n">
        <f aca="false">AB24+AB25</f>
        <v>0</v>
      </c>
      <c r="AC26" s="43" t="n">
        <f aca="false">AC24+AC25</f>
        <v>0</v>
      </c>
      <c r="AD26" s="43" t="n">
        <f aca="false">AD24+AD25</f>
        <v>0</v>
      </c>
      <c r="AE26" s="43" t="n">
        <f aca="false">AE24+AE25</f>
        <v>0</v>
      </c>
      <c r="AF26" s="43" t="n">
        <f aca="false">AF24+AF25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F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5"/>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customFormat="false" ht="22.05" hidden="false" customHeight="false" outlineLevel="0" collapsed="false">
      <c r="A2" s="5"/>
      <c r="B2" s="26" t="s">
        <v>243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customFormat="false" ht="15" hidden="false" customHeight="false" outlineLevel="0" collapsed="false">
      <c r="A3" s="5"/>
      <c r="B3" s="8" t="s">
        <v>19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customFormat="false" ht="15" hidden="false" customHeight="false" outlineLevel="0" collapsed="false">
      <c r="A5" s="5"/>
      <c r="B5" s="34"/>
      <c r="C5" s="35" t="s">
        <v>155</v>
      </c>
      <c r="D5" s="35" t="s">
        <v>156</v>
      </c>
      <c r="E5" s="35" t="s">
        <v>157</v>
      </c>
      <c r="F5" s="35" t="s">
        <v>158</v>
      </c>
      <c r="G5" s="35" t="s">
        <v>159</v>
      </c>
      <c r="H5" s="35" t="s">
        <v>160</v>
      </c>
      <c r="I5" s="35" t="s">
        <v>161</v>
      </c>
      <c r="J5" s="35" t="s">
        <v>162</v>
      </c>
      <c r="K5" s="35" t="s">
        <v>163</v>
      </c>
      <c r="L5" s="35" t="s">
        <v>164</v>
      </c>
      <c r="M5" s="35" t="s">
        <v>165</v>
      </c>
      <c r="N5" s="35" t="s">
        <v>166</v>
      </c>
      <c r="O5" s="35" t="s">
        <v>167</v>
      </c>
      <c r="P5" s="35" t="s">
        <v>168</v>
      </c>
      <c r="Q5" s="35" t="s">
        <v>169</v>
      </c>
      <c r="R5" s="35" t="s">
        <v>170</v>
      </c>
      <c r="S5" s="35" t="s">
        <v>171</v>
      </c>
      <c r="T5" s="35" t="s">
        <v>172</v>
      </c>
      <c r="U5" s="35" t="s">
        <v>173</v>
      </c>
      <c r="V5" s="35" t="s">
        <v>174</v>
      </c>
      <c r="W5" s="35" t="s">
        <v>175</v>
      </c>
      <c r="X5" s="35" t="s">
        <v>176</v>
      </c>
      <c r="Y5" s="35" t="s">
        <v>177</v>
      </c>
      <c r="Z5" s="35" t="s">
        <v>178</v>
      </c>
      <c r="AA5" s="35" t="s">
        <v>179</v>
      </c>
      <c r="AB5" s="35" t="s">
        <v>180</v>
      </c>
      <c r="AC5" s="35" t="s">
        <v>181</v>
      </c>
      <c r="AD5" s="35" t="s">
        <v>182</v>
      </c>
      <c r="AE5" s="35" t="s">
        <v>183</v>
      </c>
      <c r="AF5" s="35" t="s">
        <v>184</v>
      </c>
    </row>
    <row r="6" customFormat="false" ht="15" hidden="false" customHeight="false" outlineLevel="0" collapsed="false">
      <c r="A6" s="5"/>
      <c r="B6" s="8" t="s">
        <v>185</v>
      </c>
      <c r="C6" s="36" t="n">
        <v>1</v>
      </c>
      <c r="D6" s="36" t="n">
        <v>2</v>
      </c>
      <c r="E6" s="36" t="n">
        <v>3</v>
      </c>
      <c r="F6" s="36" t="n">
        <v>4</v>
      </c>
      <c r="G6" s="36" t="n">
        <v>5</v>
      </c>
      <c r="H6" s="36" t="n">
        <v>6</v>
      </c>
      <c r="I6" s="36" t="n">
        <v>7</v>
      </c>
      <c r="J6" s="36" t="n">
        <v>8</v>
      </c>
      <c r="K6" s="36" t="n">
        <v>9</v>
      </c>
      <c r="L6" s="36" t="n">
        <v>10</v>
      </c>
      <c r="M6" s="36" t="n">
        <v>11</v>
      </c>
      <c r="N6" s="36" t="n">
        <v>12</v>
      </c>
      <c r="O6" s="36" t="n">
        <v>13</v>
      </c>
      <c r="P6" s="36" t="n">
        <v>14</v>
      </c>
      <c r="Q6" s="36" t="n">
        <v>15</v>
      </c>
      <c r="R6" s="36" t="n">
        <v>16</v>
      </c>
      <c r="S6" s="36" t="n">
        <v>17</v>
      </c>
      <c r="T6" s="36" t="n">
        <v>18</v>
      </c>
      <c r="U6" s="36" t="n">
        <v>19</v>
      </c>
      <c r="V6" s="36" t="n">
        <v>20</v>
      </c>
      <c r="W6" s="36" t="n">
        <v>21</v>
      </c>
      <c r="X6" s="36" t="n">
        <v>22</v>
      </c>
      <c r="Y6" s="36" t="n">
        <v>23</v>
      </c>
      <c r="Z6" s="36" t="n">
        <v>24</v>
      </c>
      <c r="AA6" s="36" t="n">
        <v>25</v>
      </c>
      <c r="AB6" s="36" t="n">
        <v>26</v>
      </c>
      <c r="AC6" s="36" t="n">
        <v>27</v>
      </c>
      <c r="AD6" s="36" t="n">
        <v>28</v>
      </c>
      <c r="AE6" s="36" t="n">
        <v>29</v>
      </c>
      <c r="AF6" s="36" t="n">
        <v>30</v>
      </c>
    </row>
    <row r="7" customFormat="false" ht="15" hidden="false" customHeight="false" outlineLevel="0" collapsed="false">
      <c r="A7" s="5"/>
      <c r="B7" s="8" t="s">
        <v>186</v>
      </c>
      <c r="C7" s="37" t="s">
        <v>187</v>
      </c>
      <c r="D7" s="37" t="s">
        <v>187</v>
      </c>
      <c r="E7" s="37" t="s">
        <v>187</v>
      </c>
      <c r="F7" s="37" t="s">
        <v>188</v>
      </c>
      <c r="G7" s="37" t="s">
        <v>188</v>
      </c>
      <c r="H7" s="37" t="s">
        <v>188</v>
      </c>
      <c r="I7" s="37" t="s">
        <v>188</v>
      </c>
      <c r="J7" s="37" t="s">
        <v>188</v>
      </c>
      <c r="K7" s="37" t="s">
        <v>188</v>
      </c>
      <c r="L7" s="37" t="s">
        <v>188</v>
      </c>
      <c r="M7" s="37" t="s">
        <v>188</v>
      </c>
      <c r="N7" s="37" t="s">
        <v>188</v>
      </c>
      <c r="O7" s="37" t="s">
        <v>188</v>
      </c>
      <c r="P7" s="37" t="s">
        <v>188</v>
      </c>
      <c r="Q7" s="37" t="s">
        <v>188</v>
      </c>
      <c r="R7" s="37" t="s">
        <v>188</v>
      </c>
      <c r="S7" s="37" t="s">
        <v>188</v>
      </c>
      <c r="T7" s="37" t="s">
        <v>188</v>
      </c>
      <c r="U7" s="37" t="s">
        <v>188</v>
      </c>
      <c r="V7" s="37" t="s">
        <v>188</v>
      </c>
      <c r="W7" s="37" t="s">
        <v>188</v>
      </c>
      <c r="X7" s="37" t="s">
        <v>188</v>
      </c>
      <c r="Y7" s="37" t="s">
        <v>188</v>
      </c>
      <c r="Z7" s="37" t="s">
        <v>188</v>
      </c>
      <c r="AA7" s="37" t="s">
        <v>188</v>
      </c>
      <c r="AB7" s="37" t="s">
        <v>188</v>
      </c>
      <c r="AC7" s="37" t="s">
        <v>188</v>
      </c>
      <c r="AD7" s="37" t="s">
        <v>188</v>
      </c>
      <c r="AE7" s="37" t="s">
        <v>188</v>
      </c>
      <c r="AF7" s="37" t="s">
        <v>188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customFormat="false" ht="15" hidden="false" customHeight="false" outlineLevel="0" collapsed="false">
      <c r="A9" s="5"/>
      <c r="B9" s="15" t="s">
        <v>244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row>
    <row r="10" customFormat="false" ht="15" hidden="false" customHeight="false" outlineLevel="0" collapsed="false">
      <c r="A10" s="5"/>
      <c r="B10" s="38" t="s">
        <v>245</v>
      </c>
      <c r="C10" s="39" t="n">
        <f aca="false">RB_Total_Revenue</f>
        <v>0</v>
      </c>
      <c r="D10" s="39" t="n">
        <f aca="false">RB_Total_Revenue</f>
        <v>0</v>
      </c>
      <c r="E10" s="39" t="n">
        <f aca="false">RB_Total_Revenue</f>
        <v>0</v>
      </c>
      <c r="F10" s="39" t="n">
        <f aca="false">RB_Total_Revenue</f>
        <v>130220000</v>
      </c>
      <c r="G10" s="39" t="n">
        <f aca="false">RB_Total_Revenue</f>
        <v>137954955</v>
      </c>
      <c r="H10" s="39" t="n">
        <f aca="false">RB_Total_Revenue</f>
        <v>146152030.854375</v>
      </c>
      <c r="I10" s="39" t="n">
        <f aca="false">RB_Total_Revenue</f>
        <v>154838961.293963</v>
      </c>
      <c r="J10" s="39" t="n">
        <f aca="false">RB_Total_Revenue</f>
        <v>164045150.237102</v>
      </c>
      <c r="K10" s="39" t="n">
        <f aca="false">RB_Total_Revenue</f>
        <v>173801772.638588</v>
      </c>
      <c r="L10" s="39" t="n">
        <f aca="false">RB_Total_Revenue</f>
        <v>184141881.44034</v>
      </c>
      <c r="M10" s="39" t="n">
        <f aca="false">RB_Total_Revenue</f>
        <v>195100520.993503</v>
      </c>
      <c r="N10" s="39" t="n">
        <f aca="false">RB_Total_Revenue</f>
        <v>206714847.344147</v>
      </c>
      <c r="O10" s="39" t="n">
        <f aca="false">RB_Total_Revenue</f>
        <v>219024255.798535</v>
      </c>
      <c r="P10" s="39" t="n">
        <f aca="false">RB_Total_Revenue</f>
        <v>232070516.20915</v>
      </c>
      <c r="Q10" s="39" t="n">
        <f aca="false">RB_Total_Revenue</f>
        <v>239209377.430236</v>
      </c>
      <c r="R10" s="39" t="n">
        <f aca="false">RB_Total_Revenue</f>
        <v>245607661.91892</v>
      </c>
      <c r="S10" s="39" t="n">
        <f aca="false">RB_Total_Revenue</f>
        <v>252184924.79723</v>
      </c>
      <c r="T10" s="39" t="n">
        <f aca="false">RB_Total_Revenue</f>
        <v>258946505.993029</v>
      </c>
      <c r="U10" s="39" t="n">
        <f aca="false">RB_Total_Revenue</f>
        <v>265897918.311173</v>
      </c>
      <c r="V10" s="39" t="n">
        <f aca="false">RB_Total_Revenue</f>
        <v>273044853.547181</v>
      </c>
      <c r="W10" s="39" t="n">
        <f aca="false">RB_Total_Revenue</f>
        <v>280393188.835247</v>
      </c>
      <c r="X10" s="39" t="n">
        <f aca="false">RB_Total_Revenue</f>
        <v>287948993.240213</v>
      </c>
      <c r="Y10" s="39" t="n">
        <f aca="false">RB_Total_Revenue</f>
        <v>295718534.603428</v>
      </c>
      <c r="Z10" s="39" t="n">
        <f aca="false">RB_Total_Revenue</f>
        <v>303708286.652939</v>
      </c>
      <c r="AA10" s="39" t="n">
        <f aca="false">RB_Total_Revenue</f>
        <v>311924936.38883</v>
      </c>
      <c r="AB10" s="39" t="n">
        <f aca="false">RB_Total_Revenue</f>
        <v>320375391.755033</v>
      </c>
      <c r="AC10" s="39" t="n">
        <f aca="false">RB_Total_Revenue</f>
        <v>329066789.609411</v>
      </c>
      <c r="AD10" s="39" t="n">
        <f aca="false">RB_Total_Revenue</f>
        <v>338006504.004402</v>
      </c>
      <c r="AE10" s="39" t="n">
        <f aca="false">RB_Total_Revenue</f>
        <v>347202154.791058</v>
      </c>
      <c r="AF10" s="39" t="n">
        <f aca="false">RB_Total_Revenue</f>
        <v>356661616.559869</v>
      </c>
    </row>
    <row r="11" customFormat="false" ht="15" hidden="false" customHeight="false" outlineLevel="0" collapsed="false">
      <c r="A11" s="5"/>
      <c r="B11" s="38" t="s">
        <v>217</v>
      </c>
      <c r="C11" s="39" t="n">
        <f aca="false">-OB_Total_Opex</f>
        <v>-0</v>
      </c>
      <c r="D11" s="39" t="n">
        <f aca="false">-OB_Total_Opex</f>
        <v>-0</v>
      </c>
      <c r="E11" s="39" t="n">
        <f aca="false">-OB_Total_Opex</f>
        <v>-0</v>
      </c>
      <c r="F11" s="39" t="n">
        <f aca="false">-OB_Total_Opex</f>
        <v>-63200000</v>
      </c>
      <c r="G11" s="39" t="n">
        <f aca="false">-OB_Total_Opex</f>
        <v>-66544525</v>
      </c>
      <c r="H11" s="39" t="n">
        <f aca="false">-OB_Total_Opex</f>
        <v>-70083498.670625</v>
      </c>
      <c r="I11" s="39" t="n">
        <f aca="false">-OB_Total_Opex</f>
        <v>-73828838.7174586</v>
      </c>
      <c r="J11" s="39" t="n">
        <f aca="false">-OB_Total_Opex</f>
        <v>-77793213.2910466</v>
      </c>
      <c r="K11" s="39" t="n">
        <f aca="false">-OB_Total_Opex</f>
        <v>-81990088.8843223</v>
      </c>
      <c r="L11" s="39" t="n">
        <f aca="false">-OB_Total_Opex</f>
        <v>-86433781.3084291</v>
      </c>
      <c r="M11" s="39" t="n">
        <f aca="false">-OB_Total_Opex</f>
        <v>-91139509.9455547</v>
      </c>
      <c r="N11" s="39" t="n">
        <f aca="false">-OB_Total_Opex</f>
        <v>-96123455.4902439</v>
      </c>
      <c r="O11" s="39" t="n">
        <f aca="false">-OB_Total_Opex</f>
        <v>-101402821.404329</v>
      </c>
      <c r="P11" s="39" t="n">
        <f aca="false">-OB_Total_Opex</f>
        <v>-106995899.325182</v>
      </c>
      <c r="Q11" s="39" t="n">
        <f aca="false">-OB_Total_Opex</f>
        <v>-110383275.701622</v>
      </c>
      <c r="R11" s="39" t="n">
        <f aca="false">-OB_Total_Opex</f>
        <v>-113511409.862243</v>
      </c>
      <c r="S11" s="39" t="n">
        <f aca="false">-OB_Total_Opex</f>
        <v>-116728803.944922</v>
      </c>
      <c r="T11" s="39" t="n">
        <f aca="false">-OB_Total_Opex</f>
        <v>-120038021.144751</v>
      </c>
      <c r="U11" s="39" t="n">
        <f aca="false">-OB_Total_Opex</f>
        <v>-123441698.687613</v>
      </c>
      <c r="V11" s="39" t="n">
        <f aca="false">-OB_Total_Opex</f>
        <v>-126942549.979473</v>
      </c>
      <c r="W11" s="39" t="n">
        <f aca="false">-OB_Total_Opex</f>
        <v>-130543366.81837</v>
      </c>
      <c r="X11" s="39" t="n">
        <f aca="false">-OB_Total_Opex</f>
        <v>-134247021.670922</v>
      </c>
      <c r="Y11" s="39" t="n">
        <f aca="false">-OB_Total_Opex</f>
        <v>-138056470.01525</v>
      </c>
      <c r="Z11" s="39" t="n">
        <f aca="false">-OB_Total_Opex</f>
        <v>-141974752.752263</v>
      </c>
      <c r="AA11" s="39" t="n">
        <f aca="false">-OB_Total_Opex</f>
        <v>-146004998.6873</v>
      </c>
      <c r="AB11" s="39" t="n">
        <f aca="false">-OB_Total_Opex</f>
        <v>-150150427.0842</v>
      </c>
      <c r="AC11" s="39" t="n">
        <f aca="false">-OB_Total_Opex</f>
        <v>-154414350.293915</v>
      </c>
      <c r="AD11" s="39" t="n">
        <f aca="false">-OB_Total_Opex</f>
        <v>-158800176.45985</v>
      </c>
      <c r="AE11" s="39" t="n">
        <f aca="false">-OB_Total_Opex</f>
        <v>-163311412.302191</v>
      </c>
      <c r="AF11" s="39" t="n">
        <f aca="false">-OB_Total_Opex</f>
        <v>-167951665.983516</v>
      </c>
    </row>
    <row r="12" customFormat="false" ht="15" hidden="false" customHeight="false" outlineLevel="0" collapsed="false">
      <c r="A12" s="5"/>
      <c r="B12" s="42" t="s">
        <v>224</v>
      </c>
      <c r="C12" s="43" t="n">
        <f aca="false">C10+C11</f>
        <v>0</v>
      </c>
      <c r="D12" s="43" t="n">
        <f aca="false">D10+D11</f>
        <v>0</v>
      </c>
      <c r="E12" s="43" t="n">
        <f aca="false">E10+E11</f>
        <v>0</v>
      </c>
      <c r="F12" s="43" t="n">
        <f aca="false">F10+F11</f>
        <v>67020000</v>
      </c>
      <c r="G12" s="43" t="n">
        <f aca="false">G10+G11</f>
        <v>71410430</v>
      </c>
      <c r="H12" s="43" t="n">
        <f aca="false">H10+H11</f>
        <v>76068532.18375</v>
      </c>
      <c r="I12" s="43" t="n">
        <f aca="false">I10+I11</f>
        <v>81010122.5765046</v>
      </c>
      <c r="J12" s="43" t="n">
        <f aca="false">J10+J11</f>
        <v>86251936.9460551</v>
      </c>
      <c r="K12" s="43" t="n">
        <f aca="false">K10+K11</f>
        <v>91811683.7542652</v>
      </c>
      <c r="L12" s="43" t="n">
        <f aca="false">L10+L11</f>
        <v>97708100.1319113</v>
      </c>
      <c r="M12" s="43" t="n">
        <f aca="false">M10+M11</f>
        <v>103961011.047948</v>
      </c>
      <c r="N12" s="43" t="n">
        <f aca="false">N10+N11</f>
        <v>110591391.853903</v>
      </c>
      <c r="O12" s="43" t="n">
        <f aca="false">O10+O11</f>
        <v>117621434.394207</v>
      </c>
      <c r="P12" s="43" t="n">
        <f aca="false">P10+P11</f>
        <v>125074616.883968</v>
      </c>
      <c r="Q12" s="43" t="n">
        <f aca="false">Q10+Q11</f>
        <v>128826101.728614</v>
      </c>
      <c r="R12" s="43" t="n">
        <f aca="false">R10+R11</f>
        <v>132096252.056677</v>
      </c>
      <c r="S12" s="43" t="n">
        <f aca="false">S10+S11</f>
        <v>135456120.852308</v>
      </c>
      <c r="T12" s="43" t="n">
        <f aca="false">T10+T11</f>
        <v>138908484.848277</v>
      </c>
      <c r="U12" s="43" t="n">
        <f aca="false">U10+U11</f>
        <v>142456219.623561</v>
      </c>
      <c r="V12" s="43" t="n">
        <f aca="false">V10+V11</f>
        <v>146102303.567707</v>
      </c>
      <c r="W12" s="43" t="n">
        <f aca="false">W10+W11</f>
        <v>149849822.016877</v>
      </c>
      <c r="X12" s="43" t="n">
        <f aca="false">X10+X11</f>
        <v>153701971.569291</v>
      </c>
      <c r="Y12" s="43" t="n">
        <f aca="false">Y10+Y11</f>
        <v>157662064.588178</v>
      </c>
      <c r="Z12" s="43" t="n">
        <f aca="false">Z10+Z11</f>
        <v>161733533.900677</v>
      </c>
      <c r="AA12" s="43" t="n">
        <f aca="false">AA10+AA11</f>
        <v>165919937.70153</v>
      </c>
      <c r="AB12" s="43" t="n">
        <f aca="false">AB10+AB11</f>
        <v>170224964.670833</v>
      </c>
      <c r="AC12" s="43" t="n">
        <f aca="false">AC10+AC11</f>
        <v>174652439.315497</v>
      </c>
      <c r="AD12" s="43" t="n">
        <f aca="false">AD10+AD11</f>
        <v>179206327.544552</v>
      </c>
      <c r="AE12" s="43" t="n">
        <f aca="false">AE10+AE11</f>
        <v>183890742.488867</v>
      </c>
      <c r="AF12" s="43" t="n">
        <f aca="false">AF10+AF11</f>
        <v>188709950.576353</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row>
    <row r="14" customFormat="false" ht="15" hidden="false" customHeight="false" outlineLevel="0" collapsed="false">
      <c r="A14" s="5"/>
      <c r="B14" s="38" t="s">
        <v>194</v>
      </c>
      <c r="C14" s="39" t="n">
        <f aca="false">-CC_Total_Depreciation</f>
        <v>-0</v>
      </c>
      <c r="D14" s="39" t="n">
        <f aca="false">-CC_Total_Depreciation</f>
        <v>-0</v>
      </c>
      <c r="E14" s="39" t="n">
        <f aca="false">-CC_Total_Depreciation</f>
        <v>-0</v>
      </c>
      <c r="F14" s="39" t="n">
        <f aca="false">-CC_Total_Depreciation</f>
        <v>-18923626.6666667</v>
      </c>
      <c r="G14" s="39" t="n">
        <f aca="false">-CC_Total_Depreciation</f>
        <v>-18933939.94</v>
      </c>
      <c r="H14" s="39" t="n">
        <f aca="false">-CC_Total_Depreciation</f>
        <v>-18944869.3744725</v>
      </c>
      <c r="I14" s="39" t="n">
        <f aca="false">-CC_Total_Depreciation</f>
        <v>-18956451.948392</v>
      </c>
      <c r="J14" s="39" t="n">
        <f aca="false">-CC_Total_Depreciation</f>
        <v>-18968726.8669828</v>
      </c>
      <c r="K14" s="39" t="n">
        <f aca="false">-CC_Total_Depreciation</f>
        <v>-18981735.6968515</v>
      </c>
      <c r="L14" s="39" t="n">
        <f aca="false">-CC_Total_Depreciation</f>
        <v>-18995522.5085871</v>
      </c>
      <c r="M14" s="39" t="n">
        <f aca="false">-CC_Total_Depreciation</f>
        <v>-19010134.0279913</v>
      </c>
      <c r="N14" s="39" t="n">
        <f aca="false">-CC_Total_Depreciation</f>
        <v>-19025619.7964589</v>
      </c>
      <c r="O14" s="39" t="n">
        <f aca="false">-CC_Total_Depreciation</f>
        <v>-19042032.3410647</v>
      </c>
      <c r="P14" s="39" t="n">
        <f aca="false">-CC_Total_Depreciation</f>
        <v>-19059427.3549455</v>
      </c>
      <c r="Q14" s="39" t="n">
        <f aca="false">-CC_Total_Depreciation</f>
        <v>-19068945.8365737</v>
      </c>
      <c r="R14" s="39" t="n">
        <f aca="false">-CC_Total_Depreciation</f>
        <v>-19077476.8825586</v>
      </c>
      <c r="S14" s="39" t="n">
        <f aca="false">-CC_Total_Depreciation</f>
        <v>-19086246.5663963</v>
      </c>
      <c r="T14" s="39" t="n">
        <f aca="false">-CC_Total_Depreciation</f>
        <v>-19095262.0079907</v>
      </c>
      <c r="U14" s="39" t="n">
        <f aca="false">-CC_Total_Depreciation</f>
        <v>-7104530.55774823</v>
      </c>
      <c r="V14" s="39" t="n">
        <f aca="false">-CC_Total_Depreciation</f>
        <v>-7114059.80472957</v>
      </c>
      <c r="W14" s="39" t="n">
        <f aca="false">-CC_Total_Depreciation</f>
        <v>-7123857.58511366</v>
      </c>
      <c r="X14" s="39" t="n">
        <f aca="false">-CC_Total_Depreciation</f>
        <v>-7133931.99098695</v>
      </c>
      <c r="Y14" s="39" t="n">
        <f aca="false">-CC_Total_Depreciation</f>
        <v>-7144291.37947124</v>
      </c>
      <c r="Z14" s="39" t="n">
        <f aca="false">-CC_Total_Depreciation</f>
        <v>-7154944.38220392</v>
      </c>
      <c r="AA14" s="39" t="n">
        <f aca="false">-CC_Total_Depreciation</f>
        <v>-7165899.91518511</v>
      </c>
      <c r="AB14" s="39" t="n">
        <f aca="false">-CC_Total_Depreciation</f>
        <v>-7177167.18900671</v>
      </c>
      <c r="AC14" s="39" t="n">
        <f aca="false">-CC_Total_Depreciation</f>
        <v>-7188755.71947922</v>
      </c>
      <c r="AD14" s="39" t="n">
        <f aca="false">-CC_Total_Depreciation</f>
        <v>-7200675.33867254</v>
      </c>
      <c r="AE14" s="39" t="n">
        <f aca="false">-CC_Total_Depreciation</f>
        <v>-7212936.20638808</v>
      </c>
      <c r="AF14" s="39" t="n">
        <f aca="false">-CC_Total_Depreciation</f>
        <v>-7225548.82207983</v>
      </c>
    </row>
    <row r="15" customFormat="false" ht="15" hidden="false" customHeight="false" outlineLevel="0" collapsed="false">
      <c r="A15" s="5"/>
      <c r="B15" s="42" t="s">
        <v>246</v>
      </c>
      <c r="C15" s="43" t="n">
        <f aca="false">C12+C14</f>
        <v>0</v>
      </c>
      <c r="D15" s="43" t="n">
        <f aca="false">D12+D14</f>
        <v>0</v>
      </c>
      <c r="E15" s="43" t="n">
        <f aca="false">E12+E14</f>
        <v>0</v>
      </c>
      <c r="F15" s="43" t="n">
        <f aca="false">F12+F14</f>
        <v>48096373.3333333</v>
      </c>
      <c r="G15" s="43" t="n">
        <f aca="false">G12+G14</f>
        <v>52476490.06</v>
      </c>
      <c r="H15" s="43" t="n">
        <f aca="false">H12+H14</f>
        <v>57123662.8092775</v>
      </c>
      <c r="I15" s="43" t="n">
        <f aca="false">I12+I14</f>
        <v>62053670.6281126</v>
      </c>
      <c r="J15" s="43" t="n">
        <f aca="false">J12+J14</f>
        <v>67283210.0790723</v>
      </c>
      <c r="K15" s="43" t="n">
        <f aca="false">K12+K14</f>
        <v>72829948.0574137</v>
      </c>
      <c r="L15" s="43" t="n">
        <f aca="false">L12+L14</f>
        <v>78712577.6233242</v>
      </c>
      <c r="M15" s="43" t="n">
        <f aca="false">M12+M14</f>
        <v>84950877.0199571</v>
      </c>
      <c r="N15" s="43" t="n">
        <f aca="false">N12+N14</f>
        <v>91565772.0574438</v>
      </c>
      <c r="O15" s="43" t="n">
        <f aca="false">O12+O14</f>
        <v>98579402.053142</v>
      </c>
      <c r="P15" s="43" t="n">
        <f aca="false">P12+P14</f>
        <v>106015189.529023</v>
      </c>
      <c r="Q15" s="43" t="n">
        <f aca="false">Q12+Q14</f>
        <v>109757155.89204</v>
      </c>
      <c r="R15" s="43" t="n">
        <f aca="false">R12+R14</f>
        <v>113018775.174119</v>
      </c>
      <c r="S15" s="43" t="n">
        <f aca="false">S12+S14</f>
        <v>116369874.285912</v>
      </c>
      <c r="T15" s="43" t="n">
        <f aca="false">T12+T14</f>
        <v>119813222.840286</v>
      </c>
      <c r="U15" s="43" t="n">
        <f aca="false">U12+U14</f>
        <v>135351689.065812</v>
      </c>
      <c r="V15" s="43" t="n">
        <f aca="false">V12+V14</f>
        <v>138988243.762978</v>
      </c>
      <c r="W15" s="43" t="n">
        <f aca="false">W12+W14</f>
        <v>142725964.431763</v>
      </c>
      <c r="X15" s="43" t="n">
        <f aca="false">X12+X14</f>
        <v>146568039.578304</v>
      </c>
      <c r="Y15" s="43" t="n">
        <f aca="false">Y12+Y14</f>
        <v>150517773.208707</v>
      </c>
      <c r="Z15" s="43" t="n">
        <f aca="false">Z12+Z14</f>
        <v>154578589.518473</v>
      </c>
      <c r="AA15" s="43" t="n">
        <f aca="false">AA12+AA14</f>
        <v>158754037.786345</v>
      </c>
      <c r="AB15" s="43" t="n">
        <f aca="false">AB12+AB14</f>
        <v>163047797.481826</v>
      </c>
      <c r="AC15" s="43" t="n">
        <f aca="false">AC12+AC14</f>
        <v>167463683.596018</v>
      </c>
      <c r="AD15" s="43" t="n">
        <f aca="false">AD12+AD14</f>
        <v>172005652.205879</v>
      </c>
      <c r="AE15" s="43" t="n">
        <f aca="false">AE12+AE14</f>
        <v>176677806.282479</v>
      </c>
      <c r="AF15" s="43" t="n">
        <f aca="false">AF12+AF14</f>
        <v>181484401.754273</v>
      </c>
    </row>
    <row r="16" customFormat="false" ht="15" hidden="false" customHeight="false" outlineLevel="0" collapsed="false">
      <c r="A16" s="5"/>
      <c r="B16" s="38" t="s">
        <v>247</v>
      </c>
      <c r="C16" s="39" t="n">
        <f aca="false">-MAX(0,C15+C29)*Tax_Rate</f>
        <v>-0</v>
      </c>
      <c r="D16" s="39" t="n">
        <f aca="false">-MAX(0,D15+D29)*Tax_Rate</f>
        <v>-0</v>
      </c>
      <c r="E16" s="39" t="n">
        <f aca="false">-MAX(0,E15+E29)*Tax_Rate</f>
        <v>-0</v>
      </c>
      <c r="F16" s="39" t="n">
        <f aca="false">-MAX(0,F15+F29)*Tax_Rate</f>
        <v>-6905343.33333333</v>
      </c>
      <c r="G16" s="39" t="n">
        <f aca="false">-MAX(0,G15+G29)*Tax_Rate</f>
        <v>-8256310.01499999</v>
      </c>
      <c r="H16" s="39" t="n">
        <f aca="false">-MAX(0,H15+H29)*Tax_Rate</f>
        <v>-9674040.70231938</v>
      </c>
      <c r="I16" s="39" t="n">
        <f aca="false">-MAX(0,I15+I29)*Tax_Rate</f>
        <v>-11162480.1570282</v>
      </c>
      <c r="J16" s="39" t="n">
        <f aca="false">-MAX(0,J15+J29)*Tax_Rate</f>
        <v>-12725802.5197681</v>
      </c>
      <c r="K16" s="39" t="n">
        <f aca="false">-MAX(0,K15+K29)*Tax_Rate</f>
        <v>-14368424.5143534</v>
      </c>
      <c r="L16" s="39" t="n">
        <f aca="false">-MAX(0,L15+L29)*Tax_Rate</f>
        <v>-16095019.405831</v>
      </c>
      <c r="M16" s="39" t="n">
        <f aca="false">-MAX(0,M15+M29)*Tax_Rate</f>
        <v>-17910531.7549893</v>
      </c>
      <c r="N16" s="39" t="n">
        <f aca="false">-MAX(0,N15+N29)*Tax_Rate</f>
        <v>-19820193.0143609</v>
      </c>
      <c r="O16" s="39" t="n">
        <f aca="false">-MAX(0,O15+O29)*Tax_Rate</f>
        <v>-21829538.0132855</v>
      </c>
      <c r="P16" s="39" t="n">
        <f aca="false">-MAX(0,P15+P29)*Tax_Rate</f>
        <v>-23944422.3822557</v>
      </c>
      <c r="Q16" s="39" t="n">
        <f aca="false">-MAX(0,Q15+Q29)*Tax_Rate</f>
        <v>-25135851.47301</v>
      </c>
      <c r="R16" s="39" t="n">
        <f aca="false">-MAX(0,R15+R29)*Tax_Rate</f>
        <v>-26207193.7935297</v>
      </c>
      <c r="S16" s="39" t="n">
        <f aca="false">-MAX(0,S15+S29)*Tax_Rate</f>
        <v>-27300906.071478</v>
      </c>
      <c r="T16" s="39" t="n">
        <f aca="false">-MAX(0,T15+T29)*Tax_Rate</f>
        <v>-28417680.7100716</v>
      </c>
      <c r="U16" s="39" t="n">
        <f aca="false">-MAX(0,U15+U29)*Tax_Rate</f>
        <v>-32558234.7664531</v>
      </c>
      <c r="V16" s="39" t="n">
        <f aca="false">-MAX(0,V15+V29)*Tax_Rate</f>
        <v>-33723310.9407445</v>
      </c>
      <c r="W16" s="39" t="n">
        <f aca="false">-MAX(0,W15+W29)*Tax_Rate</f>
        <v>-34913678.6079409</v>
      </c>
      <c r="X16" s="39" t="n">
        <f aca="false">-MAX(0,X15+X29)*Tax_Rate</f>
        <v>-36130134.894576</v>
      </c>
      <c r="Y16" s="39" t="n">
        <f aca="false">-MAX(0,Y15+Y29)*Tax_Rate</f>
        <v>-37373505.8021768</v>
      </c>
      <c r="Z16" s="39" t="n">
        <f aca="false">-MAX(0,Z15+Z29)*Tax_Rate</f>
        <v>-38644647.3796182</v>
      </c>
      <c r="AA16" s="39" t="n">
        <f aca="false">-MAX(0,AA15+AA29)*Tax_Rate</f>
        <v>-39688509.4465862</v>
      </c>
      <c r="AB16" s="39" t="n">
        <f aca="false">-MAX(0,AB15+AB29)*Tax_Rate</f>
        <v>-40761949.3704565</v>
      </c>
      <c r="AC16" s="39" t="n">
        <f aca="false">-MAX(0,AC15+AC29)*Tax_Rate</f>
        <v>-41865920.8990044</v>
      </c>
      <c r="AD16" s="39" t="n">
        <f aca="false">-MAX(0,AD15+AD29)*Tax_Rate</f>
        <v>-43001413.0514698</v>
      </c>
      <c r="AE16" s="39" t="n">
        <f aca="false">-MAX(0,AE15+AE29)*Tax_Rate</f>
        <v>-44169451.5706197</v>
      </c>
      <c r="AF16" s="39" t="n">
        <f aca="false">-MAX(0,AF15+AF29)*Tax_Rate</f>
        <v>-45371100.4385682</v>
      </c>
    </row>
    <row r="17" customFormat="false" ht="15" hidden="false" customHeight="false" outlineLevel="0" collapsed="false">
      <c r="A17" s="5"/>
      <c r="B17" s="42" t="s">
        <v>248</v>
      </c>
      <c r="C17" s="43" t="n">
        <f aca="false">C15+C16</f>
        <v>0</v>
      </c>
      <c r="D17" s="43" t="n">
        <f aca="false">D15+D16</f>
        <v>0</v>
      </c>
      <c r="E17" s="43" t="n">
        <f aca="false">E15+E16</f>
        <v>0</v>
      </c>
      <c r="F17" s="43" t="n">
        <f aca="false">F15+F16</f>
        <v>41191030</v>
      </c>
      <c r="G17" s="43" t="n">
        <f aca="false">G15+G16</f>
        <v>44220180.045</v>
      </c>
      <c r="H17" s="43" t="n">
        <f aca="false">H15+H16</f>
        <v>47449622.1069581</v>
      </c>
      <c r="I17" s="43" t="n">
        <f aca="false">I15+I16</f>
        <v>50891190.4710845</v>
      </c>
      <c r="J17" s="43" t="n">
        <f aca="false">J15+J16</f>
        <v>54557407.5593043</v>
      </c>
      <c r="K17" s="43" t="n">
        <f aca="false">K15+K16</f>
        <v>58461523.5430603</v>
      </c>
      <c r="L17" s="43" t="n">
        <f aca="false">L15+L16</f>
        <v>62617558.2174931</v>
      </c>
      <c r="M17" s="43" t="n">
        <f aca="false">M15+M16</f>
        <v>67040345.2649678</v>
      </c>
      <c r="N17" s="43" t="n">
        <f aca="false">N15+N16</f>
        <v>71745579.0430828</v>
      </c>
      <c r="O17" s="43" t="n">
        <f aca="false">O15+O16</f>
        <v>76749864.0398565</v>
      </c>
      <c r="P17" s="43" t="n">
        <f aca="false">P15+P16</f>
        <v>82070767.1467672</v>
      </c>
      <c r="Q17" s="43" t="n">
        <f aca="false">Q15+Q16</f>
        <v>84621304.4190301</v>
      </c>
      <c r="R17" s="43" t="n">
        <f aca="false">R15+R16</f>
        <v>86811581.3805891</v>
      </c>
      <c r="S17" s="43" t="n">
        <f aca="false">S15+S16</f>
        <v>89068968.2144341</v>
      </c>
      <c r="T17" s="43" t="n">
        <f aca="false">T15+T16</f>
        <v>91395542.1302148</v>
      </c>
      <c r="U17" s="43" t="n">
        <f aca="false">U15+U16</f>
        <v>102793454.299359</v>
      </c>
      <c r="V17" s="43" t="n">
        <f aca="false">V15+V16</f>
        <v>105264932.822233</v>
      </c>
      <c r="W17" s="43" t="n">
        <f aca="false">W15+W16</f>
        <v>107812285.823823</v>
      </c>
      <c r="X17" s="43" t="n">
        <f aca="false">X15+X16</f>
        <v>110437904.683728</v>
      </c>
      <c r="Y17" s="43" t="n">
        <f aca="false">Y15+Y16</f>
        <v>113144267.40653</v>
      </c>
      <c r="Z17" s="43" t="n">
        <f aca="false">Z15+Z16</f>
        <v>115933942.138855</v>
      </c>
      <c r="AA17" s="43" t="n">
        <f aca="false">AA15+AA16</f>
        <v>119065528.339759</v>
      </c>
      <c r="AB17" s="43" t="n">
        <f aca="false">AB15+AB16</f>
        <v>122285848.11137</v>
      </c>
      <c r="AC17" s="43" t="n">
        <f aca="false">AC15+AC16</f>
        <v>125597762.697013</v>
      </c>
      <c r="AD17" s="43" t="n">
        <f aca="false">AD15+AD16</f>
        <v>129004239.154409</v>
      </c>
      <c r="AE17" s="43" t="n">
        <f aca="false">AE15+AE16</f>
        <v>132508354.711859</v>
      </c>
      <c r="AF17" s="43" t="n">
        <f aca="false">AF15+AF16</f>
        <v>136113301.315705</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customFormat="false" ht="15" hidden="false" customHeight="false" outlineLevel="0" collapsed="false">
      <c r="A19" s="5"/>
      <c r="B19" s="38" t="s">
        <v>249</v>
      </c>
      <c r="C19" s="39" t="n">
        <f aca="false">-C14</f>
        <v>0</v>
      </c>
      <c r="D19" s="39" t="n">
        <f aca="false">-D14</f>
        <v>0</v>
      </c>
      <c r="E19" s="39" t="n">
        <f aca="false">-E14</f>
        <v>0</v>
      </c>
      <c r="F19" s="39" t="n">
        <f aca="false">-F14</f>
        <v>18923626.6666667</v>
      </c>
      <c r="G19" s="39" t="n">
        <f aca="false">-G14</f>
        <v>18933939.94</v>
      </c>
      <c r="H19" s="39" t="n">
        <f aca="false">-H14</f>
        <v>18944869.3744725</v>
      </c>
      <c r="I19" s="39" t="n">
        <f aca="false">-I14</f>
        <v>18956451.948392</v>
      </c>
      <c r="J19" s="39" t="n">
        <f aca="false">-J14</f>
        <v>18968726.8669828</v>
      </c>
      <c r="K19" s="39" t="n">
        <f aca="false">-K14</f>
        <v>18981735.6968515</v>
      </c>
      <c r="L19" s="39" t="n">
        <f aca="false">-L14</f>
        <v>18995522.5085871</v>
      </c>
      <c r="M19" s="39" t="n">
        <f aca="false">-M14</f>
        <v>19010134.0279913</v>
      </c>
      <c r="N19" s="39" t="n">
        <f aca="false">-N14</f>
        <v>19025619.7964589</v>
      </c>
      <c r="O19" s="39" t="n">
        <f aca="false">-O14</f>
        <v>19042032.3410647</v>
      </c>
      <c r="P19" s="39" t="n">
        <f aca="false">-P14</f>
        <v>19059427.3549455</v>
      </c>
      <c r="Q19" s="39" t="n">
        <f aca="false">-Q14</f>
        <v>19068945.8365737</v>
      </c>
      <c r="R19" s="39" t="n">
        <f aca="false">-R14</f>
        <v>19077476.8825586</v>
      </c>
      <c r="S19" s="39" t="n">
        <f aca="false">-S14</f>
        <v>19086246.5663963</v>
      </c>
      <c r="T19" s="39" t="n">
        <f aca="false">-T14</f>
        <v>19095262.0079907</v>
      </c>
      <c r="U19" s="39" t="n">
        <f aca="false">-U14</f>
        <v>7104530.55774823</v>
      </c>
      <c r="V19" s="39" t="n">
        <f aca="false">-V14</f>
        <v>7114059.80472957</v>
      </c>
      <c r="W19" s="39" t="n">
        <f aca="false">-W14</f>
        <v>7123857.58511366</v>
      </c>
      <c r="X19" s="39" t="n">
        <f aca="false">-X14</f>
        <v>7133931.99098695</v>
      </c>
      <c r="Y19" s="39" t="n">
        <f aca="false">-Y14</f>
        <v>7144291.37947124</v>
      </c>
      <c r="Z19" s="39" t="n">
        <f aca="false">-Z14</f>
        <v>7154944.38220392</v>
      </c>
      <c r="AA19" s="39" t="n">
        <f aca="false">-AA14</f>
        <v>7165899.91518511</v>
      </c>
      <c r="AB19" s="39" t="n">
        <f aca="false">-AB14</f>
        <v>7177167.18900671</v>
      </c>
      <c r="AC19" s="39" t="n">
        <f aca="false">-AC14</f>
        <v>7188755.71947922</v>
      </c>
      <c r="AD19" s="39" t="n">
        <f aca="false">-AD14</f>
        <v>7200675.33867254</v>
      </c>
      <c r="AE19" s="39" t="n">
        <f aca="false">-AE14</f>
        <v>7212936.20638808</v>
      </c>
      <c r="AF19" s="39" t="n">
        <f aca="false">-AF14</f>
        <v>7225548.82207983</v>
      </c>
    </row>
    <row r="20" customFormat="false" ht="15" hidden="false" customHeight="false" outlineLevel="0" collapsed="false">
      <c r="A20" s="5"/>
      <c r="B20" s="38" t="s">
        <v>250</v>
      </c>
      <c r="C20" s="39" t="n">
        <f aca="false">-(C10/365*35+C11/365*45)</f>
        <v>-0</v>
      </c>
      <c r="D20" s="39" t="n">
        <f aca="false">(C10/365*35+C11/365*45)-(D10/365*35+D11/365*45)</f>
        <v>0</v>
      </c>
      <c r="E20" s="39" t="n">
        <f aca="false">(D10/365*35+D11/365*45)-(E10/365*35+E11/365*45)</f>
        <v>0</v>
      </c>
      <c r="F20" s="39" t="n">
        <f aca="false">(E10/365*35+E11/365*45)-(F10/365*35+F11/365*45)</f>
        <v>-4695068.49315069</v>
      </c>
      <c r="G20" s="39" t="n">
        <f aca="false">(F10/365*35+F11/365*45)-(G10/365*35+G11/365*45)</f>
        <v>-329369.315068489</v>
      </c>
      <c r="H20" s="39" t="n">
        <f aca="false">(G10/365*35+G11/365*45)-(H10/365*35+H11/365*45)</f>
        <v>-349709.149931509</v>
      </c>
      <c r="I20" s="39" t="n">
        <f aca="false">(H10/365*35+H11/365*45)-(I10/365*35+I11/365*45)</f>
        <v>-371239.077474175</v>
      </c>
      <c r="J20" s="39" t="n">
        <f aca="false">(I10/365*35+I11/365*45)-(J10/365*35+J11/365*45)</f>
        <v>-394026.732050385</v>
      </c>
      <c r="K20" s="39" t="n">
        <f aca="false">(J10/365*35+J11/365*45)-(K10/365*35+K11/365*45)</f>
        <v>-418143.513300255</v>
      </c>
      <c r="L20" s="39" t="n">
        <f aca="false">(K10/365*35+K11/365*45)-(L10/365*35+L11/365*45)</f>
        <v>-443664.791716564</v>
      </c>
      <c r="M20" s="39" t="n">
        <f aca="false">(L10/365*35+L11/365*45)-(M10/365*35+M11/365*45)</f>
        <v>-470670.125178205</v>
      </c>
      <c r="N20" s="39" t="n">
        <f aca="false">(M10/365*35+M11/365*45)-(N10/365*35+N11/365*45)</f>
        <v>-499243.48701782</v>
      </c>
      <c r="O20" s="39" t="n">
        <f aca="false">(N10/365*35+N11/365*45)-(O10/365*35+O11/365*45)</f>
        <v>-529473.506218616</v>
      </c>
      <c r="P20" s="39" t="n">
        <f aca="false">(O10/365*35+O11/365*45)-(P10/365*35+P11/365*45)</f>
        <v>-561453.720364729</v>
      </c>
      <c r="Q20" s="39" t="n">
        <f aca="false">(P10/365*35+P11/365*45)-(Q10/365*35+Q11/365*45)</f>
        <v>-266926.591227906</v>
      </c>
      <c r="R20" s="39" t="n">
        <f aca="false">(Q10/365*35+Q11/365*45)-(R10/365*35+R11/365*45)</f>
        <v>-227873.753084978</v>
      </c>
      <c r="S20" s="39" t="n">
        <f aca="false">(R10/365*35+R11/365*45)-(S10/365*35+S11/365*45)</f>
        <v>-234031.416493971</v>
      </c>
      <c r="T20" s="39" t="n">
        <f aca="false">(S10/365*35+S11/365*45)-(T10/365*35+T11/365*45)</f>
        <v>-240385.117426319</v>
      </c>
      <c r="U20" s="39" t="n">
        <f aca="false">(T10/365*35+T11/365*45)-(U10/365*35+U11/365*45)</f>
        <v>-246942.306044672</v>
      </c>
      <c r="V20" s="39" t="n">
        <f aca="false">(U10/365*35+U11/365*45)-(V10/365*35+V11/365*45)</f>
        <v>-253710.753771342</v>
      </c>
      <c r="W20" s="39" t="n">
        <f aca="false">(V10/365*35+V11/365*45)-(W10/365*35+W11/365*45)</f>
        <v>-260698.568032799</v>
      </c>
      <c r="X20" s="39" t="n">
        <f aca="false">(W10/365*35+W11/365*45)-(X10/365*35+X11/365*45)</f>
        <v>-267914.207695805</v>
      </c>
      <c r="Y20" s="39" t="n">
        <f aca="false">(X10/365*35+X11/365*45)-(Y10/365*35+Y11/365*45)</f>
        <v>-275366.499226779</v>
      </c>
      <c r="Z20" s="39" t="n">
        <f aca="false">(Y10/365*35+Y11/365*45)-(Z10/365*35+Z11/365*45)</f>
        <v>-283064.653609067</v>
      </c>
      <c r="AA20" s="39" t="n">
        <f aca="false">(Z10/365*35+Z11/365*45)-(AA10/365*35+AA11/365*45)</f>
        <v>-291018.2840534</v>
      </c>
      <c r="AB20" s="39" t="n">
        <f aca="false">(AA10/365*35+AA11/365*45)-(AB10/365*35+AB11/365*45)</f>
        <v>-299237.424538635</v>
      </c>
      <c r="AC20" s="39" t="n">
        <f aca="false">(AB10/365*35+AB11/365*45)-(AC10/365*35+AC11/365*45)</f>
        <v>-307732.549222183</v>
      </c>
      <c r="AD20" s="39" t="n">
        <f aca="false">(AC10/365*35+AC11/365*45)-(AD10/365*35+AD11/365*45)</f>
        <v>-316514.592760477</v>
      </c>
      <c r="AE20" s="39" t="n">
        <f aca="false">(AD10/365*35+AD11/365*45)-(AE10/365*35+AE11/365*45)</f>
        <v>-325594.971582517</v>
      </c>
      <c r="AF20" s="39" t="n">
        <f aca="false">(AE10/365*35+AE11/365*45)-(AF10/365*35+AF11/365*45)</f>
        <v>-334985.606160939</v>
      </c>
    </row>
    <row r="21" customFormat="false" ht="15" hidden="false" customHeight="false" outlineLevel="0" collapsed="false">
      <c r="A21" s="5"/>
      <c r="B21" s="42" t="s">
        <v>251</v>
      </c>
      <c r="C21" s="43" t="n">
        <f aca="false">C17+C19+C20</f>
        <v>0</v>
      </c>
      <c r="D21" s="43" t="n">
        <f aca="false">D17+D19+D20</f>
        <v>0</v>
      </c>
      <c r="E21" s="43" t="n">
        <f aca="false">E17+E19+E20</f>
        <v>0</v>
      </c>
      <c r="F21" s="43" t="n">
        <f aca="false">F17+F19+F20</f>
        <v>55419588.173516</v>
      </c>
      <c r="G21" s="43" t="n">
        <f aca="false">G17+G19+G20</f>
        <v>62824750.6699315</v>
      </c>
      <c r="H21" s="43" t="n">
        <f aca="false">H17+H19+H20</f>
        <v>66044782.3314991</v>
      </c>
      <c r="I21" s="43" t="n">
        <f aca="false">I17+I19+I20</f>
        <v>69476403.3420022</v>
      </c>
      <c r="J21" s="43" t="n">
        <f aca="false">J17+J19+J20</f>
        <v>73132107.6942367</v>
      </c>
      <c r="K21" s="43" t="n">
        <f aca="false">K17+K19+K20</f>
        <v>77025115.7266115</v>
      </c>
      <c r="L21" s="43" t="n">
        <f aca="false">L17+L19+L20</f>
        <v>81169415.9343637</v>
      </c>
      <c r="M21" s="43" t="n">
        <f aca="false">M17+M19+M20</f>
        <v>85579809.167781</v>
      </c>
      <c r="N21" s="43" t="n">
        <f aca="false">N17+N19+N20</f>
        <v>90271955.3525239</v>
      </c>
      <c r="O21" s="43" t="n">
        <f aca="false">O17+O19+O20</f>
        <v>95262422.8747026</v>
      </c>
      <c r="P21" s="43" t="n">
        <f aca="false">P17+P19+P20</f>
        <v>100568740.781348</v>
      </c>
      <c r="Q21" s="43" t="n">
        <f aca="false">Q17+Q19+Q20</f>
        <v>103423323.664376</v>
      </c>
      <c r="R21" s="43" t="n">
        <f aca="false">R17+R19+R20</f>
        <v>105661184.510063</v>
      </c>
      <c r="S21" s="43" t="n">
        <f aca="false">S17+S19+S20</f>
        <v>107921183.364336</v>
      </c>
      <c r="T21" s="43" t="n">
        <f aca="false">T17+T19+T20</f>
        <v>110250419.020779</v>
      </c>
      <c r="U21" s="43" t="n">
        <f aca="false">U17+U19+U20</f>
        <v>109651042.551063</v>
      </c>
      <c r="V21" s="43" t="n">
        <f aca="false">V17+V19+V20</f>
        <v>112125281.873192</v>
      </c>
      <c r="W21" s="43" t="n">
        <f aca="false">W17+W19+W20</f>
        <v>114675444.840903</v>
      </c>
      <c r="X21" s="43" t="n">
        <f aca="false">X17+X19+X20</f>
        <v>117303922.467019</v>
      </c>
      <c r="Y21" s="43" t="n">
        <f aca="false">Y17+Y19+Y20</f>
        <v>120013192.286775</v>
      </c>
      <c r="Z21" s="43" t="n">
        <f aca="false">Z17+Z19+Z20</f>
        <v>122805821.867449</v>
      </c>
      <c r="AA21" s="43" t="n">
        <f aca="false">AA17+AA19+AA20</f>
        <v>125940409.97089</v>
      </c>
      <c r="AB21" s="43" t="n">
        <f aca="false">AB17+AB19+AB20</f>
        <v>129163777.875838</v>
      </c>
      <c r="AC21" s="43" t="n">
        <f aca="false">AC17+AC19+AC20</f>
        <v>132478785.86727</v>
      </c>
      <c r="AD21" s="43" t="n">
        <f aca="false">AD17+AD19+AD20</f>
        <v>135888399.900322</v>
      </c>
      <c r="AE21" s="43" t="n">
        <f aca="false">AE17+AE19+AE20</f>
        <v>139395695.946665</v>
      </c>
      <c r="AF21" s="43" t="n">
        <f aca="false">AF17+AF19+AF20</f>
        <v>143003864.531623</v>
      </c>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customFormat="false" ht="15" hidden="false" customHeight="false" outlineLevel="0" collapsed="false">
      <c r="A23" s="5"/>
      <c r="B23" s="38" t="s">
        <v>104</v>
      </c>
      <c r="C23" s="39" t="n">
        <f aca="false">-CC_Construction_Capex</f>
        <v>-150000000</v>
      </c>
      <c r="D23" s="39" t="n">
        <f aca="false">-CC_Construction_Capex</f>
        <v>-150000000</v>
      </c>
      <c r="E23" s="39" t="n">
        <f aca="false">-CC_Construction_Capex</f>
        <v>-150000000</v>
      </c>
      <c r="F23" s="39" t="n">
        <f aca="false">-CC_Construction_Capex</f>
        <v>-0</v>
      </c>
      <c r="G23" s="39" t="n">
        <f aca="false">-CC_Construction_Capex</f>
        <v>-0</v>
      </c>
      <c r="H23" s="39" t="n">
        <f aca="false">-CC_Construction_Capex</f>
        <v>-0</v>
      </c>
      <c r="I23" s="39" t="n">
        <f aca="false">-CC_Construction_Capex</f>
        <v>-0</v>
      </c>
      <c r="J23" s="39" t="n">
        <f aca="false">-CC_Construction_Capex</f>
        <v>-0</v>
      </c>
      <c r="K23" s="39" t="n">
        <f aca="false">-CC_Construction_Capex</f>
        <v>-0</v>
      </c>
      <c r="L23" s="39" t="n">
        <f aca="false">-CC_Construction_Capex</f>
        <v>-0</v>
      </c>
      <c r="M23" s="39" t="n">
        <f aca="false">-CC_Construction_Capex</f>
        <v>-0</v>
      </c>
      <c r="N23" s="39" t="n">
        <f aca="false">-CC_Construction_Capex</f>
        <v>-0</v>
      </c>
      <c r="O23" s="39" t="n">
        <f aca="false">-CC_Construction_Capex</f>
        <v>-0</v>
      </c>
      <c r="P23" s="39" t="n">
        <f aca="false">-CC_Construction_Capex</f>
        <v>-0</v>
      </c>
      <c r="Q23" s="39" t="n">
        <f aca="false">-CC_Construction_Capex</f>
        <v>-0</v>
      </c>
      <c r="R23" s="39" t="n">
        <f aca="false">-CC_Construction_Capex</f>
        <v>-0</v>
      </c>
      <c r="S23" s="39" t="n">
        <f aca="false">-CC_Construction_Capex</f>
        <v>-0</v>
      </c>
      <c r="T23" s="39" t="n">
        <f aca="false">-CC_Construction_Capex</f>
        <v>-0</v>
      </c>
      <c r="U23" s="39" t="n">
        <f aca="false">-CC_Construction_Capex</f>
        <v>-0</v>
      </c>
      <c r="V23" s="39" t="n">
        <f aca="false">-CC_Construction_Capex</f>
        <v>-0</v>
      </c>
      <c r="W23" s="39" t="n">
        <f aca="false">-CC_Construction_Capex</f>
        <v>-0</v>
      </c>
      <c r="X23" s="39" t="n">
        <f aca="false">-CC_Construction_Capex</f>
        <v>-0</v>
      </c>
      <c r="Y23" s="39" t="n">
        <f aca="false">-CC_Construction_Capex</f>
        <v>-0</v>
      </c>
      <c r="Z23" s="39" t="n">
        <f aca="false">-CC_Construction_Capex</f>
        <v>-0</v>
      </c>
      <c r="AA23" s="39" t="n">
        <f aca="false">-CC_Construction_Capex</f>
        <v>-0</v>
      </c>
      <c r="AB23" s="39" t="n">
        <f aca="false">-CC_Construction_Capex</f>
        <v>-0</v>
      </c>
      <c r="AC23" s="39" t="n">
        <f aca="false">-CC_Construction_Capex</f>
        <v>-0</v>
      </c>
      <c r="AD23" s="39" t="n">
        <f aca="false">-CC_Construction_Capex</f>
        <v>-0</v>
      </c>
      <c r="AE23" s="39" t="n">
        <f aca="false">-CC_Construction_Capex</f>
        <v>-0</v>
      </c>
      <c r="AF23" s="39" t="n">
        <f aca="false">-CC_Construction_Capex</f>
        <v>-0</v>
      </c>
    </row>
    <row r="24" customFormat="false" ht="15" hidden="false" customHeight="false" outlineLevel="0" collapsed="false">
      <c r="A24" s="5"/>
      <c r="B24" s="38" t="s">
        <v>193</v>
      </c>
      <c r="C24" s="39" t="n">
        <f aca="false">-CC_Maint_Capex</f>
        <v>-0</v>
      </c>
      <c r="D24" s="39" t="n">
        <f aca="false">-CC_Maint_Capex</f>
        <v>-0</v>
      </c>
      <c r="E24" s="39" t="n">
        <f aca="false">-CC_Maint_Capex</f>
        <v>-0</v>
      </c>
      <c r="F24" s="39" t="n">
        <f aca="false">-CC_Maint_Capex</f>
        <v>-2604400</v>
      </c>
      <c r="G24" s="39" t="n">
        <f aca="false">-CC_Maint_Capex</f>
        <v>-2759099.1</v>
      </c>
      <c r="H24" s="39" t="n">
        <f aca="false">-CC_Maint_Capex</f>
        <v>-2923040.6170875</v>
      </c>
      <c r="I24" s="39" t="n">
        <f aca="false">-CC_Maint_Capex</f>
        <v>-3096779.22587926</v>
      </c>
      <c r="J24" s="39" t="n">
        <f aca="false">-CC_Maint_Capex</f>
        <v>-3280903.00474203</v>
      </c>
      <c r="K24" s="39" t="n">
        <f aca="false">-CC_Maint_Capex</f>
        <v>-3476035.45277175</v>
      </c>
      <c r="L24" s="39" t="n">
        <f aca="false">-CC_Maint_Capex</f>
        <v>-3682837.62880681</v>
      </c>
      <c r="M24" s="39" t="n">
        <f aca="false">-CC_Maint_Capex</f>
        <v>-3902010.41987006</v>
      </c>
      <c r="N24" s="39" t="n">
        <f aca="false">-CC_Maint_Capex</f>
        <v>-4134296.94688293</v>
      </c>
      <c r="O24" s="39" t="n">
        <f aca="false">-CC_Maint_Capex</f>
        <v>-4380485.11597071</v>
      </c>
      <c r="P24" s="39" t="n">
        <f aca="false">-CC_Maint_Capex</f>
        <v>-4641410.32418301</v>
      </c>
      <c r="Q24" s="39" t="n">
        <f aca="false">-CC_Maint_Capex</f>
        <v>-4784187.54860472</v>
      </c>
      <c r="R24" s="39" t="n">
        <f aca="false">-CC_Maint_Capex</f>
        <v>-4912153.23837841</v>
      </c>
      <c r="S24" s="39" t="n">
        <f aca="false">-CC_Maint_Capex</f>
        <v>-5043698.49594461</v>
      </c>
      <c r="T24" s="39" t="n">
        <f aca="false">-CC_Maint_Capex</f>
        <v>-5178930.11986057</v>
      </c>
      <c r="U24" s="39" t="n">
        <f aca="false">-CC_Maint_Capex</f>
        <v>-5317958.36622347</v>
      </c>
      <c r="V24" s="39" t="n">
        <f aca="false">-CC_Maint_Capex</f>
        <v>-5460897.07094361</v>
      </c>
      <c r="W24" s="39" t="n">
        <f aca="false">-CC_Maint_Capex</f>
        <v>-5607863.77670495</v>
      </c>
      <c r="X24" s="39" t="n">
        <f aca="false">-CC_Maint_Capex</f>
        <v>-5758979.86480425</v>
      </c>
      <c r="Y24" s="39" t="n">
        <f aca="false">-CC_Maint_Capex</f>
        <v>-5914370.69206856</v>
      </c>
      <c r="Z24" s="39" t="n">
        <f aca="false">-CC_Maint_Capex</f>
        <v>-6074165.73305879</v>
      </c>
      <c r="AA24" s="39" t="n">
        <f aca="false">-CC_Maint_Capex</f>
        <v>-6238498.7277766</v>
      </c>
      <c r="AB24" s="39" t="n">
        <f aca="false">-CC_Maint_Capex</f>
        <v>-6407507.83510066</v>
      </c>
      <c r="AC24" s="39" t="n">
        <f aca="false">-CC_Maint_Capex</f>
        <v>-6581335.79218823</v>
      </c>
      <c r="AD24" s="39" t="n">
        <f aca="false">-CC_Maint_Capex</f>
        <v>-6760130.08008803</v>
      </c>
      <c r="AE24" s="39" t="n">
        <f aca="false">-CC_Maint_Capex</f>
        <v>-6944043.09582116</v>
      </c>
      <c r="AF24" s="39" t="n">
        <f aca="false">-CC_Maint_Capex</f>
        <v>-7133232.33119738</v>
      </c>
    </row>
    <row r="25" customFormat="false" ht="15" hidden="false" customHeight="false" outlineLevel="0" collapsed="false">
      <c r="A25" s="5"/>
      <c r="B25" s="42" t="s">
        <v>252</v>
      </c>
      <c r="C25" s="43" t="n">
        <f aca="false">C23+C24</f>
        <v>-150000000</v>
      </c>
      <c r="D25" s="43" t="n">
        <f aca="false">D23+D24</f>
        <v>-150000000</v>
      </c>
      <c r="E25" s="43" t="n">
        <f aca="false">E23+E24</f>
        <v>-150000000</v>
      </c>
      <c r="F25" s="43" t="n">
        <f aca="false">F23+F24</f>
        <v>-2604400</v>
      </c>
      <c r="G25" s="43" t="n">
        <f aca="false">G23+G24</f>
        <v>-2759099.1</v>
      </c>
      <c r="H25" s="43" t="n">
        <f aca="false">H23+H24</f>
        <v>-2923040.6170875</v>
      </c>
      <c r="I25" s="43" t="n">
        <f aca="false">I23+I24</f>
        <v>-3096779.22587926</v>
      </c>
      <c r="J25" s="43" t="n">
        <f aca="false">J23+J24</f>
        <v>-3280903.00474203</v>
      </c>
      <c r="K25" s="43" t="n">
        <f aca="false">K23+K24</f>
        <v>-3476035.45277175</v>
      </c>
      <c r="L25" s="43" t="n">
        <f aca="false">L23+L24</f>
        <v>-3682837.62880681</v>
      </c>
      <c r="M25" s="43" t="n">
        <f aca="false">M23+M24</f>
        <v>-3902010.41987006</v>
      </c>
      <c r="N25" s="43" t="n">
        <f aca="false">N23+N24</f>
        <v>-4134296.94688293</v>
      </c>
      <c r="O25" s="43" t="n">
        <f aca="false">O23+O24</f>
        <v>-4380485.11597071</v>
      </c>
      <c r="P25" s="43" t="n">
        <f aca="false">P23+P24</f>
        <v>-4641410.32418301</v>
      </c>
      <c r="Q25" s="43" t="n">
        <f aca="false">Q23+Q24</f>
        <v>-4784187.54860472</v>
      </c>
      <c r="R25" s="43" t="n">
        <f aca="false">R23+R24</f>
        <v>-4912153.23837841</v>
      </c>
      <c r="S25" s="43" t="n">
        <f aca="false">S23+S24</f>
        <v>-5043698.49594461</v>
      </c>
      <c r="T25" s="43" t="n">
        <f aca="false">T23+T24</f>
        <v>-5178930.11986057</v>
      </c>
      <c r="U25" s="43" t="n">
        <f aca="false">U23+U24</f>
        <v>-5317958.36622347</v>
      </c>
      <c r="V25" s="43" t="n">
        <f aca="false">V23+V24</f>
        <v>-5460897.07094361</v>
      </c>
      <c r="W25" s="43" t="n">
        <f aca="false">W23+W24</f>
        <v>-5607863.77670495</v>
      </c>
      <c r="X25" s="43" t="n">
        <f aca="false">X23+X24</f>
        <v>-5758979.86480425</v>
      </c>
      <c r="Y25" s="43" t="n">
        <f aca="false">Y23+Y24</f>
        <v>-5914370.69206856</v>
      </c>
      <c r="Z25" s="43" t="n">
        <f aca="false">Z23+Z24</f>
        <v>-6074165.73305879</v>
      </c>
      <c r="AA25" s="43" t="n">
        <f aca="false">AA23+AA24</f>
        <v>-6238498.7277766</v>
      </c>
      <c r="AB25" s="43" t="n">
        <f aca="false">AB23+AB24</f>
        <v>-6407507.83510066</v>
      </c>
      <c r="AC25" s="43" t="n">
        <f aca="false">AC23+AC24</f>
        <v>-6581335.79218823</v>
      </c>
      <c r="AD25" s="43" t="n">
        <f aca="false">AD23+AD24</f>
        <v>-6760130.08008803</v>
      </c>
      <c r="AE25" s="43" t="n">
        <f aca="false">AE23+AE24</f>
        <v>-6944043.09582116</v>
      </c>
      <c r="AF25" s="43" t="n">
        <f aca="false">AF23+AF24</f>
        <v>-7133232.33119738</v>
      </c>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row>
    <row r="27" customFormat="false" ht="15" hidden="false" customHeight="false" outlineLevel="0" collapsed="false">
      <c r="A27" s="5"/>
      <c r="B27" s="40" t="s">
        <v>253</v>
      </c>
      <c r="C27" s="41" t="n">
        <f aca="false">C21+C25</f>
        <v>-150000000</v>
      </c>
      <c r="D27" s="41" t="n">
        <f aca="false">D21+D25</f>
        <v>-150000000</v>
      </c>
      <c r="E27" s="41" t="n">
        <f aca="false">E21+E25</f>
        <v>-150000000</v>
      </c>
      <c r="F27" s="41" t="n">
        <f aca="false">F21+F25</f>
        <v>52815188.173516</v>
      </c>
      <c r="G27" s="41" t="n">
        <f aca="false">G21+G25</f>
        <v>60065651.5699315</v>
      </c>
      <c r="H27" s="41" t="n">
        <f aca="false">H21+H25</f>
        <v>63121741.7144116</v>
      </c>
      <c r="I27" s="41" t="n">
        <f aca="false">I21+I25</f>
        <v>66379624.116123</v>
      </c>
      <c r="J27" s="41" t="n">
        <f aca="false">J21+J25</f>
        <v>69851204.6894946</v>
      </c>
      <c r="K27" s="41" t="n">
        <f aca="false">K21+K25</f>
        <v>73549080.2738397</v>
      </c>
      <c r="L27" s="41" t="n">
        <f aca="false">L21+L25</f>
        <v>77486578.3055569</v>
      </c>
      <c r="M27" s="41" t="n">
        <f aca="false">M21+M25</f>
        <v>81677798.7479109</v>
      </c>
      <c r="N27" s="41" t="n">
        <f aca="false">N21+N25</f>
        <v>86137658.4056409</v>
      </c>
      <c r="O27" s="41" t="n">
        <f aca="false">O21+O25</f>
        <v>90881937.7587319</v>
      </c>
      <c r="P27" s="41" t="n">
        <f aca="false">P21+P25</f>
        <v>95927330.4571649</v>
      </c>
      <c r="Q27" s="41" t="n">
        <f aca="false">Q21+Q25</f>
        <v>98639136.1157711</v>
      </c>
      <c r="R27" s="41" t="n">
        <f aca="false">R21+R25</f>
        <v>100749031.271684</v>
      </c>
      <c r="S27" s="41" t="n">
        <f aca="false">S21+S25</f>
        <v>102877484.868392</v>
      </c>
      <c r="T27" s="41" t="n">
        <f aca="false">T21+T25</f>
        <v>105071488.900919</v>
      </c>
      <c r="U27" s="41" t="n">
        <f aca="false">U21+U25</f>
        <v>104333084.184839</v>
      </c>
      <c r="V27" s="41" t="n">
        <f aca="false">V21+V25</f>
        <v>106664384.802248</v>
      </c>
      <c r="W27" s="41" t="n">
        <f aca="false">W21+W25</f>
        <v>109067581.064199</v>
      </c>
      <c r="X27" s="41" t="n">
        <f aca="false">X21+X25</f>
        <v>111544942.602215</v>
      </c>
      <c r="Y27" s="41" t="n">
        <f aca="false">Y21+Y25</f>
        <v>114098821.594706</v>
      </c>
      <c r="Z27" s="41" t="n">
        <f aca="false">Z21+Z25</f>
        <v>116731656.134391</v>
      </c>
      <c r="AA27" s="41" t="n">
        <f aca="false">AA21+AA25</f>
        <v>119701911.243114</v>
      </c>
      <c r="AB27" s="41" t="n">
        <f aca="false">AB21+AB25</f>
        <v>122756270.040737</v>
      </c>
      <c r="AC27" s="41" t="n">
        <f aca="false">AC21+AC25</f>
        <v>125897450.075082</v>
      </c>
      <c r="AD27" s="41" t="n">
        <f aca="false">AD21+AD25</f>
        <v>129128269.820233</v>
      </c>
      <c r="AE27" s="41" t="n">
        <f aca="false">AE21+AE25</f>
        <v>132451652.850844</v>
      </c>
      <c r="AF27" s="41" t="n">
        <f aca="false">AF21+AF25</f>
        <v>135870632.200426</v>
      </c>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customFormat="false" ht="15" hidden="false" customHeight="false" outlineLevel="0" collapsed="false">
      <c r="A29" s="5"/>
      <c r="B29" s="38" t="s">
        <v>254</v>
      </c>
      <c r="C29" s="39" t="n">
        <f aca="false">-DB_Interest</f>
        <v>-0</v>
      </c>
      <c r="D29" s="39" t="n">
        <f aca="false">-DB_Interest</f>
        <v>-6825000</v>
      </c>
      <c r="E29" s="39" t="n">
        <f aca="false">-DB_Interest</f>
        <v>-13650000</v>
      </c>
      <c r="F29" s="39" t="n">
        <f aca="false">-DB_Interest</f>
        <v>-20475000</v>
      </c>
      <c r="G29" s="39" t="n">
        <f aca="false">-DB_Interest</f>
        <v>-19451250</v>
      </c>
      <c r="H29" s="39" t="n">
        <f aca="false">-DB_Interest</f>
        <v>-18427500</v>
      </c>
      <c r="I29" s="39" t="n">
        <f aca="false">-DB_Interest</f>
        <v>-17403750</v>
      </c>
      <c r="J29" s="39" t="n">
        <f aca="false">-DB_Interest</f>
        <v>-16380000</v>
      </c>
      <c r="K29" s="39" t="n">
        <f aca="false">-DB_Interest</f>
        <v>-15356250</v>
      </c>
      <c r="L29" s="39" t="n">
        <f aca="false">-DB_Interest</f>
        <v>-14332500</v>
      </c>
      <c r="M29" s="39" t="n">
        <f aca="false">-DB_Interest</f>
        <v>-13308750</v>
      </c>
      <c r="N29" s="39" t="n">
        <f aca="false">-DB_Interest</f>
        <v>-12285000</v>
      </c>
      <c r="O29" s="39" t="n">
        <f aca="false">-DB_Interest</f>
        <v>-11261250</v>
      </c>
      <c r="P29" s="39" t="n">
        <f aca="false">-DB_Interest</f>
        <v>-10237500</v>
      </c>
      <c r="Q29" s="39" t="n">
        <f aca="false">-DB_Interest</f>
        <v>-9213750</v>
      </c>
      <c r="R29" s="39" t="n">
        <f aca="false">-DB_Interest</f>
        <v>-8190000</v>
      </c>
      <c r="S29" s="39" t="n">
        <f aca="false">-DB_Interest</f>
        <v>-7166250</v>
      </c>
      <c r="T29" s="39" t="n">
        <f aca="false">-DB_Interest</f>
        <v>-6142500</v>
      </c>
      <c r="U29" s="39" t="n">
        <f aca="false">-DB_Interest</f>
        <v>-5118750</v>
      </c>
      <c r="V29" s="39" t="n">
        <f aca="false">-DB_Interest</f>
        <v>-4095000</v>
      </c>
      <c r="W29" s="39" t="n">
        <f aca="false">-DB_Interest</f>
        <v>-3071250</v>
      </c>
      <c r="X29" s="39" t="n">
        <f aca="false">-DB_Interest</f>
        <v>-2047500</v>
      </c>
      <c r="Y29" s="39" t="n">
        <f aca="false">-DB_Interest</f>
        <v>-1023750</v>
      </c>
      <c r="Z29" s="39" t="n">
        <f aca="false">-DB_Interest</f>
        <v>-0</v>
      </c>
      <c r="AA29" s="39" t="n">
        <f aca="false">-DB_Interest</f>
        <v>-0</v>
      </c>
      <c r="AB29" s="39" t="n">
        <f aca="false">-DB_Interest</f>
        <v>-0</v>
      </c>
      <c r="AC29" s="39" t="n">
        <f aca="false">-DB_Interest</f>
        <v>-0</v>
      </c>
      <c r="AD29" s="39" t="n">
        <f aca="false">-DB_Interest</f>
        <v>-0</v>
      </c>
      <c r="AE29" s="39" t="n">
        <f aca="false">-DB_Interest</f>
        <v>-0</v>
      </c>
      <c r="AF29" s="39" t="n">
        <f aca="false">-DB_Interest</f>
        <v>-0</v>
      </c>
    </row>
    <row r="30" customFormat="false" ht="15" hidden="false" customHeight="false" outlineLevel="0" collapsed="false">
      <c r="A30" s="5"/>
      <c r="B30" s="38" t="s">
        <v>255</v>
      </c>
      <c r="C30" s="39" t="n">
        <f aca="false">-DB_Repayment</f>
        <v>-0</v>
      </c>
      <c r="D30" s="39" t="n">
        <f aca="false">-DB_Repayment</f>
        <v>-0</v>
      </c>
      <c r="E30" s="39" t="n">
        <f aca="false">-DB_Repayment</f>
        <v>-0</v>
      </c>
      <c r="F30" s="39" t="n">
        <f aca="false">-DB_Repayment</f>
        <v>-15750000</v>
      </c>
      <c r="G30" s="39" t="n">
        <f aca="false">-DB_Repayment</f>
        <v>-15750000</v>
      </c>
      <c r="H30" s="39" t="n">
        <f aca="false">-DB_Repayment</f>
        <v>-15750000</v>
      </c>
      <c r="I30" s="39" t="n">
        <f aca="false">-DB_Repayment</f>
        <v>-15750000</v>
      </c>
      <c r="J30" s="39" t="n">
        <f aca="false">-DB_Repayment</f>
        <v>-15750000</v>
      </c>
      <c r="K30" s="39" t="n">
        <f aca="false">-DB_Repayment</f>
        <v>-15750000</v>
      </c>
      <c r="L30" s="39" t="n">
        <f aca="false">-DB_Repayment</f>
        <v>-15750000</v>
      </c>
      <c r="M30" s="39" t="n">
        <f aca="false">-DB_Repayment</f>
        <v>-15750000</v>
      </c>
      <c r="N30" s="39" t="n">
        <f aca="false">-DB_Repayment</f>
        <v>-15750000</v>
      </c>
      <c r="O30" s="39" t="n">
        <f aca="false">-DB_Repayment</f>
        <v>-15750000</v>
      </c>
      <c r="P30" s="39" t="n">
        <f aca="false">-DB_Repayment</f>
        <v>-15750000</v>
      </c>
      <c r="Q30" s="39" t="n">
        <f aca="false">-DB_Repayment</f>
        <v>-15750000</v>
      </c>
      <c r="R30" s="39" t="n">
        <f aca="false">-DB_Repayment</f>
        <v>-15750000</v>
      </c>
      <c r="S30" s="39" t="n">
        <f aca="false">-DB_Repayment</f>
        <v>-15750000</v>
      </c>
      <c r="T30" s="39" t="n">
        <f aca="false">-DB_Repayment</f>
        <v>-15750000</v>
      </c>
      <c r="U30" s="39" t="n">
        <f aca="false">-DB_Repayment</f>
        <v>-15750000</v>
      </c>
      <c r="V30" s="39" t="n">
        <f aca="false">-DB_Repayment</f>
        <v>-15750000</v>
      </c>
      <c r="W30" s="39" t="n">
        <f aca="false">-DB_Repayment</f>
        <v>-15750000</v>
      </c>
      <c r="X30" s="39" t="n">
        <f aca="false">-DB_Repayment</f>
        <v>-15750000</v>
      </c>
      <c r="Y30" s="39" t="n">
        <f aca="false">-DB_Repayment</f>
        <v>-15750000</v>
      </c>
      <c r="Z30" s="39" t="n">
        <f aca="false">-DB_Repayment</f>
        <v>-0</v>
      </c>
      <c r="AA30" s="39" t="n">
        <f aca="false">-DB_Repayment</f>
        <v>-0</v>
      </c>
      <c r="AB30" s="39" t="n">
        <f aca="false">-DB_Repayment</f>
        <v>-0</v>
      </c>
      <c r="AC30" s="39" t="n">
        <f aca="false">-DB_Repayment</f>
        <v>-0</v>
      </c>
      <c r="AD30" s="39" t="n">
        <f aca="false">-DB_Repayment</f>
        <v>-0</v>
      </c>
      <c r="AE30" s="39" t="n">
        <f aca="false">-DB_Repayment</f>
        <v>-0</v>
      </c>
      <c r="AF30" s="39" t="n">
        <f aca="false">-DB_Repayment</f>
        <v>-0</v>
      </c>
    </row>
    <row r="31" customFormat="false" ht="15" hidden="false" customHeight="false" outlineLevel="0" collapsed="false">
      <c r="A31" s="5"/>
      <c r="B31" s="42" t="s">
        <v>237</v>
      </c>
      <c r="C31" s="43" t="n">
        <f aca="false">C29+C30</f>
        <v>-0</v>
      </c>
      <c r="D31" s="43" t="n">
        <f aca="false">D29+D30</f>
        <v>-6825000</v>
      </c>
      <c r="E31" s="43" t="n">
        <f aca="false">E29+E30</f>
        <v>-13650000</v>
      </c>
      <c r="F31" s="43" t="n">
        <f aca="false">F29+F30</f>
        <v>-36225000</v>
      </c>
      <c r="G31" s="43" t="n">
        <f aca="false">G29+G30</f>
        <v>-35201250</v>
      </c>
      <c r="H31" s="43" t="n">
        <f aca="false">H29+H30</f>
        <v>-34177500</v>
      </c>
      <c r="I31" s="43" t="n">
        <f aca="false">I29+I30</f>
        <v>-33153750</v>
      </c>
      <c r="J31" s="43" t="n">
        <f aca="false">J29+J30</f>
        <v>-32130000</v>
      </c>
      <c r="K31" s="43" t="n">
        <f aca="false">K29+K30</f>
        <v>-31106250</v>
      </c>
      <c r="L31" s="43" t="n">
        <f aca="false">L29+L30</f>
        <v>-30082500</v>
      </c>
      <c r="M31" s="43" t="n">
        <f aca="false">M29+M30</f>
        <v>-29058750</v>
      </c>
      <c r="N31" s="43" t="n">
        <f aca="false">N29+N30</f>
        <v>-28035000</v>
      </c>
      <c r="O31" s="43" t="n">
        <f aca="false">O29+O30</f>
        <v>-27011250</v>
      </c>
      <c r="P31" s="43" t="n">
        <f aca="false">P29+P30</f>
        <v>-25987500</v>
      </c>
      <c r="Q31" s="43" t="n">
        <f aca="false">Q29+Q30</f>
        <v>-24963750</v>
      </c>
      <c r="R31" s="43" t="n">
        <f aca="false">R29+R30</f>
        <v>-23940000</v>
      </c>
      <c r="S31" s="43" t="n">
        <f aca="false">S29+S30</f>
        <v>-22916250</v>
      </c>
      <c r="T31" s="43" t="n">
        <f aca="false">T29+T30</f>
        <v>-21892500</v>
      </c>
      <c r="U31" s="43" t="n">
        <f aca="false">U29+U30</f>
        <v>-20868750</v>
      </c>
      <c r="V31" s="43" t="n">
        <f aca="false">V29+V30</f>
        <v>-19845000</v>
      </c>
      <c r="W31" s="43" t="n">
        <f aca="false">W29+W30</f>
        <v>-18821250</v>
      </c>
      <c r="X31" s="43" t="n">
        <f aca="false">X29+X30</f>
        <v>-17797500</v>
      </c>
      <c r="Y31" s="43" t="n">
        <f aca="false">Y29+Y30</f>
        <v>-16773750</v>
      </c>
      <c r="Z31" s="43" t="n">
        <f aca="false">Z29+Z30</f>
        <v>-0</v>
      </c>
      <c r="AA31" s="43" t="n">
        <f aca="false">AA29+AA30</f>
        <v>-0</v>
      </c>
      <c r="AB31" s="43" t="n">
        <f aca="false">AB29+AB30</f>
        <v>-0</v>
      </c>
      <c r="AC31" s="43" t="n">
        <f aca="false">AC29+AC30</f>
        <v>-0</v>
      </c>
      <c r="AD31" s="43" t="n">
        <f aca="false">AD29+AD30</f>
        <v>-0</v>
      </c>
      <c r="AE31" s="43" t="n">
        <f aca="false">AE29+AE30</f>
        <v>-0</v>
      </c>
      <c r="AF31" s="43" t="n">
        <f aca="false">AF29+AF30</f>
        <v>-0</v>
      </c>
    </row>
    <row r="32" customFormat="false" ht="15" hidden="false" customHeight="false" outlineLevel="0" collapsed="false">
      <c r="A32" s="5"/>
      <c r="B32" s="38" t="s">
        <v>241</v>
      </c>
      <c r="C32" s="39" t="n">
        <f aca="false">-DB_DSRA_Change</f>
        <v>-3412500</v>
      </c>
      <c r="D32" s="39" t="n">
        <f aca="false">-DB_DSRA_Change</f>
        <v>-3412500</v>
      </c>
      <c r="E32" s="39" t="n">
        <f aca="false">-DB_DSRA_Change</f>
        <v>-11287500</v>
      </c>
      <c r="F32" s="39" t="n">
        <f aca="false">-DB_DSRA_Change</f>
        <v>511875</v>
      </c>
      <c r="G32" s="39" t="n">
        <f aca="false">-DB_DSRA_Change</f>
        <v>511875</v>
      </c>
      <c r="H32" s="39" t="n">
        <f aca="false">-DB_DSRA_Change</f>
        <v>511875</v>
      </c>
      <c r="I32" s="39" t="n">
        <f aca="false">-DB_DSRA_Change</f>
        <v>511875</v>
      </c>
      <c r="J32" s="39" t="n">
        <f aca="false">-DB_DSRA_Change</f>
        <v>511875</v>
      </c>
      <c r="K32" s="39" t="n">
        <f aca="false">-DB_DSRA_Change</f>
        <v>511875</v>
      </c>
      <c r="L32" s="39" t="n">
        <f aca="false">-DB_DSRA_Change</f>
        <v>511875</v>
      </c>
      <c r="M32" s="39" t="n">
        <f aca="false">-DB_DSRA_Change</f>
        <v>511875</v>
      </c>
      <c r="N32" s="39" t="n">
        <f aca="false">-DB_DSRA_Change</f>
        <v>511875</v>
      </c>
      <c r="O32" s="39" t="n">
        <f aca="false">-DB_DSRA_Change</f>
        <v>511875</v>
      </c>
      <c r="P32" s="39" t="n">
        <f aca="false">-DB_DSRA_Change</f>
        <v>511875</v>
      </c>
      <c r="Q32" s="39" t="n">
        <f aca="false">-DB_DSRA_Change</f>
        <v>511875</v>
      </c>
      <c r="R32" s="39" t="n">
        <f aca="false">-DB_DSRA_Change</f>
        <v>511875</v>
      </c>
      <c r="S32" s="39" t="n">
        <f aca="false">-DB_DSRA_Change</f>
        <v>511875</v>
      </c>
      <c r="T32" s="39" t="n">
        <f aca="false">-DB_DSRA_Change</f>
        <v>511875</v>
      </c>
      <c r="U32" s="39" t="n">
        <f aca="false">-DB_DSRA_Change</f>
        <v>511875</v>
      </c>
      <c r="V32" s="39" t="n">
        <f aca="false">-DB_DSRA_Change</f>
        <v>511875</v>
      </c>
      <c r="W32" s="39" t="n">
        <f aca="false">-DB_DSRA_Change</f>
        <v>511875</v>
      </c>
      <c r="X32" s="39" t="n">
        <f aca="false">-DB_DSRA_Change</f>
        <v>511875</v>
      </c>
      <c r="Y32" s="39" t="n">
        <f aca="false">-DB_DSRA_Change</f>
        <v>8386875</v>
      </c>
      <c r="Z32" s="39" t="n">
        <f aca="false">-DB_DSRA_Change</f>
        <v>-0</v>
      </c>
      <c r="AA32" s="39" t="n">
        <f aca="false">-DB_DSRA_Change</f>
        <v>-0</v>
      </c>
      <c r="AB32" s="39" t="n">
        <f aca="false">-DB_DSRA_Change</f>
        <v>-0</v>
      </c>
      <c r="AC32" s="39" t="n">
        <f aca="false">-DB_DSRA_Change</f>
        <v>-0</v>
      </c>
      <c r="AD32" s="39" t="n">
        <f aca="false">-DB_DSRA_Change</f>
        <v>-0</v>
      </c>
      <c r="AE32" s="39" t="n">
        <f aca="false">-DB_DSRA_Change</f>
        <v>-0</v>
      </c>
      <c r="AF32" s="39" t="n">
        <f aca="false">-DB_DSRA_Change</f>
        <v>-0</v>
      </c>
    </row>
    <row r="33" customFormat="false" ht="15" hidden="false" customHeight="false" outlineLevel="0" collapsed="false">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customFormat="false" ht="15" hidden="false" customHeight="false" outlineLevel="0" collapsed="false">
      <c r="A34" s="5"/>
      <c r="B34" s="40" t="s">
        <v>256</v>
      </c>
      <c r="C34" s="41" t="n">
        <f aca="false">C27+C31+C32</f>
        <v>-153412500</v>
      </c>
      <c r="D34" s="41" t="n">
        <f aca="false">D27+D31+D32</f>
        <v>-160237500</v>
      </c>
      <c r="E34" s="41" t="n">
        <f aca="false">E27+E31+E32</f>
        <v>-174937500</v>
      </c>
      <c r="F34" s="41" t="n">
        <f aca="false">F27+F31+F32</f>
        <v>17102063.173516</v>
      </c>
      <c r="G34" s="41" t="n">
        <f aca="false">G27+G31+G32</f>
        <v>25376276.5699315</v>
      </c>
      <c r="H34" s="41" t="n">
        <f aca="false">H27+H31+H32</f>
        <v>29456116.7144116</v>
      </c>
      <c r="I34" s="41" t="n">
        <f aca="false">I27+I31+I32</f>
        <v>33737749.116123</v>
      </c>
      <c r="J34" s="41" t="n">
        <f aca="false">J27+J31+J32</f>
        <v>38233079.6894946</v>
      </c>
      <c r="K34" s="41" t="n">
        <f aca="false">K27+K31+K32</f>
        <v>42954705.2738397</v>
      </c>
      <c r="L34" s="41" t="n">
        <f aca="false">L27+L31+L32</f>
        <v>47915953.3055569</v>
      </c>
      <c r="M34" s="41" t="n">
        <f aca="false">M27+M31+M32</f>
        <v>53130923.7479109</v>
      </c>
      <c r="N34" s="41" t="n">
        <f aca="false">N27+N31+N32</f>
        <v>58614533.4056409</v>
      </c>
      <c r="O34" s="41" t="n">
        <f aca="false">O27+O31+O32</f>
        <v>64382562.7587319</v>
      </c>
      <c r="P34" s="41" t="n">
        <f aca="false">P27+P31+P32</f>
        <v>70451705.4571649</v>
      </c>
      <c r="Q34" s="41" t="n">
        <f aca="false">Q27+Q31+Q32</f>
        <v>74187261.1157711</v>
      </c>
      <c r="R34" s="41" t="n">
        <f aca="false">R27+R31+R32</f>
        <v>77320906.2716843</v>
      </c>
      <c r="S34" s="41" t="n">
        <f aca="false">S27+S31+S32</f>
        <v>80473109.8683918</v>
      </c>
      <c r="T34" s="41" t="n">
        <f aca="false">T27+T31+T32</f>
        <v>83690863.9009186</v>
      </c>
      <c r="U34" s="41" t="n">
        <f aca="false">U27+U31+U32</f>
        <v>83976209.1848393</v>
      </c>
      <c r="V34" s="41" t="n">
        <f aca="false">V27+V31+V32</f>
        <v>87331259.802248</v>
      </c>
      <c r="W34" s="41" t="n">
        <f aca="false">W27+W31+W32</f>
        <v>90758206.0641985</v>
      </c>
      <c r="X34" s="41" t="n">
        <f aca="false">X27+X31+X32</f>
        <v>94259317.6022149</v>
      </c>
      <c r="Y34" s="41" t="n">
        <f aca="false">Y27+Y31+Y32</f>
        <v>105711946.594706</v>
      </c>
      <c r="Z34" s="41" t="n">
        <f aca="false">Z27+Z31+Z32</f>
        <v>116731656.134391</v>
      </c>
      <c r="AA34" s="41" t="n">
        <f aca="false">AA27+AA31+AA32</f>
        <v>119701911.243114</v>
      </c>
      <c r="AB34" s="41" t="n">
        <f aca="false">AB27+AB31+AB32</f>
        <v>122756270.040737</v>
      </c>
      <c r="AC34" s="41" t="n">
        <f aca="false">AC27+AC31+AC32</f>
        <v>125897450.075082</v>
      </c>
      <c r="AD34" s="41" t="n">
        <f aca="false">AD27+AD31+AD32</f>
        <v>129128269.820233</v>
      </c>
      <c r="AE34" s="41" t="n">
        <f aca="false">AE27+AE31+AE32</f>
        <v>132451652.850844</v>
      </c>
      <c r="AF34" s="41" t="n">
        <f aca="false">AF27+AF31+AF32</f>
        <v>135870632.200426</v>
      </c>
    </row>
    <row r="35" customFormat="false" ht="15" hidden="false" customHeight="false" outlineLevel="0" collapsed="false">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customFormat="false" ht="15" hidden="false" customHeight="false" outlineLevel="0" collapsed="false">
      <c r="A36" s="5"/>
      <c r="B36" s="38" t="s">
        <v>132</v>
      </c>
      <c r="C36" s="39" t="n">
        <f aca="false">IF(C6=1,Equity_Injection,0)</f>
        <v>135000000</v>
      </c>
      <c r="D36" s="39" t="n">
        <f aca="false">IF(D6=1,Equity_Injection,0)</f>
        <v>0</v>
      </c>
      <c r="E36" s="39" t="n">
        <f aca="false">IF(E6=1,Equity_Injection,0)</f>
        <v>0</v>
      </c>
      <c r="F36" s="39" t="n">
        <f aca="false">IF(F6=1,Equity_Injection,0)</f>
        <v>0</v>
      </c>
      <c r="G36" s="39" t="n">
        <f aca="false">IF(G6=1,Equity_Injection,0)</f>
        <v>0</v>
      </c>
      <c r="H36" s="39" t="n">
        <f aca="false">IF(H6=1,Equity_Injection,0)</f>
        <v>0</v>
      </c>
      <c r="I36" s="39" t="n">
        <f aca="false">IF(I6=1,Equity_Injection,0)</f>
        <v>0</v>
      </c>
      <c r="J36" s="39" t="n">
        <f aca="false">IF(J6=1,Equity_Injection,0)</f>
        <v>0</v>
      </c>
      <c r="K36" s="39" t="n">
        <f aca="false">IF(K6=1,Equity_Injection,0)</f>
        <v>0</v>
      </c>
      <c r="L36" s="39" t="n">
        <f aca="false">IF(L6=1,Equity_Injection,0)</f>
        <v>0</v>
      </c>
      <c r="M36" s="39" t="n">
        <f aca="false">IF(M6=1,Equity_Injection,0)</f>
        <v>0</v>
      </c>
      <c r="N36" s="39" t="n">
        <f aca="false">IF(N6=1,Equity_Injection,0)</f>
        <v>0</v>
      </c>
      <c r="O36" s="39" t="n">
        <f aca="false">IF(O6=1,Equity_Injection,0)</f>
        <v>0</v>
      </c>
      <c r="P36" s="39" t="n">
        <f aca="false">IF(P6=1,Equity_Injection,0)</f>
        <v>0</v>
      </c>
      <c r="Q36" s="39" t="n">
        <f aca="false">IF(Q6=1,Equity_Injection,0)</f>
        <v>0</v>
      </c>
      <c r="R36" s="39" t="n">
        <f aca="false">IF(R6=1,Equity_Injection,0)</f>
        <v>0</v>
      </c>
      <c r="S36" s="39" t="n">
        <f aca="false">IF(S6=1,Equity_Injection,0)</f>
        <v>0</v>
      </c>
      <c r="T36" s="39" t="n">
        <f aca="false">IF(T6=1,Equity_Injection,0)</f>
        <v>0</v>
      </c>
      <c r="U36" s="39" t="n">
        <f aca="false">IF(U6=1,Equity_Injection,0)</f>
        <v>0</v>
      </c>
      <c r="V36" s="39" t="n">
        <f aca="false">IF(V6=1,Equity_Injection,0)</f>
        <v>0</v>
      </c>
      <c r="W36" s="39" t="n">
        <f aca="false">IF(W6=1,Equity_Injection,0)</f>
        <v>0</v>
      </c>
      <c r="X36" s="39" t="n">
        <f aca="false">IF(X6=1,Equity_Injection,0)</f>
        <v>0</v>
      </c>
      <c r="Y36" s="39" t="n">
        <f aca="false">IF(Y6=1,Equity_Injection,0)</f>
        <v>0</v>
      </c>
      <c r="Z36" s="39" t="n">
        <f aca="false">IF(Z6=1,Equity_Injection,0)</f>
        <v>0</v>
      </c>
      <c r="AA36" s="39" t="n">
        <f aca="false">IF(AA6=1,Equity_Injection,0)</f>
        <v>0</v>
      </c>
      <c r="AB36" s="39" t="n">
        <f aca="false">IF(AB6=1,Equity_Injection,0)</f>
        <v>0</v>
      </c>
      <c r="AC36" s="39" t="n">
        <f aca="false">IF(AC6=1,Equity_Injection,0)</f>
        <v>0</v>
      </c>
      <c r="AD36" s="39" t="n">
        <f aca="false">IF(AD6=1,Equity_Injection,0)</f>
        <v>0</v>
      </c>
      <c r="AE36" s="39" t="n">
        <f aca="false">IF(AE6=1,Equity_Injection,0)</f>
        <v>0</v>
      </c>
      <c r="AF36" s="39" t="n">
        <f aca="false">IF(AF6=1,Equity_Injection,0)</f>
        <v>0</v>
      </c>
    </row>
    <row r="37" customFormat="false" ht="15" hidden="false" customHeight="false" outlineLevel="0" collapsed="false">
      <c r="A37" s="5"/>
      <c r="B37" s="38" t="s">
        <v>257</v>
      </c>
      <c r="C37" s="39" t="n">
        <f aca="false">DB_Drawdown</f>
        <v>105000000</v>
      </c>
      <c r="D37" s="39" t="n">
        <f aca="false">DB_Drawdown</f>
        <v>105000000</v>
      </c>
      <c r="E37" s="39" t="n">
        <f aca="false">DB_Drawdown</f>
        <v>105000000</v>
      </c>
      <c r="F37" s="39" t="n">
        <f aca="false">DB_Drawdown</f>
        <v>0</v>
      </c>
      <c r="G37" s="39" t="n">
        <f aca="false">DB_Drawdown</f>
        <v>0</v>
      </c>
      <c r="H37" s="39" t="n">
        <f aca="false">DB_Drawdown</f>
        <v>0</v>
      </c>
      <c r="I37" s="39" t="n">
        <f aca="false">DB_Drawdown</f>
        <v>0</v>
      </c>
      <c r="J37" s="39" t="n">
        <f aca="false">DB_Drawdown</f>
        <v>0</v>
      </c>
      <c r="K37" s="39" t="n">
        <f aca="false">DB_Drawdown</f>
        <v>0</v>
      </c>
      <c r="L37" s="39" t="n">
        <f aca="false">DB_Drawdown</f>
        <v>0</v>
      </c>
      <c r="M37" s="39" t="n">
        <f aca="false">DB_Drawdown</f>
        <v>0</v>
      </c>
      <c r="N37" s="39" t="n">
        <f aca="false">DB_Drawdown</f>
        <v>0</v>
      </c>
      <c r="O37" s="39" t="n">
        <f aca="false">DB_Drawdown</f>
        <v>0</v>
      </c>
      <c r="P37" s="39" t="n">
        <f aca="false">DB_Drawdown</f>
        <v>0</v>
      </c>
      <c r="Q37" s="39" t="n">
        <f aca="false">DB_Drawdown</f>
        <v>0</v>
      </c>
      <c r="R37" s="39" t="n">
        <f aca="false">DB_Drawdown</f>
        <v>0</v>
      </c>
      <c r="S37" s="39" t="n">
        <f aca="false">DB_Drawdown</f>
        <v>0</v>
      </c>
      <c r="T37" s="39" t="n">
        <f aca="false">DB_Drawdown</f>
        <v>0</v>
      </c>
      <c r="U37" s="39" t="n">
        <f aca="false">DB_Drawdown</f>
        <v>0</v>
      </c>
      <c r="V37" s="39" t="n">
        <f aca="false">DB_Drawdown</f>
        <v>0</v>
      </c>
      <c r="W37" s="39" t="n">
        <f aca="false">DB_Drawdown</f>
        <v>0</v>
      </c>
      <c r="X37" s="39" t="n">
        <f aca="false">DB_Drawdown</f>
        <v>0</v>
      </c>
      <c r="Y37" s="39" t="n">
        <f aca="false">DB_Drawdown</f>
        <v>0</v>
      </c>
      <c r="Z37" s="39" t="n">
        <f aca="false">DB_Drawdown</f>
        <v>0</v>
      </c>
      <c r="AA37" s="39" t="n">
        <f aca="false">DB_Drawdown</f>
        <v>0</v>
      </c>
      <c r="AB37" s="39" t="n">
        <f aca="false">DB_Drawdown</f>
        <v>0</v>
      </c>
      <c r="AC37" s="39" t="n">
        <f aca="false">DB_Drawdown</f>
        <v>0</v>
      </c>
      <c r="AD37" s="39" t="n">
        <f aca="false">DB_Drawdown</f>
        <v>0</v>
      </c>
      <c r="AE37" s="39" t="n">
        <f aca="false">DB_Drawdown</f>
        <v>0</v>
      </c>
      <c r="AF37" s="39" t="n">
        <f aca="false">DB_Drawdown</f>
        <v>0</v>
      </c>
    </row>
    <row r="38" customFormat="false" ht="15" hidden="false" customHeight="false" outlineLevel="0" collapsed="false">
      <c r="A38" s="5"/>
      <c r="B38" s="42" t="s">
        <v>258</v>
      </c>
      <c r="C38" s="43" t="n">
        <f aca="false">C36+C37</f>
        <v>240000000</v>
      </c>
      <c r="D38" s="43" t="n">
        <f aca="false">D36+D37</f>
        <v>105000000</v>
      </c>
      <c r="E38" s="43" t="n">
        <f aca="false">E36+E37</f>
        <v>105000000</v>
      </c>
      <c r="F38" s="43" t="n">
        <f aca="false">F36+F37</f>
        <v>0</v>
      </c>
      <c r="G38" s="43" t="n">
        <f aca="false">G36+G37</f>
        <v>0</v>
      </c>
      <c r="H38" s="43" t="n">
        <f aca="false">H36+H37</f>
        <v>0</v>
      </c>
      <c r="I38" s="43" t="n">
        <f aca="false">I36+I37</f>
        <v>0</v>
      </c>
      <c r="J38" s="43" t="n">
        <f aca="false">J36+J37</f>
        <v>0</v>
      </c>
      <c r="K38" s="43" t="n">
        <f aca="false">K36+K37</f>
        <v>0</v>
      </c>
      <c r="L38" s="43" t="n">
        <f aca="false">L36+L37</f>
        <v>0</v>
      </c>
      <c r="M38" s="43" t="n">
        <f aca="false">M36+M37</f>
        <v>0</v>
      </c>
      <c r="N38" s="43" t="n">
        <f aca="false">N36+N37</f>
        <v>0</v>
      </c>
      <c r="O38" s="43" t="n">
        <f aca="false">O36+O37</f>
        <v>0</v>
      </c>
      <c r="P38" s="43" t="n">
        <f aca="false">P36+P37</f>
        <v>0</v>
      </c>
      <c r="Q38" s="43" t="n">
        <f aca="false">Q36+Q37</f>
        <v>0</v>
      </c>
      <c r="R38" s="43" t="n">
        <f aca="false">R36+R37</f>
        <v>0</v>
      </c>
      <c r="S38" s="43" t="n">
        <f aca="false">S36+S37</f>
        <v>0</v>
      </c>
      <c r="T38" s="43" t="n">
        <f aca="false">T36+T37</f>
        <v>0</v>
      </c>
      <c r="U38" s="43" t="n">
        <f aca="false">U36+U37</f>
        <v>0</v>
      </c>
      <c r="V38" s="43" t="n">
        <f aca="false">V36+V37</f>
        <v>0</v>
      </c>
      <c r="W38" s="43" t="n">
        <f aca="false">W36+W37</f>
        <v>0</v>
      </c>
      <c r="X38" s="43" t="n">
        <f aca="false">X36+X37</f>
        <v>0</v>
      </c>
      <c r="Y38" s="43" t="n">
        <f aca="false">Y36+Y37</f>
        <v>0</v>
      </c>
      <c r="Z38" s="43" t="n">
        <f aca="false">Z36+Z37</f>
        <v>0</v>
      </c>
      <c r="AA38" s="43" t="n">
        <f aca="false">AA36+AA37</f>
        <v>0</v>
      </c>
      <c r="AB38" s="43" t="n">
        <f aca="false">AB36+AB37</f>
        <v>0</v>
      </c>
      <c r="AC38" s="43" t="n">
        <f aca="false">AC36+AC37</f>
        <v>0</v>
      </c>
      <c r="AD38" s="43" t="n">
        <f aca="false">AD36+AD37</f>
        <v>0</v>
      </c>
      <c r="AE38" s="43" t="n">
        <f aca="false">AE36+AE37</f>
        <v>0</v>
      </c>
      <c r="AF38" s="43" t="n">
        <f aca="false">AF36+AF37</f>
        <v>0</v>
      </c>
    </row>
    <row r="39" customFormat="false" ht="15" hidden="false" customHeight="false" outlineLevel="0" collapsed="false">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customFormat="false" ht="15" hidden="false" customHeight="false" outlineLevel="0" collapsed="false">
      <c r="A40" s="5"/>
      <c r="B40" s="40" t="s">
        <v>259</v>
      </c>
      <c r="C40" s="41" t="n">
        <f aca="false">C34+C38</f>
        <v>86587500</v>
      </c>
      <c r="D40" s="41" t="n">
        <f aca="false">D34+D38</f>
        <v>-55237500</v>
      </c>
      <c r="E40" s="41" t="n">
        <f aca="false">E34+E38</f>
        <v>-69937500</v>
      </c>
      <c r="F40" s="41" t="n">
        <f aca="false">F34+F38</f>
        <v>17102063.173516</v>
      </c>
      <c r="G40" s="41" t="n">
        <f aca="false">G34+G38</f>
        <v>25376276.5699315</v>
      </c>
      <c r="H40" s="41" t="n">
        <f aca="false">H34+H38</f>
        <v>29456116.7144116</v>
      </c>
      <c r="I40" s="41" t="n">
        <f aca="false">I34+I38</f>
        <v>33737749.116123</v>
      </c>
      <c r="J40" s="41" t="n">
        <f aca="false">J34+J38</f>
        <v>38233079.6894946</v>
      </c>
      <c r="K40" s="41" t="n">
        <f aca="false">K34+K38</f>
        <v>42954705.2738397</v>
      </c>
      <c r="L40" s="41" t="n">
        <f aca="false">L34+L38</f>
        <v>47915953.3055569</v>
      </c>
      <c r="M40" s="41" t="n">
        <f aca="false">M34+M38</f>
        <v>53130923.7479109</v>
      </c>
      <c r="N40" s="41" t="n">
        <f aca="false">N34+N38</f>
        <v>58614533.4056409</v>
      </c>
      <c r="O40" s="41" t="n">
        <f aca="false">O34+O38</f>
        <v>64382562.7587319</v>
      </c>
      <c r="P40" s="41" t="n">
        <f aca="false">P34+P38</f>
        <v>70451705.4571649</v>
      </c>
      <c r="Q40" s="41" t="n">
        <f aca="false">Q34+Q38</f>
        <v>74187261.1157711</v>
      </c>
      <c r="R40" s="41" t="n">
        <f aca="false">R34+R38</f>
        <v>77320906.2716843</v>
      </c>
      <c r="S40" s="41" t="n">
        <f aca="false">S34+S38</f>
        <v>80473109.8683918</v>
      </c>
      <c r="T40" s="41" t="n">
        <f aca="false">T34+T38</f>
        <v>83690863.9009186</v>
      </c>
      <c r="U40" s="41" t="n">
        <f aca="false">U34+U38</f>
        <v>83976209.1848393</v>
      </c>
      <c r="V40" s="41" t="n">
        <f aca="false">V34+V38</f>
        <v>87331259.802248</v>
      </c>
      <c r="W40" s="41" t="n">
        <f aca="false">W34+W38</f>
        <v>90758206.0641985</v>
      </c>
      <c r="X40" s="41" t="n">
        <f aca="false">X34+X38</f>
        <v>94259317.6022149</v>
      </c>
      <c r="Y40" s="41" t="n">
        <f aca="false">Y34+Y38</f>
        <v>105711946.594706</v>
      </c>
      <c r="Z40" s="41" t="n">
        <f aca="false">Z34+Z38</f>
        <v>116731656.134391</v>
      </c>
      <c r="AA40" s="41" t="n">
        <f aca="false">AA34+AA38</f>
        <v>119701911.243114</v>
      </c>
      <c r="AB40" s="41" t="n">
        <f aca="false">AB34+AB38</f>
        <v>122756270.040737</v>
      </c>
      <c r="AC40" s="41" t="n">
        <f aca="false">AC34+AC38</f>
        <v>125897450.075082</v>
      </c>
      <c r="AD40" s="41" t="n">
        <f aca="false">AD34+AD38</f>
        <v>129128269.820233</v>
      </c>
      <c r="AE40" s="41" t="n">
        <f aca="false">AE34+AE38</f>
        <v>132451652.850844</v>
      </c>
      <c r="AF40" s="41" t="n">
        <f aca="false">AF34+AF38</f>
        <v>135870632.200426</v>
      </c>
    </row>
    <row r="41" customFormat="false" ht="15" hidden="false" customHeight="false" outlineLevel="0" collapsed="false">
      <c r="A41" s="5"/>
      <c r="B41" s="38" t="s">
        <v>260</v>
      </c>
      <c r="C41" s="39" t="n">
        <f aca="false">0</f>
        <v>0</v>
      </c>
      <c r="D41" s="39" t="n">
        <f aca="false">C42</f>
        <v>86587500</v>
      </c>
      <c r="E41" s="39" t="n">
        <f aca="false">D42</f>
        <v>31350000</v>
      </c>
      <c r="F41" s="39" t="n">
        <f aca="false">E42</f>
        <v>-38587500</v>
      </c>
      <c r="G41" s="39" t="n">
        <f aca="false">F42</f>
        <v>-21485436.826484</v>
      </c>
      <c r="H41" s="39" t="n">
        <f aca="false">G42</f>
        <v>3890839.74344748</v>
      </c>
      <c r="I41" s="39" t="n">
        <f aca="false">H42</f>
        <v>33346956.4578591</v>
      </c>
      <c r="J41" s="39" t="n">
        <f aca="false">I42</f>
        <v>67084705.5739821</v>
      </c>
      <c r="K41" s="39" t="n">
        <f aca="false">J42</f>
        <v>105317785.263477</v>
      </c>
      <c r="L41" s="39" t="n">
        <f aca="false">K42</f>
        <v>148272490.537316</v>
      </c>
      <c r="M41" s="39" t="n">
        <f aca="false">L42</f>
        <v>196188443.842873</v>
      </c>
      <c r="N41" s="39" t="n">
        <f aca="false">M42</f>
        <v>249319367.590784</v>
      </c>
      <c r="O41" s="39" t="n">
        <f aca="false">N42</f>
        <v>307933900.996425</v>
      </c>
      <c r="P41" s="39" t="n">
        <f aca="false">O42</f>
        <v>372316463.755157</v>
      </c>
      <c r="Q41" s="39" t="n">
        <f aca="false">P42</f>
        <v>442768169.212322</v>
      </c>
      <c r="R41" s="39" t="n">
        <f aca="false">Q42</f>
        <v>516955430.328093</v>
      </c>
      <c r="S41" s="39" t="n">
        <f aca="false">R42</f>
        <v>594276336.599777</v>
      </c>
      <c r="T41" s="39" t="n">
        <f aca="false">S42</f>
        <v>674749446.468169</v>
      </c>
      <c r="U41" s="39" t="n">
        <f aca="false">T42</f>
        <v>758440310.369088</v>
      </c>
      <c r="V41" s="39" t="n">
        <f aca="false">U42</f>
        <v>842416519.553927</v>
      </c>
      <c r="W41" s="39" t="n">
        <f aca="false">V42</f>
        <v>929747779.356175</v>
      </c>
      <c r="X41" s="39" t="n">
        <f aca="false">W42</f>
        <v>1020505985.42037</v>
      </c>
      <c r="Y41" s="39" t="n">
        <f aca="false">X42</f>
        <v>1114765303.02259</v>
      </c>
      <c r="Z41" s="39" t="n">
        <f aca="false">Y42</f>
        <v>1220477249.61729</v>
      </c>
      <c r="AA41" s="39" t="n">
        <f aca="false">Z42</f>
        <v>1337208905.75169</v>
      </c>
      <c r="AB41" s="39" t="n">
        <f aca="false">AA42</f>
        <v>1456910816.9948</v>
      </c>
      <c r="AC41" s="39" t="n">
        <f aca="false">AB42</f>
        <v>1579667087.03554</v>
      </c>
      <c r="AD41" s="39" t="n">
        <f aca="false">AC42</f>
        <v>1705564537.11062</v>
      </c>
      <c r="AE41" s="39" t="n">
        <f aca="false">AD42</f>
        <v>1834692806.93085</v>
      </c>
      <c r="AF41" s="39" t="n">
        <f aca="false">AE42</f>
        <v>1967144459.7817</v>
      </c>
    </row>
    <row r="42" customFormat="false" ht="15" hidden="false" customHeight="false" outlineLevel="0" collapsed="false">
      <c r="A42" s="5"/>
      <c r="B42" s="42" t="s">
        <v>261</v>
      </c>
      <c r="C42" s="43" t="n">
        <f aca="false">C41+C40</f>
        <v>86587500</v>
      </c>
      <c r="D42" s="43" t="n">
        <f aca="false">D41+D40</f>
        <v>31350000</v>
      </c>
      <c r="E42" s="43" t="n">
        <f aca="false">E41+E40</f>
        <v>-38587500</v>
      </c>
      <c r="F42" s="43" t="n">
        <f aca="false">F41+F40</f>
        <v>-21485436.826484</v>
      </c>
      <c r="G42" s="43" t="n">
        <f aca="false">G41+G40</f>
        <v>3890839.74344748</v>
      </c>
      <c r="H42" s="43" t="n">
        <f aca="false">H41+H40</f>
        <v>33346956.4578591</v>
      </c>
      <c r="I42" s="43" t="n">
        <f aca="false">I41+I40</f>
        <v>67084705.5739821</v>
      </c>
      <c r="J42" s="43" t="n">
        <f aca="false">J41+J40</f>
        <v>105317785.263477</v>
      </c>
      <c r="K42" s="43" t="n">
        <f aca="false">K41+K40</f>
        <v>148272490.537316</v>
      </c>
      <c r="L42" s="43" t="n">
        <f aca="false">L41+L40</f>
        <v>196188443.842873</v>
      </c>
      <c r="M42" s="43" t="n">
        <f aca="false">M41+M40</f>
        <v>249319367.590784</v>
      </c>
      <c r="N42" s="43" t="n">
        <f aca="false">N41+N40</f>
        <v>307933900.996425</v>
      </c>
      <c r="O42" s="43" t="n">
        <f aca="false">O41+O40</f>
        <v>372316463.755157</v>
      </c>
      <c r="P42" s="43" t="n">
        <f aca="false">P41+P40</f>
        <v>442768169.212322</v>
      </c>
      <c r="Q42" s="43" t="n">
        <f aca="false">Q41+Q40</f>
        <v>516955430.328093</v>
      </c>
      <c r="R42" s="43" t="n">
        <f aca="false">R41+R40</f>
        <v>594276336.599777</v>
      </c>
      <c r="S42" s="43" t="n">
        <f aca="false">S41+S40</f>
        <v>674749446.468169</v>
      </c>
      <c r="T42" s="43" t="n">
        <f aca="false">T41+T40</f>
        <v>758440310.369088</v>
      </c>
      <c r="U42" s="43" t="n">
        <f aca="false">U41+U40</f>
        <v>842416519.553927</v>
      </c>
      <c r="V42" s="43" t="n">
        <f aca="false">V41+V40</f>
        <v>929747779.356175</v>
      </c>
      <c r="W42" s="43" t="n">
        <f aca="false">W41+W40</f>
        <v>1020505985.42037</v>
      </c>
      <c r="X42" s="43" t="n">
        <f aca="false">X41+X40</f>
        <v>1114765303.02259</v>
      </c>
      <c r="Y42" s="43" t="n">
        <f aca="false">Y41+Y40</f>
        <v>1220477249.61729</v>
      </c>
      <c r="Z42" s="43" t="n">
        <f aca="false">Z41+Z40</f>
        <v>1337208905.75169</v>
      </c>
      <c r="AA42" s="43" t="n">
        <f aca="false">AA41+AA40</f>
        <v>1456910816.9948</v>
      </c>
      <c r="AB42" s="43" t="n">
        <f aca="false">AB41+AB40</f>
        <v>1579667087.03554</v>
      </c>
      <c r="AC42" s="43" t="n">
        <f aca="false">AC41+AC40</f>
        <v>1705564537.11062</v>
      </c>
      <c r="AD42" s="43" t="n">
        <f aca="false">AD41+AD40</f>
        <v>1834692806.93085</v>
      </c>
      <c r="AE42" s="43" t="n">
        <f aca="false">AE41+AE40</f>
        <v>1967144459.7817</v>
      </c>
      <c r="AF42" s="43" t="n">
        <f aca="false">AF41+AF40</f>
        <v>2103015091.98212</v>
      </c>
    </row>
    <row r="43" customFormat="false" ht="15" hidden="false" customHeight="false" outlineLevel="0" collapsed="false">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customFormat="false" ht="15" hidden="false" customHeight="false" outlineLevel="0" collapsed="false">
      <c r="A44" s="5"/>
      <c r="B44" s="38" t="s">
        <v>262</v>
      </c>
      <c r="C44" s="47" t="n">
        <f aca="false">IF(C31=0,0,-C27/C31)</f>
        <v>0</v>
      </c>
      <c r="D44" s="47" t="n">
        <f aca="false">IF(D31=0,0,-D27/D31)</f>
        <v>-21.978021978022</v>
      </c>
      <c r="E44" s="47" t="n">
        <f aca="false">IF(E31=0,0,-E27/E31)</f>
        <v>-10.989010989011</v>
      </c>
      <c r="F44" s="47" t="n">
        <f aca="false">IF(F31=0,0,-F27/F31)</f>
        <v>1.45797620906876</v>
      </c>
      <c r="G44" s="47" t="n">
        <f aca="false">IF(G31=0,0,-G27/G31)</f>
        <v>1.70634996115</v>
      </c>
      <c r="H44" s="47" t="n">
        <f aca="false">IF(H31=0,0,-H27/H31)</f>
        <v>1.84688001505118</v>
      </c>
      <c r="I44" s="47" t="n">
        <f aca="false">IF(I31=0,0,-I27/I31)</f>
        <v>2.00217544368655</v>
      </c>
      <c r="J44" s="47" t="n">
        <f aca="false">IF(J31=0,0,-J27/J31)</f>
        <v>2.17401819761888</v>
      </c>
      <c r="K44" s="47" t="n">
        <f aca="false">IF(K31=0,0,-K27/K31)</f>
        <v>2.36444702507823</v>
      </c>
      <c r="L44" s="47" t="n">
        <f aca="false">IF(L31=0,0,-L27/L31)</f>
        <v>2.57580248668019</v>
      </c>
      <c r="M44" s="47" t="n">
        <f aca="false">IF(M31=0,0,-M27/M31)</f>
        <v>2.81078156314057</v>
      </c>
      <c r="N44" s="47" t="n">
        <f aca="false">IF(N31=0,0,-N27/N31)</f>
        <v>3.07250431266777</v>
      </c>
      <c r="O44" s="47" t="n">
        <f aca="false">IF(O31=0,0,-O27/O31)</f>
        <v>3.36459577985957</v>
      </c>
      <c r="P44" s="47" t="n">
        <f aca="false">IF(P31=0,0,-P27/P31)</f>
        <v>3.69128736727907</v>
      </c>
      <c r="Q44" s="47" t="n">
        <f aca="false">IF(Q31=0,0,-Q27/Q31)</f>
        <v>3.95129482212292</v>
      </c>
      <c r="R44" s="47" t="n">
        <f aca="false">IF(R31=0,0,-R27/R31)</f>
        <v>4.20839729622741</v>
      </c>
      <c r="S44" s="47" t="n">
        <f aca="false">IF(S31=0,0,-S27/S31)</f>
        <v>4.48928096300188</v>
      </c>
      <c r="T44" s="47" t="n">
        <f aca="false">IF(T31=0,0,-T27/T31)</f>
        <v>4.79942852122501</v>
      </c>
      <c r="U44" s="47" t="n">
        <f aca="false">IF(U31=0,0,-U27/U31)</f>
        <v>4.99948890972575</v>
      </c>
      <c r="V44" s="47" t="n">
        <f aca="false">IF(V31=0,0,-V27/V31)</f>
        <v>5.37487451762399</v>
      </c>
      <c r="W44" s="47" t="n">
        <f aca="false">IF(W31=0,0,-W27/W31)</f>
        <v>5.79491697226266</v>
      </c>
      <c r="X44" s="47" t="n">
        <f aca="false">IF(X31=0,0,-X27/X31)</f>
        <v>6.26745006895434</v>
      </c>
      <c r="Y44" s="47" t="n">
        <f aca="false">IF(Y31=0,0,-Y27/Y31)</f>
        <v>6.802225000057</v>
      </c>
      <c r="Z44" s="47" t="n">
        <f aca="false">IF(Z31=0,0,-Z27/Z31)</f>
        <v>0</v>
      </c>
      <c r="AA44" s="47" t="n">
        <f aca="false">IF(AA31=0,0,-AA27/AA31)</f>
        <v>0</v>
      </c>
      <c r="AB44" s="47" t="n">
        <f aca="false">IF(AB31=0,0,-AB27/AB31)</f>
        <v>0</v>
      </c>
      <c r="AC44" s="47" t="n">
        <f aca="false">IF(AC31=0,0,-AC27/AC31)</f>
        <v>0</v>
      </c>
      <c r="AD44" s="47" t="n">
        <f aca="false">IF(AD31=0,0,-AD27/AD31)</f>
        <v>0</v>
      </c>
      <c r="AE44" s="47" t="n">
        <f aca="false">IF(AE31=0,0,-AE27/AE31)</f>
        <v>0</v>
      </c>
      <c r="AF44" s="47" t="n">
        <f aca="false">IF(AF31=0,0,-AF27/AF31)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2026-05-15T18:53:34Z</dcterms:created>
  <dc:creator>openpyxl</dc:creator>
  <dc:description/>
  <dc:language>en-GB</dc:language>
  <cp:lastModifiedBy/>
  <dcterms:modified xsi:type="dcterms:W3CDTF">2026-05-15T18:53:35Z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