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Revenue_Build" sheetId="3" state="visible" r:id="rId5"/>
    <sheet name="Cost_Build" sheetId="4" state="visible" r:id="rId6"/>
    <sheet name="Cash_Flow" sheetId="5" state="visible" r:id="rId7"/>
    <sheet name="Unit_Economics" sheetId="6" state="visible" r:id="rId8"/>
    <sheet name="Milestones" sheetId="7" state="visible" r:id="rId9"/>
    <sheet name="Disclaimer" sheetId="8" state="visible" r:id="rId10"/>
  </sheets>
  <definedNames>
    <definedName function="false" hidden="false" name="API_Costs" vbProcedure="false">Assumptions!$C$43</definedName>
    <definedName function="false" hidden="false" name="ARPU_Monthly" vbProcedure="false">Assumptions!$C$22</definedName>
    <definedName function="false" hidden="false" name="Avg_Salary" vbProcedure="false">Assumptions!$C$35</definedName>
    <definedName function="false" hidden="false" name="Benefits_Rate" vbProcedure="false">Assumptions!$C$36</definedName>
    <definedName function="false" hidden="false" name="CB_Date" vbProcedure="false">OFFSET(Cost_Build!$C$5,0,0,1,24)</definedName>
    <definedName function="false" hidden="false" name="CB_EBITDA" vbProcedure="false">OFFSET(Cost_Build!$C$36,0,0,1,24)</definedName>
    <definedName function="false" hidden="false" name="CB_Gross_Profit" vbProcedure="false">OFFSET(Cost_Build!$C$35,0,0,1,24)</definedName>
    <definedName function="false" hidden="false" name="CB_Headcount" vbProcedure="false">OFFSET(Cost_Build!$C$9,0,0,1,24)</definedName>
    <definedName function="false" hidden="false" name="CB_Mkt_Spend" vbProcedure="false">OFFSET(Cost_Build!$C$23,0,0,1,24)</definedName>
    <definedName function="false" hidden="false" name="CB_Month" vbProcedure="false">OFFSET(Cost_Build!$C$6,0,0,1,24)</definedName>
    <definedName function="false" hidden="false" name="CB_Total_GA" vbProcedure="false">OFFSET(Cost_Build!$C$31,0,0,1,24)</definedName>
    <definedName function="false" hidden="false" name="CB_Total_Infra" vbProcedure="false">OFFSET(Cost_Build!$C$20,0,0,1,24)</definedName>
    <definedName function="false" hidden="false" name="CB_Total_Mkt" vbProcedure="false">OFFSET(Cost_Build!$C$24,0,0,1,24)</definedName>
    <definedName function="false" hidden="false" name="CB_Total_Opex" vbProcedure="false">OFFSET(Cost_Build!$C$34,0,0,1,24)</definedName>
    <definedName function="false" hidden="false" name="CB_Total_Team" vbProcedure="false">OFFSET(Cost_Build!$C$13,0,0,1,24)</definedName>
    <definedName function="false" hidden="false" name="CF_Burn_3M" vbProcedure="false">OFFSET(Cash_Flow!$C$19,0,0,1,24)</definedName>
    <definedName function="false" hidden="false" name="CF_Closing" vbProcedure="false">OFFSET(Cash_Flow!$C$14,0,0,1,24)</definedName>
    <definedName function="false" hidden="false" name="CF_Gross_Burn" vbProcedure="false">OFFSET(Cash_Flow!$C$17,0,0,1,24)</definedName>
    <definedName function="false" hidden="false" name="CF_Month" vbProcedure="false">OFFSET(Cash_Flow!$C$6,0,0,1,24)</definedName>
    <definedName function="false" hidden="false" name="CF_Net_Burn" vbProcedure="false">OFFSET(Cash_Flow!$C$18,0,0,1,24)</definedName>
    <definedName function="false" hidden="false" name="CF_Net_Cash" vbProcedure="false">OFFSET(Cash_Flow!$C$13,0,0,1,24)</definedName>
    <definedName function="false" hidden="false" name="CF_Opening" vbProcedure="false">OFFSET(Cash_Flow!$C$9,0,0,1,24)</definedName>
    <definedName function="false" hidden="false" name="CF_Opex_Outflow" vbProcedure="false">OFFSET(Cash_Flow!$C$12,0,0,1,24)</definedName>
    <definedName function="false" hidden="false" name="CF_Preseed" vbProcedure="false">OFFSET(Cash_Flow!$C$10,0,0,1,24)</definedName>
    <definedName function="false" hidden="false" name="CF_Rev_Inflow" vbProcedure="false">OFFSET(Cash_Flow!$C$11,0,0,1,24)</definedName>
    <definedName function="false" hidden="false" name="CF_Runway" vbProcedure="false">OFFSET(Cash_Flow!$C$20,0,0,1,24)</definedName>
    <definedName function="false" hidden="false" name="Cust_Growth_Rate" vbProcedure="false">Assumptions!$C$21</definedName>
    <definedName function="false" hidden="false" name="Founder_Count" vbProcedure="false">Assumptions!$C$31</definedName>
    <definedName function="false" hidden="false" name="Hires_Per_Round" vbProcedure="false">Assumptions!$C$34</definedName>
    <definedName function="false" hidden="false" name="Hire_Interval" vbProcedure="false">Assumptions!$C$33</definedName>
    <definedName function="false" hidden="false" name="Hosting_Base" vbProcedure="false">Assumptions!$C$40</definedName>
    <definedName function="false" hidden="false" name="Hosting_Var_Pct" vbProcedure="false">Assumptions!$C$41</definedName>
    <definedName function="false" hidden="false" name="Initial_Hires" vbProcedure="false">Assumptions!$C$32</definedName>
    <definedName function="false" hidden="false" name="Insurance_Cost" vbProcedure="false">Assumptions!$C$48</definedName>
    <definedName function="false" hidden="false" name="Legal_Cost" vbProcedure="false">Assumptions!$C$47</definedName>
    <definedName function="false" hidden="false" name="Misc_Cost" vbProcedure="false">Assumptions!$C$49</definedName>
    <definedName function="false" hidden="false" name="Mkt_Base" vbProcedure="false">Assumptions!$C$27</definedName>
    <definedName function="false" hidden="false" name="Mkt_Growth_Rate" vbProcedure="false">Assumptions!$C$28</definedName>
    <definedName function="false" hidden="false" name="Model_Start_Date" vbProcedure="false">Assumptions!$C$8</definedName>
    <definedName function="false" hidden="false" name="Monthly_Churn" vbProcedure="false">Assumptions!$C$23</definedName>
    <definedName function="false" hidden="false" name="New_Cust_M1" vbProcedure="false">Assumptions!$C$20</definedName>
    <definedName function="false" hidden="false" name="Office_Cost" vbProcedure="false">Assumptions!$C$46</definedName>
    <definedName function="false" hidden="false" name="Preseed_Amount" vbProcedure="false">Assumptions!$C$13</definedName>
    <definedName function="false" hidden="false" name="Preseed_Month" vbProcedure="false">Assumptions!$C$14</definedName>
    <definedName function="false" hidden="false" name="Projection_Months" vbProcedure="false">Assumptions!$C$9</definedName>
    <definedName function="false" hidden="false" name="RB_ARPU" vbProcedure="false">OFFSET(Revenue_Build!$C$14,0,0,1,24)</definedName>
    <definedName function="false" hidden="false" name="RB_ARR" vbProcedure="false">OFFSET(Revenue_Build!$C$20,0,0,1,24)</definedName>
    <definedName function="false" hidden="false" name="RB_Churned" vbProcedure="false">OFFSET(Revenue_Build!$C$10,0,0,1,24)</definedName>
    <definedName function="false" hidden="false" name="RB_Date" vbProcedure="false">OFFSET(Revenue_Build!$C$5,0,0,1,24)</definedName>
    <definedName function="false" hidden="false" name="RB_Month" vbProcedure="false">OFFSET(Revenue_Build!$C$6,0,0,1,24)</definedName>
    <definedName function="false" hidden="false" name="RB_New_Cust" vbProcedure="false">OFFSET(Revenue_Build!$C$9,0,0,1,24)</definedName>
    <definedName function="false" hidden="false" name="RB_Setup_Rev" vbProcedure="false">OFFSET(Revenue_Build!$C$16,0,0,1,24)</definedName>
    <definedName function="false" hidden="false" name="RB_Sub_MRR" vbProcedure="false">OFFSET(Revenue_Build!$C$15,0,0,1,24)</definedName>
    <definedName function="false" hidden="false" name="RB_Total_Cust" vbProcedure="false">OFFSET(Revenue_Build!$C$11,0,0,1,24)</definedName>
    <definedName function="false" hidden="false" name="RB_Total_Rev" vbProcedure="false">OFFSET(Revenue_Build!$C$17,0,0,1,24)</definedName>
    <definedName function="false" hidden="false" name="Salary_Escalation" vbProcedure="false">Assumptions!$C$37</definedName>
    <definedName function="false" hidden="false" name="Seed_Target" vbProcedure="false">Assumptions!$C$15</definedName>
    <definedName function="false" hidden="false" name="Seed_Timing" vbProcedure="false">Assumptions!$C$16</definedName>
    <definedName function="false" hidden="false" name="Setup_Fee" vbProcedure="false">Assumptions!$C$24</definedName>
    <definedName function="false" hidden="false" name="Software_Tools" vbProcedure="false">Assumptions!$C$42</definedName>
    <definedName function="false" hidden="false" name="Starting_Cash" vbProcedure="false">Assumptions!$C$10</definedName>
    <definedName function="false" hidden="false" name="Starting_Customers" vbProcedure="false">Assumptions!$C$19</definedName>
    <definedName function="false" hidden="false" name="Target_ARR" vbProcedure="false">Assumptions!$C$52</definedName>
    <definedName function="false" hidden="false" name="Target_Customers" vbProcedure="false">Assumptions!$C$53</definedName>
    <definedName function="false" hidden="false" name="Target_Runway" vbProcedure="false">Assumptions!$C$54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<sst xmlns="http://schemas.openxmlformats.org/spreadsheetml/2006/main" count="255" uniqueCount="203">
  <si>
    <t xml:space="preserve">Pre-Seed Pitch Model</t>
  </si>
  <si>
    <t xml:space="preserve">FINAMODEL.com</t>
  </si>
  <si>
    <t xml:space="preserve">24-Month Projections</t>
  </si>
  <si>
    <t xml:space="preserve">Sheet Guide</t>
  </si>
  <si>
    <t xml:space="preserve">Cover</t>
  </si>
  <si>
    <t xml:space="preserve">Title and navigation</t>
  </si>
  <si>
    <t xml:space="preserve">Assumptions</t>
  </si>
  <si>
    <t xml:space="preserve">Key model parameters</t>
  </si>
  <si>
    <t xml:space="preserve">Revenue_Build</t>
  </si>
  <si>
    <t xml:space="preserve">Customer &amp; revenue projections</t>
  </si>
  <si>
    <t xml:space="preserve">Cost_Build</t>
  </si>
  <si>
    <t xml:space="preserve">Team, infrastructure, G&amp;A costs</t>
  </si>
  <si>
    <t xml:space="preserve">Cash_Flow</t>
  </si>
  <si>
    <t xml:space="preserve">Cash position &amp; runway analysis</t>
  </si>
  <si>
    <t xml:space="preserve">Unit_Economics</t>
  </si>
  <si>
    <t xml:space="preserve">CAC, LTV, payback metrics</t>
  </si>
  <si>
    <t xml:space="preserve">Milestones</t>
  </si>
  <si>
    <t xml:space="preserve">Seed readiness tracking</t>
  </si>
  <si>
    <t xml:space="preserve">About this model</t>
  </si>
  <si>
    <t xml:space="preserve">Model early-stage startup cash flow with monthly granularity, tracking customer acquisition, retention, and unit economics through to cash runway and funding milestones. This template projects revenue growth from near-zero to profitability, models headcount and payroll expansion by function (product, sales, support), and forecasts monthly burn rate with explicit operating expense budgeting for fixed and discretionary costs. It calculates runway (months of cash at burn rate), identifies funding milestone timing, and models dilution from future equity rounds.
The workbook contains a revenue sheet showing customer growth curves and cohort retention, a payroll budget with function-level headcount and salary assumptions, an operating expense ledger (rent, cloud services, marketing), and cash flow projections showing monthly movements. The model produces key metrics for investor pitch decks: CAC (customer acquisition cost), LTV (lifetime value), CAC payback period, and path-to-profitability months. It explicitly handles pre-launch burn, ramp curves, and multiple scenario states (worst-case, base, upside on growth rate or CAC).
Target users are startup founders, seed-stage VCs, and angel investors evaluating pre-revenue companies or early-revenue startups with post-money valuations typically $5M to $50M.</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</si>
  <si>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</si>
  <si>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</si>
  <si>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</si>
  <si>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</si>
  <si>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Model Parameters</t>
  </si>
  <si>
    <t xml:space="preserve">Parameter</t>
  </si>
  <si>
    <t xml:space="preserve">Value</t>
  </si>
  <si>
    <t xml:space="preserve">Unit</t>
  </si>
  <si>
    <t xml:space="preserve">Notes</t>
  </si>
  <si>
    <t xml:space="preserve">General</t>
  </si>
  <si>
    <t xml:space="preserve">Model Start Date</t>
  </si>
  <si>
    <t xml:space="preserve">First projection month</t>
  </si>
  <si>
    <t xml:space="preserve">Projection Period</t>
  </si>
  <si>
    <t xml:space="preserve">months</t>
  </si>
  <si>
    <t xml:space="preserve">Monthly forecast horizon</t>
  </si>
  <si>
    <t xml:space="preserve">Starting Cash</t>
  </si>
  <si>
    <t xml:space="preserve">$</t>
  </si>
  <si>
    <t xml:space="preserve">Pre-funding bank balance</t>
  </si>
  <si>
    <t xml:space="preserve">Funding</t>
  </si>
  <si>
    <t xml:space="preserve">Pre-Seed Round</t>
  </si>
  <si>
    <t xml:space="preserve">SAFE or priced equity</t>
  </si>
  <si>
    <t xml:space="preserve">Pre-Seed Closing</t>
  </si>
  <si>
    <t xml:space="preserve">month</t>
  </si>
  <si>
    <t xml:space="preserve">Month of funding inflow</t>
  </si>
  <si>
    <t xml:space="preserve">Seed Round Target</t>
  </si>
  <si>
    <t xml:space="preserve">Next round raise target</t>
  </si>
  <si>
    <t xml:space="preserve">Seed Round Timing</t>
  </si>
  <si>
    <t xml:space="preserve">Target month for seed</t>
  </si>
  <si>
    <t xml:space="preserve">Revenue</t>
  </si>
  <si>
    <t xml:space="preserve">Starting Customers</t>
  </si>
  <si>
    <t xml:space="preserve">#</t>
  </si>
  <si>
    <t xml:space="preserve">Existing at month 1</t>
  </si>
  <si>
    <t xml:space="preserve">New Customers (M1)</t>
  </si>
  <si>
    <t xml:space="preserve">#/mo</t>
  </si>
  <si>
    <t xml:space="preserve">Month 1 new signups</t>
  </si>
  <si>
    <t xml:space="preserve">Customer Growth Rate</t>
  </si>
  <si>
    <t xml:space="preserve">%/mo</t>
  </si>
  <si>
    <t xml:space="preserve">MoM growth in new signups</t>
  </si>
  <si>
    <t xml:space="preserve">ARPU</t>
  </si>
  <si>
    <t xml:space="preserve">$/mo</t>
  </si>
  <si>
    <t xml:space="preserve">Avg revenue per user</t>
  </si>
  <si>
    <t xml:space="preserve">Monthly Churn Rate</t>
  </si>
  <si>
    <t xml:space="preserve">Gross customer churn</t>
  </si>
  <si>
    <t xml:space="preserve">Setup Fee</t>
  </si>
  <si>
    <t xml:space="preserve">One-time onboarding fee</t>
  </si>
  <si>
    <t xml:space="preserve">Marketing</t>
  </si>
  <si>
    <t xml:space="preserve">Marketing (Base)</t>
  </si>
  <si>
    <t xml:space="preserve">Content, events, ads</t>
  </si>
  <si>
    <t xml:space="preserve">Marketing Growth</t>
  </si>
  <si>
    <t xml:space="preserve">Monthly spend increase</t>
  </si>
  <si>
    <t xml:space="preserve">Team</t>
  </si>
  <si>
    <t xml:space="preserve">Founders</t>
  </si>
  <si>
    <t xml:space="preserve">Full-time co-founders</t>
  </si>
  <si>
    <t xml:space="preserve">Initial Hires</t>
  </si>
  <si>
    <t xml:space="preserve">Non-founder employees at start</t>
  </si>
  <si>
    <t xml:space="preserve">Hire Interval</t>
  </si>
  <si>
    <t xml:space="preserve">Months between hiring rounds</t>
  </si>
  <si>
    <t xml:space="preserve">Hires Per Round</t>
  </si>
  <si>
    <t xml:space="preserve">New FTEs per hiring round</t>
  </si>
  <si>
    <t xml:space="preserve">Avg Monthly Salary</t>
  </si>
  <si>
    <t xml:space="preserve">Blended avg (founders + team)</t>
  </si>
  <si>
    <t xml:space="preserve">Benefits Loading</t>
  </si>
  <si>
    <t xml:space="preserve">% of salary</t>
  </si>
  <si>
    <t xml:space="preserve">Tax, insurance, benefits</t>
  </si>
  <si>
    <t xml:space="preserve">Annual Salary Increase</t>
  </si>
  <si>
    <t xml:space="preserve">%/yr</t>
  </si>
  <si>
    <t xml:space="preserve">Yearly escalation</t>
  </si>
  <si>
    <t xml:space="preserve">Infrastructure</t>
  </si>
  <si>
    <t xml:space="preserve">Hosting (Fixed)</t>
  </si>
  <si>
    <t xml:space="preserve">Cloud infrastructure</t>
  </si>
  <si>
    <t xml:space="preserve">Hosting (Variable)</t>
  </si>
  <si>
    <t xml:space="preserve">% of MRR</t>
  </si>
  <si>
    <t xml:space="preserve">Scales with revenue</t>
  </si>
  <si>
    <t xml:space="preserve">Software Tools</t>
  </si>
  <si>
    <t xml:space="preserve">SaaS subscriptions</t>
  </si>
  <si>
    <t xml:space="preserve">API Costs</t>
  </si>
  <si>
    <t xml:space="preserve">Third-party APIs</t>
  </si>
  <si>
    <t xml:space="preserve">General &amp; Admin</t>
  </si>
  <si>
    <t xml:space="preserve">Office / Remote</t>
  </si>
  <si>
    <t xml:space="preserve">Co-working or stipends</t>
  </si>
  <si>
    <t xml:space="preserve">Legal &amp; Accounting</t>
  </si>
  <si>
    <t xml:space="preserve">Monthly retainers</t>
  </si>
  <si>
    <t xml:space="preserve">Insurance</t>
  </si>
  <si>
    <t xml:space="preserve">D&amp;O, liability</t>
  </si>
  <si>
    <t xml:space="preserve">Miscellaneous</t>
  </si>
  <si>
    <t xml:space="preserve">Travel, supplies</t>
  </si>
  <si>
    <t xml:space="preserve">Seed Milestones</t>
  </si>
  <si>
    <t xml:space="preserve">Target ARR</t>
  </si>
  <si>
    <t xml:space="preserve">ARR goal for seed raise</t>
  </si>
  <si>
    <t xml:space="preserve">Target Customers</t>
  </si>
  <si>
    <t xml:space="preserve">Customer count goal</t>
  </si>
  <si>
    <t xml:space="preserve">Target Runway</t>
  </si>
  <si>
    <t xml:space="preserve">Min runway at seed timing</t>
  </si>
  <si>
    <t xml:space="preserve">Revenue Build</t>
  </si>
  <si>
    <t xml:space="preserve">Customer &amp; Revenue</t>
  </si>
  <si>
    <t xml:space="preserve">Date</t>
  </si>
  <si>
    <t xml:space="preserve">Month #</t>
  </si>
  <si>
    <t xml:space="preserve">Customer Metrics</t>
  </si>
  <si>
    <t xml:space="preserve">New Customers</t>
  </si>
  <si>
    <t xml:space="preserve">Churned Customers</t>
  </si>
  <si>
    <t xml:space="preserve">Total Customers</t>
  </si>
  <si>
    <t xml:space="preserve">Subscription MRR</t>
  </si>
  <si>
    <t xml:space="preserve">Setup Revenue</t>
  </si>
  <si>
    <t xml:space="preserve">TOTAL REVENUE</t>
  </si>
  <si>
    <t xml:space="preserve">Annualised Metrics</t>
  </si>
  <si>
    <t xml:space="preserve">ARR</t>
  </si>
  <si>
    <t xml:space="preserve">Cost Build</t>
  </si>
  <si>
    <t xml:space="preserve">Operating Expenses</t>
  </si>
  <si>
    <t xml:space="preserve">Team Costs</t>
  </si>
  <si>
    <t xml:space="preserve">Headcount</t>
  </si>
  <si>
    <t xml:space="preserve">Monthly Salary</t>
  </si>
  <si>
    <t xml:space="preserve">Gross Salaries</t>
  </si>
  <si>
    <t xml:space="preserve">Benefits &amp; Tax</t>
  </si>
  <si>
    <t xml:space="preserve">Total Team Costs</t>
  </si>
  <si>
    <t xml:space="preserve">Total Infrastructure</t>
  </si>
  <si>
    <t xml:space="preserve">Marketing Spend</t>
  </si>
  <si>
    <t xml:space="preserve">Total Marketing</t>
  </si>
  <si>
    <t xml:space="preserve">Total G&amp;A</t>
  </si>
  <si>
    <t xml:space="preserve">Operating Summary</t>
  </si>
  <si>
    <t xml:space="preserve">TOTAL OPEX</t>
  </si>
  <si>
    <t xml:space="preserve">Gross Profit</t>
  </si>
  <si>
    <t xml:space="preserve">EBITDA</t>
  </si>
  <si>
    <t xml:space="preserve">Cash Flow</t>
  </si>
  <si>
    <t xml:space="preserve">Cash &amp; Runway</t>
  </si>
  <si>
    <t xml:space="preserve">Cash Position</t>
  </si>
  <si>
    <t xml:space="preserve">Opening Cash</t>
  </si>
  <si>
    <t xml:space="preserve">Pre-Seed Funding</t>
  </si>
  <si>
    <t xml:space="preserve">Revenue Inflow</t>
  </si>
  <si>
    <t xml:space="preserve">OpEx Outflow</t>
  </si>
  <si>
    <t xml:space="preserve">Net Cash Flow</t>
  </si>
  <si>
    <t xml:space="preserve">CLOSING CASH</t>
  </si>
  <si>
    <t xml:space="preserve">Burn Analysis</t>
  </si>
  <si>
    <t xml:space="preserve">Gross Burn</t>
  </si>
  <si>
    <t xml:space="preserve">Net Burn</t>
  </si>
  <si>
    <t xml:space="preserve">Net Burn (3M Avg)</t>
  </si>
  <si>
    <t xml:space="preserve">Runway (Months)</t>
  </si>
  <si>
    <t xml:space="preserve">Cash Depleted?</t>
  </si>
  <si>
    <t xml:space="preserve">Unit Economics</t>
  </si>
  <si>
    <t xml:space="preserve">Per-Customer Metrics</t>
  </si>
  <si>
    <t xml:space="preserve">Acquisition Metrics</t>
  </si>
  <si>
    <t xml:space="preserve">CAC</t>
  </si>
  <si>
    <t xml:space="preserve">Monthly ARPU</t>
  </si>
  <si>
    <t xml:space="preserve">COGS / Customer</t>
  </si>
  <si>
    <t xml:space="preserve">Gross Margin / Cust</t>
  </si>
  <si>
    <t xml:space="preserve">Lifetime Value</t>
  </si>
  <si>
    <t xml:space="preserve">LTV</t>
  </si>
  <si>
    <t xml:space="preserve">LTV : CAC</t>
  </si>
  <si>
    <t xml:space="preserve">Payback (Months)</t>
  </si>
  <si>
    <t xml:space="preserve">Efficiency Metrics</t>
  </si>
  <si>
    <t xml:space="preserve">Revenue / Employee</t>
  </si>
  <si>
    <t xml:space="preserve">OpEx / Employee</t>
  </si>
  <si>
    <t xml:space="preserve">Burn Multiple</t>
  </si>
  <si>
    <t xml:space="preserve">Seed Readiness</t>
  </si>
  <si>
    <t xml:space="preserve">ARR Tracking</t>
  </si>
  <si>
    <t xml:space="preserve">Current ARR</t>
  </si>
  <si>
    <t xml:space="preserve">ARR Status</t>
  </si>
  <si>
    <t xml:space="preserve">Customer Tracking</t>
  </si>
  <si>
    <t xml:space="preserve">Current Customers</t>
  </si>
  <si>
    <t xml:space="preserve">Customer Status</t>
  </si>
  <si>
    <t xml:space="preserve">Monthly Net Burn</t>
  </si>
  <si>
    <t xml:space="preserve">Runway Status</t>
  </si>
  <si>
    <t xml:space="preserve">Growth Metrics</t>
  </si>
  <si>
    <t xml:space="preserve">ARR MoM Growth</t>
  </si>
  <si>
    <t xml:space="preserve">Net Revenue Retention</t>
  </si>
  <si>
    <t xml:space="preserve">Seed Target Month</t>
  </si>
  <si>
    <t xml:space="preserve">Seed Ready?</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</si>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</sst>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9">
    <numFmt numFmtId="164" formatCode="General"/>
    <numFmt numFmtId="165" formatCode="yyyy\-mm\-dd"/>
    <numFmt numFmtId="166" formatCode="#,##0.00"/>
    <numFmt numFmtId="167" formatCode="\$#,##0.00"/>
    <numFmt numFmtId="168" formatCode="0.00%"/>
    <numFmt numFmtId="169" formatCode="mmm\-yy"/>
    <numFmt numFmtId="170" formatCode="#,##0.0"/>
    <numFmt numFmtId="171" formatCode="@"/>
    <numFmt numFmtId="172" formatCode="0.00\x"/>
  </numFmts>
  <fonts count="29">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1"/>
      <color theme="0"/>
      <name val="Arial"/>
      <family val="0"/>
      <charset val="1"/>
    </font>
    <font>
      <sz val="11"/>
      <color theme="1"/>
      <name val="Arial"/>
      <family val="0"/>
      <charset val="1"/>
    </font>
    <font>
      <b val="true"/>
      <sz val="12"/>
      <name val="Arial"/>
      <family val="0"/>
      <charset val="1"/>
    </font>
    <font>
      <b val="true"/>
      <sz val="11"/>
      <color theme="0"/>
      <name val="Arial"/>
      <family val="0"/>
      <charset val="1"/>
    </font>
    <font>
      <b val="true"/>
      <sz val="11"/>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1"/>
      <color theme="3"/>
      <name val="Arial"/>
      <family val="0"/>
      <charset val="1"/>
    </font>
    <font>
      <sz val="11"/>
      <color theme="3"/>
      <name val="Arial"/>
      <family val="0"/>
      <charset val="1"/>
    </font>
    <font>
      <i val="true"/>
      <sz val="11"/>
      <color rgb="FF808080"/>
      <name val="Arial"/>
      <family val="0"/>
      <charset val="1"/>
    </font>
    <font>
      <b val="true"/>
      <sz val="11"/>
      <color rgb="FF808080"/>
      <name val="Arial"/>
      <family val="0"/>
      <charset val="1"/>
    </font>
    <font>
      <sz val="11"/>
      <color rgb="FF80808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14">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FF0000"/>
        <bgColor rgb="FF993300"/>
      </patternFill>
    </fill>
    <fill>
      <patternFill patternType="solid">
        <fgColor rgb="FF7030A0"/>
        <bgColor rgb="FF993366"/>
      </patternFill>
    </fill>
    <fill>
      <patternFill patternType="solid">
        <fgColor rgb="FFA5A5A5"/>
        <bgColor rgb="FFC0C0C0"/>
      </patternFill>
    </fill>
    <fill>
      <patternFill patternType="solid">
        <fgColor rgb="FFD6E4F0"/>
        <bgColor rgb="FFD6EAF8"/>
      </patternFill>
    </fill>
    <fill>
      <patternFill patternType="solid">
        <fgColor rgb="FFD6EAF8"/>
        <bgColor rgb="FFD6E4F0"/>
      </patternFill>
    </fill>
    <fill>
      <patternFill patternType="solid">
        <fgColor rgb="FFEBF5FB"/>
        <bgColor rgb="FFF2F2F2"/>
      </patternFill>
    </fill>
    <fill>
      <patternFill patternType="solid">
        <fgColor rgb="FF1F4E79"/>
        <bgColor rgb="FF1F497D"/>
      </patternFill>
    </fill>
    <fill>
      <patternFill patternType="solid">
        <fgColor rgb="FFF2F2F2"/>
        <bgColor rgb="FFEBF5FB"/>
      </patternFill>
    </fill>
  </fills>
  <borders count="4">
    <border diagonalUp="false" diagonalDown="false">
      <left/>
      <right/>
      <top/>
      <bottom/>
      <diagonal/>
    </border>
    <border diagonalUp="false" diagonalDown="false">
      <left/>
      <right/>
      <top style="thin"/>
      <bottom/>
      <diagonal/>
    </border>
    <border diagonalUp="false" diagonalDown="false">
      <left/>
      <right/>
      <top style="double"/>
      <bottom/>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12" fillId="3" borderId="0" xfId="0" applyFont="true" applyBorder="false" applyAlignment="false" applyProtection="false">
      <alignment horizontal="general" vertical="bottom" textRotation="0" wrapText="false" indent="0" shrinkToFit="false"/>
      <protection locked="true" hidden="false"/>
    </xf>
    <xf numFmtId="164" fontId="12" fillId="4" borderId="0" xfId="0" applyFont="true" applyBorder="false" applyAlignment="false" applyProtection="false">
      <alignment horizontal="general" vertical="bottom" textRotation="0" wrapText="false" indent="0" shrinkToFit="false"/>
      <protection locked="true" hidden="false"/>
    </xf>
    <xf numFmtId="164" fontId="12" fillId="5" borderId="0" xfId="0" applyFont="true" applyBorder="false" applyAlignment="false" applyProtection="false">
      <alignment horizontal="general" vertical="bottom" textRotation="0" wrapText="false" indent="0" shrinkToFit="false"/>
      <protection locked="true" hidden="false"/>
    </xf>
    <xf numFmtId="164" fontId="12" fillId="6" borderId="0" xfId="0" applyFont="true" applyBorder="false" applyAlignment="false" applyProtection="false">
      <alignment horizontal="general" vertical="bottom" textRotation="0" wrapText="false" indent="0" shrinkToFit="false"/>
      <protection locked="true" hidden="false"/>
    </xf>
    <xf numFmtId="164" fontId="12" fillId="7" borderId="0" xfId="0" applyFont="true" applyBorder="false" applyAlignment="false" applyProtection="false">
      <alignment horizontal="general" vertical="bottom" textRotation="0" wrapText="false" indent="0" shrinkToFit="false"/>
      <protection locked="true" hidden="false"/>
    </xf>
    <xf numFmtId="164" fontId="12" fillId="8" borderId="0" xfId="0" applyFont="true" applyBorder="false" applyAlignment="false" applyProtection="false">
      <alignment horizontal="general" vertical="bottom" textRotation="0" wrapText="false" indent="0" shrinkToFit="false"/>
      <protection locked="true" hidden="false"/>
    </xf>
    <xf numFmtId="164" fontId="13" fillId="9" borderId="0" xfId="0" applyFont="true" applyBorder="false" applyAlignment="true" applyProtection="false">
      <alignment horizontal="left" vertical="center" textRotation="0" wrapText="false" indent="0" shrinkToFit="false"/>
      <protection locked="true" hidden="false"/>
    </xf>
    <xf numFmtId="164" fontId="14" fillId="9"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1" fillId="2" borderId="0" xfId="0" applyFont="true" applyBorder="false" applyAlignment="true" applyProtection="false">
      <alignment horizontal="left" vertical="bottom" textRotation="0" wrapText="false" indent="0" shrinkToFit="false"/>
      <protection locked="true" hidden="false"/>
    </xf>
    <xf numFmtId="164" fontId="11" fillId="2" borderId="0" xfId="0" applyFont="true" applyBorder="false" applyAlignment="true" applyProtection="false">
      <alignment horizontal="center" vertical="bottom" textRotation="0" wrapText="false" indent="0" shrinkToFit="false"/>
      <protection locked="true" hidden="false"/>
    </xf>
    <xf numFmtId="164" fontId="18" fillId="10" borderId="0" xfId="0" applyFont="true" applyBorder="false" applyAlignment="false" applyProtection="false">
      <alignment horizontal="general" vertical="bottom" textRotation="0" wrapText="false" indent="0" shrinkToFit="false"/>
      <protection locked="true" hidden="false"/>
    </xf>
    <xf numFmtId="164" fontId="9" fillId="10" borderId="0" xfId="0" applyFont="true" applyBorder="false" applyAlignment="false" applyProtection="false">
      <alignment horizontal="general" vertical="bottom" textRotation="0" wrapText="false" indent="0" shrinkToFit="false"/>
      <protection locked="true" hidden="false"/>
    </xf>
    <xf numFmtId="165" fontId="19" fillId="11" borderId="0" xfId="0" applyFont="tru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true" applyProtection="false">
      <alignment horizontal="left" vertical="bottom" textRotation="0" wrapText="false" indent="0" shrinkToFit="false"/>
      <protection locked="true" hidden="false"/>
    </xf>
    <xf numFmtId="166" fontId="19" fillId="11" borderId="0" xfId="0" applyFont="true" applyBorder="false" applyAlignment="true" applyProtection="false">
      <alignment horizontal="right" vertical="bottom" textRotation="0" wrapText="false" indent="0" shrinkToFit="false"/>
      <protection locked="true" hidden="false"/>
    </xf>
    <xf numFmtId="167" fontId="19" fillId="11" borderId="0" xfId="0" applyFont="true" applyBorder="false" applyAlignment="true" applyProtection="false">
      <alignment horizontal="right" vertical="bottom" textRotation="0" wrapText="false" indent="0" shrinkToFit="false"/>
      <protection locked="true" hidden="false"/>
    </xf>
    <xf numFmtId="168" fontId="19" fillId="11" borderId="0" xfId="0" applyFont="true" applyBorder="false" applyAlignment="true" applyProtection="false">
      <alignment horizontal="right"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9" fontId="11" fillId="2"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6" fontId="22" fillId="0" borderId="0" xfId="0" applyFont="true" applyBorder="false" applyAlignment="true" applyProtection="false">
      <alignment horizontal="center" vertical="bottom" textRotation="0" wrapText="false" indent="0" shrinkToFit="false"/>
      <protection locked="true" hidden="false"/>
    </xf>
    <xf numFmtId="166" fontId="0"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1" shrinkToFit="false"/>
      <protection locked="true" hidden="false"/>
    </xf>
    <xf numFmtId="164" fontId="12" fillId="0" borderId="0" xfId="0" applyFont="true" applyBorder="false" applyAlignment="true" applyProtection="false">
      <alignment horizontal="left" vertical="bottom" textRotation="0" wrapText="false" indent="0" shrinkToFit="false"/>
      <protection locked="true" hidden="false"/>
    </xf>
    <xf numFmtId="166" fontId="12" fillId="0" borderId="1" xfId="0" applyFont="true" applyBorder="true" applyAlignment="true" applyProtection="false">
      <alignment horizontal="right" vertical="bottom" textRotation="0" wrapText="false" indent="0" shrinkToFit="false"/>
      <protection locked="true" hidden="false"/>
    </xf>
    <xf numFmtId="167" fontId="0" fillId="0" borderId="0" xfId="0" applyFont="true" applyBorder="false" applyAlignment="true" applyProtection="false">
      <alignment horizontal="right" vertical="bottom" textRotation="0" wrapText="false" indent="0" shrinkToFit="false"/>
      <protection locked="true" hidden="false"/>
    </xf>
    <xf numFmtId="167" fontId="12" fillId="0" borderId="2" xfId="0" applyFont="true" applyBorder="true" applyAlignment="true" applyProtection="false">
      <alignment horizontal="right" vertical="bottom" textRotation="0" wrapText="false" indent="0" shrinkToFit="false"/>
      <protection locked="true" hidden="false"/>
    </xf>
    <xf numFmtId="167" fontId="12" fillId="0" borderId="1" xfId="0" applyFont="true" applyBorder="true" applyAlignment="true" applyProtection="false">
      <alignment horizontal="right" vertical="bottom" textRotation="0" wrapText="false" indent="0" shrinkToFit="false"/>
      <protection locked="true" hidden="false"/>
    </xf>
    <xf numFmtId="170" fontId="12" fillId="0" borderId="1" xfId="0" applyFont="true" applyBorder="true" applyAlignment="true" applyProtection="false">
      <alignment horizontal="right" vertical="bottom" textRotation="0" wrapText="false" indent="0" shrinkToFit="false"/>
      <protection locked="true" hidden="false"/>
    </xf>
    <xf numFmtId="171" fontId="0" fillId="0" borderId="0" xfId="0" applyFont="true" applyBorder="false" applyAlignment="true" applyProtection="false">
      <alignment horizontal="right" vertical="bottom" textRotation="0" wrapText="false" indent="0" shrinkToFit="false"/>
      <protection locked="true" hidden="false"/>
    </xf>
    <xf numFmtId="172" fontId="12" fillId="0" borderId="1" xfId="0" applyFont="true" applyBorder="true" applyAlignment="true" applyProtection="false">
      <alignment horizontal="right" vertical="bottom" textRotation="0" wrapText="false" indent="0" shrinkToFit="false"/>
      <protection locked="true" hidden="false"/>
    </xf>
    <xf numFmtId="170" fontId="0" fillId="0" borderId="0" xfId="0" applyFont="true" applyBorder="false" applyAlignment="true" applyProtection="false">
      <alignment horizontal="right" vertical="bottom" textRotation="0" wrapText="false" indent="0" shrinkToFit="false"/>
      <protection locked="true" hidden="false"/>
    </xf>
    <xf numFmtId="172" fontId="0"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right" vertical="bottom" textRotation="0" wrapText="false" indent="0" shrinkToFit="false"/>
      <protection locked="true" hidden="false"/>
    </xf>
    <xf numFmtId="171" fontId="12" fillId="0" borderId="2"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24" fillId="12" borderId="0" xfId="0" applyFont="true" applyBorder="false" applyAlignment="true" applyProtection="false">
      <alignment horizontal="left" vertical="center" textRotation="0" wrapText="false" indent="1" shrinkToFit="false"/>
      <protection locked="true" hidden="false"/>
    </xf>
    <xf numFmtId="164" fontId="25" fillId="0" borderId="0" xfId="0" applyFont="true" applyBorder="false" applyAlignment="true" applyProtection="false">
      <alignment horizontal="left" vertical="top" textRotation="0" wrapText="true" indent="1" shrinkToFit="false"/>
      <protection locked="true" hidden="false"/>
    </xf>
    <xf numFmtId="164" fontId="26"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7" fillId="13" borderId="0" xfId="0" applyFont="true" applyBorder="false" applyAlignment="true" applyProtection="false">
      <alignment horizontal="left" vertical="top" textRotation="0" wrapText="true" indent="1" shrinkToFit="false"/>
      <protection locked="true" hidden="false"/>
    </xf>
    <xf numFmtId="164" fontId="28"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7030A0"/>
      <rgbColor rgb="FFF2F2F2"/>
      <rgbColor rgb="FFD6EAF8"/>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EBF5FB"/>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2"/>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4"/>
    <col collapsed="false" customWidth="true" hidden="false" outlineLevel="0" max="3" min="3" style="0" width="40"/>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7" t="s">
        <v>3</v>
      </c>
      <c r="C5" s="6"/>
    </row>
    <row r="6" customFormat="false" ht="15" hidden="false" customHeight="false" outlineLevel="0" collapsed="false">
      <c r="A6" s="6"/>
      <c r="B6" s="6"/>
      <c r="C6" s="6"/>
    </row>
    <row r="7" customFormat="false" ht="15" hidden="false" customHeight="false" outlineLevel="0" collapsed="false">
      <c r="A7" s="6"/>
      <c r="B7" s="8" t="s">
        <v>4</v>
      </c>
      <c r="C7" s="9" t="s">
        <v>5</v>
      </c>
    </row>
    <row r="8" customFormat="false" ht="15" hidden="false" customHeight="false" outlineLevel="0" collapsed="false">
      <c r="A8" s="6"/>
      <c r="B8" s="10" t="s">
        <v>6</v>
      </c>
      <c r="C8" s="9" t="s">
        <v>7</v>
      </c>
    </row>
    <row r="9" customFormat="false" ht="15" hidden="false" customHeight="false" outlineLevel="0" collapsed="false">
      <c r="A9" s="6"/>
      <c r="B9" s="11" t="s">
        <v>8</v>
      </c>
      <c r="C9" s="9" t="s">
        <v>9</v>
      </c>
    </row>
    <row r="10" customFormat="false" ht="15" hidden="false" customHeight="false" outlineLevel="0" collapsed="false">
      <c r="A10" s="6"/>
      <c r="B10" s="12" t="s">
        <v>10</v>
      </c>
      <c r="C10" s="9" t="s">
        <v>11</v>
      </c>
    </row>
    <row r="11" customFormat="false" ht="15" hidden="false" customHeight="false" outlineLevel="0" collapsed="false">
      <c r="A11" s="6"/>
      <c r="B11" s="13" t="s">
        <v>12</v>
      </c>
      <c r="C11" s="9" t="s">
        <v>13</v>
      </c>
    </row>
    <row r="12" customFormat="false" ht="15" hidden="false" customHeight="false" outlineLevel="0" collapsed="false">
      <c r="A12" s="6"/>
      <c r="B12" s="14" t="s">
        <v>14</v>
      </c>
      <c r="C12" s="9" t="s">
        <v>15</v>
      </c>
    </row>
    <row r="13" customFormat="false" ht="15" hidden="false" customHeight="false" outlineLevel="0" collapsed="false">
      <c r="A13" s="6"/>
      <c r="B13" s="15" t="s">
        <v>16</v>
      </c>
      <c r="C13" s="9" t="s">
        <v>17</v>
      </c>
    </row>
    <row r="16" customFormat="false" ht="19.5" hidden="false" customHeight="true" outlineLevel="0" collapsed="false">
      <c r="B16" s="16" t="s">
        <v>18</v>
      </c>
      <c r="C16" s="17"/>
      <c r="D16" s="17"/>
      <c r="E16" s="17"/>
      <c r="F16" s="17"/>
      <c r="G16" s="17"/>
    </row>
    <row r="17" customFormat="false" ht="208.5" hidden="false" customHeight="true" outlineLevel="0" collapsed="false">
      <c r="B17" s="18" t="s">
        <v>19</v>
      </c>
      <c r="C17" s="18"/>
      <c r="D17" s="18"/>
      <c r="E17" s="18"/>
      <c r="F17" s="18"/>
      <c r="G17" s="18"/>
    </row>
    <row r="19" customFormat="false" ht="19.5" hidden="false" customHeight="true" outlineLevel="0" collapsed="false">
      <c r="B19" s="16" t="s">
        <v>20</v>
      </c>
      <c r="C19" s="17"/>
      <c r="D19" s="17"/>
      <c r="E19" s="17"/>
      <c r="F19" s="17"/>
      <c r="G19" s="17"/>
    </row>
    <row r="20" customFormat="false" ht="57" hidden="false" customHeight="true" outlineLevel="0" collapsed="false">
      <c r="B20" s="18" t="s">
        <v>21</v>
      </c>
      <c r="C20" s="18"/>
      <c r="D20" s="18"/>
      <c r="E20" s="18"/>
      <c r="F20" s="18"/>
      <c r="G20" s="18"/>
    </row>
    <row r="21" customFormat="false" ht="15" hidden="false" customHeight="false" outlineLevel="0" collapsed="false">
      <c r="B21" s="19" t="s">
        <v>22</v>
      </c>
      <c r="C21" s="19"/>
      <c r="D21" s="19"/>
      <c r="E21" s="19"/>
      <c r="F21" s="19"/>
      <c r="G21" s="19"/>
    </row>
    <row r="22" customFormat="false" ht="15" hidden="false" customHeight="false" outlineLevel="0" collapsed="false">
      <c r="B22" s="20" t="s">
        <v>23</v>
      </c>
    </row>
  </sheetData>
  <mergeCells count="3">
    <mergeCell ref="B17:G17"/>
    <mergeCell ref="B20:G20"/>
    <mergeCell ref="B21:G21"/>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5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16"/>
    <col collapsed="false" customWidth="true" hidden="false" outlineLevel="0" max="4" min="4" style="0" width="12"/>
    <col collapsed="false" customWidth="true" hidden="false" outlineLevel="0" max="5" min="5" style="0" width="32"/>
  </cols>
  <sheetData>
    <row r="1" customFormat="false" ht="15" hidden="false" customHeight="false" outlineLevel="0" collapsed="false">
      <c r="A1" s="1"/>
      <c r="B1" s="1"/>
      <c r="C1" s="1"/>
      <c r="D1" s="1"/>
      <c r="E1" s="1"/>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6</v>
      </c>
      <c r="C2" s="1"/>
      <c r="D2" s="1"/>
      <c r="E2" s="1"/>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24</v>
      </c>
      <c r="C3" s="1"/>
      <c r="D3" s="1"/>
      <c r="E3" s="1"/>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row>
    <row r="5" customFormat="false" ht="15" hidden="false" customHeight="false" outlineLevel="0" collapsed="false">
      <c r="A5" s="6"/>
      <c r="B5" s="21" t="s">
        <v>25</v>
      </c>
      <c r="C5" s="22" t="s">
        <v>26</v>
      </c>
      <c r="D5" s="21" t="s">
        <v>27</v>
      </c>
      <c r="E5" s="21" t="s">
        <v>28</v>
      </c>
    </row>
    <row r="6" customFormat="false" ht="15" hidden="false" customHeight="false" outlineLevel="0" collapsed="false">
      <c r="A6" s="6"/>
      <c r="B6" s="6"/>
      <c r="C6" s="6"/>
      <c r="D6" s="6"/>
      <c r="E6" s="6"/>
    </row>
    <row r="7" customFormat="false" ht="15" hidden="false" customHeight="false" outlineLevel="0" collapsed="false">
      <c r="A7" s="6"/>
      <c r="B7" s="23" t="s">
        <v>29</v>
      </c>
      <c r="C7" s="24"/>
      <c r="D7" s="24"/>
      <c r="E7" s="24"/>
    </row>
    <row r="8" customFormat="false" ht="15" hidden="false" customHeight="false" outlineLevel="0" collapsed="false">
      <c r="A8" s="6"/>
      <c r="B8" s="9" t="s">
        <v>30</v>
      </c>
      <c r="C8" s="25" t="n">
        <v>46023</v>
      </c>
      <c r="D8" s="26"/>
      <c r="E8" s="26" t="s">
        <v>31</v>
      </c>
    </row>
    <row r="9" customFormat="false" ht="15" hidden="false" customHeight="false" outlineLevel="0" collapsed="false">
      <c r="A9" s="6"/>
      <c r="B9" s="9" t="s">
        <v>32</v>
      </c>
      <c r="C9" s="27" t="n">
        <v>24</v>
      </c>
      <c r="D9" s="26" t="s">
        <v>33</v>
      </c>
      <c r="E9" s="26" t="s">
        <v>34</v>
      </c>
    </row>
    <row r="10" customFormat="false" ht="15" hidden="false" customHeight="false" outlineLevel="0" collapsed="false">
      <c r="A10" s="6"/>
      <c r="B10" s="9" t="s">
        <v>35</v>
      </c>
      <c r="C10" s="28" t="n">
        <v>25000</v>
      </c>
      <c r="D10" s="26" t="s">
        <v>36</v>
      </c>
      <c r="E10" s="26" t="s">
        <v>37</v>
      </c>
    </row>
    <row r="11" customFormat="false" ht="15" hidden="false" customHeight="false" outlineLevel="0" collapsed="false">
      <c r="A11" s="6"/>
      <c r="B11" s="6"/>
      <c r="C11" s="6"/>
      <c r="D11" s="6"/>
      <c r="E11" s="6"/>
    </row>
    <row r="12" customFormat="false" ht="15" hidden="false" customHeight="false" outlineLevel="0" collapsed="false">
      <c r="A12" s="6"/>
      <c r="B12" s="23" t="s">
        <v>38</v>
      </c>
      <c r="C12" s="24"/>
      <c r="D12" s="24"/>
      <c r="E12" s="24"/>
    </row>
    <row r="13" customFormat="false" ht="15" hidden="false" customHeight="false" outlineLevel="0" collapsed="false">
      <c r="A13" s="6"/>
      <c r="B13" s="9" t="s">
        <v>39</v>
      </c>
      <c r="C13" s="28" t="n">
        <v>750000</v>
      </c>
      <c r="D13" s="26" t="s">
        <v>36</v>
      </c>
      <c r="E13" s="26" t="s">
        <v>40</v>
      </c>
    </row>
    <row r="14" customFormat="false" ht="15" hidden="false" customHeight="false" outlineLevel="0" collapsed="false">
      <c r="A14" s="6"/>
      <c r="B14" s="9" t="s">
        <v>41</v>
      </c>
      <c r="C14" s="27" t="n">
        <v>1</v>
      </c>
      <c r="D14" s="26" t="s">
        <v>42</v>
      </c>
      <c r="E14" s="26" t="s">
        <v>43</v>
      </c>
    </row>
    <row r="15" customFormat="false" ht="15" hidden="false" customHeight="false" outlineLevel="0" collapsed="false">
      <c r="A15" s="6"/>
      <c r="B15" s="9" t="s">
        <v>44</v>
      </c>
      <c r="C15" s="28" t="n">
        <v>3000000</v>
      </c>
      <c r="D15" s="26" t="s">
        <v>36</v>
      </c>
      <c r="E15" s="26" t="s">
        <v>45</v>
      </c>
    </row>
    <row r="16" customFormat="false" ht="15" hidden="false" customHeight="false" outlineLevel="0" collapsed="false">
      <c r="A16" s="6"/>
      <c r="B16" s="9" t="s">
        <v>46</v>
      </c>
      <c r="C16" s="27" t="n">
        <v>18</v>
      </c>
      <c r="D16" s="26" t="s">
        <v>42</v>
      </c>
      <c r="E16" s="26" t="s">
        <v>47</v>
      </c>
    </row>
    <row r="17" customFormat="false" ht="15" hidden="false" customHeight="false" outlineLevel="0" collapsed="false">
      <c r="A17" s="6"/>
      <c r="B17" s="6"/>
      <c r="C17" s="6"/>
      <c r="D17" s="6"/>
      <c r="E17" s="6"/>
    </row>
    <row r="18" customFormat="false" ht="15" hidden="false" customHeight="false" outlineLevel="0" collapsed="false">
      <c r="A18" s="6"/>
      <c r="B18" s="23" t="s">
        <v>48</v>
      </c>
      <c r="C18" s="24"/>
      <c r="D18" s="24"/>
      <c r="E18" s="24"/>
    </row>
    <row r="19" customFormat="false" ht="15" hidden="false" customHeight="false" outlineLevel="0" collapsed="false">
      <c r="A19" s="6"/>
      <c r="B19" s="9" t="s">
        <v>49</v>
      </c>
      <c r="C19" s="27" t="n">
        <v>5</v>
      </c>
      <c r="D19" s="26" t="s">
        <v>50</v>
      </c>
      <c r="E19" s="26" t="s">
        <v>51</v>
      </c>
    </row>
    <row r="20" customFormat="false" ht="15" hidden="false" customHeight="false" outlineLevel="0" collapsed="false">
      <c r="A20" s="6"/>
      <c r="B20" s="9" t="s">
        <v>52</v>
      </c>
      <c r="C20" s="27" t="n">
        <v>3</v>
      </c>
      <c r="D20" s="26" t="s">
        <v>53</v>
      </c>
      <c r="E20" s="26" t="s">
        <v>54</v>
      </c>
    </row>
    <row r="21" customFormat="false" ht="15" hidden="false" customHeight="false" outlineLevel="0" collapsed="false">
      <c r="A21" s="6"/>
      <c r="B21" s="9" t="s">
        <v>55</v>
      </c>
      <c r="C21" s="29" t="n">
        <v>0.08</v>
      </c>
      <c r="D21" s="26" t="s">
        <v>56</v>
      </c>
      <c r="E21" s="26" t="s">
        <v>57</v>
      </c>
    </row>
    <row r="22" customFormat="false" ht="15" hidden="false" customHeight="false" outlineLevel="0" collapsed="false">
      <c r="A22" s="6"/>
      <c r="B22" s="9" t="s">
        <v>58</v>
      </c>
      <c r="C22" s="28" t="n">
        <v>150</v>
      </c>
      <c r="D22" s="26" t="s">
        <v>59</v>
      </c>
      <c r="E22" s="26" t="s">
        <v>60</v>
      </c>
    </row>
    <row r="23" customFormat="false" ht="15" hidden="false" customHeight="false" outlineLevel="0" collapsed="false">
      <c r="A23" s="6"/>
      <c r="B23" s="9" t="s">
        <v>61</v>
      </c>
      <c r="C23" s="29" t="n">
        <v>0.06</v>
      </c>
      <c r="D23" s="26" t="s">
        <v>56</v>
      </c>
      <c r="E23" s="26" t="s">
        <v>62</v>
      </c>
    </row>
    <row r="24" customFormat="false" ht="15" hidden="false" customHeight="false" outlineLevel="0" collapsed="false">
      <c r="A24" s="6"/>
      <c r="B24" s="9" t="s">
        <v>63</v>
      </c>
      <c r="C24" s="28" t="n">
        <v>200</v>
      </c>
      <c r="D24" s="26" t="s">
        <v>36</v>
      </c>
      <c r="E24" s="26" t="s">
        <v>64</v>
      </c>
    </row>
    <row r="25" customFormat="false" ht="15" hidden="false" customHeight="false" outlineLevel="0" collapsed="false">
      <c r="A25" s="6"/>
      <c r="B25" s="6"/>
      <c r="C25" s="6"/>
      <c r="D25" s="6"/>
      <c r="E25" s="6"/>
    </row>
    <row r="26" customFormat="false" ht="15" hidden="false" customHeight="false" outlineLevel="0" collapsed="false">
      <c r="A26" s="6"/>
      <c r="B26" s="23" t="s">
        <v>65</v>
      </c>
      <c r="C26" s="24"/>
      <c r="D26" s="24"/>
      <c r="E26" s="24"/>
    </row>
    <row r="27" customFormat="false" ht="15" hidden="false" customHeight="false" outlineLevel="0" collapsed="false">
      <c r="A27" s="6"/>
      <c r="B27" s="9" t="s">
        <v>66</v>
      </c>
      <c r="C27" s="28" t="n">
        <v>2000</v>
      </c>
      <c r="D27" s="26" t="s">
        <v>59</v>
      </c>
      <c r="E27" s="26" t="s">
        <v>67</v>
      </c>
    </row>
    <row r="28" customFormat="false" ht="15" hidden="false" customHeight="false" outlineLevel="0" collapsed="false">
      <c r="A28" s="6"/>
      <c r="B28" s="9" t="s">
        <v>68</v>
      </c>
      <c r="C28" s="29" t="n">
        <v>0.05</v>
      </c>
      <c r="D28" s="26" t="s">
        <v>56</v>
      </c>
      <c r="E28" s="26" t="s">
        <v>69</v>
      </c>
    </row>
    <row r="29" customFormat="false" ht="15" hidden="false" customHeight="false" outlineLevel="0" collapsed="false">
      <c r="A29" s="6"/>
      <c r="B29" s="6"/>
      <c r="C29" s="6"/>
      <c r="D29" s="6"/>
      <c r="E29" s="6"/>
    </row>
    <row r="30" customFormat="false" ht="15" hidden="false" customHeight="false" outlineLevel="0" collapsed="false">
      <c r="A30" s="6"/>
      <c r="B30" s="23" t="s">
        <v>70</v>
      </c>
      <c r="C30" s="24"/>
      <c r="D30" s="24"/>
      <c r="E30" s="24"/>
    </row>
    <row r="31" customFormat="false" ht="15" hidden="false" customHeight="false" outlineLevel="0" collapsed="false">
      <c r="A31" s="6"/>
      <c r="B31" s="9" t="s">
        <v>71</v>
      </c>
      <c r="C31" s="27" t="n">
        <v>2</v>
      </c>
      <c r="D31" s="26" t="s">
        <v>50</v>
      </c>
      <c r="E31" s="26" t="s">
        <v>72</v>
      </c>
    </row>
    <row r="32" customFormat="false" ht="15" hidden="false" customHeight="false" outlineLevel="0" collapsed="false">
      <c r="A32" s="6"/>
      <c r="B32" s="9" t="s">
        <v>73</v>
      </c>
      <c r="C32" s="27" t="n">
        <v>1</v>
      </c>
      <c r="D32" s="26" t="s">
        <v>50</v>
      </c>
      <c r="E32" s="26" t="s">
        <v>74</v>
      </c>
    </row>
    <row r="33" customFormat="false" ht="15" hidden="false" customHeight="false" outlineLevel="0" collapsed="false">
      <c r="A33" s="6"/>
      <c r="B33" s="9" t="s">
        <v>75</v>
      </c>
      <c r="C33" s="27" t="n">
        <v>4</v>
      </c>
      <c r="D33" s="26" t="s">
        <v>33</v>
      </c>
      <c r="E33" s="26" t="s">
        <v>76</v>
      </c>
    </row>
    <row r="34" customFormat="false" ht="15" hidden="false" customHeight="false" outlineLevel="0" collapsed="false">
      <c r="A34" s="6"/>
      <c r="B34" s="9" t="s">
        <v>77</v>
      </c>
      <c r="C34" s="27" t="n">
        <v>1</v>
      </c>
      <c r="D34" s="26" t="s">
        <v>50</v>
      </c>
      <c r="E34" s="26" t="s">
        <v>78</v>
      </c>
    </row>
    <row r="35" customFormat="false" ht="15" hidden="false" customHeight="false" outlineLevel="0" collapsed="false">
      <c r="A35" s="6"/>
      <c r="B35" s="9" t="s">
        <v>79</v>
      </c>
      <c r="C35" s="28" t="n">
        <v>7000</v>
      </c>
      <c r="D35" s="26" t="s">
        <v>59</v>
      </c>
      <c r="E35" s="26" t="s">
        <v>80</v>
      </c>
    </row>
    <row r="36" customFormat="false" ht="15" hidden="false" customHeight="false" outlineLevel="0" collapsed="false">
      <c r="A36" s="6"/>
      <c r="B36" s="9" t="s">
        <v>81</v>
      </c>
      <c r="C36" s="29" t="n">
        <v>0.25</v>
      </c>
      <c r="D36" s="26" t="s">
        <v>82</v>
      </c>
      <c r="E36" s="26" t="s">
        <v>83</v>
      </c>
    </row>
    <row r="37" customFormat="false" ht="15" hidden="false" customHeight="false" outlineLevel="0" collapsed="false">
      <c r="A37" s="6"/>
      <c r="B37" s="9" t="s">
        <v>84</v>
      </c>
      <c r="C37" s="29" t="n">
        <v>0.03</v>
      </c>
      <c r="D37" s="26" t="s">
        <v>85</v>
      </c>
      <c r="E37" s="26" t="s">
        <v>86</v>
      </c>
    </row>
    <row r="38" customFormat="false" ht="15" hidden="false" customHeight="false" outlineLevel="0" collapsed="false">
      <c r="A38" s="6"/>
      <c r="B38" s="6"/>
      <c r="C38" s="6"/>
      <c r="D38" s="6"/>
      <c r="E38" s="6"/>
    </row>
    <row r="39" customFormat="false" ht="15" hidden="false" customHeight="false" outlineLevel="0" collapsed="false">
      <c r="A39" s="6"/>
      <c r="B39" s="23" t="s">
        <v>87</v>
      </c>
      <c r="C39" s="24"/>
      <c r="D39" s="24"/>
      <c r="E39" s="24"/>
    </row>
    <row r="40" customFormat="false" ht="15" hidden="false" customHeight="false" outlineLevel="0" collapsed="false">
      <c r="A40" s="6"/>
      <c r="B40" s="9" t="s">
        <v>88</v>
      </c>
      <c r="C40" s="28" t="n">
        <v>800</v>
      </c>
      <c r="D40" s="26" t="s">
        <v>59</v>
      </c>
      <c r="E40" s="26" t="s">
        <v>89</v>
      </c>
    </row>
    <row r="41" customFormat="false" ht="15" hidden="false" customHeight="false" outlineLevel="0" collapsed="false">
      <c r="A41" s="6"/>
      <c r="B41" s="9" t="s">
        <v>90</v>
      </c>
      <c r="C41" s="29" t="n">
        <v>0.08</v>
      </c>
      <c r="D41" s="26" t="s">
        <v>91</v>
      </c>
      <c r="E41" s="26" t="s">
        <v>92</v>
      </c>
    </row>
    <row r="42" customFormat="false" ht="15" hidden="false" customHeight="false" outlineLevel="0" collapsed="false">
      <c r="A42" s="6"/>
      <c r="B42" s="9" t="s">
        <v>93</v>
      </c>
      <c r="C42" s="28" t="n">
        <v>600</v>
      </c>
      <c r="D42" s="26" t="s">
        <v>59</v>
      </c>
      <c r="E42" s="26" t="s">
        <v>94</v>
      </c>
    </row>
    <row r="43" customFormat="false" ht="15" hidden="false" customHeight="false" outlineLevel="0" collapsed="false">
      <c r="A43" s="6"/>
      <c r="B43" s="9" t="s">
        <v>95</v>
      </c>
      <c r="C43" s="28" t="n">
        <v>300</v>
      </c>
      <c r="D43" s="26" t="s">
        <v>59</v>
      </c>
      <c r="E43" s="26" t="s">
        <v>96</v>
      </c>
    </row>
    <row r="44" customFormat="false" ht="15" hidden="false" customHeight="false" outlineLevel="0" collapsed="false">
      <c r="A44" s="6"/>
      <c r="B44" s="6"/>
      <c r="C44" s="6"/>
      <c r="D44" s="6"/>
      <c r="E44" s="6"/>
    </row>
    <row r="45" customFormat="false" ht="15" hidden="false" customHeight="false" outlineLevel="0" collapsed="false">
      <c r="A45" s="6"/>
      <c r="B45" s="23" t="s">
        <v>97</v>
      </c>
      <c r="C45" s="24"/>
      <c r="D45" s="24"/>
      <c r="E45" s="24"/>
    </row>
    <row r="46" customFormat="false" ht="15" hidden="false" customHeight="false" outlineLevel="0" collapsed="false">
      <c r="A46" s="6"/>
      <c r="B46" s="9" t="s">
        <v>98</v>
      </c>
      <c r="C46" s="28" t="n">
        <v>1000</v>
      </c>
      <c r="D46" s="26" t="s">
        <v>59</v>
      </c>
      <c r="E46" s="26" t="s">
        <v>99</v>
      </c>
    </row>
    <row r="47" customFormat="false" ht="15" hidden="false" customHeight="false" outlineLevel="0" collapsed="false">
      <c r="A47" s="6"/>
      <c r="B47" s="9" t="s">
        <v>100</v>
      </c>
      <c r="C47" s="28" t="n">
        <v>1200</v>
      </c>
      <c r="D47" s="26" t="s">
        <v>59</v>
      </c>
      <c r="E47" s="26" t="s">
        <v>101</v>
      </c>
    </row>
    <row r="48" customFormat="false" ht="15" hidden="false" customHeight="false" outlineLevel="0" collapsed="false">
      <c r="A48" s="6"/>
      <c r="B48" s="9" t="s">
        <v>102</v>
      </c>
      <c r="C48" s="28" t="n">
        <v>400</v>
      </c>
      <c r="D48" s="26" t="s">
        <v>59</v>
      </c>
      <c r="E48" s="26" t="s">
        <v>103</v>
      </c>
    </row>
    <row r="49" customFormat="false" ht="15" hidden="false" customHeight="false" outlineLevel="0" collapsed="false">
      <c r="A49" s="6"/>
      <c r="B49" s="9" t="s">
        <v>104</v>
      </c>
      <c r="C49" s="28" t="n">
        <v>500</v>
      </c>
      <c r="D49" s="26" t="s">
        <v>59</v>
      </c>
      <c r="E49" s="26" t="s">
        <v>105</v>
      </c>
    </row>
    <row r="50" customFormat="false" ht="15" hidden="false" customHeight="false" outlineLevel="0" collapsed="false">
      <c r="A50" s="6"/>
      <c r="B50" s="6"/>
      <c r="C50" s="6"/>
      <c r="D50" s="6"/>
      <c r="E50" s="6"/>
    </row>
    <row r="51" customFormat="false" ht="15" hidden="false" customHeight="false" outlineLevel="0" collapsed="false">
      <c r="A51" s="6"/>
      <c r="B51" s="23" t="s">
        <v>106</v>
      </c>
      <c r="C51" s="24"/>
      <c r="D51" s="24"/>
      <c r="E51" s="24"/>
    </row>
    <row r="52" customFormat="false" ht="15" hidden="false" customHeight="false" outlineLevel="0" collapsed="false">
      <c r="A52" s="6"/>
      <c r="B52" s="9" t="s">
        <v>107</v>
      </c>
      <c r="C52" s="28" t="n">
        <v>250000</v>
      </c>
      <c r="D52" s="26" t="s">
        <v>36</v>
      </c>
      <c r="E52" s="26" t="s">
        <v>108</v>
      </c>
    </row>
    <row r="53" customFormat="false" ht="15" hidden="false" customHeight="false" outlineLevel="0" collapsed="false">
      <c r="A53" s="6"/>
      <c r="B53" s="9" t="s">
        <v>109</v>
      </c>
      <c r="C53" s="27" t="n">
        <v>100</v>
      </c>
      <c r="D53" s="26" t="s">
        <v>50</v>
      </c>
      <c r="E53" s="26" t="s">
        <v>110</v>
      </c>
    </row>
    <row r="54" customFormat="false" ht="15" hidden="false" customHeight="false" outlineLevel="0" collapsed="false">
      <c r="A54" s="6"/>
      <c r="B54" s="9" t="s">
        <v>111</v>
      </c>
      <c r="C54" s="27" t="n">
        <v>6</v>
      </c>
      <c r="D54" s="26" t="s">
        <v>33</v>
      </c>
      <c r="E54" s="26" t="s">
        <v>112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2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113</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114</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30" t="s">
        <v>115</v>
      </c>
      <c r="C5" s="31" t="n">
        <f aca="false">EDATE(Model_Start_Date,0)</f>
        <v>46023</v>
      </c>
      <c r="D5" s="31" t="n">
        <f aca="false">EDATE(Model_Start_Date,1)</f>
        <v>46054</v>
      </c>
      <c r="E5" s="31" t="n">
        <f aca="false">EDATE(Model_Start_Date,2)</f>
        <v>46082</v>
      </c>
      <c r="F5" s="31" t="n">
        <f aca="false">EDATE(Model_Start_Date,3)</f>
        <v>46113</v>
      </c>
      <c r="G5" s="31" t="n">
        <f aca="false">EDATE(Model_Start_Date,4)</f>
        <v>46143</v>
      </c>
      <c r="H5" s="31" t="n">
        <f aca="false">EDATE(Model_Start_Date,5)</f>
        <v>46174</v>
      </c>
      <c r="I5" s="31" t="n">
        <f aca="false">EDATE(Model_Start_Date,6)</f>
        <v>46204</v>
      </c>
      <c r="J5" s="31" t="n">
        <f aca="false">EDATE(Model_Start_Date,7)</f>
        <v>46235</v>
      </c>
      <c r="K5" s="31" t="n">
        <f aca="false">EDATE(Model_Start_Date,8)</f>
        <v>46266</v>
      </c>
      <c r="L5" s="31" t="n">
        <f aca="false">EDATE(Model_Start_Date,9)</f>
        <v>46296</v>
      </c>
      <c r="M5" s="31" t="n">
        <f aca="false">EDATE(Model_Start_Date,10)</f>
        <v>46327</v>
      </c>
      <c r="N5" s="31" t="n">
        <f aca="false">EDATE(Model_Start_Date,11)</f>
        <v>46357</v>
      </c>
      <c r="O5" s="31" t="n">
        <f aca="false">EDATE(Model_Start_Date,12)</f>
        <v>46388</v>
      </c>
      <c r="P5" s="31" t="n">
        <f aca="false">EDATE(Model_Start_Date,13)</f>
        <v>46419</v>
      </c>
      <c r="Q5" s="31" t="n">
        <f aca="false">EDATE(Model_Start_Date,14)</f>
        <v>46447</v>
      </c>
      <c r="R5" s="31" t="n">
        <f aca="false">EDATE(Model_Start_Date,15)</f>
        <v>46478</v>
      </c>
      <c r="S5" s="31" t="n">
        <f aca="false">EDATE(Model_Start_Date,16)</f>
        <v>46508</v>
      </c>
      <c r="T5" s="31" t="n">
        <f aca="false">EDATE(Model_Start_Date,17)</f>
        <v>46539</v>
      </c>
      <c r="U5" s="31" t="n">
        <f aca="false">EDATE(Model_Start_Date,18)</f>
        <v>46569</v>
      </c>
      <c r="V5" s="31" t="n">
        <f aca="false">EDATE(Model_Start_Date,19)</f>
        <v>46600</v>
      </c>
      <c r="W5" s="31" t="n">
        <f aca="false">EDATE(Model_Start_Date,20)</f>
        <v>46631</v>
      </c>
      <c r="X5" s="31" t="n">
        <f aca="false">EDATE(Model_Start_Date,21)</f>
        <v>46661</v>
      </c>
      <c r="Y5" s="31" t="n">
        <f aca="false">EDATE(Model_Start_Date,22)</f>
        <v>46692</v>
      </c>
      <c r="Z5" s="31" t="n">
        <f aca="false">EDATE(Model_Start_Date,23)</f>
        <v>46722</v>
      </c>
    </row>
    <row r="6" customFormat="false" ht="15" hidden="false" customHeight="false" outlineLevel="0" collapsed="false">
      <c r="A6" s="6"/>
      <c r="B6" s="32" t="s">
        <v>116</v>
      </c>
      <c r="C6" s="33" t="n">
        <f aca="false">COLUMN()-2</f>
        <v>1</v>
      </c>
      <c r="D6" s="33" t="n">
        <f aca="false">COLUMN()-2</f>
        <v>2</v>
      </c>
      <c r="E6" s="33" t="n">
        <f aca="false">COLUMN()-2</f>
        <v>3</v>
      </c>
      <c r="F6" s="33" t="n">
        <f aca="false">COLUMN()-2</f>
        <v>4</v>
      </c>
      <c r="G6" s="33" t="n">
        <f aca="false">COLUMN()-2</f>
        <v>5</v>
      </c>
      <c r="H6" s="33" t="n">
        <f aca="false">COLUMN()-2</f>
        <v>6</v>
      </c>
      <c r="I6" s="33" t="n">
        <f aca="false">COLUMN()-2</f>
        <v>7</v>
      </c>
      <c r="J6" s="33" t="n">
        <f aca="false">COLUMN()-2</f>
        <v>8</v>
      </c>
      <c r="K6" s="33" t="n">
        <f aca="false">COLUMN()-2</f>
        <v>9</v>
      </c>
      <c r="L6" s="33" t="n">
        <f aca="false">COLUMN()-2</f>
        <v>10</v>
      </c>
      <c r="M6" s="33" t="n">
        <f aca="false">COLUMN()-2</f>
        <v>11</v>
      </c>
      <c r="N6" s="33" t="n">
        <f aca="false">COLUMN()-2</f>
        <v>12</v>
      </c>
      <c r="O6" s="33" t="n">
        <f aca="false">COLUMN()-2</f>
        <v>13</v>
      </c>
      <c r="P6" s="33" t="n">
        <f aca="false">COLUMN()-2</f>
        <v>14</v>
      </c>
      <c r="Q6" s="33" t="n">
        <f aca="false">COLUMN()-2</f>
        <v>15</v>
      </c>
      <c r="R6" s="33" t="n">
        <f aca="false">COLUMN()-2</f>
        <v>16</v>
      </c>
      <c r="S6" s="33" t="n">
        <f aca="false">COLUMN()-2</f>
        <v>17</v>
      </c>
      <c r="T6" s="33" t="n">
        <f aca="false">COLUMN()-2</f>
        <v>18</v>
      </c>
      <c r="U6" s="33" t="n">
        <f aca="false">COLUMN()-2</f>
        <v>19</v>
      </c>
      <c r="V6" s="33" t="n">
        <f aca="false">COLUMN()-2</f>
        <v>20</v>
      </c>
      <c r="W6" s="33" t="n">
        <f aca="false">COLUMN()-2</f>
        <v>21</v>
      </c>
      <c r="X6" s="33" t="n">
        <f aca="false">COLUMN()-2</f>
        <v>22</v>
      </c>
      <c r="Y6" s="33" t="n">
        <f aca="false">COLUMN()-2</f>
        <v>23</v>
      </c>
      <c r="Z6" s="33" t="n">
        <f aca="false">COLUMN()-2</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3" t="s">
        <v>117</v>
      </c>
      <c r="C8" s="24"/>
      <c r="D8" s="24"/>
      <c r="E8" s="24"/>
      <c r="F8" s="24"/>
      <c r="G8" s="24"/>
      <c r="H8" s="24"/>
      <c r="I8" s="24"/>
      <c r="J8" s="24"/>
      <c r="K8" s="24"/>
      <c r="L8" s="24"/>
      <c r="M8" s="24"/>
      <c r="N8" s="24"/>
      <c r="O8" s="24"/>
      <c r="P8" s="24"/>
      <c r="Q8" s="24"/>
      <c r="R8" s="24"/>
      <c r="S8" s="24"/>
      <c r="T8" s="24"/>
      <c r="U8" s="24"/>
      <c r="V8" s="24"/>
      <c r="W8" s="24"/>
      <c r="X8" s="24"/>
      <c r="Y8" s="24"/>
      <c r="Z8" s="24"/>
    </row>
    <row r="9" customFormat="false" ht="15" hidden="false" customHeight="false" outlineLevel="0" collapsed="false">
      <c r="A9" s="6"/>
      <c r="B9" s="9" t="s">
        <v>118</v>
      </c>
      <c r="C9" s="34" t="n">
        <f aca="false">ROUND(New_Cust_M1*(1+Cust_Growth_Rate*(1-0.5*(C6-1)/(Projection_Months-1)))^(C6-1),0)</f>
        <v>3</v>
      </c>
      <c r="D9" s="34" t="n">
        <f aca="false">ROUND(New_Cust_M1*(1+Cust_Growth_Rate*(1-0.5*(D6-1)/(Projection_Months-1)))^(D6-1),0)</f>
        <v>3</v>
      </c>
      <c r="E9" s="34" t="n">
        <f aca="false">ROUND(New_Cust_M1*(1+Cust_Growth_Rate*(1-0.5*(E6-1)/(Projection_Months-1)))^(E6-1),0)</f>
        <v>3</v>
      </c>
      <c r="F9" s="34" t="n">
        <f aca="false">ROUND(New_Cust_M1*(1+Cust_Growth_Rate*(1-0.5*(F6-1)/(Projection_Months-1)))^(F6-1),0)</f>
        <v>4</v>
      </c>
      <c r="G9" s="34" t="n">
        <f aca="false">ROUND(New_Cust_M1*(1+Cust_Growth_Rate*(1-0.5*(G6-1)/(Projection_Months-1)))^(G6-1),0)</f>
        <v>4</v>
      </c>
      <c r="H9" s="34" t="n">
        <f aca="false">ROUND(New_Cust_M1*(1+Cust_Growth_Rate*(1-0.5*(H6-1)/(Projection_Months-1)))^(H6-1),0)</f>
        <v>4</v>
      </c>
      <c r="I9" s="34" t="n">
        <f aca="false">ROUND(New_Cust_M1*(1+Cust_Growth_Rate*(1-0.5*(I6-1)/(Projection_Months-1)))^(I6-1),0)</f>
        <v>4</v>
      </c>
      <c r="J9" s="34" t="n">
        <f aca="false">ROUND(New_Cust_M1*(1+Cust_Growth_Rate*(1-0.5*(J6-1)/(Projection_Months-1)))^(J6-1),0)</f>
        <v>5</v>
      </c>
      <c r="K9" s="34" t="n">
        <f aca="false">ROUND(New_Cust_M1*(1+Cust_Growth_Rate*(1-0.5*(K6-1)/(Projection_Months-1)))^(K6-1),0)</f>
        <v>5</v>
      </c>
      <c r="L9" s="34" t="n">
        <f aca="false">ROUND(New_Cust_M1*(1+Cust_Growth_Rate*(1-0.5*(L6-1)/(Projection_Months-1)))^(L6-1),0)</f>
        <v>5</v>
      </c>
      <c r="M9" s="34" t="n">
        <f aca="false">ROUND(New_Cust_M1*(1+Cust_Growth_Rate*(1-0.5*(M6-1)/(Projection_Months-1)))^(M6-1),0)</f>
        <v>6</v>
      </c>
      <c r="N9" s="34" t="n">
        <f aca="false">ROUND(New_Cust_M1*(1+Cust_Growth_Rate*(1-0.5*(N6-1)/(Projection_Months-1)))^(N6-1),0)</f>
        <v>6</v>
      </c>
      <c r="O9" s="34" t="n">
        <f aca="false">ROUND(New_Cust_M1*(1+Cust_Growth_Rate*(1-0.5*(O6-1)/(Projection_Months-1)))^(O6-1),0)</f>
        <v>6</v>
      </c>
      <c r="P9" s="34" t="n">
        <f aca="false">ROUND(New_Cust_M1*(1+Cust_Growth_Rate*(1-0.5*(P6-1)/(Projection_Months-1)))^(P6-1),0)</f>
        <v>6</v>
      </c>
      <c r="Q9" s="34" t="n">
        <f aca="false">ROUND(New_Cust_M1*(1+Cust_Growth_Rate*(1-0.5*(Q6-1)/(Projection_Months-1)))^(Q6-1),0)</f>
        <v>6</v>
      </c>
      <c r="R9" s="34" t="n">
        <f aca="false">ROUND(New_Cust_M1*(1+Cust_Growth_Rate*(1-0.5*(R6-1)/(Projection_Months-1)))^(R6-1),0)</f>
        <v>7</v>
      </c>
      <c r="S9" s="34" t="n">
        <f aca="false">ROUND(New_Cust_M1*(1+Cust_Growth_Rate*(1-0.5*(S6-1)/(Projection_Months-1)))^(S6-1),0)</f>
        <v>7</v>
      </c>
      <c r="T9" s="34" t="n">
        <f aca="false">ROUND(New_Cust_M1*(1+Cust_Growth_Rate*(1-0.5*(T6-1)/(Projection_Months-1)))^(T6-1),0)</f>
        <v>7</v>
      </c>
      <c r="U9" s="34" t="n">
        <f aca="false">ROUND(New_Cust_M1*(1+Cust_Growth_Rate*(1-0.5*(U6-1)/(Projection_Months-1)))^(U6-1),0)</f>
        <v>7</v>
      </c>
      <c r="V9" s="34" t="n">
        <f aca="false">ROUND(New_Cust_M1*(1+Cust_Growth_Rate*(1-0.5*(V6-1)/(Projection_Months-1)))^(V6-1),0)</f>
        <v>7</v>
      </c>
      <c r="W9" s="34" t="n">
        <f aca="false">ROUND(New_Cust_M1*(1+Cust_Growth_Rate*(1-0.5*(W6-1)/(Projection_Months-1)))^(W6-1),0)</f>
        <v>7</v>
      </c>
      <c r="X9" s="34" t="n">
        <f aca="false">ROUND(New_Cust_M1*(1+Cust_Growth_Rate*(1-0.5*(X6-1)/(Projection_Months-1)))^(X6-1),0)</f>
        <v>7</v>
      </c>
      <c r="Y9" s="34" t="n">
        <f aca="false">ROUND(New_Cust_M1*(1+Cust_Growth_Rate*(1-0.5*(Y6-1)/(Projection_Months-1)))^(Y6-1),0)</f>
        <v>7</v>
      </c>
      <c r="Z9" s="34" t="n">
        <f aca="false">ROUND(New_Cust_M1*(1+Cust_Growth_Rate*(1-0.5*(Z6-1)/(Projection_Months-1)))^(Z6-1),0)</f>
        <v>7</v>
      </c>
    </row>
    <row r="10" customFormat="false" ht="15" hidden="false" customHeight="false" outlineLevel="0" collapsed="false">
      <c r="A10" s="6"/>
      <c r="B10" s="35" t="s">
        <v>119</v>
      </c>
      <c r="C10" s="34" t="n">
        <f aca="false">ROUND(Starting_Customers*Monthly_Churn,0)</f>
        <v>0</v>
      </c>
      <c r="D10" s="34" t="n">
        <f aca="false">ROUND(C11*Monthly_Churn,0)</f>
        <v>0</v>
      </c>
      <c r="E10" s="34" t="n">
        <f aca="false">ROUND(D11*Monthly_Churn,0)</f>
        <v>1</v>
      </c>
      <c r="F10" s="34" t="n">
        <f aca="false">ROUND(E11*Monthly_Churn,0)</f>
        <v>1</v>
      </c>
      <c r="G10" s="34" t="n">
        <f aca="false">ROUND(F11*Monthly_Churn,0)</f>
        <v>1</v>
      </c>
      <c r="H10" s="34" t="n">
        <f aca="false">ROUND(G11*Monthly_Churn,0)</f>
        <v>1</v>
      </c>
      <c r="I10" s="34" t="n">
        <f aca="false">ROUND(H11*Monthly_Churn,0)</f>
        <v>1</v>
      </c>
      <c r="J10" s="34" t="n">
        <f aca="false">ROUND(I11*Monthly_Churn,0)</f>
        <v>2</v>
      </c>
      <c r="K10" s="34" t="n">
        <f aca="false">ROUND(J11*Monthly_Churn,0)</f>
        <v>2</v>
      </c>
      <c r="L10" s="34" t="n">
        <f aca="false">ROUND(K11*Monthly_Churn,0)</f>
        <v>2</v>
      </c>
      <c r="M10" s="34" t="n">
        <f aca="false">ROUND(L11*Monthly_Churn,0)</f>
        <v>2</v>
      </c>
      <c r="N10" s="34" t="n">
        <f aca="false">ROUND(M11*Monthly_Churn,0)</f>
        <v>2</v>
      </c>
      <c r="O10" s="34" t="n">
        <f aca="false">ROUND(N11*Monthly_Churn,0)</f>
        <v>3</v>
      </c>
      <c r="P10" s="34" t="n">
        <f aca="false">ROUND(O11*Monthly_Churn,0)</f>
        <v>3</v>
      </c>
      <c r="Q10" s="34" t="n">
        <f aca="false">ROUND(P11*Monthly_Churn,0)</f>
        <v>3</v>
      </c>
      <c r="R10" s="34" t="n">
        <f aca="false">ROUND(Q11*Monthly_Churn,0)</f>
        <v>3</v>
      </c>
      <c r="S10" s="34" t="n">
        <f aca="false">ROUND(R11*Monthly_Churn,0)</f>
        <v>3</v>
      </c>
      <c r="T10" s="34" t="n">
        <f aca="false">ROUND(S11*Monthly_Churn,0)</f>
        <v>4</v>
      </c>
      <c r="U10" s="34" t="n">
        <f aca="false">ROUND(T11*Monthly_Churn,0)</f>
        <v>4</v>
      </c>
      <c r="V10" s="34" t="n">
        <f aca="false">ROUND(U11*Monthly_Churn,0)</f>
        <v>4</v>
      </c>
      <c r="W10" s="34" t="n">
        <f aca="false">ROUND(V11*Monthly_Churn,0)</f>
        <v>4</v>
      </c>
      <c r="X10" s="34" t="n">
        <f aca="false">ROUND(W11*Monthly_Churn,0)</f>
        <v>4</v>
      </c>
      <c r="Y10" s="34" t="n">
        <f aca="false">ROUND(X11*Monthly_Churn,0)</f>
        <v>4</v>
      </c>
      <c r="Z10" s="34" t="n">
        <f aca="false">ROUND(Y11*Monthly_Churn,0)</f>
        <v>5</v>
      </c>
    </row>
    <row r="11" customFormat="false" ht="15" hidden="false" customHeight="false" outlineLevel="0" collapsed="false">
      <c r="A11" s="6"/>
      <c r="B11" s="36" t="s">
        <v>120</v>
      </c>
      <c r="C11" s="37" t="n">
        <f aca="false">Starting_Customers+C9-C10</f>
        <v>8</v>
      </c>
      <c r="D11" s="37" t="n">
        <f aca="false">C11+D9-D10</f>
        <v>11</v>
      </c>
      <c r="E11" s="37" t="n">
        <f aca="false">D11+E9-E10</f>
        <v>13</v>
      </c>
      <c r="F11" s="37" t="n">
        <f aca="false">E11+F9-F10</f>
        <v>16</v>
      </c>
      <c r="G11" s="37" t="n">
        <f aca="false">F11+G9-G10</f>
        <v>19</v>
      </c>
      <c r="H11" s="37" t="n">
        <f aca="false">G11+H9-H10</f>
        <v>22</v>
      </c>
      <c r="I11" s="37" t="n">
        <f aca="false">H11+I9-I10</f>
        <v>25</v>
      </c>
      <c r="J11" s="37" t="n">
        <f aca="false">I11+J9-J10</f>
        <v>28</v>
      </c>
      <c r="K11" s="37" t="n">
        <f aca="false">J11+K9-K10</f>
        <v>31</v>
      </c>
      <c r="L11" s="37" t="n">
        <f aca="false">K11+L9-L10</f>
        <v>34</v>
      </c>
      <c r="M11" s="37" t="n">
        <f aca="false">L11+M9-M10</f>
        <v>38</v>
      </c>
      <c r="N11" s="37" t="n">
        <f aca="false">M11+N9-N10</f>
        <v>42</v>
      </c>
      <c r="O11" s="37" t="n">
        <f aca="false">N11+O9-O10</f>
        <v>45</v>
      </c>
      <c r="P11" s="37" t="n">
        <f aca="false">O11+P9-P10</f>
        <v>48</v>
      </c>
      <c r="Q11" s="37" t="n">
        <f aca="false">P11+Q9-Q10</f>
        <v>51</v>
      </c>
      <c r="R11" s="37" t="n">
        <f aca="false">Q11+R9-R10</f>
        <v>55</v>
      </c>
      <c r="S11" s="37" t="n">
        <f aca="false">R11+S9-S10</f>
        <v>59</v>
      </c>
      <c r="T11" s="37" t="n">
        <f aca="false">S11+T9-T10</f>
        <v>62</v>
      </c>
      <c r="U11" s="37" t="n">
        <f aca="false">T11+U9-U10</f>
        <v>65</v>
      </c>
      <c r="V11" s="37" t="n">
        <f aca="false">U11+V9-V10</f>
        <v>68</v>
      </c>
      <c r="W11" s="37" t="n">
        <f aca="false">V11+W9-W10</f>
        <v>71</v>
      </c>
      <c r="X11" s="37" t="n">
        <f aca="false">W11+X9-X10</f>
        <v>74</v>
      </c>
      <c r="Y11" s="37" t="n">
        <f aca="false">X11+Y9-Y10</f>
        <v>77</v>
      </c>
      <c r="Z11" s="37" t="n">
        <f aca="false">Y11+Z9-Z10</f>
        <v>79</v>
      </c>
    </row>
    <row r="12" customFormat="false" ht="15" hidden="false" customHeight="false" outlineLevel="0" collapsed="false">
      <c r="A12" s="6"/>
      <c r="B12" s="6"/>
      <c r="C12" s="6"/>
      <c r="D12" s="6"/>
      <c r="E12" s="6"/>
      <c r="F12" s="6"/>
      <c r="G12" s="6"/>
      <c r="H12" s="6"/>
      <c r="I12" s="6"/>
      <c r="J12" s="6"/>
      <c r="K12" s="6"/>
      <c r="L12" s="6"/>
      <c r="M12" s="6"/>
      <c r="N12" s="6"/>
      <c r="O12" s="6"/>
      <c r="P12" s="6"/>
      <c r="Q12" s="6"/>
      <c r="R12" s="6"/>
      <c r="S12" s="6"/>
      <c r="T12" s="6"/>
      <c r="U12" s="6"/>
      <c r="V12" s="6"/>
      <c r="W12" s="6"/>
      <c r="X12" s="6"/>
      <c r="Y12" s="6"/>
      <c r="Z12" s="6"/>
    </row>
    <row r="13" customFormat="false" ht="15" hidden="false" customHeight="false" outlineLevel="0" collapsed="false">
      <c r="A13" s="6"/>
      <c r="B13" s="23" t="s">
        <v>48</v>
      </c>
      <c r="C13" s="24"/>
      <c r="D13" s="24"/>
      <c r="E13" s="24"/>
      <c r="F13" s="24"/>
      <c r="G13" s="24"/>
      <c r="H13" s="24"/>
      <c r="I13" s="24"/>
      <c r="J13" s="24"/>
      <c r="K13" s="24"/>
      <c r="L13" s="24"/>
      <c r="M13" s="24"/>
      <c r="N13" s="24"/>
      <c r="O13" s="24"/>
      <c r="P13" s="24"/>
      <c r="Q13" s="24"/>
      <c r="R13" s="24"/>
      <c r="S13" s="24"/>
      <c r="T13" s="24"/>
      <c r="U13" s="24"/>
      <c r="V13" s="24"/>
      <c r="W13" s="24"/>
      <c r="X13" s="24"/>
      <c r="Y13" s="24"/>
      <c r="Z13" s="24"/>
    </row>
    <row r="14" customFormat="false" ht="15" hidden="false" customHeight="false" outlineLevel="0" collapsed="false">
      <c r="A14" s="6"/>
      <c r="B14" s="35" t="s">
        <v>58</v>
      </c>
      <c r="C14" s="38" t="n">
        <f aca="false">ARPU_Monthly</f>
        <v>150</v>
      </c>
      <c r="D14" s="38" t="n">
        <f aca="false">ARPU_Monthly</f>
        <v>150</v>
      </c>
      <c r="E14" s="38" t="n">
        <f aca="false">ARPU_Monthly</f>
        <v>150</v>
      </c>
      <c r="F14" s="38" t="n">
        <f aca="false">ARPU_Monthly</f>
        <v>150</v>
      </c>
      <c r="G14" s="38" t="n">
        <f aca="false">ARPU_Monthly</f>
        <v>150</v>
      </c>
      <c r="H14" s="38" t="n">
        <f aca="false">ARPU_Monthly</f>
        <v>150</v>
      </c>
      <c r="I14" s="38" t="n">
        <f aca="false">ARPU_Monthly</f>
        <v>150</v>
      </c>
      <c r="J14" s="38" t="n">
        <f aca="false">ARPU_Monthly</f>
        <v>150</v>
      </c>
      <c r="K14" s="38" t="n">
        <f aca="false">ARPU_Monthly</f>
        <v>150</v>
      </c>
      <c r="L14" s="38" t="n">
        <f aca="false">ARPU_Monthly</f>
        <v>150</v>
      </c>
      <c r="M14" s="38" t="n">
        <f aca="false">ARPU_Monthly</f>
        <v>150</v>
      </c>
      <c r="N14" s="38" t="n">
        <f aca="false">ARPU_Monthly</f>
        <v>150</v>
      </c>
      <c r="O14" s="38" t="n">
        <f aca="false">ARPU_Monthly</f>
        <v>150</v>
      </c>
      <c r="P14" s="38" t="n">
        <f aca="false">ARPU_Monthly</f>
        <v>150</v>
      </c>
      <c r="Q14" s="38" t="n">
        <f aca="false">ARPU_Monthly</f>
        <v>150</v>
      </c>
      <c r="R14" s="38" t="n">
        <f aca="false">ARPU_Monthly</f>
        <v>150</v>
      </c>
      <c r="S14" s="38" t="n">
        <f aca="false">ARPU_Monthly</f>
        <v>150</v>
      </c>
      <c r="T14" s="38" t="n">
        <f aca="false">ARPU_Monthly</f>
        <v>150</v>
      </c>
      <c r="U14" s="38" t="n">
        <f aca="false">ARPU_Monthly</f>
        <v>150</v>
      </c>
      <c r="V14" s="38" t="n">
        <f aca="false">ARPU_Monthly</f>
        <v>150</v>
      </c>
      <c r="W14" s="38" t="n">
        <f aca="false">ARPU_Monthly</f>
        <v>150</v>
      </c>
      <c r="X14" s="38" t="n">
        <f aca="false">ARPU_Monthly</f>
        <v>150</v>
      </c>
      <c r="Y14" s="38" t="n">
        <f aca="false">ARPU_Monthly</f>
        <v>150</v>
      </c>
      <c r="Z14" s="38" t="n">
        <f aca="false">ARPU_Monthly</f>
        <v>150</v>
      </c>
    </row>
    <row r="15" customFormat="false" ht="15" hidden="false" customHeight="false" outlineLevel="0" collapsed="false">
      <c r="A15" s="6"/>
      <c r="B15" s="9" t="s">
        <v>121</v>
      </c>
      <c r="C15" s="38" t="n">
        <f aca="false">C11*C14</f>
        <v>1200</v>
      </c>
      <c r="D15" s="38" t="n">
        <f aca="false">D11*D14</f>
        <v>1650</v>
      </c>
      <c r="E15" s="38" t="n">
        <f aca="false">E11*E14</f>
        <v>1950</v>
      </c>
      <c r="F15" s="38" t="n">
        <f aca="false">F11*F14</f>
        <v>2400</v>
      </c>
      <c r="G15" s="38" t="n">
        <f aca="false">G11*G14</f>
        <v>2850</v>
      </c>
      <c r="H15" s="38" t="n">
        <f aca="false">H11*H14</f>
        <v>3300</v>
      </c>
      <c r="I15" s="38" t="n">
        <f aca="false">I11*I14</f>
        <v>3750</v>
      </c>
      <c r="J15" s="38" t="n">
        <f aca="false">J11*J14</f>
        <v>4200</v>
      </c>
      <c r="K15" s="38" t="n">
        <f aca="false">K11*K14</f>
        <v>4650</v>
      </c>
      <c r="L15" s="38" t="n">
        <f aca="false">L11*L14</f>
        <v>5100</v>
      </c>
      <c r="M15" s="38" t="n">
        <f aca="false">M11*M14</f>
        <v>5700</v>
      </c>
      <c r="N15" s="38" t="n">
        <f aca="false">N11*N14</f>
        <v>6300</v>
      </c>
      <c r="O15" s="38" t="n">
        <f aca="false">O11*O14</f>
        <v>6750</v>
      </c>
      <c r="P15" s="38" t="n">
        <f aca="false">P11*P14</f>
        <v>7200</v>
      </c>
      <c r="Q15" s="38" t="n">
        <f aca="false">Q11*Q14</f>
        <v>7650</v>
      </c>
      <c r="R15" s="38" t="n">
        <f aca="false">R11*R14</f>
        <v>8250</v>
      </c>
      <c r="S15" s="38" t="n">
        <f aca="false">S11*S14</f>
        <v>8850</v>
      </c>
      <c r="T15" s="38" t="n">
        <f aca="false">T11*T14</f>
        <v>9300</v>
      </c>
      <c r="U15" s="38" t="n">
        <f aca="false">U11*U14</f>
        <v>9750</v>
      </c>
      <c r="V15" s="38" t="n">
        <f aca="false">V11*V14</f>
        <v>10200</v>
      </c>
      <c r="W15" s="38" t="n">
        <f aca="false">W11*W14</f>
        <v>10650</v>
      </c>
      <c r="X15" s="38" t="n">
        <f aca="false">X11*X14</f>
        <v>11100</v>
      </c>
      <c r="Y15" s="38" t="n">
        <f aca="false">Y11*Y14</f>
        <v>11550</v>
      </c>
      <c r="Z15" s="38" t="n">
        <f aca="false">Z11*Z14</f>
        <v>11850</v>
      </c>
    </row>
    <row r="16" customFormat="false" ht="15" hidden="false" customHeight="false" outlineLevel="0" collapsed="false">
      <c r="A16" s="6"/>
      <c r="B16" s="35" t="s">
        <v>122</v>
      </c>
      <c r="C16" s="38" t="n">
        <f aca="false">C9*Setup_Fee</f>
        <v>600</v>
      </c>
      <c r="D16" s="38" t="n">
        <f aca="false">D9*Setup_Fee</f>
        <v>600</v>
      </c>
      <c r="E16" s="38" t="n">
        <f aca="false">E9*Setup_Fee</f>
        <v>600</v>
      </c>
      <c r="F16" s="38" t="n">
        <f aca="false">F9*Setup_Fee</f>
        <v>800</v>
      </c>
      <c r="G16" s="38" t="n">
        <f aca="false">G9*Setup_Fee</f>
        <v>800</v>
      </c>
      <c r="H16" s="38" t="n">
        <f aca="false">H9*Setup_Fee</f>
        <v>800</v>
      </c>
      <c r="I16" s="38" t="n">
        <f aca="false">I9*Setup_Fee</f>
        <v>800</v>
      </c>
      <c r="J16" s="38" t="n">
        <f aca="false">J9*Setup_Fee</f>
        <v>1000</v>
      </c>
      <c r="K16" s="38" t="n">
        <f aca="false">K9*Setup_Fee</f>
        <v>1000</v>
      </c>
      <c r="L16" s="38" t="n">
        <f aca="false">L9*Setup_Fee</f>
        <v>1000</v>
      </c>
      <c r="M16" s="38" t="n">
        <f aca="false">M9*Setup_Fee</f>
        <v>1200</v>
      </c>
      <c r="N16" s="38" t="n">
        <f aca="false">N9*Setup_Fee</f>
        <v>1200</v>
      </c>
      <c r="O16" s="38" t="n">
        <f aca="false">O9*Setup_Fee</f>
        <v>1200</v>
      </c>
      <c r="P16" s="38" t="n">
        <f aca="false">P9*Setup_Fee</f>
        <v>1200</v>
      </c>
      <c r="Q16" s="38" t="n">
        <f aca="false">Q9*Setup_Fee</f>
        <v>1200</v>
      </c>
      <c r="R16" s="38" t="n">
        <f aca="false">R9*Setup_Fee</f>
        <v>1400</v>
      </c>
      <c r="S16" s="38" t="n">
        <f aca="false">S9*Setup_Fee</f>
        <v>1400</v>
      </c>
      <c r="T16" s="38" t="n">
        <f aca="false">T9*Setup_Fee</f>
        <v>1400</v>
      </c>
      <c r="U16" s="38" t="n">
        <f aca="false">U9*Setup_Fee</f>
        <v>1400</v>
      </c>
      <c r="V16" s="38" t="n">
        <f aca="false">V9*Setup_Fee</f>
        <v>1400</v>
      </c>
      <c r="W16" s="38" t="n">
        <f aca="false">W9*Setup_Fee</f>
        <v>1400</v>
      </c>
      <c r="X16" s="38" t="n">
        <f aca="false">X9*Setup_Fee</f>
        <v>1400</v>
      </c>
      <c r="Y16" s="38" t="n">
        <f aca="false">Y9*Setup_Fee</f>
        <v>1400</v>
      </c>
      <c r="Z16" s="38" t="n">
        <f aca="false">Z9*Setup_Fee</f>
        <v>1400</v>
      </c>
    </row>
    <row r="17" customFormat="false" ht="15" hidden="false" customHeight="false" outlineLevel="0" collapsed="false">
      <c r="A17" s="6"/>
      <c r="B17" s="36" t="s">
        <v>123</v>
      </c>
      <c r="C17" s="39" t="n">
        <f aca="false">C15+C16</f>
        <v>1800</v>
      </c>
      <c r="D17" s="39" t="n">
        <f aca="false">D15+D16</f>
        <v>2250</v>
      </c>
      <c r="E17" s="39" t="n">
        <f aca="false">E15+E16</f>
        <v>2550</v>
      </c>
      <c r="F17" s="39" t="n">
        <f aca="false">F15+F16</f>
        <v>3200</v>
      </c>
      <c r="G17" s="39" t="n">
        <f aca="false">G15+G16</f>
        <v>3650</v>
      </c>
      <c r="H17" s="39" t="n">
        <f aca="false">H15+H16</f>
        <v>4100</v>
      </c>
      <c r="I17" s="39" t="n">
        <f aca="false">I15+I16</f>
        <v>4550</v>
      </c>
      <c r="J17" s="39" t="n">
        <f aca="false">J15+J16</f>
        <v>5200</v>
      </c>
      <c r="K17" s="39" t="n">
        <f aca="false">K15+K16</f>
        <v>5650</v>
      </c>
      <c r="L17" s="39" t="n">
        <f aca="false">L15+L16</f>
        <v>6100</v>
      </c>
      <c r="M17" s="39" t="n">
        <f aca="false">M15+M16</f>
        <v>6900</v>
      </c>
      <c r="N17" s="39" t="n">
        <f aca="false">N15+N16</f>
        <v>7500</v>
      </c>
      <c r="O17" s="39" t="n">
        <f aca="false">O15+O16</f>
        <v>7950</v>
      </c>
      <c r="P17" s="39" t="n">
        <f aca="false">P15+P16</f>
        <v>8400</v>
      </c>
      <c r="Q17" s="39" t="n">
        <f aca="false">Q15+Q16</f>
        <v>8850</v>
      </c>
      <c r="R17" s="39" t="n">
        <f aca="false">R15+R16</f>
        <v>9650</v>
      </c>
      <c r="S17" s="39" t="n">
        <f aca="false">S15+S16</f>
        <v>10250</v>
      </c>
      <c r="T17" s="39" t="n">
        <f aca="false">T15+T16</f>
        <v>10700</v>
      </c>
      <c r="U17" s="39" t="n">
        <f aca="false">U15+U16</f>
        <v>11150</v>
      </c>
      <c r="V17" s="39" t="n">
        <f aca="false">V15+V16</f>
        <v>11600</v>
      </c>
      <c r="W17" s="39" t="n">
        <f aca="false">W15+W16</f>
        <v>12050</v>
      </c>
      <c r="X17" s="39" t="n">
        <f aca="false">X15+X16</f>
        <v>12500</v>
      </c>
      <c r="Y17" s="39" t="n">
        <f aca="false">Y15+Y16</f>
        <v>12950</v>
      </c>
      <c r="Z17" s="39" t="n">
        <f aca="false">Z15+Z16</f>
        <v>13250</v>
      </c>
    </row>
    <row r="18" customFormat="false" ht="15" hidden="false" customHeight="false" outlineLevel="0" collapsed="false">
      <c r="A18" s="6"/>
      <c r="B18" s="6"/>
      <c r="C18" s="6"/>
      <c r="D18" s="6"/>
      <c r="E18" s="6"/>
      <c r="F18" s="6"/>
      <c r="G18" s="6"/>
      <c r="H18" s="6"/>
      <c r="I18" s="6"/>
      <c r="J18" s="6"/>
      <c r="K18" s="6"/>
      <c r="L18" s="6"/>
      <c r="M18" s="6"/>
      <c r="N18" s="6"/>
      <c r="O18" s="6"/>
      <c r="P18" s="6"/>
      <c r="Q18" s="6"/>
      <c r="R18" s="6"/>
      <c r="S18" s="6"/>
      <c r="T18" s="6"/>
      <c r="U18" s="6"/>
      <c r="V18" s="6"/>
      <c r="W18" s="6"/>
      <c r="X18" s="6"/>
      <c r="Y18" s="6"/>
      <c r="Z18" s="6"/>
    </row>
    <row r="19" customFormat="false" ht="15" hidden="false" customHeight="false" outlineLevel="0" collapsed="false">
      <c r="A19" s="6"/>
      <c r="B19" s="23" t="s">
        <v>124</v>
      </c>
      <c r="C19" s="24"/>
      <c r="D19" s="24"/>
      <c r="E19" s="24"/>
      <c r="F19" s="24"/>
      <c r="G19" s="24"/>
      <c r="H19" s="24"/>
      <c r="I19" s="24"/>
      <c r="J19" s="24"/>
      <c r="K19" s="24"/>
      <c r="L19" s="24"/>
      <c r="M19" s="24"/>
      <c r="N19" s="24"/>
      <c r="O19" s="24"/>
      <c r="P19" s="24"/>
      <c r="Q19" s="24"/>
      <c r="R19" s="24"/>
      <c r="S19" s="24"/>
      <c r="T19" s="24"/>
      <c r="U19" s="24"/>
      <c r="V19" s="24"/>
      <c r="W19" s="24"/>
      <c r="X19" s="24"/>
      <c r="Y19" s="24"/>
      <c r="Z19" s="24"/>
    </row>
    <row r="20" customFormat="false" ht="15" hidden="false" customHeight="false" outlineLevel="0" collapsed="false">
      <c r="A20" s="6"/>
      <c r="B20" s="9" t="s">
        <v>125</v>
      </c>
      <c r="C20" s="38" t="n">
        <f aca="false">C15*12</f>
        <v>14400</v>
      </c>
      <c r="D20" s="38" t="n">
        <f aca="false">D15*12</f>
        <v>19800</v>
      </c>
      <c r="E20" s="38" t="n">
        <f aca="false">E15*12</f>
        <v>23400</v>
      </c>
      <c r="F20" s="38" t="n">
        <f aca="false">F15*12</f>
        <v>28800</v>
      </c>
      <c r="G20" s="38" t="n">
        <f aca="false">G15*12</f>
        <v>34200</v>
      </c>
      <c r="H20" s="38" t="n">
        <f aca="false">H15*12</f>
        <v>39600</v>
      </c>
      <c r="I20" s="38" t="n">
        <f aca="false">I15*12</f>
        <v>45000</v>
      </c>
      <c r="J20" s="38" t="n">
        <f aca="false">J15*12</f>
        <v>50400</v>
      </c>
      <c r="K20" s="38" t="n">
        <f aca="false">K15*12</f>
        <v>55800</v>
      </c>
      <c r="L20" s="38" t="n">
        <f aca="false">L15*12</f>
        <v>61200</v>
      </c>
      <c r="M20" s="38" t="n">
        <f aca="false">M15*12</f>
        <v>68400</v>
      </c>
      <c r="N20" s="38" t="n">
        <f aca="false">N15*12</f>
        <v>75600</v>
      </c>
      <c r="O20" s="38" t="n">
        <f aca="false">O15*12</f>
        <v>81000</v>
      </c>
      <c r="P20" s="38" t="n">
        <f aca="false">P15*12</f>
        <v>86400</v>
      </c>
      <c r="Q20" s="38" t="n">
        <f aca="false">Q15*12</f>
        <v>91800</v>
      </c>
      <c r="R20" s="38" t="n">
        <f aca="false">R15*12</f>
        <v>99000</v>
      </c>
      <c r="S20" s="38" t="n">
        <f aca="false">S15*12</f>
        <v>106200</v>
      </c>
      <c r="T20" s="38" t="n">
        <f aca="false">T15*12</f>
        <v>111600</v>
      </c>
      <c r="U20" s="38" t="n">
        <f aca="false">U15*12</f>
        <v>117000</v>
      </c>
      <c r="V20" s="38" t="n">
        <f aca="false">V15*12</f>
        <v>122400</v>
      </c>
      <c r="W20" s="38" t="n">
        <f aca="false">W15*12</f>
        <v>127800</v>
      </c>
      <c r="X20" s="38" t="n">
        <f aca="false">X15*12</f>
        <v>133200</v>
      </c>
      <c r="Y20" s="38" t="n">
        <f aca="false">Y15*12</f>
        <v>138600</v>
      </c>
      <c r="Z20" s="38" t="n">
        <f aca="false">Z15*12</f>
        <v>142200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3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126</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127</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30" t="s">
        <v>115</v>
      </c>
      <c r="C5" s="31" t="n">
        <f aca="false">EDATE(Model_Start_Date,0)</f>
        <v>46023</v>
      </c>
      <c r="D5" s="31" t="n">
        <f aca="false">EDATE(Model_Start_Date,1)</f>
        <v>46054</v>
      </c>
      <c r="E5" s="31" t="n">
        <f aca="false">EDATE(Model_Start_Date,2)</f>
        <v>46082</v>
      </c>
      <c r="F5" s="31" t="n">
        <f aca="false">EDATE(Model_Start_Date,3)</f>
        <v>46113</v>
      </c>
      <c r="G5" s="31" t="n">
        <f aca="false">EDATE(Model_Start_Date,4)</f>
        <v>46143</v>
      </c>
      <c r="H5" s="31" t="n">
        <f aca="false">EDATE(Model_Start_Date,5)</f>
        <v>46174</v>
      </c>
      <c r="I5" s="31" t="n">
        <f aca="false">EDATE(Model_Start_Date,6)</f>
        <v>46204</v>
      </c>
      <c r="J5" s="31" t="n">
        <f aca="false">EDATE(Model_Start_Date,7)</f>
        <v>46235</v>
      </c>
      <c r="K5" s="31" t="n">
        <f aca="false">EDATE(Model_Start_Date,8)</f>
        <v>46266</v>
      </c>
      <c r="L5" s="31" t="n">
        <f aca="false">EDATE(Model_Start_Date,9)</f>
        <v>46296</v>
      </c>
      <c r="M5" s="31" t="n">
        <f aca="false">EDATE(Model_Start_Date,10)</f>
        <v>46327</v>
      </c>
      <c r="N5" s="31" t="n">
        <f aca="false">EDATE(Model_Start_Date,11)</f>
        <v>46357</v>
      </c>
      <c r="O5" s="31" t="n">
        <f aca="false">EDATE(Model_Start_Date,12)</f>
        <v>46388</v>
      </c>
      <c r="P5" s="31" t="n">
        <f aca="false">EDATE(Model_Start_Date,13)</f>
        <v>46419</v>
      </c>
      <c r="Q5" s="31" t="n">
        <f aca="false">EDATE(Model_Start_Date,14)</f>
        <v>46447</v>
      </c>
      <c r="R5" s="31" t="n">
        <f aca="false">EDATE(Model_Start_Date,15)</f>
        <v>46478</v>
      </c>
      <c r="S5" s="31" t="n">
        <f aca="false">EDATE(Model_Start_Date,16)</f>
        <v>46508</v>
      </c>
      <c r="T5" s="31" t="n">
        <f aca="false">EDATE(Model_Start_Date,17)</f>
        <v>46539</v>
      </c>
      <c r="U5" s="31" t="n">
        <f aca="false">EDATE(Model_Start_Date,18)</f>
        <v>46569</v>
      </c>
      <c r="V5" s="31" t="n">
        <f aca="false">EDATE(Model_Start_Date,19)</f>
        <v>46600</v>
      </c>
      <c r="W5" s="31" t="n">
        <f aca="false">EDATE(Model_Start_Date,20)</f>
        <v>46631</v>
      </c>
      <c r="X5" s="31" t="n">
        <f aca="false">EDATE(Model_Start_Date,21)</f>
        <v>46661</v>
      </c>
      <c r="Y5" s="31" t="n">
        <f aca="false">EDATE(Model_Start_Date,22)</f>
        <v>46692</v>
      </c>
      <c r="Z5" s="31" t="n">
        <f aca="false">EDATE(Model_Start_Date,23)</f>
        <v>46722</v>
      </c>
    </row>
    <row r="6" customFormat="false" ht="15" hidden="false" customHeight="false" outlineLevel="0" collapsed="false">
      <c r="A6" s="6"/>
      <c r="B6" s="32" t="s">
        <v>116</v>
      </c>
      <c r="C6" s="33" t="n">
        <f aca="false">COLUMN()-2</f>
        <v>1</v>
      </c>
      <c r="D6" s="33" t="n">
        <f aca="false">COLUMN()-2</f>
        <v>2</v>
      </c>
      <c r="E6" s="33" t="n">
        <f aca="false">COLUMN()-2</f>
        <v>3</v>
      </c>
      <c r="F6" s="33" t="n">
        <f aca="false">COLUMN()-2</f>
        <v>4</v>
      </c>
      <c r="G6" s="33" t="n">
        <f aca="false">COLUMN()-2</f>
        <v>5</v>
      </c>
      <c r="H6" s="33" t="n">
        <f aca="false">COLUMN()-2</f>
        <v>6</v>
      </c>
      <c r="I6" s="33" t="n">
        <f aca="false">COLUMN()-2</f>
        <v>7</v>
      </c>
      <c r="J6" s="33" t="n">
        <f aca="false">COLUMN()-2</f>
        <v>8</v>
      </c>
      <c r="K6" s="33" t="n">
        <f aca="false">COLUMN()-2</f>
        <v>9</v>
      </c>
      <c r="L6" s="33" t="n">
        <f aca="false">COLUMN()-2</f>
        <v>10</v>
      </c>
      <c r="M6" s="33" t="n">
        <f aca="false">COLUMN()-2</f>
        <v>11</v>
      </c>
      <c r="N6" s="33" t="n">
        <f aca="false">COLUMN()-2</f>
        <v>12</v>
      </c>
      <c r="O6" s="33" t="n">
        <f aca="false">COLUMN()-2</f>
        <v>13</v>
      </c>
      <c r="P6" s="33" t="n">
        <f aca="false">COLUMN()-2</f>
        <v>14</v>
      </c>
      <c r="Q6" s="33" t="n">
        <f aca="false">COLUMN()-2</f>
        <v>15</v>
      </c>
      <c r="R6" s="33" t="n">
        <f aca="false">COLUMN()-2</f>
        <v>16</v>
      </c>
      <c r="S6" s="33" t="n">
        <f aca="false">COLUMN()-2</f>
        <v>17</v>
      </c>
      <c r="T6" s="33" t="n">
        <f aca="false">COLUMN()-2</f>
        <v>18</v>
      </c>
      <c r="U6" s="33" t="n">
        <f aca="false">COLUMN()-2</f>
        <v>19</v>
      </c>
      <c r="V6" s="33" t="n">
        <f aca="false">COLUMN()-2</f>
        <v>20</v>
      </c>
      <c r="W6" s="33" t="n">
        <f aca="false">COLUMN()-2</f>
        <v>21</v>
      </c>
      <c r="X6" s="33" t="n">
        <f aca="false">COLUMN()-2</f>
        <v>22</v>
      </c>
      <c r="Y6" s="33" t="n">
        <f aca="false">COLUMN()-2</f>
        <v>23</v>
      </c>
      <c r="Z6" s="33" t="n">
        <f aca="false">COLUMN()-2</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3" t="s">
        <v>128</v>
      </c>
      <c r="C8" s="24"/>
      <c r="D8" s="24"/>
      <c r="E8" s="24"/>
      <c r="F8" s="24"/>
      <c r="G8" s="24"/>
      <c r="H8" s="24"/>
      <c r="I8" s="24"/>
      <c r="J8" s="24"/>
      <c r="K8" s="24"/>
      <c r="L8" s="24"/>
      <c r="M8" s="24"/>
      <c r="N8" s="24"/>
      <c r="O8" s="24"/>
      <c r="P8" s="24"/>
      <c r="Q8" s="24"/>
      <c r="R8" s="24"/>
      <c r="S8" s="24"/>
      <c r="T8" s="24"/>
      <c r="U8" s="24"/>
      <c r="V8" s="24"/>
      <c r="W8" s="24"/>
      <c r="X8" s="24"/>
      <c r="Y8" s="24"/>
      <c r="Z8" s="24"/>
    </row>
    <row r="9" customFormat="false" ht="15" hidden="false" customHeight="false" outlineLevel="0" collapsed="false">
      <c r="A9" s="6"/>
      <c r="B9" s="9" t="s">
        <v>129</v>
      </c>
      <c r="C9" s="34" t="n">
        <f aca="false">Founder_Count+Initial_Hires+INT((C6-1)/Hire_Interval)*Hires_Per_Round</f>
        <v>3</v>
      </c>
      <c r="D9" s="34" t="n">
        <f aca="false">Founder_Count+Initial_Hires+INT((D6-1)/Hire_Interval)*Hires_Per_Round</f>
        <v>3</v>
      </c>
      <c r="E9" s="34" t="n">
        <f aca="false">Founder_Count+Initial_Hires+INT((E6-1)/Hire_Interval)*Hires_Per_Round</f>
        <v>3</v>
      </c>
      <c r="F9" s="34" t="n">
        <f aca="false">Founder_Count+Initial_Hires+INT((F6-1)/Hire_Interval)*Hires_Per_Round</f>
        <v>3</v>
      </c>
      <c r="G9" s="34" t="n">
        <f aca="false">Founder_Count+Initial_Hires+INT((G6-1)/Hire_Interval)*Hires_Per_Round</f>
        <v>4</v>
      </c>
      <c r="H9" s="34" t="n">
        <f aca="false">Founder_Count+Initial_Hires+INT((H6-1)/Hire_Interval)*Hires_Per_Round</f>
        <v>4</v>
      </c>
      <c r="I9" s="34" t="n">
        <f aca="false">Founder_Count+Initial_Hires+INT((I6-1)/Hire_Interval)*Hires_Per_Round</f>
        <v>4</v>
      </c>
      <c r="J9" s="34" t="n">
        <f aca="false">Founder_Count+Initial_Hires+INT((J6-1)/Hire_Interval)*Hires_Per_Round</f>
        <v>4</v>
      </c>
      <c r="K9" s="34" t="n">
        <f aca="false">Founder_Count+Initial_Hires+INT((K6-1)/Hire_Interval)*Hires_Per_Round</f>
        <v>5</v>
      </c>
      <c r="L9" s="34" t="n">
        <f aca="false">Founder_Count+Initial_Hires+INT((L6-1)/Hire_Interval)*Hires_Per_Round</f>
        <v>5</v>
      </c>
      <c r="M9" s="34" t="n">
        <f aca="false">Founder_Count+Initial_Hires+INT((M6-1)/Hire_Interval)*Hires_Per_Round</f>
        <v>5</v>
      </c>
      <c r="N9" s="34" t="n">
        <f aca="false">Founder_Count+Initial_Hires+INT((N6-1)/Hire_Interval)*Hires_Per_Round</f>
        <v>5</v>
      </c>
      <c r="O9" s="34" t="n">
        <f aca="false">Founder_Count+Initial_Hires+INT((O6-1)/Hire_Interval)*Hires_Per_Round</f>
        <v>6</v>
      </c>
      <c r="P9" s="34" t="n">
        <f aca="false">Founder_Count+Initial_Hires+INT((P6-1)/Hire_Interval)*Hires_Per_Round</f>
        <v>6</v>
      </c>
      <c r="Q9" s="34" t="n">
        <f aca="false">Founder_Count+Initial_Hires+INT((Q6-1)/Hire_Interval)*Hires_Per_Round</f>
        <v>6</v>
      </c>
      <c r="R9" s="34" t="n">
        <f aca="false">Founder_Count+Initial_Hires+INT((R6-1)/Hire_Interval)*Hires_Per_Round</f>
        <v>6</v>
      </c>
      <c r="S9" s="34" t="n">
        <f aca="false">Founder_Count+Initial_Hires+INT((S6-1)/Hire_Interval)*Hires_Per_Round</f>
        <v>7</v>
      </c>
      <c r="T9" s="34" t="n">
        <f aca="false">Founder_Count+Initial_Hires+INT((T6-1)/Hire_Interval)*Hires_Per_Round</f>
        <v>7</v>
      </c>
      <c r="U9" s="34" t="n">
        <f aca="false">Founder_Count+Initial_Hires+INT((U6-1)/Hire_Interval)*Hires_Per_Round</f>
        <v>7</v>
      </c>
      <c r="V9" s="34" t="n">
        <f aca="false">Founder_Count+Initial_Hires+INT((V6-1)/Hire_Interval)*Hires_Per_Round</f>
        <v>7</v>
      </c>
      <c r="W9" s="34" t="n">
        <f aca="false">Founder_Count+Initial_Hires+INT((W6-1)/Hire_Interval)*Hires_Per_Round</f>
        <v>8</v>
      </c>
      <c r="X9" s="34" t="n">
        <f aca="false">Founder_Count+Initial_Hires+INT((X6-1)/Hire_Interval)*Hires_Per_Round</f>
        <v>8</v>
      </c>
      <c r="Y9" s="34" t="n">
        <f aca="false">Founder_Count+Initial_Hires+INT((Y6-1)/Hire_Interval)*Hires_Per_Round</f>
        <v>8</v>
      </c>
      <c r="Z9" s="34" t="n">
        <f aca="false">Founder_Count+Initial_Hires+INT((Z6-1)/Hire_Interval)*Hires_Per_Round</f>
        <v>8</v>
      </c>
    </row>
    <row r="10" customFormat="false" ht="15" hidden="false" customHeight="false" outlineLevel="0" collapsed="false">
      <c r="A10" s="6"/>
      <c r="B10" s="35" t="s">
        <v>130</v>
      </c>
      <c r="C10" s="38" t="n">
        <f aca="false">Avg_Salary*(1+Salary_Escalation)^INT((C6-1)/12)</f>
        <v>7000</v>
      </c>
      <c r="D10" s="38" t="n">
        <f aca="false">Avg_Salary*(1+Salary_Escalation)^INT((D6-1)/12)</f>
        <v>7000</v>
      </c>
      <c r="E10" s="38" t="n">
        <f aca="false">Avg_Salary*(1+Salary_Escalation)^INT((E6-1)/12)</f>
        <v>7000</v>
      </c>
      <c r="F10" s="38" t="n">
        <f aca="false">Avg_Salary*(1+Salary_Escalation)^INT((F6-1)/12)</f>
        <v>7000</v>
      </c>
      <c r="G10" s="38" t="n">
        <f aca="false">Avg_Salary*(1+Salary_Escalation)^INT((G6-1)/12)</f>
        <v>7000</v>
      </c>
      <c r="H10" s="38" t="n">
        <f aca="false">Avg_Salary*(1+Salary_Escalation)^INT((H6-1)/12)</f>
        <v>7000</v>
      </c>
      <c r="I10" s="38" t="n">
        <f aca="false">Avg_Salary*(1+Salary_Escalation)^INT((I6-1)/12)</f>
        <v>7000</v>
      </c>
      <c r="J10" s="38" t="n">
        <f aca="false">Avg_Salary*(1+Salary_Escalation)^INT((J6-1)/12)</f>
        <v>7000</v>
      </c>
      <c r="K10" s="38" t="n">
        <f aca="false">Avg_Salary*(1+Salary_Escalation)^INT((K6-1)/12)</f>
        <v>7000</v>
      </c>
      <c r="L10" s="38" t="n">
        <f aca="false">Avg_Salary*(1+Salary_Escalation)^INT((L6-1)/12)</f>
        <v>7000</v>
      </c>
      <c r="M10" s="38" t="n">
        <f aca="false">Avg_Salary*(1+Salary_Escalation)^INT((M6-1)/12)</f>
        <v>7000</v>
      </c>
      <c r="N10" s="38" t="n">
        <f aca="false">Avg_Salary*(1+Salary_Escalation)^INT((N6-1)/12)</f>
        <v>7000</v>
      </c>
      <c r="O10" s="38" t="n">
        <f aca="false">Avg_Salary*(1+Salary_Escalation)^INT((O6-1)/12)</f>
        <v>7210</v>
      </c>
      <c r="P10" s="38" t="n">
        <f aca="false">Avg_Salary*(1+Salary_Escalation)^INT((P6-1)/12)</f>
        <v>7210</v>
      </c>
      <c r="Q10" s="38" t="n">
        <f aca="false">Avg_Salary*(1+Salary_Escalation)^INT((Q6-1)/12)</f>
        <v>7210</v>
      </c>
      <c r="R10" s="38" t="n">
        <f aca="false">Avg_Salary*(1+Salary_Escalation)^INT((R6-1)/12)</f>
        <v>7210</v>
      </c>
      <c r="S10" s="38" t="n">
        <f aca="false">Avg_Salary*(1+Salary_Escalation)^INT((S6-1)/12)</f>
        <v>7210</v>
      </c>
      <c r="T10" s="38" t="n">
        <f aca="false">Avg_Salary*(1+Salary_Escalation)^INT((T6-1)/12)</f>
        <v>7210</v>
      </c>
      <c r="U10" s="38" t="n">
        <f aca="false">Avg_Salary*(1+Salary_Escalation)^INT((U6-1)/12)</f>
        <v>7210</v>
      </c>
      <c r="V10" s="38" t="n">
        <f aca="false">Avg_Salary*(1+Salary_Escalation)^INT((V6-1)/12)</f>
        <v>7210</v>
      </c>
      <c r="W10" s="38" t="n">
        <f aca="false">Avg_Salary*(1+Salary_Escalation)^INT((W6-1)/12)</f>
        <v>7210</v>
      </c>
      <c r="X10" s="38" t="n">
        <f aca="false">Avg_Salary*(1+Salary_Escalation)^INT((X6-1)/12)</f>
        <v>7210</v>
      </c>
      <c r="Y10" s="38" t="n">
        <f aca="false">Avg_Salary*(1+Salary_Escalation)^INT((Y6-1)/12)</f>
        <v>7210</v>
      </c>
      <c r="Z10" s="38" t="n">
        <f aca="false">Avg_Salary*(1+Salary_Escalation)^INT((Z6-1)/12)</f>
        <v>7210</v>
      </c>
    </row>
    <row r="11" customFormat="false" ht="15" hidden="false" customHeight="false" outlineLevel="0" collapsed="false">
      <c r="A11" s="6"/>
      <c r="B11" s="35" t="s">
        <v>131</v>
      </c>
      <c r="C11" s="38" t="n">
        <f aca="false">C9*C10</f>
        <v>21000</v>
      </c>
      <c r="D11" s="38" t="n">
        <f aca="false">D9*D10</f>
        <v>21000</v>
      </c>
      <c r="E11" s="38" t="n">
        <f aca="false">E9*E10</f>
        <v>21000</v>
      </c>
      <c r="F11" s="38" t="n">
        <f aca="false">F9*F10</f>
        <v>21000</v>
      </c>
      <c r="G11" s="38" t="n">
        <f aca="false">G9*G10</f>
        <v>28000</v>
      </c>
      <c r="H11" s="38" t="n">
        <f aca="false">H9*H10</f>
        <v>28000</v>
      </c>
      <c r="I11" s="38" t="n">
        <f aca="false">I9*I10</f>
        <v>28000</v>
      </c>
      <c r="J11" s="38" t="n">
        <f aca="false">J9*J10</f>
        <v>28000</v>
      </c>
      <c r="K11" s="38" t="n">
        <f aca="false">K9*K10</f>
        <v>35000</v>
      </c>
      <c r="L11" s="38" t="n">
        <f aca="false">L9*L10</f>
        <v>35000</v>
      </c>
      <c r="M11" s="38" t="n">
        <f aca="false">M9*M10</f>
        <v>35000</v>
      </c>
      <c r="N11" s="38" t="n">
        <f aca="false">N9*N10</f>
        <v>35000</v>
      </c>
      <c r="O11" s="38" t="n">
        <f aca="false">O9*O10</f>
        <v>43260</v>
      </c>
      <c r="P11" s="38" t="n">
        <f aca="false">P9*P10</f>
        <v>43260</v>
      </c>
      <c r="Q11" s="38" t="n">
        <f aca="false">Q9*Q10</f>
        <v>43260</v>
      </c>
      <c r="R11" s="38" t="n">
        <f aca="false">R9*R10</f>
        <v>43260</v>
      </c>
      <c r="S11" s="38" t="n">
        <f aca="false">S9*S10</f>
        <v>50470</v>
      </c>
      <c r="T11" s="38" t="n">
        <f aca="false">T9*T10</f>
        <v>50470</v>
      </c>
      <c r="U11" s="38" t="n">
        <f aca="false">U9*U10</f>
        <v>50470</v>
      </c>
      <c r="V11" s="38" t="n">
        <f aca="false">V9*V10</f>
        <v>50470</v>
      </c>
      <c r="W11" s="38" t="n">
        <f aca="false">W9*W10</f>
        <v>57680</v>
      </c>
      <c r="X11" s="38" t="n">
        <f aca="false">X9*X10</f>
        <v>57680</v>
      </c>
      <c r="Y11" s="38" t="n">
        <f aca="false">Y9*Y10</f>
        <v>57680</v>
      </c>
      <c r="Z11" s="38" t="n">
        <f aca="false">Z9*Z10</f>
        <v>57680</v>
      </c>
    </row>
    <row r="12" customFormat="false" ht="15" hidden="false" customHeight="false" outlineLevel="0" collapsed="false">
      <c r="A12" s="6"/>
      <c r="B12" s="35" t="s">
        <v>132</v>
      </c>
      <c r="C12" s="38" t="n">
        <f aca="false">C11*Benefits_Rate</f>
        <v>5250</v>
      </c>
      <c r="D12" s="38" t="n">
        <f aca="false">D11*Benefits_Rate</f>
        <v>5250</v>
      </c>
      <c r="E12" s="38" t="n">
        <f aca="false">E11*Benefits_Rate</f>
        <v>5250</v>
      </c>
      <c r="F12" s="38" t="n">
        <f aca="false">F11*Benefits_Rate</f>
        <v>5250</v>
      </c>
      <c r="G12" s="38" t="n">
        <f aca="false">G11*Benefits_Rate</f>
        <v>7000</v>
      </c>
      <c r="H12" s="38" t="n">
        <f aca="false">H11*Benefits_Rate</f>
        <v>7000</v>
      </c>
      <c r="I12" s="38" t="n">
        <f aca="false">I11*Benefits_Rate</f>
        <v>7000</v>
      </c>
      <c r="J12" s="38" t="n">
        <f aca="false">J11*Benefits_Rate</f>
        <v>7000</v>
      </c>
      <c r="K12" s="38" t="n">
        <f aca="false">K11*Benefits_Rate</f>
        <v>8750</v>
      </c>
      <c r="L12" s="38" t="n">
        <f aca="false">L11*Benefits_Rate</f>
        <v>8750</v>
      </c>
      <c r="M12" s="38" t="n">
        <f aca="false">M11*Benefits_Rate</f>
        <v>8750</v>
      </c>
      <c r="N12" s="38" t="n">
        <f aca="false">N11*Benefits_Rate</f>
        <v>8750</v>
      </c>
      <c r="O12" s="38" t="n">
        <f aca="false">O11*Benefits_Rate</f>
        <v>10815</v>
      </c>
      <c r="P12" s="38" t="n">
        <f aca="false">P11*Benefits_Rate</f>
        <v>10815</v>
      </c>
      <c r="Q12" s="38" t="n">
        <f aca="false">Q11*Benefits_Rate</f>
        <v>10815</v>
      </c>
      <c r="R12" s="38" t="n">
        <f aca="false">R11*Benefits_Rate</f>
        <v>10815</v>
      </c>
      <c r="S12" s="38" t="n">
        <f aca="false">S11*Benefits_Rate</f>
        <v>12617.5</v>
      </c>
      <c r="T12" s="38" t="n">
        <f aca="false">T11*Benefits_Rate</f>
        <v>12617.5</v>
      </c>
      <c r="U12" s="38" t="n">
        <f aca="false">U11*Benefits_Rate</f>
        <v>12617.5</v>
      </c>
      <c r="V12" s="38" t="n">
        <f aca="false">V11*Benefits_Rate</f>
        <v>12617.5</v>
      </c>
      <c r="W12" s="38" t="n">
        <f aca="false">W11*Benefits_Rate</f>
        <v>14420</v>
      </c>
      <c r="X12" s="38" t="n">
        <f aca="false">X11*Benefits_Rate</f>
        <v>14420</v>
      </c>
      <c r="Y12" s="38" t="n">
        <f aca="false">Y11*Benefits_Rate</f>
        <v>14420</v>
      </c>
      <c r="Z12" s="38" t="n">
        <f aca="false">Z11*Benefits_Rate</f>
        <v>14420</v>
      </c>
    </row>
    <row r="13" customFormat="false" ht="15" hidden="false" customHeight="false" outlineLevel="0" collapsed="false">
      <c r="A13" s="6"/>
      <c r="B13" s="36" t="s">
        <v>133</v>
      </c>
      <c r="C13" s="40" t="n">
        <f aca="false">C11+C12</f>
        <v>26250</v>
      </c>
      <c r="D13" s="40" t="n">
        <f aca="false">D11+D12</f>
        <v>26250</v>
      </c>
      <c r="E13" s="40" t="n">
        <f aca="false">E11+E12</f>
        <v>26250</v>
      </c>
      <c r="F13" s="40" t="n">
        <f aca="false">F11+F12</f>
        <v>26250</v>
      </c>
      <c r="G13" s="40" t="n">
        <f aca="false">G11+G12</f>
        <v>35000</v>
      </c>
      <c r="H13" s="40" t="n">
        <f aca="false">H11+H12</f>
        <v>35000</v>
      </c>
      <c r="I13" s="40" t="n">
        <f aca="false">I11+I12</f>
        <v>35000</v>
      </c>
      <c r="J13" s="40" t="n">
        <f aca="false">J11+J12</f>
        <v>35000</v>
      </c>
      <c r="K13" s="40" t="n">
        <f aca="false">K11+K12</f>
        <v>43750</v>
      </c>
      <c r="L13" s="40" t="n">
        <f aca="false">L11+L12</f>
        <v>43750</v>
      </c>
      <c r="M13" s="40" t="n">
        <f aca="false">M11+M12</f>
        <v>43750</v>
      </c>
      <c r="N13" s="40" t="n">
        <f aca="false">N11+N12</f>
        <v>43750</v>
      </c>
      <c r="O13" s="40" t="n">
        <f aca="false">O11+O12</f>
        <v>54075</v>
      </c>
      <c r="P13" s="40" t="n">
        <f aca="false">P11+P12</f>
        <v>54075</v>
      </c>
      <c r="Q13" s="40" t="n">
        <f aca="false">Q11+Q12</f>
        <v>54075</v>
      </c>
      <c r="R13" s="40" t="n">
        <f aca="false">R11+R12</f>
        <v>54075</v>
      </c>
      <c r="S13" s="40" t="n">
        <f aca="false">S11+S12</f>
        <v>63087.5</v>
      </c>
      <c r="T13" s="40" t="n">
        <f aca="false">T11+T12</f>
        <v>63087.5</v>
      </c>
      <c r="U13" s="40" t="n">
        <f aca="false">U11+U12</f>
        <v>63087.5</v>
      </c>
      <c r="V13" s="40" t="n">
        <f aca="false">V11+V12</f>
        <v>63087.5</v>
      </c>
      <c r="W13" s="40" t="n">
        <f aca="false">W11+W12</f>
        <v>72100</v>
      </c>
      <c r="X13" s="40" t="n">
        <f aca="false">X11+X12</f>
        <v>72100</v>
      </c>
      <c r="Y13" s="40" t="n">
        <f aca="false">Y11+Y12</f>
        <v>72100</v>
      </c>
      <c r="Z13" s="40" t="n">
        <f aca="false">Z11+Z12</f>
        <v>72100</v>
      </c>
    </row>
    <row r="14" customFormat="false" ht="15" hidden="false" customHeight="false" outlineLevel="0" collapsed="false">
      <c r="A14" s="6"/>
      <c r="B14" s="6"/>
      <c r="C14" s="6"/>
      <c r="D14" s="6"/>
      <c r="E14" s="6"/>
      <c r="F14" s="6"/>
      <c r="G14" s="6"/>
      <c r="H14" s="6"/>
      <c r="I14" s="6"/>
      <c r="J14" s="6"/>
      <c r="K14" s="6"/>
      <c r="L14" s="6"/>
      <c r="M14" s="6"/>
      <c r="N14" s="6"/>
      <c r="O14" s="6"/>
      <c r="P14" s="6"/>
      <c r="Q14" s="6"/>
      <c r="R14" s="6"/>
      <c r="S14" s="6"/>
      <c r="T14" s="6"/>
      <c r="U14" s="6"/>
      <c r="V14" s="6"/>
      <c r="W14" s="6"/>
      <c r="X14" s="6"/>
      <c r="Y14" s="6"/>
      <c r="Z14" s="6"/>
    </row>
    <row r="15" customFormat="false" ht="15" hidden="false" customHeight="false" outlineLevel="0" collapsed="false">
      <c r="A15" s="6"/>
      <c r="B15" s="23" t="s">
        <v>87</v>
      </c>
      <c r="C15" s="24"/>
      <c r="D15" s="24"/>
      <c r="E15" s="24"/>
      <c r="F15" s="24"/>
      <c r="G15" s="24"/>
      <c r="H15" s="24"/>
      <c r="I15" s="24"/>
      <c r="J15" s="24"/>
      <c r="K15" s="24"/>
      <c r="L15" s="24"/>
      <c r="M15" s="24"/>
      <c r="N15" s="24"/>
      <c r="O15" s="24"/>
      <c r="P15" s="24"/>
      <c r="Q15" s="24"/>
      <c r="R15" s="24"/>
      <c r="S15" s="24"/>
      <c r="T15" s="24"/>
      <c r="U15" s="24"/>
      <c r="V15" s="24"/>
      <c r="W15" s="24"/>
      <c r="X15" s="24"/>
      <c r="Y15" s="24"/>
      <c r="Z15" s="24"/>
    </row>
    <row r="16" customFormat="false" ht="15" hidden="false" customHeight="false" outlineLevel="0" collapsed="false">
      <c r="A16" s="6"/>
      <c r="B16" s="35" t="s">
        <v>88</v>
      </c>
      <c r="C16" s="38" t="n">
        <f aca="false">Hosting_Base</f>
        <v>800</v>
      </c>
      <c r="D16" s="38" t="n">
        <f aca="false">Hosting_Base</f>
        <v>800</v>
      </c>
      <c r="E16" s="38" t="n">
        <f aca="false">Hosting_Base</f>
        <v>800</v>
      </c>
      <c r="F16" s="38" t="n">
        <f aca="false">Hosting_Base</f>
        <v>800</v>
      </c>
      <c r="G16" s="38" t="n">
        <f aca="false">Hosting_Base</f>
        <v>800</v>
      </c>
      <c r="H16" s="38" t="n">
        <f aca="false">Hosting_Base</f>
        <v>800</v>
      </c>
      <c r="I16" s="38" t="n">
        <f aca="false">Hosting_Base</f>
        <v>800</v>
      </c>
      <c r="J16" s="38" t="n">
        <f aca="false">Hosting_Base</f>
        <v>800</v>
      </c>
      <c r="K16" s="38" t="n">
        <f aca="false">Hosting_Base</f>
        <v>800</v>
      </c>
      <c r="L16" s="38" t="n">
        <f aca="false">Hosting_Base</f>
        <v>800</v>
      </c>
      <c r="M16" s="38" t="n">
        <f aca="false">Hosting_Base</f>
        <v>800</v>
      </c>
      <c r="N16" s="38" t="n">
        <f aca="false">Hosting_Base</f>
        <v>800</v>
      </c>
      <c r="O16" s="38" t="n">
        <f aca="false">Hosting_Base</f>
        <v>800</v>
      </c>
      <c r="P16" s="38" t="n">
        <f aca="false">Hosting_Base</f>
        <v>800</v>
      </c>
      <c r="Q16" s="38" t="n">
        <f aca="false">Hosting_Base</f>
        <v>800</v>
      </c>
      <c r="R16" s="38" t="n">
        <f aca="false">Hosting_Base</f>
        <v>800</v>
      </c>
      <c r="S16" s="38" t="n">
        <f aca="false">Hosting_Base</f>
        <v>800</v>
      </c>
      <c r="T16" s="38" t="n">
        <f aca="false">Hosting_Base</f>
        <v>800</v>
      </c>
      <c r="U16" s="38" t="n">
        <f aca="false">Hosting_Base</f>
        <v>800</v>
      </c>
      <c r="V16" s="38" t="n">
        <f aca="false">Hosting_Base</f>
        <v>800</v>
      </c>
      <c r="W16" s="38" t="n">
        <f aca="false">Hosting_Base</f>
        <v>800</v>
      </c>
      <c r="X16" s="38" t="n">
        <f aca="false">Hosting_Base</f>
        <v>800</v>
      </c>
      <c r="Y16" s="38" t="n">
        <f aca="false">Hosting_Base</f>
        <v>800</v>
      </c>
      <c r="Z16" s="38" t="n">
        <f aca="false">Hosting_Base</f>
        <v>800</v>
      </c>
    </row>
    <row r="17" customFormat="false" ht="15" hidden="false" customHeight="false" outlineLevel="0" collapsed="false">
      <c r="A17" s="6"/>
      <c r="B17" s="35" t="s">
        <v>90</v>
      </c>
      <c r="C17" s="38" t="n">
        <f aca="true">RB_Sub_MRR*Hosting_Var_Pct</f>
        <v>96</v>
      </c>
      <c r="D17" s="38" t="n">
        <f aca="true">RB_Sub_MRR*Hosting_Var_Pct</f>
        <v>132</v>
      </c>
      <c r="E17" s="38" t="n">
        <f aca="true">RB_Sub_MRR*Hosting_Var_Pct</f>
        <v>156</v>
      </c>
      <c r="F17" s="38" t="n">
        <f aca="true">RB_Sub_MRR*Hosting_Var_Pct</f>
        <v>192</v>
      </c>
      <c r="G17" s="38" t="n">
        <f aca="true">RB_Sub_MRR*Hosting_Var_Pct</f>
        <v>228</v>
      </c>
      <c r="H17" s="38" t="n">
        <f aca="true">RB_Sub_MRR*Hosting_Var_Pct</f>
        <v>264</v>
      </c>
      <c r="I17" s="38" t="n">
        <f aca="true">RB_Sub_MRR*Hosting_Var_Pct</f>
        <v>300</v>
      </c>
      <c r="J17" s="38" t="n">
        <f aca="true">RB_Sub_MRR*Hosting_Var_Pct</f>
        <v>336</v>
      </c>
      <c r="K17" s="38" t="n">
        <f aca="true">RB_Sub_MRR*Hosting_Var_Pct</f>
        <v>372</v>
      </c>
      <c r="L17" s="38" t="n">
        <f aca="true">RB_Sub_MRR*Hosting_Var_Pct</f>
        <v>408</v>
      </c>
      <c r="M17" s="38" t="n">
        <f aca="true">RB_Sub_MRR*Hosting_Var_Pct</f>
        <v>456</v>
      </c>
      <c r="N17" s="38" t="n">
        <f aca="true">RB_Sub_MRR*Hosting_Var_Pct</f>
        <v>504</v>
      </c>
      <c r="O17" s="38" t="n">
        <f aca="true">RB_Sub_MRR*Hosting_Var_Pct</f>
        <v>540</v>
      </c>
      <c r="P17" s="38" t="n">
        <f aca="true">RB_Sub_MRR*Hosting_Var_Pct</f>
        <v>576</v>
      </c>
      <c r="Q17" s="38" t="n">
        <f aca="true">RB_Sub_MRR*Hosting_Var_Pct</f>
        <v>612</v>
      </c>
      <c r="R17" s="38" t="n">
        <f aca="true">RB_Sub_MRR*Hosting_Var_Pct</f>
        <v>660</v>
      </c>
      <c r="S17" s="38" t="n">
        <f aca="true">RB_Sub_MRR*Hosting_Var_Pct</f>
        <v>708</v>
      </c>
      <c r="T17" s="38" t="n">
        <f aca="true">RB_Sub_MRR*Hosting_Var_Pct</f>
        <v>744</v>
      </c>
      <c r="U17" s="38" t="n">
        <f aca="true">RB_Sub_MRR*Hosting_Var_Pct</f>
        <v>780</v>
      </c>
      <c r="V17" s="38" t="n">
        <f aca="true">RB_Sub_MRR*Hosting_Var_Pct</f>
        <v>816</v>
      </c>
      <c r="W17" s="38" t="n">
        <f aca="true">RB_Sub_MRR*Hosting_Var_Pct</f>
        <v>852</v>
      </c>
      <c r="X17" s="38" t="n">
        <f aca="true">RB_Sub_MRR*Hosting_Var_Pct</f>
        <v>888</v>
      </c>
      <c r="Y17" s="38" t="n">
        <f aca="true">RB_Sub_MRR*Hosting_Var_Pct</f>
        <v>924</v>
      </c>
      <c r="Z17" s="38" t="n">
        <f aca="true">RB_Sub_MRR*Hosting_Var_Pct</f>
        <v>948</v>
      </c>
    </row>
    <row r="18" customFormat="false" ht="15" hidden="false" customHeight="false" outlineLevel="0" collapsed="false">
      <c r="A18" s="6"/>
      <c r="B18" s="35" t="s">
        <v>93</v>
      </c>
      <c r="C18" s="38" t="n">
        <f aca="false">Software_Tools</f>
        <v>600</v>
      </c>
      <c r="D18" s="38" t="n">
        <f aca="false">Software_Tools</f>
        <v>600</v>
      </c>
      <c r="E18" s="38" t="n">
        <f aca="false">Software_Tools</f>
        <v>600</v>
      </c>
      <c r="F18" s="38" t="n">
        <f aca="false">Software_Tools</f>
        <v>600</v>
      </c>
      <c r="G18" s="38" t="n">
        <f aca="false">Software_Tools</f>
        <v>600</v>
      </c>
      <c r="H18" s="38" t="n">
        <f aca="false">Software_Tools</f>
        <v>600</v>
      </c>
      <c r="I18" s="38" t="n">
        <f aca="false">Software_Tools</f>
        <v>600</v>
      </c>
      <c r="J18" s="38" t="n">
        <f aca="false">Software_Tools</f>
        <v>600</v>
      </c>
      <c r="K18" s="38" t="n">
        <f aca="false">Software_Tools</f>
        <v>600</v>
      </c>
      <c r="L18" s="38" t="n">
        <f aca="false">Software_Tools</f>
        <v>600</v>
      </c>
      <c r="M18" s="38" t="n">
        <f aca="false">Software_Tools</f>
        <v>600</v>
      </c>
      <c r="N18" s="38" t="n">
        <f aca="false">Software_Tools</f>
        <v>600</v>
      </c>
      <c r="O18" s="38" t="n">
        <f aca="false">Software_Tools</f>
        <v>600</v>
      </c>
      <c r="P18" s="38" t="n">
        <f aca="false">Software_Tools</f>
        <v>600</v>
      </c>
      <c r="Q18" s="38" t="n">
        <f aca="false">Software_Tools</f>
        <v>600</v>
      </c>
      <c r="R18" s="38" t="n">
        <f aca="false">Software_Tools</f>
        <v>600</v>
      </c>
      <c r="S18" s="38" t="n">
        <f aca="false">Software_Tools</f>
        <v>600</v>
      </c>
      <c r="T18" s="38" t="n">
        <f aca="false">Software_Tools</f>
        <v>600</v>
      </c>
      <c r="U18" s="38" t="n">
        <f aca="false">Software_Tools</f>
        <v>600</v>
      </c>
      <c r="V18" s="38" t="n">
        <f aca="false">Software_Tools</f>
        <v>600</v>
      </c>
      <c r="W18" s="38" t="n">
        <f aca="false">Software_Tools</f>
        <v>600</v>
      </c>
      <c r="X18" s="38" t="n">
        <f aca="false">Software_Tools</f>
        <v>600</v>
      </c>
      <c r="Y18" s="38" t="n">
        <f aca="false">Software_Tools</f>
        <v>600</v>
      </c>
      <c r="Z18" s="38" t="n">
        <f aca="false">Software_Tools</f>
        <v>600</v>
      </c>
    </row>
    <row r="19" customFormat="false" ht="15" hidden="false" customHeight="false" outlineLevel="0" collapsed="false">
      <c r="A19" s="6"/>
      <c r="B19" s="35" t="s">
        <v>95</v>
      </c>
      <c r="C19" s="38" t="n">
        <f aca="false">API_Costs</f>
        <v>300</v>
      </c>
      <c r="D19" s="38" t="n">
        <f aca="false">API_Costs</f>
        <v>300</v>
      </c>
      <c r="E19" s="38" t="n">
        <f aca="false">API_Costs</f>
        <v>300</v>
      </c>
      <c r="F19" s="38" t="n">
        <f aca="false">API_Costs</f>
        <v>300</v>
      </c>
      <c r="G19" s="38" t="n">
        <f aca="false">API_Costs</f>
        <v>300</v>
      </c>
      <c r="H19" s="38" t="n">
        <f aca="false">API_Costs</f>
        <v>300</v>
      </c>
      <c r="I19" s="38" t="n">
        <f aca="false">API_Costs</f>
        <v>300</v>
      </c>
      <c r="J19" s="38" t="n">
        <f aca="false">API_Costs</f>
        <v>300</v>
      </c>
      <c r="K19" s="38" t="n">
        <f aca="false">API_Costs</f>
        <v>300</v>
      </c>
      <c r="L19" s="38" t="n">
        <f aca="false">API_Costs</f>
        <v>300</v>
      </c>
      <c r="M19" s="38" t="n">
        <f aca="false">API_Costs</f>
        <v>300</v>
      </c>
      <c r="N19" s="38" t="n">
        <f aca="false">API_Costs</f>
        <v>300</v>
      </c>
      <c r="O19" s="38" t="n">
        <f aca="false">API_Costs</f>
        <v>300</v>
      </c>
      <c r="P19" s="38" t="n">
        <f aca="false">API_Costs</f>
        <v>300</v>
      </c>
      <c r="Q19" s="38" t="n">
        <f aca="false">API_Costs</f>
        <v>300</v>
      </c>
      <c r="R19" s="38" t="n">
        <f aca="false">API_Costs</f>
        <v>300</v>
      </c>
      <c r="S19" s="38" t="n">
        <f aca="false">API_Costs</f>
        <v>300</v>
      </c>
      <c r="T19" s="38" t="n">
        <f aca="false">API_Costs</f>
        <v>300</v>
      </c>
      <c r="U19" s="38" t="n">
        <f aca="false">API_Costs</f>
        <v>300</v>
      </c>
      <c r="V19" s="38" t="n">
        <f aca="false">API_Costs</f>
        <v>300</v>
      </c>
      <c r="W19" s="38" t="n">
        <f aca="false">API_Costs</f>
        <v>300</v>
      </c>
      <c r="X19" s="38" t="n">
        <f aca="false">API_Costs</f>
        <v>300</v>
      </c>
      <c r="Y19" s="38" t="n">
        <f aca="false">API_Costs</f>
        <v>300</v>
      </c>
      <c r="Z19" s="38" t="n">
        <f aca="false">API_Costs</f>
        <v>300</v>
      </c>
    </row>
    <row r="20" customFormat="false" ht="15" hidden="false" customHeight="false" outlineLevel="0" collapsed="false">
      <c r="A20" s="6"/>
      <c r="B20" s="36" t="s">
        <v>134</v>
      </c>
      <c r="C20" s="40" t="n">
        <f aca="false">C16+C17+C18+C19</f>
        <v>1796</v>
      </c>
      <c r="D20" s="40" t="n">
        <f aca="false">D16+D17+D18+D19</f>
        <v>1832</v>
      </c>
      <c r="E20" s="40" t="n">
        <f aca="false">E16+E17+E18+E19</f>
        <v>1856</v>
      </c>
      <c r="F20" s="40" t="n">
        <f aca="false">F16+F17+F18+F19</f>
        <v>1892</v>
      </c>
      <c r="G20" s="40" t="n">
        <f aca="false">G16+G17+G18+G19</f>
        <v>1928</v>
      </c>
      <c r="H20" s="40" t="n">
        <f aca="false">H16+H17+H18+H19</f>
        <v>1964</v>
      </c>
      <c r="I20" s="40" t="n">
        <f aca="false">I16+I17+I18+I19</f>
        <v>2000</v>
      </c>
      <c r="J20" s="40" t="n">
        <f aca="false">J16+J17+J18+J19</f>
        <v>2036</v>
      </c>
      <c r="K20" s="40" t="n">
        <f aca="false">K16+K17+K18+K19</f>
        <v>2072</v>
      </c>
      <c r="L20" s="40" t="n">
        <f aca="false">L16+L17+L18+L19</f>
        <v>2108</v>
      </c>
      <c r="M20" s="40" t="n">
        <f aca="false">M16+M17+M18+M19</f>
        <v>2156</v>
      </c>
      <c r="N20" s="40" t="n">
        <f aca="false">N16+N17+N18+N19</f>
        <v>2204</v>
      </c>
      <c r="O20" s="40" t="n">
        <f aca="false">O16+O17+O18+O19</f>
        <v>2240</v>
      </c>
      <c r="P20" s="40" t="n">
        <f aca="false">P16+P17+P18+P19</f>
        <v>2276</v>
      </c>
      <c r="Q20" s="40" t="n">
        <f aca="false">Q16+Q17+Q18+Q19</f>
        <v>2312</v>
      </c>
      <c r="R20" s="40" t="n">
        <f aca="false">R16+R17+R18+R19</f>
        <v>2360</v>
      </c>
      <c r="S20" s="40" t="n">
        <f aca="false">S16+S17+S18+S19</f>
        <v>2408</v>
      </c>
      <c r="T20" s="40" t="n">
        <f aca="false">T16+T17+T18+T19</f>
        <v>2444</v>
      </c>
      <c r="U20" s="40" t="n">
        <f aca="false">U16+U17+U18+U19</f>
        <v>2480</v>
      </c>
      <c r="V20" s="40" t="n">
        <f aca="false">V16+V17+V18+V19</f>
        <v>2516</v>
      </c>
      <c r="W20" s="40" t="n">
        <f aca="false">W16+W17+W18+W19</f>
        <v>2552</v>
      </c>
      <c r="X20" s="40" t="n">
        <f aca="false">X16+X17+X18+X19</f>
        <v>2588</v>
      </c>
      <c r="Y20" s="40" t="n">
        <f aca="false">Y16+Y17+Y18+Y19</f>
        <v>2624</v>
      </c>
      <c r="Z20" s="40" t="n">
        <f aca="false">Z16+Z17+Z18+Z19</f>
        <v>2648</v>
      </c>
    </row>
    <row r="21" customFormat="false" ht="15" hidden="false" customHeight="false" outlineLevel="0" collapsed="false">
      <c r="A21" s="6"/>
      <c r="B21" s="6"/>
      <c r="C21" s="6"/>
      <c r="D21" s="6"/>
      <c r="E21" s="6"/>
      <c r="F21" s="6"/>
      <c r="G21" s="6"/>
      <c r="H21" s="6"/>
      <c r="I21" s="6"/>
      <c r="J21" s="6"/>
      <c r="K21" s="6"/>
      <c r="L21" s="6"/>
      <c r="M21" s="6"/>
      <c r="N21" s="6"/>
      <c r="O21" s="6"/>
      <c r="P21" s="6"/>
      <c r="Q21" s="6"/>
      <c r="R21" s="6"/>
      <c r="S21" s="6"/>
      <c r="T21" s="6"/>
      <c r="U21" s="6"/>
      <c r="V21" s="6"/>
      <c r="W21" s="6"/>
      <c r="X21" s="6"/>
      <c r="Y21" s="6"/>
      <c r="Z21" s="6"/>
    </row>
    <row r="22" customFormat="false" ht="15" hidden="false" customHeight="false" outlineLevel="0" collapsed="false">
      <c r="A22" s="6"/>
      <c r="B22" s="23" t="s">
        <v>65</v>
      </c>
      <c r="C22" s="24"/>
      <c r="D22" s="24"/>
      <c r="E22" s="24"/>
      <c r="F22" s="24"/>
      <c r="G22" s="24"/>
      <c r="H22" s="24"/>
      <c r="I22" s="24"/>
      <c r="J22" s="24"/>
      <c r="K22" s="24"/>
      <c r="L22" s="24"/>
      <c r="M22" s="24"/>
      <c r="N22" s="24"/>
      <c r="O22" s="24"/>
      <c r="P22" s="24"/>
      <c r="Q22" s="24"/>
      <c r="R22" s="24"/>
      <c r="S22" s="24"/>
      <c r="T22" s="24"/>
      <c r="U22" s="24"/>
      <c r="V22" s="24"/>
      <c r="W22" s="24"/>
      <c r="X22" s="24"/>
      <c r="Y22" s="24"/>
      <c r="Z22" s="24"/>
    </row>
    <row r="23" customFormat="false" ht="15" hidden="false" customHeight="false" outlineLevel="0" collapsed="false">
      <c r="A23" s="6"/>
      <c r="B23" s="9" t="s">
        <v>135</v>
      </c>
      <c r="C23" s="38" t="n">
        <f aca="false">Mkt_Base*(1+Mkt_Growth_Rate)^(C6-1)</f>
        <v>2000</v>
      </c>
      <c r="D23" s="38" t="n">
        <f aca="false">Mkt_Base*(1+Mkt_Growth_Rate)^(D6-1)</f>
        <v>2100</v>
      </c>
      <c r="E23" s="38" t="n">
        <f aca="false">Mkt_Base*(1+Mkt_Growth_Rate)^(E6-1)</f>
        <v>2205</v>
      </c>
      <c r="F23" s="38" t="n">
        <f aca="false">Mkt_Base*(1+Mkt_Growth_Rate)^(F6-1)</f>
        <v>2315.25</v>
      </c>
      <c r="G23" s="38" t="n">
        <f aca="false">Mkt_Base*(1+Mkt_Growth_Rate)^(G6-1)</f>
        <v>2431.0125</v>
      </c>
      <c r="H23" s="38" t="n">
        <f aca="false">Mkt_Base*(1+Mkt_Growth_Rate)^(H6-1)</f>
        <v>2552.563125</v>
      </c>
      <c r="I23" s="38" t="n">
        <f aca="false">Mkt_Base*(1+Mkt_Growth_Rate)^(I6-1)</f>
        <v>2680.19128125</v>
      </c>
      <c r="J23" s="38" t="n">
        <f aca="false">Mkt_Base*(1+Mkt_Growth_Rate)^(J6-1)</f>
        <v>2814.2008453125</v>
      </c>
      <c r="K23" s="38" t="n">
        <f aca="false">Mkt_Base*(1+Mkt_Growth_Rate)^(K6-1)</f>
        <v>2954.91088757813</v>
      </c>
      <c r="L23" s="38" t="n">
        <f aca="false">Mkt_Base*(1+Mkt_Growth_Rate)^(L6-1)</f>
        <v>3102.65643195703</v>
      </c>
      <c r="M23" s="38" t="n">
        <f aca="false">Mkt_Base*(1+Mkt_Growth_Rate)^(M6-1)</f>
        <v>3257.78925355488</v>
      </c>
      <c r="N23" s="38" t="n">
        <f aca="false">Mkt_Base*(1+Mkt_Growth_Rate)^(N6-1)</f>
        <v>3420.67871623263</v>
      </c>
      <c r="O23" s="38" t="n">
        <f aca="false">Mkt_Base*(1+Mkt_Growth_Rate)^(O6-1)</f>
        <v>3591.71265204426</v>
      </c>
      <c r="P23" s="38" t="n">
        <f aca="false">Mkt_Base*(1+Mkt_Growth_Rate)^(P6-1)</f>
        <v>3771.29828464647</v>
      </c>
      <c r="Q23" s="38" t="n">
        <f aca="false">Mkt_Base*(1+Mkt_Growth_Rate)^(Q6-1)</f>
        <v>3959.8631988788</v>
      </c>
      <c r="R23" s="38" t="n">
        <f aca="false">Mkt_Base*(1+Mkt_Growth_Rate)^(R6-1)</f>
        <v>4157.85635882274</v>
      </c>
      <c r="S23" s="38" t="n">
        <f aca="false">Mkt_Base*(1+Mkt_Growth_Rate)^(S6-1)</f>
        <v>4365.74917676387</v>
      </c>
      <c r="T23" s="38" t="n">
        <f aca="false">Mkt_Base*(1+Mkt_Growth_Rate)^(T6-1)</f>
        <v>4584.03663560207</v>
      </c>
      <c r="U23" s="38" t="n">
        <f aca="false">Mkt_Base*(1+Mkt_Growth_Rate)^(U6-1)</f>
        <v>4813.23846738217</v>
      </c>
      <c r="V23" s="38" t="n">
        <f aca="false">Mkt_Base*(1+Mkt_Growth_Rate)^(V6-1)</f>
        <v>5053.90039075128</v>
      </c>
      <c r="W23" s="38" t="n">
        <f aca="false">Mkt_Base*(1+Mkt_Growth_Rate)^(W6-1)</f>
        <v>5306.59541028884</v>
      </c>
      <c r="X23" s="38" t="n">
        <f aca="false">Mkt_Base*(1+Mkt_Growth_Rate)^(X6-1)</f>
        <v>5571.92518080329</v>
      </c>
      <c r="Y23" s="38" t="n">
        <f aca="false">Mkt_Base*(1+Mkt_Growth_Rate)^(Y6-1)</f>
        <v>5850.52143984345</v>
      </c>
      <c r="Z23" s="38" t="n">
        <f aca="false">Mkt_Base*(1+Mkt_Growth_Rate)^(Z6-1)</f>
        <v>6143.04751183562</v>
      </c>
    </row>
    <row r="24" customFormat="false" ht="15" hidden="false" customHeight="false" outlineLevel="0" collapsed="false">
      <c r="A24" s="6"/>
      <c r="B24" s="36" t="s">
        <v>136</v>
      </c>
      <c r="C24" s="40" t="n">
        <f aca="false">C23</f>
        <v>2000</v>
      </c>
      <c r="D24" s="40" t="n">
        <f aca="false">D23</f>
        <v>2100</v>
      </c>
      <c r="E24" s="40" t="n">
        <f aca="false">E23</f>
        <v>2205</v>
      </c>
      <c r="F24" s="40" t="n">
        <f aca="false">F23</f>
        <v>2315.25</v>
      </c>
      <c r="G24" s="40" t="n">
        <f aca="false">G23</f>
        <v>2431.0125</v>
      </c>
      <c r="H24" s="40" t="n">
        <f aca="false">H23</f>
        <v>2552.563125</v>
      </c>
      <c r="I24" s="40" t="n">
        <f aca="false">I23</f>
        <v>2680.19128125</v>
      </c>
      <c r="J24" s="40" t="n">
        <f aca="false">J23</f>
        <v>2814.2008453125</v>
      </c>
      <c r="K24" s="40" t="n">
        <f aca="false">K23</f>
        <v>2954.91088757813</v>
      </c>
      <c r="L24" s="40" t="n">
        <f aca="false">L23</f>
        <v>3102.65643195703</v>
      </c>
      <c r="M24" s="40" t="n">
        <f aca="false">M23</f>
        <v>3257.78925355488</v>
      </c>
      <c r="N24" s="40" t="n">
        <f aca="false">N23</f>
        <v>3420.67871623263</v>
      </c>
      <c r="O24" s="40" t="n">
        <f aca="false">O23</f>
        <v>3591.71265204426</v>
      </c>
      <c r="P24" s="40" t="n">
        <f aca="false">P23</f>
        <v>3771.29828464647</v>
      </c>
      <c r="Q24" s="40" t="n">
        <f aca="false">Q23</f>
        <v>3959.8631988788</v>
      </c>
      <c r="R24" s="40" t="n">
        <f aca="false">R23</f>
        <v>4157.85635882274</v>
      </c>
      <c r="S24" s="40" t="n">
        <f aca="false">S23</f>
        <v>4365.74917676387</v>
      </c>
      <c r="T24" s="40" t="n">
        <f aca="false">T23</f>
        <v>4584.03663560207</v>
      </c>
      <c r="U24" s="40" t="n">
        <f aca="false">U23</f>
        <v>4813.23846738217</v>
      </c>
      <c r="V24" s="40" t="n">
        <f aca="false">V23</f>
        <v>5053.90039075128</v>
      </c>
      <c r="W24" s="40" t="n">
        <f aca="false">W23</f>
        <v>5306.59541028884</v>
      </c>
      <c r="X24" s="40" t="n">
        <f aca="false">X23</f>
        <v>5571.92518080329</v>
      </c>
      <c r="Y24" s="40" t="n">
        <f aca="false">Y23</f>
        <v>5850.52143984345</v>
      </c>
      <c r="Z24" s="40" t="n">
        <f aca="false">Z23</f>
        <v>6143.04751183562</v>
      </c>
    </row>
    <row r="25" customFormat="false" ht="15" hidden="false" customHeight="false" outlineLevel="0" collapsed="false">
      <c r="A25" s="6"/>
      <c r="B25" s="6"/>
      <c r="C25" s="6"/>
      <c r="D25" s="6"/>
      <c r="E25" s="6"/>
      <c r="F25" s="6"/>
      <c r="G25" s="6"/>
      <c r="H25" s="6"/>
      <c r="I25" s="6"/>
      <c r="J25" s="6"/>
      <c r="K25" s="6"/>
      <c r="L25" s="6"/>
      <c r="M25" s="6"/>
      <c r="N25" s="6"/>
      <c r="O25" s="6"/>
      <c r="P25" s="6"/>
      <c r="Q25" s="6"/>
      <c r="R25" s="6"/>
      <c r="S25" s="6"/>
      <c r="T25" s="6"/>
      <c r="U25" s="6"/>
      <c r="V25" s="6"/>
      <c r="W25" s="6"/>
      <c r="X25" s="6"/>
      <c r="Y25" s="6"/>
      <c r="Z25" s="6"/>
    </row>
    <row r="26" customFormat="false" ht="15" hidden="false" customHeight="false" outlineLevel="0" collapsed="false">
      <c r="A26" s="6"/>
      <c r="B26" s="23" t="s">
        <v>97</v>
      </c>
      <c r="C26" s="24"/>
      <c r="D26" s="24"/>
      <c r="E26" s="24"/>
      <c r="F26" s="24"/>
      <c r="G26" s="24"/>
      <c r="H26" s="24"/>
      <c r="I26" s="24"/>
      <c r="J26" s="24"/>
      <c r="K26" s="24"/>
      <c r="L26" s="24"/>
      <c r="M26" s="24"/>
      <c r="N26" s="24"/>
      <c r="O26" s="24"/>
      <c r="P26" s="24"/>
      <c r="Q26" s="24"/>
      <c r="R26" s="24"/>
      <c r="S26" s="24"/>
      <c r="T26" s="24"/>
      <c r="U26" s="24"/>
      <c r="V26" s="24"/>
      <c r="W26" s="24"/>
      <c r="X26" s="24"/>
      <c r="Y26" s="24"/>
      <c r="Z26" s="24"/>
    </row>
    <row r="27" customFormat="false" ht="15" hidden="false" customHeight="false" outlineLevel="0" collapsed="false">
      <c r="A27" s="6"/>
      <c r="B27" s="35" t="s">
        <v>98</v>
      </c>
      <c r="C27" s="38" t="n">
        <f aca="false">Office_Cost</f>
        <v>1000</v>
      </c>
      <c r="D27" s="38" t="n">
        <f aca="false">Office_Cost</f>
        <v>1000</v>
      </c>
      <c r="E27" s="38" t="n">
        <f aca="false">Office_Cost</f>
        <v>1000</v>
      </c>
      <c r="F27" s="38" t="n">
        <f aca="false">Office_Cost</f>
        <v>1000</v>
      </c>
      <c r="G27" s="38" t="n">
        <f aca="false">Office_Cost</f>
        <v>1000</v>
      </c>
      <c r="H27" s="38" t="n">
        <f aca="false">Office_Cost</f>
        <v>1000</v>
      </c>
      <c r="I27" s="38" t="n">
        <f aca="false">Office_Cost</f>
        <v>1000</v>
      </c>
      <c r="J27" s="38" t="n">
        <f aca="false">Office_Cost</f>
        <v>1000</v>
      </c>
      <c r="K27" s="38" t="n">
        <f aca="false">Office_Cost</f>
        <v>1000</v>
      </c>
      <c r="L27" s="38" t="n">
        <f aca="false">Office_Cost</f>
        <v>1000</v>
      </c>
      <c r="M27" s="38" t="n">
        <f aca="false">Office_Cost</f>
        <v>1000</v>
      </c>
      <c r="N27" s="38" t="n">
        <f aca="false">Office_Cost</f>
        <v>1000</v>
      </c>
      <c r="O27" s="38" t="n">
        <f aca="false">Office_Cost</f>
        <v>1000</v>
      </c>
      <c r="P27" s="38" t="n">
        <f aca="false">Office_Cost</f>
        <v>1000</v>
      </c>
      <c r="Q27" s="38" t="n">
        <f aca="false">Office_Cost</f>
        <v>1000</v>
      </c>
      <c r="R27" s="38" t="n">
        <f aca="false">Office_Cost</f>
        <v>1000</v>
      </c>
      <c r="S27" s="38" t="n">
        <f aca="false">Office_Cost</f>
        <v>1000</v>
      </c>
      <c r="T27" s="38" t="n">
        <f aca="false">Office_Cost</f>
        <v>1000</v>
      </c>
      <c r="U27" s="38" t="n">
        <f aca="false">Office_Cost</f>
        <v>1000</v>
      </c>
      <c r="V27" s="38" t="n">
        <f aca="false">Office_Cost</f>
        <v>1000</v>
      </c>
      <c r="W27" s="38" t="n">
        <f aca="false">Office_Cost</f>
        <v>1000</v>
      </c>
      <c r="X27" s="38" t="n">
        <f aca="false">Office_Cost</f>
        <v>1000</v>
      </c>
      <c r="Y27" s="38" t="n">
        <f aca="false">Office_Cost</f>
        <v>1000</v>
      </c>
      <c r="Z27" s="38" t="n">
        <f aca="false">Office_Cost</f>
        <v>1000</v>
      </c>
    </row>
    <row r="28" customFormat="false" ht="15" hidden="false" customHeight="false" outlineLevel="0" collapsed="false">
      <c r="A28" s="6"/>
      <c r="B28" s="35" t="s">
        <v>100</v>
      </c>
      <c r="C28" s="38" t="n">
        <f aca="false">Legal_Cost</f>
        <v>1200</v>
      </c>
      <c r="D28" s="38" t="n">
        <f aca="false">Legal_Cost</f>
        <v>1200</v>
      </c>
      <c r="E28" s="38" t="n">
        <f aca="false">Legal_Cost</f>
        <v>1200</v>
      </c>
      <c r="F28" s="38" t="n">
        <f aca="false">Legal_Cost</f>
        <v>1200</v>
      </c>
      <c r="G28" s="38" t="n">
        <f aca="false">Legal_Cost</f>
        <v>1200</v>
      </c>
      <c r="H28" s="38" t="n">
        <f aca="false">Legal_Cost</f>
        <v>1200</v>
      </c>
      <c r="I28" s="38" t="n">
        <f aca="false">Legal_Cost</f>
        <v>1200</v>
      </c>
      <c r="J28" s="38" t="n">
        <f aca="false">Legal_Cost</f>
        <v>1200</v>
      </c>
      <c r="K28" s="38" t="n">
        <f aca="false">Legal_Cost</f>
        <v>1200</v>
      </c>
      <c r="L28" s="38" t="n">
        <f aca="false">Legal_Cost</f>
        <v>1200</v>
      </c>
      <c r="M28" s="38" t="n">
        <f aca="false">Legal_Cost</f>
        <v>1200</v>
      </c>
      <c r="N28" s="38" t="n">
        <f aca="false">Legal_Cost</f>
        <v>1200</v>
      </c>
      <c r="O28" s="38" t="n">
        <f aca="false">Legal_Cost</f>
        <v>1200</v>
      </c>
      <c r="P28" s="38" t="n">
        <f aca="false">Legal_Cost</f>
        <v>1200</v>
      </c>
      <c r="Q28" s="38" t="n">
        <f aca="false">Legal_Cost</f>
        <v>1200</v>
      </c>
      <c r="R28" s="38" t="n">
        <f aca="false">Legal_Cost</f>
        <v>1200</v>
      </c>
      <c r="S28" s="38" t="n">
        <f aca="false">Legal_Cost</f>
        <v>1200</v>
      </c>
      <c r="T28" s="38" t="n">
        <f aca="false">Legal_Cost</f>
        <v>1200</v>
      </c>
      <c r="U28" s="38" t="n">
        <f aca="false">Legal_Cost</f>
        <v>1200</v>
      </c>
      <c r="V28" s="38" t="n">
        <f aca="false">Legal_Cost</f>
        <v>1200</v>
      </c>
      <c r="W28" s="38" t="n">
        <f aca="false">Legal_Cost</f>
        <v>1200</v>
      </c>
      <c r="X28" s="38" t="n">
        <f aca="false">Legal_Cost</f>
        <v>1200</v>
      </c>
      <c r="Y28" s="38" t="n">
        <f aca="false">Legal_Cost</f>
        <v>1200</v>
      </c>
      <c r="Z28" s="38" t="n">
        <f aca="false">Legal_Cost</f>
        <v>1200</v>
      </c>
    </row>
    <row r="29" customFormat="false" ht="15" hidden="false" customHeight="false" outlineLevel="0" collapsed="false">
      <c r="A29" s="6"/>
      <c r="B29" s="35" t="s">
        <v>102</v>
      </c>
      <c r="C29" s="38" t="n">
        <f aca="false">Insurance_Cost</f>
        <v>400</v>
      </c>
      <c r="D29" s="38" t="n">
        <f aca="false">Insurance_Cost</f>
        <v>400</v>
      </c>
      <c r="E29" s="38" t="n">
        <f aca="false">Insurance_Cost</f>
        <v>400</v>
      </c>
      <c r="F29" s="38" t="n">
        <f aca="false">Insurance_Cost</f>
        <v>400</v>
      </c>
      <c r="G29" s="38" t="n">
        <f aca="false">Insurance_Cost</f>
        <v>400</v>
      </c>
      <c r="H29" s="38" t="n">
        <f aca="false">Insurance_Cost</f>
        <v>400</v>
      </c>
      <c r="I29" s="38" t="n">
        <f aca="false">Insurance_Cost</f>
        <v>400</v>
      </c>
      <c r="J29" s="38" t="n">
        <f aca="false">Insurance_Cost</f>
        <v>400</v>
      </c>
      <c r="K29" s="38" t="n">
        <f aca="false">Insurance_Cost</f>
        <v>400</v>
      </c>
      <c r="L29" s="38" t="n">
        <f aca="false">Insurance_Cost</f>
        <v>400</v>
      </c>
      <c r="M29" s="38" t="n">
        <f aca="false">Insurance_Cost</f>
        <v>400</v>
      </c>
      <c r="N29" s="38" t="n">
        <f aca="false">Insurance_Cost</f>
        <v>400</v>
      </c>
      <c r="O29" s="38" t="n">
        <f aca="false">Insurance_Cost</f>
        <v>400</v>
      </c>
      <c r="P29" s="38" t="n">
        <f aca="false">Insurance_Cost</f>
        <v>400</v>
      </c>
      <c r="Q29" s="38" t="n">
        <f aca="false">Insurance_Cost</f>
        <v>400</v>
      </c>
      <c r="R29" s="38" t="n">
        <f aca="false">Insurance_Cost</f>
        <v>400</v>
      </c>
      <c r="S29" s="38" t="n">
        <f aca="false">Insurance_Cost</f>
        <v>400</v>
      </c>
      <c r="T29" s="38" t="n">
        <f aca="false">Insurance_Cost</f>
        <v>400</v>
      </c>
      <c r="U29" s="38" t="n">
        <f aca="false">Insurance_Cost</f>
        <v>400</v>
      </c>
      <c r="V29" s="38" t="n">
        <f aca="false">Insurance_Cost</f>
        <v>400</v>
      </c>
      <c r="W29" s="38" t="n">
        <f aca="false">Insurance_Cost</f>
        <v>400</v>
      </c>
      <c r="X29" s="38" t="n">
        <f aca="false">Insurance_Cost</f>
        <v>400</v>
      </c>
      <c r="Y29" s="38" t="n">
        <f aca="false">Insurance_Cost</f>
        <v>400</v>
      </c>
      <c r="Z29" s="38" t="n">
        <f aca="false">Insurance_Cost</f>
        <v>400</v>
      </c>
    </row>
    <row r="30" customFormat="false" ht="15" hidden="false" customHeight="false" outlineLevel="0" collapsed="false">
      <c r="A30" s="6"/>
      <c r="B30" s="35" t="s">
        <v>104</v>
      </c>
      <c r="C30" s="38" t="n">
        <f aca="false">Misc_Cost</f>
        <v>500</v>
      </c>
      <c r="D30" s="38" t="n">
        <f aca="false">Misc_Cost</f>
        <v>500</v>
      </c>
      <c r="E30" s="38" t="n">
        <f aca="false">Misc_Cost</f>
        <v>500</v>
      </c>
      <c r="F30" s="38" t="n">
        <f aca="false">Misc_Cost</f>
        <v>500</v>
      </c>
      <c r="G30" s="38" t="n">
        <f aca="false">Misc_Cost</f>
        <v>500</v>
      </c>
      <c r="H30" s="38" t="n">
        <f aca="false">Misc_Cost</f>
        <v>500</v>
      </c>
      <c r="I30" s="38" t="n">
        <f aca="false">Misc_Cost</f>
        <v>500</v>
      </c>
      <c r="J30" s="38" t="n">
        <f aca="false">Misc_Cost</f>
        <v>500</v>
      </c>
      <c r="K30" s="38" t="n">
        <f aca="false">Misc_Cost</f>
        <v>500</v>
      </c>
      <c r="L30" s="38" t="n">
        <f aca="false">Misc_Cost</f>
        <v>500</v>
      </c>
      <c r="M30" s="38" t="n">
        <f aca="false">Misc_Cost</f>
        <v>500</v>
      </c>
      <c r="N30" s="38" t="n">
        <f aca="false">Misc_Cost</f>
        <v>500</v>
      </c>
      <c r="O30" s="38" t="n">
        <f aca="false">Misc_Cost</f>
        <v>500</v>
      </c>
      <c r="P30" s="38" t="n">
        <f aca="false">Misc_Cost</f>
        <v>500</v>
      </c>
      <c r="Q30" s="38" t="n">
        <f aca="false">Misc_Cost</f>
        <v>500</v>
      </c>
      <c r="R30" s="38" t="n">
        <f aca="false">Misc_Cost</f>
        <v>500</v>
      </c>
      <c r="S30" s="38" t="n">
        <f aca="false">Misc_Cost</f>
        <v>500</v>
      </c>
      <c r="T30" s="38" t="n">
        <f aca="false">Misc_Cost</f>
        <v>500</v>
      </c>
      <c r="U30" s="38" t="n">
        <f aca="false">Misc_Cost</f>
        <v>500</v>
      </c>
      <c r="V30" s="38" t="n">
        <f aca="false">Misc_Cost</f>
        <v>500</v>
      </c>
      <c r="W30" s="38" t="n">
        <f aca="false">Misc_Cost</f>
        <v>500</v>
      </c>
      <c r="X30" s="38" t="n">
        <f aca="false">Misc_Cost</f>
        <v>500</v>
      </c>
      <c r="Y30" s="38" t="n">
        <f aca="false">Misc_Cost</f>
        <v>500</v>
      </c>
      <c r="Z30" s="38" t="n">
        <f aca="false">Misc_Cost</f>
        <v>500</v>
      </c>
    </row>
    <row r="31" customFormat="false" ht="15" hidden="false" customHeight="false" outlineLevel="0" collapsed="false">
      <c r="A31" s="6"/>
      <c r="B31" s="36" t="s">
        <v>137</v>
      </c>
      <c r="C31" s="40" t="n">
        <f aca="false">C27+C28+C29+C30</f>
        <v>3100</v>
      </c>
      <c r="D31" s="40" t="n">
        <f aca="false">D27+D28+D29+D30</f>
        <v>3100</v>
      </c>
      <c r="E31" s="40" t="n">
        <f aca="false">E27+E28+E29+E30</f>
        <v>3100</v>
      </c>
      <c r="F31" s="40" t="n">
        <f aca="false">F27+F28+F29+F30</f>
        <v>3100</v>
      </c>
      <c r="G31" s="40" t="n">
        <f aca="false">G27+G28+G29+G30</f>
        <v>3100</v>
      </c>
      <c r="H31" s="40" t="n">
        <f aca="false">H27+H28+H29+H30</f>
        <v>3100</v>
      </c>
      <c r="I31" s="40" t="n">
        <f aca="false">I27+I28+I29+I30</f>
        <v>3100</v>
      </c>
      <c r="J31" s="40" t="n">
        <f aca="false">J27+J28+J29+J30</f>
        <v>3100</v>
      </c>
      <c r="K31" s="40" t="n">
        <f aca="false">K27+K28+K29+K30</f>
        <v>3100</v>
      </c>
      <c r="L31" s="40" t="n">
        <f aca="false">L27+L28+L29+L30</f>
        <v>3100</v>
      </c>
      <c r="M31" s="40" t="n">
        <f aca="false">M27+M28+M29+M30</f>
        <v>3100</v>
      </c>
      <c r="N31" s="40" t="n">
        <f aca="false">N27+N28+N29+N30</f>
        <v>3100</v>
      </c>
      <c r="O31" s="40" t="n">
        <f aca="false">O27+O28+O29+O30</f>
        <v>3100</v>
      </c>
      <c r="P31" s="40" t="n">
        <f aca="false">P27+P28+P29+P30</f>
        <v>3100</v>
      </c>
      <c r="Q31" s="40" t="n">
        <f aca="false">Q27+Q28+Q29+Q30</f>
        <v>3100</v>
      </c>
      <c r="R31" s="40" t="n">
        <f aca="false">R27+R28+R29+R30</f>
        <v>3100</v>
      </c>
      <c r="S31" s="40" t="n">
        <f aca="false">S27+S28+S29+S30</f>
        <v>3100</v>
      </c>
      <c r="T31" s="40" t="n">
        <f aca="false">T27+T28+T29+T30</f>
        <v>3100</v>
      </c>
      <c r="U31" s="40" t="n">
        <f aca="false">U27+U28+U29+U30</f>
        <v>3100</v>
      </c>
      <c r="V31" s="40" t="n">
        <f aca="false">V27+V28+V29+V30</f>
        <v>3100</v>
      </c>
      <c r="W31" s="40" t="n">
        <f aca="false">W27+W28+W29+W30</f>
        <v>3100</v>
      </c>
      <c r="X31" s="40" t="n">
        <f aca="false">X27+X28+X29+X30</f>
        <v>3100</v>
      </c>
      <c r="Y31" s="40" t="n">
        <f aca="false">Y27+Y28+Y29+Y30</f>
        <v>3100</v>
      </c>
      <c r="Z31" s="40" t="n">
        <f aca="false">Z27+Z28+Z29+Z30</f>
        <v>3100</v>
      </c>
    </row>
    <row r="32" customFormat="false" ht="15" hidden="false" customHeight="false" outlineLevel="0" collapsed="false">
      <c r="A32" s="6"/>
      <c r="B32" s="6"/>
      <c r="C32" s="6"/>
      <c r="D32" s="6"/>
      <c r="E32" s="6"/>
      <c r="F32" s="6"/>
      <c r="G32" s="6"/>
      <c r="H32" s="6"/>
      <c r="I32" s="6"/>
      <c r="J32" s="6"/>
      <c r="K32" s="6"/>
      <c r="L32" s="6"/>
      <c r="M32" s="6"/>
      <c r="N32" s="6"/>
      <c r="O32" s="6"/>
      <c r="P32" s="6"/>
      <c r="Q32" s="6"/>
      <c r="R32" s="6"/>
      <c r="S32" s="6"/>
      <c r="T32" s="6"/>
      <c r="U32" s="6"/>
      <c r="V32" s="6"/>
      <c r="W32" s="6"/>
      <c r="X32" s="6"/>
      <c r="Y32" s="6"/>
      <c r="Z32" s="6"/>
    </row>
    <row r="33" customFormat="false" ht="15" hidden="false" customHeight="false" outlineLevel="0" collapsed="false">
      <c r="A33" s="6"/>
      <c r="B33" s="23" t="s">
        <v>138</v>
      </c>
      <c r="C33" s="24"/>
      <c r="D33" s="24"/>
      <c r="E33" s="24"/>
      <c r="F33" s="24"/>
      <c r="G33" s="24"/>
      <c r="H33" s="24"/>
      <c r="I33" s="24"/>
      <c r="J33" s="24"/>
      <c r="K33" s="24"/>
      <c r="L33" s="24"/>
      <c r="M33" s="24"/>
      <c r="N33" s="24"/>
      <c r="O33" s="24"/>
      <c r="P33" s="24"/>
      <c r="Q33" s="24"/>
      <c r="R33" s="24"/>
      <c r="S33" s="24"/>
      <c r="T33" s="24"/>
      <c r="U33" s="24"/>
      <c r="V33" s="24"/>
      <c r="W33" s="24"/>
      <c r="X33" s="24"/>
      <c r="Y33" s="24"/>
      <c r="Z33" s="24"/>
    </row>
    <row r="34" customFormat="false" ht="15" hidden="false" customHeight="false" outlineLevel="0" collapsed="false">
      <c r="A34" s="6"/>
      <c r="B34" s="36" t="s">
        <v>139</v>
      </c>
      <c r="C34" s="39" t="n">
        <f aca="false">C13+C20+C24+C31</f>
        <v>33146</v>
      </c>
      <c r="D34" s="39" t="n">
        <f aca="false">D13+D20+D24+D31</f>
        <v>33282</v>
      </c>
      <c r="E34" s="39" t="n">
        <f aca="false">E13+E20+E24+E31</f>
        <v>33411</v>
      </c>
      <c r="F34" s="39" t="n">
        <f aca="false">F13+F20+F24+F31</f>
        <v>33557.25</v>
      </c>
      <c r="G34" s="39" t="n">
        <f aca="false">G13+G20+G24+G31</f>
        <v>42459.0125</v>
      </c>
      <c r="H34" s="39" t="n">
        <f aca="false">H13+H20+H24+H31</f>
        <v>42616.563125</v>
      </c>
      <c r="I34" s="39" t="n">
        <f aca="false">I13+I20+I24+I31</f>
        <v>42780.19128125</v>
      </c>
      <c r="J34" s="39" t="n">
        <f aca="false">J13+J20+J24+J31</f>
        <v>42950.2008453125</v>
      </c>
      <c r="K34" s="39" t="n">
        <f aca="false">K13+K20+K24+K31</f>
        <v>51876.9108875781</v>
      </c>
      <c r="L34" s="39" t="n">
        <f aca="false">L13+L20+L24+L31</f>
        <v>52060.656431957</v>
      </c>
      <c r="M34" s="39" t="n">
        <f aca="false">M13+M20+M24+M31</f>
        <v>52263.7892535549</v>
      </c>
      <c r="N34" s="39" t="n">
        <f aca="false">N13+N20+N24+N31</f>
        <v>52474.6787162326</v>
      </c>
      <c r="O34" s="39" t="n">
        <f aca="false">O13+O20+O24+O31</f>
        <v>63006.7126520443</v>
      </c>
      <c r="P34" s="39" t="n">
        <f aca="false">P13+P20+P24+P31</f>
        <v>63222.2982846465</v>
      </c>
      <c r="Q34" s="39" t="n">
        <f aca="false">Q13+Q20+Q24+Q31</f>
        <v>63446.8631988788</v>
      </c>
      <c r="R34" s="39" t="n">
        <f aca="false">R13+R20+R24+R31</f>
        <v>63692.8563588227</v>
      </c>
      <c r="S34" s="39" t="n">
        <f aca="false">S13+S20+S24+S31</f>
        <v>72961.2491767639</v>
      </c>
      <c r="T34" s="39" t="n">
        <f aca="false">T13+T20+T24+T31</f>
        <v>73215.5366356021</v>
      </c>
      <c r="U34" s="39" t="n">
        <f aca="false">U13+U20+U24+U31</f>
        <v>73480.7384673822</v>
      </c>
      <c r="V34" s="39" t="n">
        <f aca="false">V13+V20+V24+V31</f>
        <v>73757.4003907513</v>
      </c>
      <c r="W34" s="39" t="n">
        <f aca="false">W13+W20+W24+W31</f>
        <v>83058.5954102889</v>
      </c>
      <c r="X34" s="39" t="n">
        <f aca="false">X13+X20+X24+X31</f>
        <v>83359.9251808033</v>
      </c>
      <c r="Y34" s="39" t="n">
        <f aca="false">Y13+Y20+Y24+Y31</f>
        <v>83674.5214398435</v>
      </c>
      <c r="Z34" s="39" t="n">
        <f aca="false">Z13+Z20+Z24+Z31</f>
        <v>83991.0475118356</v>
      </c>
    </row>
    <row r="35" customFormat="false" ht="15" hidden="false" customHeight="false" outlineLevel="0" collapsed="false">
      <c r="A35" s="6"/>
      <c r="B35" s="36" t="s">
        <v>140</v>
      </c>
      <c r="C35" s="40" t="n">
        <f aca="true">RB_Total_Rev-C20</f>
        <v>4</v>
      </c>
      <c r="D35" s="40" t="n">
        <f aca="true">RB_Total_Rev-D20</f>
        <v>418</v>
      </c>
      <c r="E35" s="40" t="n">
        <f aca="true">RB_Total_Rev-E20</f>
        <v>694</v>
      </c>
      <c r="F35" s="40" t="n">
        <f aca="true">RB_Total_Rev-F20</f>
        <v>1308</v>
      </c>
      <c r="G35" s="40" t="n">
        <f aca="true">RB_Total_Rev-G20</f>
        <v>1722</v>
      </c>
      <c r="H35" s="40" t="n">
        <f aca="true">RB_Total_Rev-H20</f>
        <v>2136</v>
      </c>
      <c r="I35" s="40" t="n">
        <f aca="true">RB_Total_Rev-I20</f>
        <v>2550</v>
      </c>
      <c r="J35" s="40" t="n">
        <f aca="true">RB_Total_Rev-J20</f>
        <v>3164</v>
      </c>
      <c r="K35" s="40" t="n">
        <f aca="true">RB_Total_Rev-K20</f>
        <v>3578</v>
      </c>
      <c r="L35" s="40" t="n">
        <f aca="true">RB_Total_Rev-L20</f>
        <v>3992</v>
      </c>
      <c r="M35" s="40" t="n">
        <f aca="true">RB_Total_Rev-M20</f>
        <v>4744</v>
      </c>
      <c r="N35" s="40" t="n">
        <f aca="true">RB_Total_Rev-N20</f>
        <v>5296</v>
      </c>
      <c r="O35" s="40" t="n">
        <f aca="true">RB_Total_Rev-O20</f>
        <v>5710</v>
      </c>
      <c r="P35" s="40" t="n">
        <f aca="true">RB_Total_Rev-P20</f>
        <v>6124</v>
      </c>
      <c r="Q35" s="40" t="n">
        <f aca="true">RB_Total_Rev-Q20</f>
        <v>6538</v>
      </c>
      <c r="R35" s="40" t="n">
        <f aca="true">RB_Total_Rev-R20</f>
        <v>7290</v>
      </c>
      <c r="S35" s="40" t="n">
        <f aca="true">RB_Total_Rev-S20</f>
        <v>7842</v>
      </c>
      <c r="T35" s="40" t="n">
        <f aca="true">RB_Total_Rev-T20</f>
        <v>8256</v>
      </c>
      <c r="U35" s="40" t="n">
        <f aca="true">RB_Total_Rev-U20</f>
        <v>8670</v>
      </c>
      <c r="V35" s="40" t="n">
        <f aca="true">RB_Total_Rev-V20</f>
        <v>9084</v>
      </c>
      <c r="W35" s="40" t="n">
        <f aca="true">RB_Total_Rev-W20</f>
        <v>9498</v>
      </c>
      <c r="X35" s="40" t="n">
        <f aca="true">RB_Total_Rev-X20</f>
        <v>9912</v>
      </c>
      <c r="Y35" s="40" t="n">
        <f aca="true">RB_Total_Rev-Y20</f>
        <v>10326</v>
      </c>
      <c r="Z35" s="40" t="n">
        <f aca="true">RB_Total_Rev-Z20</f>
        <v>10602</v>
      </c>
    </row>
    <row r="36" customFormat="false" ht="15" hidden="false" customHeight="false" outlineLevel="0" collapsed="false">
      <c r="A36" s="6"/>
      <c r="B36" s="36" t="s">
        <v>141</v>
      </c>
      <c r="C36" s="39" t="n">
        <f aca="true">RB_Total_Rev-C34</f>
        <v>-31346</v>
      </c>
      <c r="D36" s="39" t="n">
        <f aca="true">RB_Total_Rev-D34</f>
        <v>-31032</v>
      </c>
      <c r="E36" s="39" t="n">
        <f aca="true">RB_Total_Rev-E34</f>
        <v>-30861</v>
      </c>
      <c r="F36" s="39" t="n">
        <f aca="true">RB_Total_Rev-F34</f>
        <v>-30357.25</v>
      </c>
      <c r="G36" s="39" t="n">
        <f aca="true">RB_Total_Rev-G34</f>
        <v>-38809.0125</v>
      </c>
      <c r="H36" s="39" t="n">
        <f aca="true">RB_Total_Rev-H34</f>
        <v>-38516.563125</v>
      </c>
      <c r="I36" s="39" t="n">
        <f aca="true">RB_Total_Rev-I34</f>
        <v>-38230.19128125</v>
      </c>
      <c r="J36" s="39" t="n">
        <f aca="true">RB_Total_Rev-J34</f>
        <v>-37750.2008453125</v>
      </c>
      <c r="K36" s="39" t="n">
        <f aca="true">RB_Total_Rev-K34</f>
        <v>-46226.9108875781</v>
      </c>
      <c r="L36" s="39" t="n">
        <f aca="true">RB_Total_Rev-L34</f>
        <v>-45960.656431957</v>
      </c>
      <c r="M36" s="39" t="n">
        <f aca="true">RB_Total_Rev-M34</f>
        <v>-45363.7892535549</v>
      </c>
      <c r="N36" s="39" t="n">
        <f aca="true">RB_Total_Rev-N34</f>
        <v>-44974.6787162326</v>
      </c>
      <c r="O36" s="39" t="n">
        <f aca="true">RB_Total_Rev-O34</f>
        <v>-55056.7126520443</v>
      </c>
      <c r="P36" s="39" t="n">
        <f aca="true">RB_Total_Rev-P34</f>
        <v>-54822.2982846465</v>
      </c>
      <c r="Q36" s="39" t="n">
        <f aca="true">RB_Total_Rev-Q34</f>
        <v>-54596.8631988788</v>
      </c>
      <c r="R36" s="39" t="n">
        <f aca="true">RB_Total_Rev-R34</f>
        <v>-54042.8563588227</v>
      </c>
      <c r="S36" s="39" t="n">
        <f aca="true">RB_Total_Rev-S34</f>
        <v>-62711.2491767639</v>
      </c>
      <c r="T36" s="39" t="n">
        <f aca="true">RB_Total_Rev-T34</f>
        <v>-62515.5366356021</v>
      </c>
      <c r="U36" s="39" t="n">
        <f aca="true">RB_Total_Rev-U34</f>
        <v>-62330.7384673822</v>
      </c>
      <c r="V36" s="39" t="n">
        <f aca="true">RB_Total_Rev-V34</f>
        <v>-62157.4003907513</v>
      </c>
      <c r="W36" s="39" t="n">
        <f aca="true">RB_Total_Rev-W34</f>
        <v>-71008.5954102889</v>
      </c>
      <c r="X36" s="39" t="n">
        <f aca="true">RB_Total_Rev-X34</f>
        <v>-70859.9251808033</v>
      </c>
      <c r="Y36" s="39" t="n">
        <f aca="true">RB_Total_Rev-Y34</f>
        <v>-70724.5214398435</v>
      </c>
      <c r="Z36" s="39" t="n">
        <f aca="true">RB_Total_Rev-Z34</f>
        <v>-70741.0475118356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142</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143</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30" t="s">
        <v>115</v>
      </c>
      <c r="C5" s="31" t="n">
        <f aca="false">EDATE(Model_Start_Date,0)</f>
        <v>46023</v>
      </c>
      <c r="D5" s="31" t="n">
        <f aca="false">EDATE(Model_Start_Date,1)</f>
        <v>46054</v>
      </c>
      <c r="E5" s="31" t="n">
        <f aca="false">EDATE(Model_Start_Date,2)</f>
        <v>46082</v>
      </c>
      <c r="F5" s="31" t="n">
        <f aca="false">EDATE(Model_Start_Date,3)</f>
        <v>46113</v>
      </c>
      <c r="G5" s="31" t="n">
        <f aca="false">EDATE(Model_Start_Date,4)</f>
        <v>46143</v>
      </c>
      <c r="H5" s="31" t="n">
        <f aca="false">EDATE(Model_Start_Date,5)</f>
        <v>46174</v>
      </c>
      <c r="I5" s="31" t="n">
        <f aca="false">EDATE(Model_Start_Date,6)</f>
        <v>46204</v>
      </c>
      <c r="J5" s="31" t="n">
        <f aca="false">EDATE(Model_Start_Date,7)</f>
        <v>46235</v>
      </c>
      <c r="K5" s="31" t="n">
        <f aca="false">EDATE(Model_Start_Date,8)</f>
        <v>46266</v>
      </c>
      <c r="L5" s="31" t="n">
        <f aca="false">EDATE(Model_Start_Date,9)</f>
        <v>46296</v>
      </c>
      <c r="M5" s="31" t="n">
        <f aca="false">EDATE(Model_Start_Date,10)</f>
        <v>46327</v>
      </c>
      <c r="N5" s="31" t="n">
        <f aca="false">EDATE(Model_Start_Date,11)</f>
        <v>46357</v>
      </c>
      <c r="O5" s="31" t="n">
        <f aca="false">EDATE(Model_Start_Date,12)</f>
        <v>46388</v>
      </c>
      <c r="P5" s="31" t="n">
        <f aca="false">EDATE(Model_Start_Date,13)</f>
        <v>46419</v>
      </c>
      <c r="Q5" s="31" t="n">
        <f aca="false">EDATE(Model_Start_Date,14)</f>
        <v>46447</v>
      </c>
      <c r="R5" s="31" t="n">
        <f aca="false">EDATE(Model_Start_Date,15)</f>
        <v>46478</v>
      </c>
      <c r="S5" s="31" t="n">
        <f aca="false">EDATE(Model_Start_Date,16)</f>
        <v>46508</v>
      </c>
      <c r="T5" s="31" t="n">
        <f aca="false">EDATE(Model_Start_Date,17)</f>
        <v>46539</v>
      </c>
      <c r="U5" s="31" t="n">
        <f aca="false">EDATE(Model_Start_Date,18)</f>
        <v>46569</v>
      </c>
      <c r="V5" s="31" t="n">
        <f aca="false">EDATE(Model_Start_Date,19)</f>
        <v>46600</v>
      </c>
      <c r="W5" s="31" t="n">
        <f aca="false">EDATE(Model_Start_Date,20)</f>
        <v>46631</v>
      </c>
      <c r="X5" s="31" t="n">
        <f aca="false">EDATE(Model_Start_Date,21)</f>
        <v>46661</v>
      </c>
      <c r="Y5" s="31" t="n">
        <f aca="false">EDATE(Model_Start_Date,22)</f>
        <v>46692</v>
      </c>
      <c r="Z5" s="31" t="n">
        <f aca="false">EDATE(Model_Start_Date,23)</f>
        <v>46722</v>
      </c>
    </row>
    <row r="6" customFormat="false" ht="15" hidden="false" customHeight="false" outlineLevel="0" collapsed="false">
      <c r="A6" s="6"/>
      <c r="B6" s="32" t="s">
        <v>116</v>
      </c>
      <c r="C6" s="33" t="n">
        <f aca="false">COLUMN()-2</f>
        <v>1</v>
      </c>
      <c r="D6" s="33" t="n">
        <f aca="false">COLUMN()-2</f>
        <v>2</v>
      </c>
      <c r="E6" s="33" t="n">
        <f aca="false">COLUMN()-2</f>
        <v>3</v>
      </c>
      <c r="F6" s="33" t="n">
        <f aca="false">COLUMN()-2</f>
        <v>4</v>
      </c>
      <c r="G6" s="33" t="n">
        <f aca="false">COLUMN()-2</f>
        <v>5</v>
      </c>
      <c r="H6" s="33" t="n">
        <f aca="false">COLUMN()-2</f>
        <v>6</v>
      </c>
      <c r="I6" s="33" t="n">
        <f aca="false">COLUMN()-2</f>
        <v>7</v>
      </c>
      <c r="J6" s="33" t="n">
        <f aca="false">COLUMN()-2</f>
        <v>8</v>
      </c>
      <c r="K6" s="33" t="n">
        <f aca="false">COLUMN()-2</f>
        <v>9</v>
      </c>
      <c r="L6" s="33" t="n">
        <f aca="false">COLUMN()-2</f>
        <v>10</v>
      </c>
      <c r="M6" s="33" t="n">
        <f aca="false">COLUMN()-2</f>
        <v>11</v>
      </c>
      <c r="N6" s="33" t="n">
        <f aca="false">COLUMN()-2</f>
        <v>12</v>
      </c>
      <c r="O6" s="33" t="n">
        <f aca="false">COLUMN()-2</f>
        <v>13</v>
      </c>
      <c r="P6" s="33" t="n">
        <f aca="false">COLUMN()-2</f>
        <v>14</v>
      </c>
      <c r="Q6" s="33" t="n">
        <f aca="false">COLUMN()-2</f>
        <v>15</v>
      </c>
      <c r="R6" s="33" t="n">
        <f aca="false">COLUMN()-2</f>
        <v>16</v>
      </c>
      <c r="S6" s="33" t="n">
        <f aca="false">COLUMN()-2</f>
        <v>17</v>
      </c>
      <c r="T6" s="33" t="n">
        <f aca="false">COLUMN()-2</f>
        <v>18</v>
      </c>
      <c r="U6" s="33" t="n">
        <f aca="false">COLUMN()-2</f>
        <v>19</v>
      </c>
      <c r="V6" s="33" t="n">
        <f aca="false">COLUMN()-2</f>
        <v>20</v>
      </c>
      <c r="W6" s="33" t="n">
        <f aca="false">COLUMN()-2</f>
        <v>21</v>
      </c>
      <c r="X6" s="33" t="n">
        <f aca="false">COLUMN()-2</f>
        <v>22</v>
      </c>
      <c r="Y6" s="33" t="n">
        <f aca="false">COLUMN()-2</f>
        <v>23</v>
      </c>
      <c r="Z6" s="33" t="n">
        <f aca="false">COLUMN()-2</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3" t="s">
        <v>144</v>
      </c>
      <c r="C8" s="24"/>
      <c r="D8" s="24"/>
      <c r="E8" s="24"/>
      <c r="F8" s="24"/>
      <c r="G8" s="24"/>
      <c r="H8" s="24"/>
      <c r="I8" s="24"/>
      <c r="J8" s="24"/>
      <c r="K8" s="24"/>
      <c r="L8" s="24"/>
      <c r="M8" s="24"/>
      <c r="N8" s="24"/>
      <c r="O8" s="24"/>
      <c r="P8" s="24"/>
      <c r="Q8" s="24"/>
      <c r="R8" s="24"/>
      <c r="S8" s="24"/>
      <c r="T8" s="24"/>
      <c r="U8" s="24"/>
      <c r="V8" s="24"/>
      <c r="W8" s="24"/>
      <c r="X8" s="24"/>
      <c r="Y8" s="24"/>
      <c r="Z8" s="24"/>
    </row>
    <row r="9" customFormat="false" ht="15" hidden="false" customHeight="false" outlineLevel="0" collapsed="false">
      <c r="A9" s="6"/>
      <c r="B9" s="9" t="s">
        <v>145</v>
      </c>
      <c r="C9" s="38" t="n">
        <f aca="false">Starting_Cash</f>
        <v>25000</v>
      </c>
      <c r="D9" s="38" t="n">
        <f aca="false">C14</f>
        <v>743654</v>
      </c>
      <c r="E9" s="38" t="n">
        <f aca="false">D14</f>
        <v>712622</v>
      </c>
      <c r="F9" s="38" t="n">
        <f aca="false">E14</f>
        <v>681761</v>
      </c>
      <c r="G9" s="38" t="n">
        <f aca="false">F14</f>
        <v>651403.75</v>
      </c>
      <c r="H9" s="38" t="n">
        <f aca="false">G14</f>
        <v>612594.7375</v>
      </c>
      <c r="I9" s="38" t="n">
        <f aca="false">H14</f>
        <v>574078.174375</v>
      </c>
      <c r="J9" s="38" t="n">
        <f aca="false">I14</f>
        <v>535847.98309375</v>
      </c>
      <c r="K9" s="38" t="n">
        <f aca="false">J14</f>
        <v>498097.782248438</v>
      </c>
      <c r="L9" s="38" t="n">
        <f aca="false">K14</f>
        <v>451870.87136086</v>
      </c>
      <c r="M9" s="38" t="n">
        <f aca="false">L14</f>
        <v>405910.214928902</v>
      </c>
      <c r="N9" s="38" t="n">
        <f aca="false">M14</f>
        <v>360546.425675348</v>
      </c>
      <c r="O9" s="38" t="n">
        <f aca="false">N14</f>
        <v>315571.746959115</v>
      </c>
      <c r="P9" s="38" t="n">
        <f aca="false">O14</f>
        <v>260515.034307071</v>
      </c>
      <c r="Q9" s="38" t="n">
        <f aca="false">P14</f>
        <v>205692.736022424</v>
      </c>
      <c r="R9" s="38" t="n">
        <f aca="false">Q14</f>
        <v>151095.872823545</v>
      </c>
      <c r="S9" s="38" t="n">
        <f aca="false">R14</f>
        <v>97053.0164647227</v>
      </c>
      <c r="T9" s="38" t="n">
        <f aca="false">S14</f>
        <v>34341.7672879588</v>
      </c>
      <c r="U9" s="38" t="n">
        <f aca="false">T14</f>
        <v>-28173.7693476433</v>
      </c>
      <c r="V9" s="38" t="n">
        <f aca="false">U14</f>
        <v>-90504.5078150255</v>
      </c>
      <c r="W9" s="38" t="n">
        <f aca="false">V14</f>
        <v>-152661.908205777</v>
      </c>
      <c r="X9" s="38" t="n">
        <f aca="false">W14</f>
        <v>-223670.503616066</v>
      </c>
      <c r="Y9" s="38" t="n">
        <f aca="false">X14</f>
        <v>-294530.428796869</v>
      </c>
      <c r="Z9" s="38" t="n">
        <f aca="false">Y14</f>
        <v>-365254.950236712</v>
      </c>
    </row>
    <row r="10" customFormat="false" ht="15" hidden="false" customHeight="false" outlineLevel="0" collapsed="false">
      <c r="A10" s="6"/>
      <c r="B10" s="35" t="s">
        <v>146</v>
      </c>
      <c r="C10" s="38" t="n">
        <f aca="false">IF(C6=Preseed_Month,Preseed_Amount,0)</f>
        <v>750000</v>
      </c>
      <c r="D10" s="38" t="n">
        <f aca="false">IF(D6=Preseed_Month,Preseed_Amount,0)</f>
        <v>0</v>
      </c>
      <c r="E10" s="38" t="n">
        <f aca="false">IF(E6=Preseed_Month,Preseed_Amount,0)</f>
        <v>0</v>
      </c>
      <c r="F10" s="38" t="n">
        <f aca="false">IF(F6=Preseed_Month,Preseed_Amount,0)</f>
        <v>0</v>
      </c>
      <c r="G10" s="38" t="n">
        <f aca="false">IF(G6=Preseed_Month,Preseed_Amount,0)</f>
        <v>0</v>
      </c>
      <c r="H10" s="38" t="n">
        <f aca="false">IF(H6=Preseed_Month,Preseed_Amount,0)</f>
        <v>0</v>
      </c>
      <c r="I10" s="38" t="n">
        <f aca="false">IF(I6=Preseed_Month,Preseed_Amount,0)</f>
        <v>0</v>
      </c>
      <c r="J10" s="38" t="n">
        <f aca="false">IF(J6=Preseed_Month,Preseed_Amount,0)</f>
        <v>0</v>
      </c>
      <c r="K10" s="38" t="n">
        <f aca="false">IF(K6=Preseed_Month,Preseed_Amount,0)</f>
        <v>0</v>
      </c>
      <c r="L10" s="38" t="n">
        <f aca="false">IF(L6=Preseed_Month,Preseed_Amount,0)</f>
        <v>0</v>
      </c>
      <c r="M10" s="38" t="n">
        <f aca="false">IF(M6=Preseed_Month,Preseed_Amount,0)</f>
        <v>0</v>
      </c>
      <c r="N10" s="38" t="n">
        <f aca="false">IF(N6=Preseed_Month,Preseed_Amount,0)</f>
        <v>0</v>
      </c>
      <c r="O10" s="38" t="n">
        <f aca="false">IF(O6=Preseed_Month,Preseed_Amount,0)</f>
        <v>0</v>
      </c>
      <c r="P10" s="38" t="n">
        <f aca="false">IF(P6=Preseed_Month,Preseed_Amount,0)</f>
        <v>0</v>
      </c>
      <c r="Q10" s="38" t="n">
        <f aca="false">IF(Q6=Preseed_Month,Preseed_Amount,0)</f>
        <v>0</v>
      </c>
      <c r="R10" s="38" t="n">
        <f aca="false">IF(R6=Preseed_Month,Preseed_Amount,0)</f>
        <v>0</v>
      </c>
      <c r="S10" s="38" t="n">
        <f aca="false">IF(S6=Preseed_Month,Preseed_Amount,0)</f>
        <v>0</v>
      </c>
      <c r="T10" s="38" t="n">
        <f aca="false">IF(T6=Preseed_Month,Preseed_Amount,0)</f>
        <v>0</v>
      </c>
      <c r="U10" s="38" t="n">
        <f aca="false">IF(U6=Preseed_Month,Preseed_Amount,0)</f>
        <v>0</v>
      </c>
      <c r="V10" s="38" t="n">
        <f aca="false">IF(V6=Preseed_Month,Preseed_Amount,0)</f>
        <v>0</v>
      </c>
      <c r="W10" s="38" t="n">
        <f aca="false">IF(W6=Preseed_Month,Preseed_Amount,0)</f>
        <v>0</v>
      </c>
      <c r="X10" s="38" t="n">
        <f aca="false">IF(X6=Preseed_Month,Preseed_Amount,0)</f>
        <v>0</v>
      </c>
      <c r="Y10" s="38" t="n">
        <f aca="false">IF(Y6=Preseed_Month,Preseed_Amount,0)</f>
        <v>0</v>
      </c>
      <c r="Z10" s="38" t="n">
        <f aca="false">IF(Z6=Preseed_Month,Preseed_Amount,0)</f>
        <v>0</v>
      </c>
    </row>
    <row r="11" customFormat="false" ht="15" hidden="false" customHeight="false" outlineLevel="0" collapsed="false">
      <c r="A11" s="6"/>
      <c r="B11" s="35" t="s">
        <v>147</v>
      </c>
      <c r="C11" s="38" t="n">
        <f aca="true">RB_Total_Rev</f>
        <v>1800</v>
      </c>
      <c r="D11" s="38" t="n">
        <f aca="true">RB_Total_Rev</f>
        <v>2250</v>
      </c>
      <c r="E11" s="38" t="n">
        <f aca="true">RB_Total_Rev</f>
        <v>2550</v>
      </c>
      <c r="F11" s="38" t="n">
        <f aca="true">RB_Total_Rev</f>
        <v>3200</v>
      </c>
      <c r="G11" s="38" t="n">
        <f aca="true">RB_Total_Rev</f>
        <v>3650</v>
      </c>
      <c r="H11" s="38" t="n">
        <f aca="true">RB_Total_Rev</f>
        <v>4100</v>
      </c>
      <c r="I11" s="38" t="n">
        <f aca="true">RB_Total_Rev</f>
        <v>4550</v>
      </c>
      <c r="J11" s="38" t="n">
        <f aca="true">RB_Total_Rev</f>
        <v>5200</v>
      </c>
      <c r="K11" s="38" t="n">
        <f aca="true">RB_Total_Rev</f>
        <v>5650</v>
      </c>
      <c r="L11" s="38" t="n">
        <f aca="true">RB_Total_Rev</f>
        <v>6100</v>
      </c>
      <c r="M11" s="38" t="n">
        <f aca="true">RB_Total_Rev</f>
        <v>6900</v>
      </c>
      <c r="N11" s="38" t="n">
        <f aca="true">RB_Total_Rev</f>
        <v>7500</v>
      </c>
      <c r="O11" s="38" t="n">
        <f aca="true">RB_Total_Rev</f>
        <v>7950</v>
      </c>
      <c r="P11" s="38" t="n">
        <f aca="true">RB_Total_Rev</f>
        <v>8400</v>
      </c>
      <c r="Q11" s="38" t="n">
        <f aca="true">RB_Total_Rev</f>
        <v>8850</v>
      </c>
      <c r="R11" s="38" t="n">
        <f aca="true">RB_Total_Rev</f>
        <v>9650</v>
      </c>
      <c r="S11" s="38" t="n">
        <f aca="true">RB_Total_Rev</f>
        <v>10250</v>
      </c>
      <c r="T11" s="38" t="n">
        <f aca="true">RB_Total_Rev</f>
        <v>10700</v>
      </c>
      <c r="U11" s="38" t="n">
        <f aca="true">RB_Total_Rev</f>
        <v>11150</v>
      </c>
      <c r="V11" s="38" t="n">
        <f aca="true">RB_Total_Rev</f>
        <v>11600</v>
      </c>
      <c r="W11" s="38" t="n">
        <f aca="true">RB_Total_Rev</f>
        <v>12050</v>
      </c>
      <c r="X11" s="38" t="n">
        <f aca="true">RB_Total_Rev</f>
        <v>12500</v>
      </c>
      <c r="Y11" s="38" t="n">
        <f aca="true">RB_Total_Rev</f>
        <v>12950</v>
      </c>
      <c r="Z11" s="38" t="n">
        <f aca="true">RB_Total_Rev</f>
        <v>13250</v>
      </c>
    </row>
    <row r="12" customFormat="false" ht="15" hidden="false" customHeight="false" outlineLevel="0" collapsed="false">
      <c r="A12" s="6"/>
      <c r="B12" s="35" t="s">
        <v>148</v>
      </c>
      <c r="C12" s="38" t="n">
        <f aca="true">CB_Total_Opex</f>
        <v>33146</v>
      </c>
      <c r="D12" s="38" t="n">
        <f aca="true">CB_Total_Opex</f>
        <v>33282</v>
      </c>
      <c r="E12" s="38" t="n">
        <f aca="true">CB_Total_Opex</f>
        <v>33411</v>
      </c>
      <c r="F12" s="38" t="n">
        <f aca="true">CB_Total_Opex</f>
        <v>33557.25</v>
      </c>
      <c r="G12" s="38" t="n">
        <f aca="true">CB_Total_Opex</f>
        <v>42459.0125</v>
      </c>
      <c r="H12" s="38" t="n">
        <f aca="true">CB_Total_Opex</f>
        <v>42616.563125</v>
      </c>
      <c r="I12" s="38" t="n">
        <f aca="true">CB_Total_Opex</f>
        <v>42780.19128125</v>
      </c>
      <c r="J12" s="38" t="n">
        <f aca="true">CB_Total_Opex</f>
        <v>42950.2008453125</v>
      </c>
      <c r="K12" s="38" t="n">
        <f aca="true">CB_Total_Opex</f>
        <v>51876.9108875781</v>
      </c>
      <c r="L12" s="38" t="n">
        <f aca="true">CB_Total_Opex</f>
        <v>52060.656431957</v>
      </c>
      <c r="M12" s="38" t="n">
        <f aca="true">CB_Total_Opex</f>
        <v>52263.7892535549</v>
      </c>
      <c r="N12" s="38" t="n">
        <f aca="true">CB_Total_Opex</f>
        <v>52474.6787162326</v>
      </c>
      <c r="O12" s="38" t="n">
        <f aca="true">CB_Total_Opex</f>
        <v>63006.7126520443</v>
      </c>
      <c r="P12" s="38" t="n">
        <f aca="true">CB_Total_Opex</f>
        <v>63222.2982846465</v>
      </c>
      <c r="Q12" s="38" t="n">
        <f aca="true">CB_Total_Opex</f>
        <v>63446.8631988788</v>
      </c>
      <c r="R12" s="38" t="n">
        <f aca="true">CB_Total_Opex</f>
        <v>63692.8563588227</v>
      </c>
      <c r="S12" s="38" t="n">
        <f aca="true">CB_Total_Opex</f>
        <v>72961.2491767639</v>
      </c>
      <c r="T12" s="38" t="n">
        <f aca="true">CB_Total_Opex</f>
        <v>73215.5366356021</v>
      </c>
      <c r="U12" s="38" t="n">
        <f aca="true">CB_Total_Opex</f>
        <v>73480.7384673822</v>
      </c>
      <c r="V12" s="38" t="n">
        <f aca="true">CB_Total_Opex</f>
        <v>73757.4003907513</v>
      </c>
      <c r="W12" s="38" t="n">
        <f aca="true">CB_Total_Opex</f>
        <v>83058.5954102889</v>
      </c>
      <c r="X12" s="38" t="n">
        <f aca="true">CB_Total_Opex</f>
        <v>83359.9251808033</v>
      </c>
      <c r="Y12" s="38" t="n">
        <f aca="true">CB_Total_Opex</f>
        <v>83674.5214398435</v>
      </c>
      <c r="Z12" s="38" t="n">
        <f aca="true">CB_Total_Opex</f>
        <v>83991.0475118356</v>
      </c>
    </row>
    <row r="13" customFormat="false" ht="15" hidden="false" customHeight="false" outlineLevel="0" collapsed="false">
      <c r="A13" s="6"/>
      <c r="B13" s="36" t="s">
        <v>149</v>
      </c>
      <c r="C13" s="40" t="n">
        <f aca="false">C10+C11-C12</f>
        <v>718654</v>
      </c>
      <c r="D13" s="40" t="n">
        <f aca="false">D10+D11-D12</f>
        <v>-31032</v>
      </c>
      <c r="E13" s="40" t="n">
        <f aca="false">E10+E11-E12</f>
        <v>-30861</v>
      </c>
      <c r="F13" s="40" t="n">
        <f aca="false">F10+F11-F12</f>
        <v>-30357.25</v>
      </c>
      <c r="G13" s="40" t="n">
        <f aca="false">G10+G11-G12</f>
        <v>-38809.0125</v>
      </c>
      <c r="H13" s="40" t="n">
        <f aca="false">H10+H11-H12</f>
        <v>-38516.563125</v>
      </c>
      <c r="I13" s="40" t="n">
        <f aca="false">I10+I11-I12</f>
        <v>-38230.19128125</v>
      </c>
      <c r="J13" s="40" t="n">
        <f aca="false">J10+J11-J12</f>
        <v>-37750.2008453125</v>
      </c>
      <c r="K13" s="40" t="n">
        <f aca="false">K10+K11-K12</f>
        <v>-46226.9108875781</v>
      </c>
      <c r="L13" s="40" t="n">
        <f aca="false">L10+L11-L12</f>
        <v>-45960.656431957</v>
      </c>
      <c r="M13" s="40" t="n">
        <f aca="false">M10+M11-M12</f>
        <v>-45363.7892535549</v>
      </c>
      <c r="N13" s="40" t="n">
        <f aca="false">N10+N11-N12</f>
        <v>-44974.6787162326</v>
      </c>
      <c r="O13" s="40" t="n">
        <f aca="false">O10+O11-O12</f>
        <v>-55056.7126520443</v>
      </c>
      <c r="P13" s="40" t="n">
        <f aca="false">P10+P11-P12</f>
        <v>-54822.2982846465</v>
      </c>
      <c r="Q13" s="40" t="n">
        <f aca="false">Q10+Q11-Q12</f>
        <v>-54596.8631988788</v>
      </c>
      <c r="R13" s="40" t="n">
        <f aca="false">R10+R11-R12</f>
        <v>-54042.8563588227</v>
      </c>
      <c r="S13" s="40" t="n">
        <f aca="false">S10+S11-S12</f>
        <v>-62711.2491767639</v>
      </c>
      <c r="T13" s="40" t="n">
        <f aca="false">T10+T11-T12</f>
        <v>-62515.5366356021</v>
      </c>
      <c r="U13" s="40" t="n">
        <f aca="false">U10+U11-U12</f>
        <v>-62330.7384673822</v>
      </c>
      <c r="V13" s="40" t="n">
        <f aca="false">V10+V11-V12</f>
        <v>-62157.4003907513</v>
      </c>
      <c r="W13" s="40" t="n">
        <f aca="false">W10+W11-W12</f>
        <v>-71008.5954102889</v>
      </c>
      <c r="X13" s="40" t="n">
        <f aca="false">X10+X11-X12</f>
        <v>-70859.9251808033</v>
      </c>
      <c r="Y13" s="40" t="n">
        <f aca="false">Y10+Y11-Y12</f>
        <v>-70724.5214398435</v>
      </c>
      <c r="Z13" s="40" t="n">
        <f aca="false">Z10+Z11-Z12</f>
        <v>-70741.0475118356</v>
      </c>
    </row>
    <row r="14" customFormat="false" ht="15" hidden="false" customHeight="false" outlineLevel="0" collapsed="false">
      <c r="A14" s="6"/>
      <c r="B14" s="36" t="s">
        <v>150</v>
      </c>
      <c r="C14" s="39" t="n">
        <f aca="false">C9+C13</f>
        <v>743654</v>
      </c>
      <c r="D14" s="39" t="n">
        <f aca="false">D9+D13</f>
        <v>712622</v>
      </c>
      <c r="E14" s="39" t="n">
        <f aca="false">E9+E13</f>
        <v>681761</v>
      </c>
      <c r="F14" s="39" t="n">
        <f aca="false">F9+F13</f>
        <v>651403.75</v>
      </c>
      <c r="G14" s="39" t="n">
        <f aca="false">G9+G13</f>
        <v>612594.7375</v>
      </c>
      <c r="H14" s="39" t="n">
        <f aca="false">H9+H13</f>
        <v>574078.174375</v>
      </c>
      <c r="I14" s="39" t="n">
        <f aca="false">I9+I13</f>
        <v>535847.98309375</v>
      </c>
      <c r="J14" s="39" t="n">
        <f aca="false">J9+J13</f>
        <v>498097.782248438</v>
      </c>
      <c r="K14" s="39" t="n">
        <f aca="false">K9+K13</f>
        <v>451870.87136086</v>
      </c>
      <c r="L14" s="39" t="n">
        <f aca="false">L9+L13</f>
        <v>405910.214928902</v>
      </c>
      <c r="M14" s="39" t="n">
        <f aca="false">M9+M13</f>
        <v>360546.425675348</v>
      </c>
      <c r="N14" s="39" t="n">
        <f aca="false">N9+N13</f>
        <v>315571.746959115</v>
      </c>
      <c r="O14" s="39" t="n">
        <f aca="false">O9+O13</f>
        <v>260515.034307071</v>
      </c>
      <c r="P14" s="39" t="n">
        <f aca="false">P9+P13</f>
        <v>205692.736022424</v>
      </c>
      <c r="Q14" s="39" t="n">
        <f aca="false">Q9+Q13</f>
        <v>151095.872823545</v>
      </c>
      <c r="R14" s="39" t="n">
        <f aca="false">R9+R13</f>
        <v>97053.0164647227</v>
      </c>
      <c r="S14" s="39" t="n">
        <f aca="false">S9+S13</f>
        <v>34341.7672879588</v>
      </c>
      <c r="T14" s="39" t="n">
        <f aca="false">T9+T13</f>
        <v>-28173.7693476433</v>
      </c>
      <c r="U14" s="39" t="n">
        <f aca="false">U9+U13</f>
        <v>-90504.5078150255</v>
      </c>
      <c r="V14" s="39" t="n">
        <f aca="false">V9+V13</f>
        <v>-152661.908205777</v>
      </c>
      <c r="W14" s="39" t="n">
        <f aca="false">W9+W13</f>
        <v>-223670.503616066</v>
      </c>
      <c r="X14" s="39" t="n">
        <f aca="false">X9+X13</f>
        <v>-294530.428796869</v>
      </c>
      <c r="Y14" s="39" t="n">
        <f aca="false">Y9+Y13</f>
        <v>-365254.950236712</v>
      </c>
      <c r="Z14" s="39" t="n">
        <f aca="false">Z9+Z13</f>
        <v>-435995.997748548</v>
      </c>
    </row>
    <row r="15" customFormat="false" ht="15" hidden="false" customHeight="false" outlineLevel="0" collapsed="false">
      <c r="A15" s="6"/>
      <c r="B15" s="6"/>
      <c r="C15" s="6"/>
      <c r="D15" s="6"/>
      <c r="E15" s="6"/>
      <c r="F15" s="6"/>
      <c r="G15" s="6"/>
      <c r="H15" s="6"/>
      <c r="I15" s="6"/>
      <c r="J15" s="6"/>
      <c r="K15" s="6"/>
      <c r="L15" s="6"/>
      <c r="M15" s="6"/>
      <c r="N15" s="6"/>
      <c r="O15" s="6"/>
      <c r="P15" s="6"/>
      <c r="Q15" s="6"/>
      <c r="R15" s="6"/>
      <c r="S15" s="6"/>
      <c r="T15" s="6"/>
      <c r="U15" s="6"/>
      <c r="V15" s="6"/>
      <c r="W15" s="6"/>
      <c r="X15" s="6"/>
      <c r="Y15" s="6"/>
      <c r="Z15" s="6"/>
    </row>
    <row r="16" customFormat="false" ht="15" hidden="false" customHeight="false" outlineLevel="0" collapsed="false">
      <c r="A16" s="6"/>
      <c r="B16" s="23" t="s">
        <v>151</v>
      </c>
      <c r="C16" s="24"/>
      <c r="D16" s="24"/>
      <c r="E16" s="24"/>
      <c r="F16" s="24"/>
      <c r="G16" s="24"/>
      <c r="H16" s="24"/>
      <c r="I16" s="24"/>
      <c r="J16" s="24"/>
      <c r="K16" s="24"/>
      <c r="L16" s="24"/>
      <c r="M16" s="24"/>
      <c r="N16" s="24"/>
      <c r="O16" s="24"/>
      <c r="P16" s="24"/>
      <c r="Q16" s="24"/>
      <c r="R16" s="24"/>
      <c r="S16" s="24"/>
      <c r="T16" s="24"/>
      <c r="U16" s="24"/>
      <c r="V16" s="24"/>
      <c r="W16" s="24"/>
      <c r="X16" s="24"/>
      <c r="Y16" s="24"/>
      <c r="Z16" s="24"/>
    </row>
    <row r="17" customFormat="false" ht="15" hidden="false" customHeight="false" outlineLevel="0" collapsed="false">
      <c r="A17" s="6"/>
      <c r="B17" s="9" t="s">
        <v>152</v>
      </c>
      <c r="C17" s="38" t="n">
        <f aca="true">CB_Total_Opex</f>
        <v>33146</v>
      </c>
      <c r="D17" s="38" t="n">
        <f aca="true">CB_Total_Opex</f>
        <v>33282</v>
      </c>
      <c r="E17" s="38" t="n">
        <f aca="true">CB_Total_Opex</f>
        <v>33411</v>
      </c>
      <c r="F17" s="38" t="n">
        <f aca="true">CB_Total_Opex</f>
        <v>33557.25</v>
      </c>
      <c r="G17" s="38" t="n">
        <f aca="true">CB_Total_Opex</f>
        <v>42459.0125</v>
      </c>
      <c r="H17" s="38" t="n">
        <f aca="true">CB_Total_Opex</f>
        <v>42616.563125</v>
      </c>
      <c r="I17" s="38" t="n">
        <f aca="true">CB_Total_Opex</f>
        <v>42780.19128125</v>
      </c>
      <c r="J17" s="38" t="n">
        <f aca="true">CB_Total_Opex</f>
        <v>42950.2008453125</v>
      </c>
      <c r="K17" s="38" t="n">
        <f aca="true">CB_Total_Opex</f>
        <v>51876.9108875781</v>
      </c>
      <c r="L17" s="38" t="n">
        <f aca="true">CB_Total_Opex</f>
        <v>52060.656431957</v>
      </c>
      <c r="M17" s="38" t="n">
        <f aca="true">CB_Total_Opex</f>
        <v>52263.7892535549</v>
      </c>
      <c r="N17" s="38" t="n">
        <f aca="true">CB_Total_Opex</f>
        <v>52474.6787162326</v>
      </c>
      <c r="O17" s="38" t="n">
        <f aca="true">CB_Total_Opex</f>
        <v>63006.7126520443</v>
      </c>
      <c r="P17" s="38" t="n">
        <f aca="true">CB_Total_Opex</f>
        <v>63222.2982846465</v>
      </c>
      <c r="Q17" s="38" t="n">
        <f aca="true">CB_Total_Opex</f>
        <v>63446.8631988788</v>
      </c>
      <c r="R17" s="38" t="n">
        <f aca="true">CB_Total_Opex</f>
        <v>63692.8563588227</v>
      </c>
      <c r="S17" s="38" t="n">
        <f aca="true">CB_Total_Opex</f>
        <v>72961.2491767639</v>
      </c>
      <c r="T17" s="38" t="n">
        <f aca="true">CB_Total_Opex</f>
        <v>73215.5366356021</v>
      </c>
      <c r="U17" s="38" t="n">
        <f aca="true">CB_Total_Opex</f>
        <v>73480.7384673822</v>
      </c>
      <c r="V17" s="38" t="n">
        <f aca="true">CB_Total_Opex</f>
        <v>73757.4003907513</v>
      </c>
      <c r="W17" s="38" t="n">
        <f aca="true">CB_Total_Opex</f>
        <v>83058.5954102889</v>
      </c>
      <c r="X17" s="38" t="n">
        <f aca="true">CB_Total_Opex</f>
        <v>83359.9251808033</v>
      </c>
      <c r="Y17" s="38" t="n">
        <f aca="true">CB_Total_Opex</f>
        <v>83674.5214398435</v>
      </c>
      <c r="Z17" s="38" t="n">
        <f aca="true">CB_Total_Opex</f>
        <v>83991.0475118356</v>
      </c>
    </row>
    <row r="18" customFormat="false" ht="15" hidden="false" customHeight="false" outlineLevel="0" collapsed="false">
      <c r="A18" s="6"/>
      <c r="B18" s="9" t="s">
        <v>153</v>
      </c>
      <c r="C18" s="38" t="n">
        <f aca="true">MAX(0,C17-RB_Total_Rev)</f>
        <v>31346</v>
      </c>
      <c r="D18" s="38" t="n">
        <f aca="true">MAX(0,D17-RB_Total_Rev)</f>
        <v>31032</v>
      </c>
      <c r="E18" s="38" t="n">
        <f aca="true">MAX(0,E17-RB_Total_Rev)</f>
        <v>30861</v>
      </c>
      <c r="F18" s="38" t="n">
        <f aca="true">MAX(0,F17-RB_Total_Rev)</f>
        <v>30357.25</v>
      </c>
      <c r="G18" s="38" t="n">
        <f aca="true">MAX(0,G17-RB_Total_Rev)</f>
        <v>38809.0125</v>
      </c>
      <c r="H18" s="38" t="n">
        <f aca="true">MAX(0,H17-RB_Total_Rev)</f>
        <v>38516.563125</v>
      </c>
      <c r="I18" s="38" t="n">
        <f aca="true">MAX(0,I17-RB_Total_Rev)</f>
        <v>38230.19128125</v>
      </c>
      <c r="J18" s="38" t="n">
        <f aca="true">MAX(0,J17-RB_Total_Rev)</f>
        <v>37750.2008453125</v>
      </c>
      <c r="K18" s="38" t="n">
        <f aca="true">MAX(0,K17-RB_Total_Rev)</f>
        <v>46226.9108875781</v>
      </c>
      <c r="L18" s="38" t="n">
        <f aca="true">MAX(0,L17-RB_Total_Rev)</f>
        <v>45960.656431957</v>
      </c>
      <c r="M18" s="38" t="n">
        <f aca="true">MAX(0,M17-RB_Total_Rev)</f>
        <v>45363.7892535549</v>
      </c>
      <c r="N18" s="38" t="n">
        <f aca="true">MAX(0,N17-RB_Total_Rev)</f>
        <v>44974.6787162326</v>
      </c>
      <c r="O18" s="38" t="n">
        <f aca="true">MAX(0,O17-RB_Total_Rev)</f>
        <v>55056.7126520443</v>
      </c>
      <c r="P18" s="38" t="n">
        <f aca="true">MAX(0,P17-RB_Total_Rev)</f>
        <v>54822.2982846465</v>
      </c>
      <c r="Q18" s="38" t="n">
        <f aca="true">MAX(0,Q17-RB_Total_Rev)</f>
        <v>54596.8631988788</v>
      </c>
      <c r="R18" s="38" t="n">
        <f aca="true">MAX(0,R17-RB_Total_Rev)</f>
        <v>54042.8563588227</v>
      </c>
      <c r="S18" s="38" t="n">
        <f aca="true">MAX(0,S17-RB_Total_Rev)</f>
        <v>62711.2491767639</v>
      </c>
      <c r="T18" s="38" t="n">
        <f aca="true">MAX(0,T17-RB_Total_Rev)</f>
        <v>62515.5366356021</v>
      </c>
      <c r="U18" s="38" t="n">
        <f aca="true">MAX(0,U17-RB_Total_Rev)</f>
        <v>62330.7384673822</v>
      </c>
      <c r="V18" s="38" t="n">
        <f aca="true">MAX(0,V17-RB_Total_Rev)</f>
        <v>62157.4003907513</v>
      </c>
      <c r="W18" s="38" t="n">
        <f aca="true">MAX(0,W17-RB_Total_Rev)</f>
        <v>71008.5954102889</v>
      </c>
      <c r="X18" s="38" t="n">
        <f aca="true">MAX(0,X17-RB_Total_Rev)</f>
        <v>70859.9251808033</v>
      </c>
      <c r="Y18" s="38" t="n">
        <f aca="true">MAX(0,Y17-RB_Total_Rev)</f>
        <v>70724.5214398435</v>
      </c>
      <c r="Z18" s="38" t="n">
        <f aca="true">MAX(0,Z17-RB_Total_Rev)</f>
        <v>70741.0475118356</v>
      </c>
    </row>
    <row r="19" customFormat="false" ht="15" hidden="false" customHeight="false" outlineLevel="0" collapsed="false">
      <c r="A19" s="6"/>
      <c r="B19" s="35" t="s">
        <v>154</v>
      </c>
      <c r="C19" s="38" t="n">
        <f aca="false">SUM(C18)/MAX(1,C6)</f>
        <v>31346</v>
      </c>
      <c r="D19" s="38" t="n">
        <f aca="false">SUM(C18:D18)/MAX(1,D6)</f>
        <v>31189</v>
      </c>
      <c r="E19" s="38" t="n">
        <f aca="false">SUM(C18:E18)/3</f>
        <v>31079.6666666667</v>
      </c>
      <c r="F19" s="38" t="n">
        <f aca="false">SUM(D18:F18)/3</f>
        <v>30750.0833333333</v>
      </c>
      <c r="G19" s="38" t="n">
        <f aca="false">SUM(E18:G18)/3</f>
        <v>33342.4208333333</v>
      </c>
      <c r="H19" s="38" t="n">
        <f aca="false">SUM(F18:H18)/3</f>
        <v>35894.2752083333</v>
      </c>
      <c r="I19" s="38" t="n">
        <f aca="false">SUM(G18:I18)/3</f>
        <v>38518.58896875</v>
      </c>
      <c r="J19" s="38" t="n">
        <f aca="false">SUM(H18:J18)/3</f>
        <v>38165.6517505208</v>
      </c>
      <c r="K19" s="38" t="n">
        <f aca="false">SUM(I18:K18)/3</f>
        <v>40735.7676713802</v>
      </c>
      <c r="L19" s="38" t="n">
        <f aca="false">SUM(J18:L18)/3</f>
        <v>43312.5893882826</v>
      </c>
      <c r="M19" s="38" t="n">
        <f aca="false">SUM(K18:M18)/3</f>
        <v>45850.45219103</v>
      </c>
      <c r="N19" s="38" t="n">
        <f aca="false">SUM(L18:N18)/3</f>
        <v>45433.0414672482</v>
      </c>
      <c r="O19" s="38" t="n">
        <f aca="false">SUM(M18:O18)/3</f>
        <v>48465.0602072773</v>
      </c>
      <c r="P19" s="38" t="n">
        <f aca="false">SUM(N18:P18)/3</f>
        <v>51617.8965509745</v>
      </c>
      <c r="Q19" s="38" t="n">
        <f aca="false">SUM(O18:Q18)/3</f>
        <v>54825.2913785232</v>
      </c>
      <c r="R19" s="38" t="n">
        <f aca="false">SUM(P18:R18)/3</f>
        <v>54487.3392807827</v>
      </c>
      <c r="S19" s="38" t="n">
        <f aca="false">SUM(Q18:S18)/3</f>
        <v>57116.9895781551</v>
      </c>
      <c r="T19" s="38" t="n">
        <f aca="false">SUM(R18:T18)/3</f>
        <v>59756.5473903962</v>
      </c>
      <c r="U19" s="38" t="n">
        <f aca="false">SUM(S18:U18)/3</f>
        <v>62519.174759916</v>
      </c>
      <c r="V19" s="38" t="n">
        <f aca="false">SUM(T18:V18)/3</f>
        <v>62334.5584979118</v>
      </c>
      <c r="W19" s="38" t="n">
        <f aca="false">SUM(U18:W18)/3</f>
        <v>65165.5780894741</v>
      </c>
      <c r="X19" s="38" t="n">
        <f aca="false">SUM(V18:X18)/3</f>
        <v>68008.6403272811</v>
      </c>
      <c r="Y19" s="38" t="n">
        <f aca="false">SUM(W18:Y18)/3</f>
        <v>70864.3473436452</v>
      </c>
      <c r="Z19" s="38" t="n">
        <f aca="false">SUM(X18:Z18)/3</f>
        <v>70775.1647108275</v>
      </c>
    </row>
    <row r="20" customFormat="false" ht="15" hidden="false" customHeight="false" outlineLevel="0" collapsed="false">
      <c r="A20" s="6"/>
      <c r="B20" s="36" t="s">
        <v>155</v>
      </c>
      <c r="C20" s="41" t="n">
        <f aca="false">IF(C18&lt;=0,"Profitable",IFERROR(C14/C19,"N/A"))</f>
        <v>23.7240477253876</v>
      </c>
      <c r="D20" s="41" t="n">
        <f aca="false">IF(D18&lt;=0,"Profitable",IFERROR(D14/D19,"N/A"))</f>
        <v>22.8485042803553</v>
      </c>
      <c r="E20" s="41" t="n">
        <f aca="false">IF(E18&lt;=0,"Profitable",IFERROR(E14/E19,"N/A"))</f>
        <v>21.9359173736312</v>
      </c>
      <c r="F20" s="41" t="n">
        <f aca="false">IF(F18&lt;=0,"Profitable",IFERROR(F14/F19,"N/A"))</f>
        <v>21.1838043799339</v>
      </c>
      <c r="G20" s="41" t="n">
        <f aca="false">IF(G18&lt;=0,"Profitable",IFERROR(G14/G19,"N/A"))</f>
        <v>18.3728332313403</v>
      </c>
      <c r="H20" s="41" t="n">
        <f aca="false">IF(H18&lt;=0,"Profitable",IFERROR(H14/H19,"N/A"))</f>
        <v>15.9935859142719</v>
      </c>
      <c r="I20" s="41" t="n">
        <f aca="false">IF(I18&lt;=0,"Profitable",IFERROR(I14/I19,"N/A"))</f>
        <v>13.9114125787028</v>
      </c>
      <c r="J20" s="41" t="n">
        <f aca="false">IF(J18&lt;=0,"Profitable",IFERROR(J14/J19,"N/A"))</f>
        <v>13.0509439614546</v>
      </c>
      <c r="K20" s="41" t="n">
        <f aca="false">IF(K18&lt;=0,"Profitable",IFERROR(K14/K19,"N/A"))</f>
        <v>11.0927299813312</v>
      </c>
      <c r="L20" s="41" t="n">
        <f aca="false">IF(L18&lt;=0,"Profitable",IFERROR(L14/L19,"N/A"))</f>
        <v>9.3716450727537</v>
      </c>
      <c r="M20" s="41" t="n">
        <f aca="false">IF(M18&lt;=0,"Profitable",IFERROR(M14/M19,"N/A"))</f>
        <v>7.86353042219032</v>
      </c>
      <c r="N20" s="41" t="n">
        <f aca="false">IF(N18&lt;=0,"Profitable",IFERROR(N14/N19,"N/A"))</f>
        <v>6.94586443627387</v>
      </c>
      <c r="O20" s="41" t="n">
        <f aca="false">IF(O18&lt;=0,"Profitable",IFERROR(O14/O19,"N/A"))</f>
        <v>5.37531642781191</v>
      </c>
      <c r="P20" s="41" t="n">
        <f aca="false">IF(P18&lt;=0,"Profitable",IFERROR(P14/P19,"N/A"))</f>
        <v>3.98491123750646</v>
      </c>
      <c r="Q20" s="41" t="n">
        <f aca="false">IF(Q18&lt;=0,"Profitable",IFERROR(Q14/Q19,"N/A"))</f>
        <v>2.75595202550505</v>
      </c>
      <c r="R20" s="41" t="n">
        <f aca="false">IF(R18&lt;=0,"Profitable",IFERROR(R14/R19,"N/A"))</f>
        <v>1.78120307847281</v>
      </c>
      <c r="S20" s="41" t="n">
        <f aca="false">IF(S18&lt;=0,"Profitable",IFERROR(S14/S19,"N/A"))</f>
        <v>0.601253104226856</v>
      </c>
      <c r="T20" s="41" t="n">
        <f aca="false">IF(T18&lt;=0,"Profitable",IFERROR(T14/T19,"N/A"))</f>
        <v>-0.471475856253557</v>
      </c>
      <c r="U20" s="41" t="n">
        <f aca="false">IF(U18&lt;=0,"Profitable",IFERROR(U14/U19,"N/A"))</f>
        <v>-1.44762799833136</v>
      </c>
      <c r="V20" s="41" t="n">
        <f aca="false">IF(V18&lt;=0,"Profitable",IFERROR(V14/V19,"N/A"))</f>
        <v>-2.44907338536601</v>
      </c>
      <c r="W20" s="41" t="n">
        <f aca="false">IF(W18&lt;=0,"Profitable",IFERROR(W14/W19,"N/A"))</f>
        <v>-3.4323412785345</v>
      </c>
      <c r="X20" s="41" t="n">
        <f aca="false">IF(X18&lt;=0,"Profitable",IFERROR(X14/X19,"N/A"))</f>
        <v>-4.33077955064954</v>
      </c>
      <c r="Y20" s="41" t="n">
        <f aca="false">IF(Y18&lt;=0,"Profitable",IFERROR(Y14/Y19,"N/A"))</f>
        <v>-5.1542836973502</v>
      </c>
      <c r="Z20" s="41" t="n">
        <f aca="false">IF(Z18&lt;=0,"Profitable",IFERROR(Z14/Z19,"N/A"))</f>
        <v>-6.16029647588864</v>
      </c>
    </row>
    <row r="21" customFormat="false" ht="15" hidden="false" customHeight="false" outlineLevel="0" collapsed="false">
      <c r="A21" s="6"/>
      <c r="B21" s="35" t="s">
        <v>156</v>
      </c>
      <c r="C21" s="42" t="str">
        <f aca="false">IF(C14&lt;=0,"YES","NO")</f>
        <v>NO</v>
      </c>
      <c r="D21" s="42" t="str">
        <f aca="false">IF(D14&lt;=0,"YES","NO")</f>
        <v>NO</v>
      </c>
      <c r="E21" s="42" t="str">
        <f aca="false">IF(E14&lt;=0,"YES","NO")</f>
        <v>NO</v>
      </c>
      <c r="F21" s="42" t="str">
        <f aca="false">IF(F14&lt;=0,"YES","NO")</f>
        <v>NO</v>
      </c>
      <c r="G21" s="42" t="str">
        <f aca="false">IF(G14&lt;=0,"YES","NO")</f>
        <v>NO</v>
      </c>
      <c r="H21" s="42" t="str">
        <f aca="false">IF(H14&lt;=0,"YES","NO")</f>
        <v>NO</v>
      </c>
      <c r="I21" s="42" t="str">
        <f aca="false">IF(I14&lt;=0,"YES","NO")</f>
        <v>NO</v>
      </c>
      <c r="J21" s="42" t="str">
        <f aca="false">IF(J14&lt;=0,"YES","NO")</f>
        <v>NO</v>
      </c>
      <c r="K21" s="42" t="str">
        <f aca="false">IF(K14&lt;=0,"YES","NO")</f>
        <v>NO</v>
      </c>
      <c r="L21" s="42" t="str">
        <f aca="false">IF(L14&lt;=0,"YES","NO")</f>
        <v>NO</v>
      </c>
      <c r="M21" s="42" t="str">
        <f aca="false">IF(M14&lt;=0,"YES","NO")</f>
        <v>NO</v>
      </c>
      <c r="N21" s="42" t="str">
        <f aca="false">IF(N14&lt;=0,"YES","NO")</f>
        <v>NO</v>
      </c>
      <c r="O21" s="42" t="str">
        <f aca="false">IF(O14&lt;=0,"YES","NO")</f>
        <v>NO</v>
      </c>
      <c r="P21" s="42" t="str">
        <f aca="false">IF(P14&lt;=0,"YES","NO")</f>
        <v>NO</v>
      </c>
      <c r="Q21" s="42" t="str">
        <f aca="false">IF(Q14&lt;=0,"YES","NO")</f>
        <v>NO</v>
      </c>
      <c r="R21" s="42" t="str">
        <f aca="false">IF(R14&lt;=0,"YES","NO")</f>
        <v>NO</v>
      </c>
      <c r="S21" s="42" t="str">
        <f aca="false">IF(S14&lt;=0,"YES","NO")</f>
        <v>NO</v>
      </c>
      <c r="T21" s="42" t="str">
        <f aca="false">IF(T14&lt;=0,"YES","NO")</f>
        <v>YES</v>
      </c>
      <c r="U21" s="42" t="str">
        <f aca="false">IF(U14&lt;=0,"YES","NO")</f>
        <v>YES</v>
      </c>
      <c r="V21" s="42" t="str">
        <f aca="false">IF(V14&lt;=0,"YES","NO")</f>
        <v>YES</v>
      </c>
      <c r="W21" s="42" t="str">
        <f aca="false">IF(W14&lt;=0,"YES","NO")</f>
        <v>YES</v>
      </c>
      <c r="X21" s="42" t="str">
        <f aca="false">IF(X14&lt;=0,"YES","NO")</f>
        <v>YES</v>
      </c>
      <c r="Y21" s="42" t="str">
        <f aca="false">IF(Y14&lt;=0,"YES","NO")</f>
        <v>YES</v>
      </c>
      <c r="Z21" s="42" t="str">
        <f aca="false">IF(Z14&lt;=0,"YES","NO")</f>
        <v>YES</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AD2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157</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158</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30" t="s">
        <v>115</v>
      </c>
      <c r="C5" s="31" t="n">
        <f aca="false">EDATE(Model_Start_Date,0)</f>
        <v>46023</v>
      </c>
      <c r="D5" s="31" t="n">
        <f aca="false">EDATE(Model_Start_Date,1)</f>
        <v>46054</v>
      </c>
      <c r="E5" s="31" t="n">
        <f aca="false">EDATE(Model_Start_Date,2)</f>
        <v>46082</v>
      </c>
      <c r="F5" s="31" t="n">
        <f aca="false">EDATE(Model_Start_Date,3)</f>
        <v>46113</v>
      </c>
      <c r="G5" s="31" t="n">
        <f aca="false">EDATE(Model_Start_Date,4)</f>
        <v>46143</v>
      </c>
      <c r="H5" s="31" t="n">
        <f aca="false">EDATE(Model_Start_Date,5)</f>
        <v>46174</v>
      </c>
      <c r="I5" s="31" t="n">
        <f aca="false">EDATE(Model_Start_Date,6)</f>
        <v>46204</v>
      </c>
      <c r="J5" s="31" t="n">
        <f aca="false">EDATE(Model_Start_Date,7)</f>
        <v>46235</v>
      </c>
      <c r="K5" s="31" t="n">
        <f aca="false">EDATE(Model_Start_Date,8)</f>
        <v>46266</v>
      </c>
      <c r="L5" s="31" t="n">
        <f aca="false">EDATE(Model_Start_Date,9)</f>
        <v>46296</v>
      </c>
      <c r="M5" s="31" t="n">
        <f aca="false">EDATE(Model_Start_Date,10)</f>
        <v>46327</v>
      </c>
      <c r="N5" s="31" t="n">
        <f aca="false">EDATE(Model_Start_Date,11)</f>
        <v>46357</v>
      </c>
      <c r="O5" s="31" t="n">
        <f aca="false">EDATE(Model_Start_Date,12)</f>
        <v>46388</v>
      </c>
      <c r="P5" s="31" t="n">
        <f aca="false">EDATE(Model_Start_Date,13)</f>
        <v>46419</v>
      </c>
      <c r="Q5" s="31" t="n">
        <f aca="false">EDATE(Model_Start_Date,14)</f>
        <v>46447</v>
      </c>
      <c r="R5" s="31" t="n">
        <f aca="false">EDATE(Model_Start_Date,15)</f>
        <v>46478</v>
      </c>
      <c r="S5" s="31" t="n">
        <f aca="false">EDATE(Model_Start_Date,16)</f>
        <v>46508</v>
      </c>
      <c r="T5" s="31" t="n">
        <f aca="false">EDATE(Model_Start_Date,17)</f>
        <v>46539</v>
      </c>
      <c r="U5" s="31" t="n">
        <f aca="false">EDATE(Model_Start_Date,18)</f>
        <v>46569</v>
      </c>
      <c r="V5" s="31" t="n">
        <f aca="false">EDATE(Model_Start_Date,19)</f>
        <v>46600</v>
      </c>
      <c r="W5" s="31" t="n">
        <f aca="false">EDATE(Model_Start_Date,20)</f>
        <v>46631</v>
      </c>
      <c r="X5" s="31" t="n">
        <f aca="false">EDATE(Model_Start_Date,21)</f>
        <v>46661</v>
      </c>
      <c r="Y5" s="31" t="n">
        <f aca="false">EDATE(Model_Start_Date,22)</f>
        <v>46692</v>
      </c>
      <c r="Z5" s="31" t="n">
        <f aca="false">EDATE(Model_Start_Date,23)</f>
        <v>46722</v>
      </c>
    </row>
    <row r="6" customFormat="false" ht="15" hidden="false" customHeight="false" outlineLevel="0" collapsed="false">
      <c r="A6" s="6"/>
      <c r="B6" s="32" t="s">
        <v>116</v>
      </c>
      <c r="C6" s="33" t="n">
        <f aca="false">COLUMN()-2</f>
        <v>1</v>
      </c>
      <c r="D6" s="33" t="n">
        <f aca="false">COLUMN()-2</f>
        <v>2</v>
      </c>
      <c r="E6" s="33" t="n">
        <f aca="false">COLUMN()-2</f>
        <v>3</v>
      </c>
      <c r="F6" s="33" t="n">
        <f aca="false">COLUMN()-2</f>
        <v>4</v>
      </c>
      <c r="G6" s="33" t="n">
        <f aca="false">COLUMN()-2</f>
        <v>5</v>
      </c>
      <c r="H6" s="33" t="n">
        <f aca="false">COLUMN()-2</f>
        <v>6</v>
      </c>
      <c r="I6" s="33" t="n">
        <f aca="false">COLUMN()-2</f>
        <v>7</v>
      </c>
      <c r="J6" s="33" t="n">
        <f aca="false">COLUMN()-2</f>
        <v>8</v>
      </c>
      <c r="K6" s="33" t="n">
        <f aca="false">COLUMN()-2</f>
        <v>9</v>
      </c>
      <c r="L6" s="33" t="n">
        <f aca="false">COLUMN()-2</f>
        <v>10</v>
      </c>
      <c r="M6" s="33" t="n">
        <f aca="false">COLUMN()-2</f>
        <v>11</v>
      </c>
      <c r="N6" s="33" t="n">
        <f aca="false">COLUMN()-2</f>
        <v>12</v>
      </c>
      <c r="O6" s="33" t="n">
        <f aca="false">COLUMN()-2</f>
        <v>13</v>
      </c>
      <c r="P6" s="33" t="n">
        <f aca="false">COLUMN()-2</f>
        <v>14</v>
      </c>
      <c r="Q6" s="33" t="n">
        <f aca="false">COLUMN()-2</f>
        <v>15</v>
      </c>
      <c r="R6" s="33" t="n">
        <f aca="false">COLUMN()-2</f>
        <v>16</v>
      </c>
      <c r="S6" s="33" t="n">
        <f aca="false">COLUMN()-2</f>
        <v>17</v>
      </c>
      <c r="T6" s="33" t="n">
        <f aca="false">COLUMN()-2</f>
        <v>18</v>
      </c>
      <c r="U6" s="33" t="n">
        <f aca="false">COLUMN()-2</f>
        <v>19</v>
      </c>
      <c r="V6" s="33" t="n">
        <f aca="false">COLUMN()-2</f>
        <v>20</v>
      </c>
      <c r="W6" s="33" t="n">
        <f aca="false">COLUMN()-2</f>
        <v>21</v>
      </c>
      <c r="X6" s="33" t="n">
        <f aca="false">COLUMN()-2</f>
        <v>22</v>
      </c>
      <c r="Y6" s="33" t="n">
        <f aca="false">COLUMN()-2</f>
        <v>23</v>
      </c>
      <c r="Z6" s="33" t="n">
        <f aca="false">COLUMN()-2</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3" t="s">
        <v>159</v>
      </c>
      <c r="C8" s="24"/>
      <c r="D8" s="24"/>
      <c r="E8" s="24"/>
      <c r="F8" s="24"/>
      <c r="G8" s="24"/>
      <c r="H8" s="24"/>
      <c r="I8" s="24"/>
      <c r="J8" s="24"/>
      <c r="K8" s="24"/>
      <c r="L8" s="24"/>
      <c r="M8" s="24"/>
      <c r="N8" s="24"/>
      <c r="O8" s="24"/>
      <c r="P8" s="24"/>
      <c r="Q8" s="24"/>
      <c r="R8" s="24"/>
      <c r="S8" s="24"/>
      <c r="T8" s="24"/>
      <c r="U8" s="24"/>
      <c r="V8" s="24"/>
      <c r="W8" s="24"/>
      <c r="X8" s="24"/>
      <c r="Y8" s="24"/>
      <c r="Z8" s="24"/>
    </row>
    <row r="9" customFormat="false" ht="15" hidden="false" customHeight="false" outlineLevel="0" collapsed="false">
      <c r="A9" s="6"/>
      <c r="B9" s="9" t="s">
        <v>160</v>
      </c>
      <c r="C9" s="38" t="n">
        <f aca="true">IFERROR(CB_Mkt_Spend/RB_New_Cust,0)</f>
        <v>666.666666666667</v>
      </c>
      <c r="D9" s="38" t="n">
        <f aca="true">IFERROR(CB_Mkt_Spend/RB_New_Cust,0)</f>
        <v>700</v>
      </c>
      <c r="E9" s="38" t="n">
        <f aca="true">IFERROR(CB_Mkt_Spend/RB_New_Cust,0)</f>
        <v>735</v>
      </c>
      <c r="F9" s="38" t="n">
        <f aca="true">IFERROR(CB_Mkt_Spend/RB_New_Cust,0)</f>
        <v>578.8125</v>
      </c>
      <c r="G9" s="38" t="n">
        <f aca="true">IFERROR(CB_Mkt_Spend/RB_New_Cust,0)</f>
        <v>607.753125</v>
      </c>
      <c r="H9" s="38" t="n">
        <f aca="true">IFERROR(CB_Mkt_Spend/RB_New_Cust,0)</f>
        <v>638.14078125</v>
      </c>
      <c r="I9" s="38" t="n">
        <f aca="true">IFERROR(CB_Mkt_Spend/RB_New_Cust,0)</f>
        <v>670.0478203125</v>
      </c>
      <c r="J9" s="38" t="n">
        <f aca="true">IFERROR(CB_Mkt_Spend/RB_New_Cust,0)</f>
        <v>562.8401690625</v>
      </c>
      <c r="K9" s="38" t="n">
        <f aca="true">IFERROR(CB_Mkt_Spend/RB_New_Cust,0)</f>
        <v>590.982177515625</v>
      </c>
      <c r="L9" s="38" t="n">
        <f aca="true">IFERROR(CB_Mkt_Spend/RB_New_Cust,0)</f>
        <v>620.531286391407</v>
      </c>
      <c r="M9" s="38" t="n">
        <f aca="true">IFERROR(CB_Mkt_Spend/RB_New_Cust,0)</f>
        <v>542.964875592481</v>
      </c>
      <c r="N9" s="38" t="n">
        <f aca="true">IFERROR(CB_Mkt_Spend/RB_New_Cust,0)</f>
        <v>570.113119372105</v>
      </c>
      <c r="O9" s="38" t="n">
        <f aca="true">IFERROR(CB_Mkt_Spend/RB_New_Cust,0)</f>
        <v>598.61877534071</v>
      </c>
      <c r="P9" s="38" t="n">
        <f aca="true">IFERROR(CB_Mkt_Spend/RB_New_Cust,0)</f>
        <v>628.549714107746</v>
      </c>
      <c r="Q9" s="38" t="n">
        <f aca="true">IFERROR(CB_Mkt_Spend/RB_New_Cust,0)</f>
        <v>659.977199813133</v>
      </c>
      <c r="R9" s="38" t="n">
        <f aca="true">IFERROR(CB_Mkt_Spend/RB_New_Cust,0)</f>
        <v>593.97947983182</v>
      </c>
      <c r="S9" s="38" t="n">
        <f aca="true">IFERROR(CB_Mkt_Spend/RB_New_Cust,0)</f>
        <v>623.678453823411</v>
      </c>
      <c r="T9" s="38" t="n">
        <f aca="true">IFERROR(CB_Mkt_Spend/RB_New_Cust,0)</f>
        <v>654.862376514581</v>
      </c>
      <c r="U9" s="38" t="n">
        <f aca="true">IFERROR(CB_Mkt_Spend/RB_New_Cust,0)</f>
        <v>687.60549534031</v>
      </c>
      <c r="V9" s="38" t="n">
        <f aca="true">IFERROR(CB_Mkt_Spend/RB_New_Cust,0)</f>
        <v>721.985770107326</v>
      </c>
      <c r="W9" s="38" t="n">
        <f aca="true">IFERROR(CB_Mkt_Spend/RB_New_Cust,0)</f>
        <v>758.085058612692</v>
      </c>
      <c r="X9" s="38" t="n">
        <f aca="true">IFERROR(CB_Mkt_Spend/RB_New_Cust,0)</f>
        <v>795.989311543327</v>
      </c>
      <c r="Y9" s="38" t="n">
        <f aca="true">IFERROR(CB_Mkt_Spend/RB_New_Cust,0)</f>
        <v>835.788777120493</v>
      </c>
      <c r="Z9" s="38" t="n">
        <f aca="true">IFERROR(CB_Mkt_Spend/RB_New_Cust,0)</f>
        <v>877.578215976518</v>
      </c>
    </row>
    <row r="10" customFormat="false" ht="15" hidden="false" customHeight="false" outlineLevel="0" collapsed="false">
      <c r="A10" s="6"/>
      <c r="B10" s="9" t="s">
        <v>161</v>
      </c>
      <c r="C10" s="38" t="n">
        <f aca="false">ARPU_Monthly</f>
        <v>150</v>
      </c>
      <c r="D10" s="38" t="n">
        <f aca="false">ARPU_Monthly</f>
        <v>150</v>
      </c>
      <c r="E10" s="38" t="n">
        <f aca="false">ARPU_Monthly</f>
        <v>150</v>
      </c>
      <c r="F10" s="38" t="n">
        <f aca="false">ARPU_Monthly</f>
        <v>150</v>
      </c>
      <c r="G10" s="38" t="n">
        <f aca="false">ARPU_Monthly</f>
        <v>150</v>
      </c>
      <c r="H10" s="38" t="n">
        <f aca="false">ARPU_Monthly</f>
        <v>150</v>
      </c>
      <c r="I10" s="38" t="n">
        <f aca="false">ARPU_Monthly</f>
        <v>150</v>
      </c>
      <c r="J10" s="38" t="n">
        <f aca="false">ARPU_Monthly</f>
        <v>150</v>
      </c>
      <c r="K10" s="38" t="n">
        <f aca="false">ARPU_Monthly</f>
        <v>150</v>
      </c>
      <c r="L10" s="38" t="n">
        <f aca="false">ARPU_Monthly</f>
        <v>150</v>
      </c>
      <c r="M10" s="38" t="n">
        <f aca="false">ARPU_Monthly</f>
        <v>150</v>
      </c>
      <c r="N10" s="38" t="n">
        <f aca="false">ARPU_Monthly</f>
        <v>150</v>
      </c>
      <c r="O10" s="38" t="n">
        <f aca="false">ARPU_Monthly</f>
        <v>150</v>
      </c>
      <c r="P10" s="38" t="n">
        <f aca="false">ARPU_Monthly</f>
        <v>150</v>
      </c>
      <c r="Q10" s="38" t="n">
        <f aca="false">ARPU_Monthly</f>
        <v>150</v>
      </c>
      <c r="R10" s="38" t="n">
        <f aca="false">ARPU_Monthly</f>
        <v>150</v>
      </c>
      <c r="S10" s="38" t="n">
        <f aca="false">ARPU_Monthly</f>
        <v>150</v>
      </c>
      <c r="T10" s="38" t="n">
        <f aca="false">ARPU_Monthly</f>
        <v>150</v>
      </c>
      <c r="U10" s="38" t="n">
        <f aca="false">ARPU_Monthly</f>
        <v>150</v>
      </c>
      <c r="V10" s="38" t="n">
        <f aca="false">ARPU_Monthly</f>
        <v>150</v>
      </c>
      <c r="W10" s="38" t="n">
        <f aca="false">ARPU_Monthly</f>
        <v>150</v>
      </c>
      <c r="X10" s="38" t="n">
        <f aca="false">ARPU_Monthly</f>
        <v>150</v>
      </c>
      <c r="Y10" s="38" t="n">
        <f aca="false">ARPU_Monthly</f>
        <v>150</v>
      </c>
      <c r="Z10" s="38" t="n">
        <f aca="false">ARPU_Monthly</f>
        <v>150</v>
      </c>
    </row>
    <row r="11" customFormat="false" ht="15" hidden="false" customHeight="false" outlineLevel="0" collapsed="false">
      <c r="A11" s="6"/>
      <c r="B11" s="35" t="s">
        <v>162</v>
      </c>
      <c r="C11" s="38" t="n">
        <f aca="true">IFERROR(CB_Total_Infra/RB_Total_Cust,0)</f>
        <v>224.5</v>
      </c>
      <c r="D11" s="38" t="n">
        <f aca="true">IFERROR(CB_Total_Infra/RB_Total_Cust,0)</f>
        <v>166.545454545455</v>
      </c>
      <c r="E11" s="38" t="n">
        <f aca="true">IFERROR(CB_Total_Infra/RB_Total_Cust,0)</f>
        <v>142.769230769231</v>
      </c>
      <c r="F11" s="38" t="n">
        <f aca="true">IFERROR(CB_Total_Infra/RB_Total_Cust,0)</f>
        <v>118.25</v>
      </c>
      <c r="G11" s="38" t="n">
        <f aca="true">IFERROR(CB_Total_Infra/RB_Total_Cust,0)</f>
        <v>101.473684210526</v>
      </c>
      <c r="H11" s="38" t="n">
        <f aca="true">IFERROR(CB_Total_Infra/RB_Total_Cust,0)</f>
        <v>89.2727272727273</v>
      </c>
      <c r="I11" s="38" t="n">
        <f aca="true">IFERROR(CB_Total_Infra/RB_Total_Cust,0)</f>
        <v>80</v>
      </c>
      <c r="J11" s="38" t="n">
        <f aca="true">IFERROR(CB_Total_Infra/RB_Total_Cust,0)</f>
        <v>72.7142857142857</v>
      </c>
      <c r="K11" s="38" t="n">
        <f aca="true">IFERROR(CB_Total_Infra/RB_Total_Cust,0)</f>
        <v>66.8387096774194</v>
      </c>
      <c r="L11" s="38" t="n">
        <f aca="true">IFERROR(CB_Total_Infra/RB_Total_Cust,0)</f>
        <v>62</v>
      </c>
      <c r="M11" s="38" t="n">
        <f aca="true">IFERROR(CB_Total_Infra/RB_Total_Cust,0)</f>
        <v>56.7368421052632</v>
      </c>
      <c r="N11" s="38" t="n">
        <f aca="true">IFERROR(CB_Total_Infra/RB_Total_Cust,0)</f>
        <v>52.4761904761905</v>
      </c>
      <c r="O11" s="38" t="n">
        <f aca="true">IFERROR(CB_Total_Infra/RB_Total_Cust,0)</f>
        <v>49.7777777777778</v>
      </c>
      <c r="P11" s="38" t="n">
        <f aca="true">IFERROR(CB_Total_Infra/RB_Total_Cust,0)</f>
        <v>47.4166666666667</v>
      </c>
      <c r="Q11" s="38" t="n">
        <f aca="true">IFERROR(CB_Total_Infra/RB_Total_Cust,0)</f>
        <v>45.3333333333333</v>
      </c>
      <c r="R11" s="38" t="n">
        <f aca="true">IFERROR(CB_Total_Infra/RB_Total_Cust,0)</f>
        <v>42.9090909090909</v>
      </c>
      <c r="S11" s="38" t="n">
        <f aca="true">IFERROR(CB_Total_Infra/RB_Total_Cust,0)</f>
        <v>40.8135593220339</v>
      </c>
      <c r="T11" s="38" t="n">
        <f aca="true">IFERROR(CB_Total_Infra/RB_Total_Cust,0)</f>
        <v>39.4193548387097</v>
      </c>
      <c r="U11" s="38" t="n">
        <f aca="true">IFERROR(CB_Total_Infra/RB_Total_Cust,0)</f>
        <v>38.1538461538462</v>
      </c>
      <c r="V11" s="38" t="n">
        <f aca="true">IFERROR(CB_Total_Infra/RB_Total_Cust,0)</f>
        <v>37</v>
      </c>
      <c r="W11" s="38" t="n">
        <f aca="true">IFERROR(CB_Total_Infra/RB_Total_Cust,0)</f>
        <v>35.943661971831</v>
      </c>
      <c r="X11" s="38" t="n">
        <f aca="true">IFERROR(CB_Total_Infra/RB_Total_Cust,0)</f>
        <v>34.972972972973</v>
      </c>
      <c r="Y11" s="38" t="n">
        <f aca="true">IFERROR(CB_Total_Infra/RB_Total_Cust,0)</f>
        <v>34.0779220779221</v>
      </c>
      <c r="Z11" s="38" t="n">
        <f aca="true">IFERROR(CB_Total_Infra/RB_Total_Cust,0)</f>
        <v>33.5189873417722</v>
      </c>
    </row>
    <row r="12" customFormat="false" ht="15" hidden="false" customHeight="false" outlineLevel="0" collapsed="false">
      <c r="A12" s="6"/>
      <c r="B12" s="9" t="s">
        <v>163</v>
      </c>
      <c r="C12" s="38" t="n">
        <f aca="false">C10-C11</f>
        <v>-74.5</v>
      </c>
      <c r="D12" s="38" t="n">
        <f aca="false">D10-D11</f>
        <v>-16.5454545454545</v>
      </c>
      <c r="E12" s="38" t="n">
        <f aca="false">E10-E11</f>
        <v>7.23076923076923</v>
      </c>
      <c r="F12" s="38" t="n">
        <f aca="false">F10-F11</f>
        <v>31.75</v>
      </c>
      <c r="G12" s="38" t="n">
        <f aca="false">G10-G11</f>
        <v>48.5263157894737</v>
      </c>
      <c r="H12" s="38" t="n">
        <f aca="false">H10-H11</f>
        <v>60.7272727272727</v>
      </c>
      <c r="I12" s="38" t="n">
        <f aca="false">I10-I11</f>
        <v>70</v>
      </c>
      <c r="J12" s="38" t="n">
        <f aca="false">J10-J11</f>
        <v>77.2857142857143</v>
      </c>
      <c r="K12" s="38" t="n">
        <f aca="false">K10-K11</f>
        <v>83.1612903225806</v>
      </c>
      <c r="L12" s="38" t="n">
        <f aca="false">L10-L11</f>
        <v>88</v>
      </c>
      <c r="M12" s="38" t="n">
        <f aca="false">M10-M11</f>
        <v>93.2631578947369</v>
      </c>
      <c r="N12" s="38" t="n">
        <f aca="false">N10-N11</f>
        <v>97.5238095238095</v>
      </c>
      <c r="O12" s="38" t="n">
        <f aca="false">O10-O11</f>
        <v>100.222222222222</v>
      </c>
      <c r="P12" s="38" t="n">
        <f aca="false">P10-P11</f>
        <v>102.583333333333</v>
      </c>
      <c r="Q12" s="38" t="n">
        <f aca="false">Q10-Q11</f>
        <v>104.666666666667</v>
      </c>
      <c r="R12" s="38" t="n">
        <f aca="false">R10-R11</f>
        <v>107.090909090909</v>
      </c>
      <c r="S12" s="38" t="n">
        <f aca="false">S10-S11</f>
        <v>109.186440677966</v>
      </c>
      <c r="T12" s="38" t="n">
        <f aca="false">T10-T11</f>
        <v>110.58064516129</v>
      </c>
      <c r="U12" s="38" t="n">
        <f aca="false">U10-U11</f>
        <v>111.846153846154</v>
      </c>
      <c r="V12" s="38" t="n">
        <f aca="false">V10-V11</f>
        <v>113</v>
      </c>
      <c r="W12" s="38" t="n">
        <f aca="false">W10-W11</f>
        <v>114.056338028169</v>
      </c>
      <c r="X12" s="38" t="n">
        <f aca="false">X10-X11</f>
        <v>115.027027027027</v>
      </c>
      <c r="Y12" s="38" t="n">
        <f aca="false">Y10-Y11</f>
        <v>115.922077922078</v>
      </c>
      <c r="Z12" s="38" t="n">
        <f aca="false">Z10-Z11</f>
        <v>116.481012658228</v>
      </c>
    </row>
    <row r="13" customFormat="false" ht="15" hidden="false" customHeight="false" outlineLevel="0" collapsed="false">
      <c r="A13" s="6"/>
      <c r="B13" s="6"/>
      <c r="C13" s="6"/>
      <c r="D13" s="6"/>
      <c r="E13" s="6"/>
      <c r="F13" s="6"/>
      <c r="G13" s="6"/>
      <c r="H13" s="6"/>
      <c r="I13" s="6"/>
      <c r="J13" s="6"/>
      <c r="K13" s="6"/>
      <c r="L13" s="6"/>
      <c r="M13" s="6"/>
      <c r="N13" s="6"/>
      <c r="O13" s="6"/>
      <c r="P13" s="6"/>
      <c r="Q13" s="6"/>
      <c r="R13" s="6"/>
      <c r="S13" s="6"/>
      <c r="T13" s="6"/>
      <c r="U13" s="6"/>
      <c r="V13" s="6"/>
      <c r="W13" s="6"/>
      <c r="X13" s="6"/>
      <c r="Y13" s="6"/>
      <c r="Z13" s="6"/>
    </row>
    <row r="14" customFormat="false" ht="15" hidden="false" customHeight="false" outlineLevel="0" collapsed="false">
      <c r="A14" s="6"/>
      <c r="B14" s="23" t="s">
        <v>164</v>
      </c>
      <c r="C14" s="24"/>
      <c r="D14" s="24"/>
      <c r="E14" s="24"/>
      <c r="F14" s="24"/>
      <c r="G14" s="24"/>
      <c r="H14" s="24"/>
      <c r="I14" s="24"/>
      <c r="J14" s="24"/>
      <c r="K14" s="24"/>
      <c r="L14" s="24"/>
      <c r="M14" s="24"/>
      <c r="N14" s="24"/>
      <c r="O14" s="24"/>
      <c r="P14" s="24"/>
      <c r="Q14" s="24"/>
      <c r="R14" s="24"/>
      <c r="S14" s="24"/>
      <c r="T14" s="24"/>
      <c r="U14" s="24"/>
      <c r="V14" s="24"/>
      <c r="W14" s="24"/>
      <c r="X14" s="24"/>
      <c r="Y14" s="24"/>
      <c r="Z14" s="24"/>
    </row>
    <row r="15" customFormat="false" ht="15" hidden="false" customHeight="false" outlineLevel="0" collapsed="false">
      <c r="A15" s="6"/>
      <c r="B15" s="9" t="s">
        <v>165</v>
      </c>
      <c r="C15" s="38" t="n">
        <f aca="false">IFERROR(C12/Monthly_Churn,0)</f>
        <v>-1241.66666666667</v>
      </c>
      <c r="D15" s="38" t="n">
        <f aca="false">IFERROR(D12/Monthly_Churn,0)</f>
        <v>-275.757575757576</v>
      </c>
      <c r="E15" s="38" t="n">
        <f aca="false">IFERROR(E12/Monthly_Churn,0)</f>
        <v>120.51282051282</v>
      </c>
      <c r="F15" s="38" t="n">
        <f aca="false">IFERROR(F12/Monthly_Churn,0)</f>
        <v>529.166666666667</v>
      </c>
      <c r="G15" s="38" t="n">
        <f aca="false">IFERROR(G12/Monthly_Churn,0)</f>
        <v>808.771929824561</v>
      </c>
      <c r="H15" s="38" t="n">
        <f aca="false">IFERROR(H12/Monthly_Churn,0)</f>
        <v>1012.12121212121</v>
      </c>
      <c r="I15" s="38" t="n">
        <f aca="false">IFERROR(I12/Monthly_Churn,0)</f>
        <v>1166.66666666667</v>
      </c>
      <c r="J15" s="38" t="n">
        <f aca="false">IFERROR(J12/Monthly_Churn,0)</f>
        <v>1288.09523809524</v>
      </c>
      <c r="K15" s="38" t="n">
        <f aca="false">IFERROR(K12/Monthly_Churn,0)</f>
        <v>1386.02150537634</v>
      </c>
      <c r="L15" s="38" t="n">
        <f aca="false">IFERROR(L12/Monthly_Churn,0)</f>
        <v>1466.66666666667</v>
      </c>
      <c r="M15" s="38" t="n">
        <f aca="false">IFERROR(M12/Monthly_Churn,0)</f>
        <v>1554.38596491228</v>
      </c>
      <c r="N15" s="38" t="n">
        <f aca="false">IFERROR(N12/Monthly_Churn,0)</f>
        <v>1625.39682539683</v>
      </c>
      <c r="O15" s="38" t="n">
        <f aca="false">IFERROR(O12/Monthly_Churn,0)</f>
        <v>1670.37037037037</v>
      </c>
      <c r="P15" s="38" t="n">
        <f aca="false">IFERROR(P12/Monthly_Churn,0)</f>
        <v>1709.72222222222</v>
      </c>
      <c r="Q15" s="38" t="n">
        <f aca="false">IFERROR(Q12/Monthly_Churn,0)</f>
        <v>1744.44444444444</v>
      </c>
      <c r="R15" s="38" t="n">
        <f aca="false">IFERROR(R12/Monthly_Churn,0)</f>
        <v>1784.84848484849</v>
      </c>
      <c r="S15" s="38" t="n">
        <f aca="false">IFERROR(S12/Monthly_Churn,0)</f>
        <v>1819.77401129944</v>
      </c>
      <c r="T15" s="38" t="n">
        <f aca="false">IFERROR(T12/Monthly_Churn,0)</f>
        <v>1843.01075268817</v>
      </c>
      <c r="U15" s="38" t="n">
        <f aca="false">IFERROR(U12/Monthly_Churn,0)</f>
        <v>1864.10256410256</v>
      </c>
      <c r="V15" s="38" t="n">
        <f aca="false">IFERROR(V12/Monthly_Churn,0)</f>
        <v>1883.33333333333</v>
      </c>
      <c r="W15" s="38" t="n">
        <f aca="false">IFERROR(W12/Monthly_Churn,0)</f>
        <v>1900.93896713615</v>
      </c>
      <c r="X15" s="38" t="n">
        <f aca="false">IFERROR(X12/Monthly_Churn,0)</f>
        <v>1917.11711711712</v>
      </c>
      <c r="Y15" s="38" t="n">
        <f aca="false">IFERROR(Y12/Monthly_Churn,0)</f>
        <v>1932.03463203463</v>
      </c>
      <c r="Z15" s="38" t="n">
        <f aca="false">IFERROR(Z12/Monthly_Churn,0)</f>
        <v>1941.35021097046</v>
      </c>
    </row>
    <row r="16" customFormat="false" ht="15" hidden="false" customHeight="false" outlineLevel="0" collapsed="false">
      <c r="A16" s="6"/>
      <c r="B16" s="36" t="s">
        <v>166</v>
      </c>
      <c r="C16" s="43" t="n">
        <f aca="false">IFERROR(C15/C9,0)</f>
        <v>-1.8625</v>
      </c>
      <c r="D16" s="43" t="n">
        <f aca="false">IFERROR(D15/D9,0)</f>
        <v>-0.393939393939394</v>
      </c>
      <c r="E16" s="43" t="n">
        <f aca="false">IFERROR(E15/E9,0)</f>
        <v>0.163963021105878</v>
      </c>
      <c r="F16" s="43" t="n">
        <f aca="false">IFERROR(F15/F9,0)</f>
        <v>0.914228125112479</v>
      </c>
      <c r="G16" s="43" t="n">
        <f aca="false">IFERROR(G15/G9,0)</f>
        <v>1.33075733641775</v>
      </c>
      <c r="H16" s="43" t="n">
        <f aca="false">IFERROR(H15/H9,0)</f>
        <v>1.58604690666949</v>
      </c>
      <c r="I16" s="43" t="n">
        <f aca="false">IFERROR(I15/I9,0)</f>
        <v>1.7411692588188</v>
      </c>
      <c r="J16" s="43" t="n">
        <f aca="false">IFERROR(J15/J9,0)</f>
        <v>2.2885630928595</v>
      </c>
      <c r="K16" s="43" t="n">
        <f aca="false">IFERROR(K15/K9,0)</f>
        <v>2.34528477864241</v>
      </c>
      <c r="L16" s="43" t="n">
        <f aca="false">IFERROR(L15/L9,0)</f>
        <v>2.36356602613192</v>
      </c>
      <c r="M16" s="43" t="n">
        <f aca="false">IFERROR(M15/M9,0)</f>
        <v>2.86277443493217</v>
      </c>
      <c r="N16" s="43" t="n">
        <f aca="false">IFERROR(N15/N9,0)</f>
        <v>2.8510075810691</v>
      </c>
      <c r="O16" s="43" t="n">
        <f aca="false">IFERROR(O15/O9,0)</f>
        <v>2.79037417331199</v>
      </c>
      <c r="P16" s="43" t="n">
        <f aca="false">IFERROR(P15/P9,0)</f>
        <v>2.72010659435149</v>
      </c>
      <c r="Q16" s="43" t="n">
        <f aca="false">IFERROR(Q15/Q9,0)</f>
        <v>2.64318895400988</v>
      </c>
      <c r="R16" s="43" t="n">
        <f aca="false">IFERROR(R15/R9,0)</f>
        <v>3.00489923549859</v>
      </c>
      <c r="S16" s="43" t="n">
        <f aca="false">IFERROR(S15/S9,0)</f>
        <v>2.91780804698873</v>
      </c>
      <c r="T16" s="43" t="n">
        <f aca="false">IFERROR(T15/T9,0)</f>
        <v>2.81434820320165</v>
      </c>
      <c r="U16" s="43" t="n">
        <f aca="false">IFERROR(U15/U9,0)</f>
        <v>2.71100591361618</v>
      </c>
      <c r="V16" s="43" t="n">
        <f aca="false">IFERROR(V15/V9,0)</f>
        <v>2.60854633333475</v>
      </c>
      <c r="W16" s="43" t="n">
        <f aca="false">IFERROR(W15/W9,0)</f>
        <v>2.50755366503978</v>
      </c>
      <c r="X16" s="43" t="n">
        <f aca="false">IFERROR(X15/X9,0)</f>
        <v>2.40847092959083</v>
      </c>
      <c r="Y16" s="43" t="n">
        <f aca="false">IFERROR(Y15/Y9,0)</f>
        <v>2.31163026463575</v>
      </c>
      <c r="Z16" s="43" t="n">
        <f aca="false">IFERROR(Z15/Z9,0)</f>
        <v>2.2121677311808</v>
      </c>
    </row>
    <row r="17" customFormat="false" ht="15" hidden="false" customHeight="false" outlineLevel="0" collapsed="false">
      <c r="A17" s="6"/>
      <c r="B17" s="9" t="s">
        <v>167</v>
      </c>
      <c r="C17" s="44" t="n">
        <f aca="false">IFERROR(C9/C12,0)</f>
        <v>-8.94854586129754</v>
      </c>
      <c r="D17" s="44" t="n">
        <f aca="false">IFERROR(D9/D12,0)</f>
        <v>-42.3076923076923</v>
      </c>
      <c r="E17" s="44" t="n">
        <f aca="false">IFERROR(E9/E12,0)</f>
        <v>101.648936170213</v>
      </c>
      <c r="F17" s="44" t="n">
        <f aca="false">IFERROR(F9/F12,0)</f>
        <v>18.2303149606299</v>
      </c>
      <c r="G17" s="44" t="n">
        <f aca="false">IFERROR(G9/G12,0)</f>
        <v>12.5241967190889</v>
      </c>
      <c r="H17" s="44" t="n">
        <f aca="false">IFERROR(H9/H12,0)</f>
        <v>10.5083062780689</v>
      </c>
      <c r="I17" s="44" t="n">
        <f aca="false">IFERROR(I9/I12,0)</f>
        <v>9.57211171875</v>
      </c>
      <c r="J17" s="44" t="n">
        <f aca="false">IFERROR(J9/J12,0)</f>
        <v>7.28258998786969</v>
      </c>
      <c r="K17" s="44" t="n">
        <f aca="false">IFERROR(K9/K12,0)</f>
        <v>7.10645752637098</v>
      </c>
      <c r="L17" s="44" t="n">
        <f aca="false">IFERROR(L9/L12,0)</f>
        <v>7.05149189081144</v>
      </c>
      <c r="M17" s="44" t="n">
        <f aca="false">IFERROR(M9/M12,0)</f>
        <v>5.82185814687197</v>
      </c>
      <c r="N17" s="44" t="n">
        <f aca="false">IFERROR(N9/N12,0)</f>
        <v>5.84588647793662</v>
      </c>
      <c r="O17" s="44" t="n">
        <f aca="false">IFERROR(O9/O12,0)</f>
        <v>5.9729146098297</v>
      </c>
      <c r="P17" s="44" t="n">
        <f aca="false">IFERROR(P9/P12,0)</f>
        <v>6.12721086051417</v>
      </c>
      <c r="Q17" s="44" t="n">
        <f aca="false">IFERROR(Q9/Q12,0)</f>
        <v>6.30551464789617</v>
      </c>
      <c r="R17" s="44" t="n">
        <f aca="false">IFERROR(R9/R12,0)</f>
        <v>5.54649768943125</v>
      </c>
      <c r="S17" s="44" t="n">
        <f aca="false">IFERROR(S9/S12,0)</f>
        <v>5.71205041533394</v>
      </c>
      <c r="T17" s="44" t="n">
        <f aca="false">IFERROR(T9/T12,0)</f>
        <v>5.92203432670712</v>
      </c>
      <c r="U17" s="44" t="n">
        <f aca="false">IFERROR(U9/U12,0)</f>
        <v>6.1477795319285</v>
      </c>
      <c r="V17" s="44" t="n">
        <f aca="false">IFERROR(V9/V12,0)</f>
        <v>6.3892546027197</v>
      </c>
      <c r="W17" s="44" t="n">
        <f aca="false">IFERROR(W9/W12,0)</f>
        <v>6.64658423826885</v>
      </c>
      <c r="X17" s="44" t="n">
        <f aca="false">IFERROR(X9/X12,0)</f>
        <v>6.92001986069152</v>
      </c>
      <c r="Y17" s="44" t="n">
        <f aca="false">IFERROR(Y9/Y12,0)</f>
        <v>7.20991887052184</v>
      </c>
      <c r="Z17" s="44" t="n">
        <f aca="false">IFERROR(Z9/Z12,0)</f>
        <v>7.53408813976798</v>
      </c>
    </row>
    <row r="18" customFormat="false" ht="15" hidden="false" customHeight="false" outlineLevel="0" collapsed="false">
      <c r="A18" s="6"/>
      <c r="B18" s="6"/>
      <c r="C18" s="6"/>
      <c r="D18" s="6"/>
      <c r="E18" s="6"/>
      <c r="F18" s="6"/>
      <c r="G18" s="6"/>
      <c r="H18" s="6"/>
      <c r="I18" s="6"/>
      <c r="J18" s="6"/>
      <c r="K18" s="6"/>
      <c r="L18" s="6"/>
      <c r="M18" s="6"/>
      <c r="N18" s="6"/>
      <c r="O18" s="6"/>
      <c r="P18" s="6"/>
      <c r="Q18" s="6"/>
      <c r="R18" s="6"/>
      <c r="S18" s="6"/>
      <c r="T18" s="6"/>
      <c r="U18" s="6"/>
      <c r="V18" s="6"/>
      <c r="W18" s="6"/>
      <c r="X18" s="6"/>
      <c r="Y18" s="6"/>
      <c r="Z18" s="6"/>
    </row>
    <row r="19" customFormat="false" ht="15" hidden="false" customHeight="false" outlineLevel="0" collapsed="false">
      <c r="A19" s="6"/>
      <c r="B19" s="23" t="s">
        <v>168</v>
      </c>
      <c r="C19" s="24"/>
      <c r="D19" s="24"/>
      <c r="E19" s="24"/>
      <c r="F19" s="24"/>
      <c r="G19" s="24"/>
      <c r="H19" s="24"/>
      <c r="I19" s="24"/>
      <c r="J19" s="24"/>
      <c r="K19" s="24"/>
      <c r="L19" s="24"/>
      <c r="M19" s="24"/>
      <c r="N19" s="24"/>
      <c r="O19" s="24"/>
      <c r="P19" s="24"/>
      <c r="Q19" s="24"/>
      <c r="R19" s="24"/>
      <c r="S19" s="24"/>
      <c r="T19" s="24"/>
      <c r="U19" s="24"/>
      <c r="V19" s="24"/>
      <c r="W19" s="24"/>
      <c r="X19" s="24"/>
      <c r="Y19" s="24"/>
      <c r="Z19" s="24"/>
    </row>
    <row r="20" customFormat="false" ht="15" hidden="false" customHeight="false" outlineLevel="0" collapsed="false">
      <c r="A20" s="6"/>
      <c r="B20" s="9" t="s">
        <v>169</v>
      </c>
      <c r="C20" s="38" t="n">
        <f aca="true">IFERROR(RB_Total_Rev/CB_Headcount,0)</f>
        <v>600</v>
      </c>
      <c r="D20" s="38" t="n">
        <f aca="true">IFERROR(RB_Total_Rev/CB_Headcount,0)</f>
        <v>750</v>
      </c>
      <c r="E20" s="38" t="n">
        <f aca="true">IFERROR(RB_Total_Rev/CB_Headcount,0)</f>
        <v>850</v>
      </c>
      <c r="F20" s="38" t="n">
        <f aca="true">IFERROR(RB_Total_Rev/CB_Headcount,0)</f>
        <v>1066.66666666667</v>
      </c>
      <c r="G20" s="38" t="n">
        <f aca="true">IFERROR(RB_Total_Rev/CB_Headcount,0)</f>
        <v>912.5</v>
      </c>
      <c r="H20" s="38" t="n">
        <f aca="true">IFERROR(RB_Total_Rev/CB_Headcount,0)</f>
        <v>1025</v>
      </c>
      <c r="I20" s="38" t="n">
        <f aca="true">IFERROR(RB_Total_Rev/CB_Headcount,0)</f>
        <v>1137.5</v>
      </c>
      <c r="J20" s="38" t="n">
        <f aca="true">IFERROR(RB_Total_Rev/CB_Headcount,0)</f>
        <v>1300</v>
      </c>
      <c r="K20" s="38" t="n">
        <f aca="true">IFERROR(RB_Total_Rev/CB_Headcount,0)</f>
        <v>1130</v>
      </c>
      <c r="L20" s="38" t="n">
        <f aca="true">IFERROR(RB_Total_Rev/CB_Headcount,0)</f>
        <v>1220</v>
      </c>
      <c r="M20" s="38" t="n">
        <f aca="true">IFERROR(RB_Total_Rev/CB_Headcount,0)</f>
        <v>1380</v>
      </c>
      <c r="N20" s="38" t="n">
        <f aca="true">IFERROR(RB_Total_Rev/CB_Headcount,0)</f>
        <v>1500</v>
      </c>
      <c r="O20" s="38" t="n">
        <f aca="true">IFERROR(RB_Total_Rev/CB_Headcount,0)</f>
        <v>1325</v>
      </c>
      <c r="P20" s="38" t="n">
        <f aca="true">IFERROR(RB_Total_Rev/CB_Headcount,0)</f>
        <v>1400</v>
      </c>
      <c r="Q20" s="38" t="n">
        <f aca="true">IFERROR(RB_Total_Rev/CB_Headcount,0)</f>
        <v>1475</v>
      </c>
      <c r="R20" s="38" t="n">
        <f aca="true">IFERROR(RB_Total_Rev/CB_Headcount,0)</f>
        <v>1608.33333333333</v>
      </c>
      <c r="S20" s="38" t="n">
        <f aca="true">IFERROR(RB_Total_Rev/CB_Headcount,0)</f>
        <v>1464.28571428571</v>
      </c>
      <c r="T20" s="38" t="n">
        <f aca="true">IFERROR(RB_Total_Rev/CB_Headcount,0)</f>
        <v>1528.57142857143</v>
      </c>
      <c r="U20" s="38" t="n">
        <f aca="true">IFERROR(RB_Total_Rev/CB_Headcount,0)</f>
        <v>1592.85714285714</v>
      </c>
      <c r="V20" s="38" t="n">
        <f aca="true">IFERROR(RB_Total_Rev/CB_Headcount,0)</f>
        <v>1657.14285714286</v>
      </c>
      <c r="W20" s="38" t="n">
        <f aca="true">IFERROR(RB_Total_Rev/CB_Headcount,0)</f>
        <v>1506.25</v>
      </c>
      <c r="X20" s="38" t="n">
        <f aca="true">IFERROR(RB_Total_Rev/CB_Headcount,0)</f>
        <v>1562.5</v>
      </c>
      <c r="Y20" s="38" t="n">
        <f aca="true">IFERROR(RB_Total_Rev/CB_Headcount,0)</f>
        <v>1618.75</v>
      </c>
      <c r="Z20" s="38" t="n">
        <f aca="true">IFERROR(RB_Total_Rev/CB_Headcount,0)</f>
        <v>1656.25</v>
      </c>
    </row>
    <row r="21" customFormat="false" ht="15" hidden="false" customHeight="false" outlineLevel="0" collapsed="false">
      <c r="A21" s="6"/>
      <c r="B21" s="9" t="s">
        <v>170</v>
      </c>
      <c r="C21" s="38" t="n">
        <f aca="true">IFERROR(CB_Total_Opex/CB_Headcount,0)</f>
        <v>11048.6666666667</v>
      </c>
      <c r="D21" s="38" t="n">
        <f aca="true">IFERROR(CB_Total_Opex/CB_Headcount,0)</f>
        <v>11094</v>
      </c>
      <c r="E21" s="38" t="n">
        <f aca="true">IFERROR(CB_Total_Opex/CB_Headcount,0)</f>
        <v>11137</v>
      </c>
      <c r="F21" s="38" t="n">
        <f aca="true">IFERROR(CB_Total_Opex/CB_Headcount,0)</f>
        <v>11185.75</v>
      </c>
      <c r="G21" s="38" t="n">
        <f aca="true">IFERROR(CB_Total_Opex/CB_Headcount,0)</f>
        <v>10614.753125</v>
      </c>
      <c r="H21" s="38" t="n">
        <f aca="true">IFERROR(CB_Total_Opex/CB_Headcount,0)</f>
        <v>10654.14078125</v>
      </c>
      <c r="I21" s="38" t="n">
        <f aca="true">IFERROR(CB_Total_Opex/CB_Headcount,0)</f>
        <v>10695.0478203125</v>
      </c>
      <c r="J21" s="38" t="n">
        <f aca="true">IFERROR(CB_Total_Opex/CB_Headcount,0)</f>
        <v>10737.5502113281</v>
      </c>
      <c r="K21" s="38" t="n">
        <f aca="true">IFERROR(CB_Total_Opex/CB_Headcount,0)</f>
        <v>10375.3821775156</v>
      </c>
      <c r="L21" s="38" t="n">
        <f aca="true">IFERROR(CB_Total_Opex/CB_Headcount,0)</f>
        <v>10412.1312863914</v>
      </c>
      <c r="M21" s="38" t="n">
        <f aca="true">IFERROR(CB_Total_Opex/CB_Headcount,0)</f>
        <v>10452.757850711</v>
      </c>
      <c r="N21" s="38" t="n">
        <f aca="true">IFERROR(CB_Total_Opex/CB_Headcount,0)</f>
        <v>10494.9357432465</v>
      </c>
      <c r="O21" s="38" t="n">
        <f aca="true">IFERROR(CB_Total_Opex/CB_Headcount,0)</f>
        <v>10501.1187753407</v>
      </c>
      <c r="P21" s="38" t="n">
        <f aca="true">IFERROR(CB_Total_Opex/CB_Headcount,0)</f>
        <v>10537.0497141077</v>
      </c>
      <c r="Q21" s="38" t="n">
        <f aca="true">IFERROR(CB_Total_Opex/CB_Headcount,0)</f>
        <v>10574.4771998131</v>
      </c>
      <c r="R21" s="38" t="n">
        <f aca="true">IFERROR(CB_Total_Opex/CB_Headcount,0)</f>
        <v>10615.4760598038</v>
      </c>
      <c r="S21" s="38" t="n">
        <f aca="true">IFERROR(CB_Total_Opex/CB_Headcount,0)</f>
        <v>10423.0355966806</v>
      </c>
      <c r="T21" s="38" t="n">
        <f aca="true">IFERROR(CB_Total_Opex/CB_Headcount,0)</f>
        <v>10459.3623765146</v>
      </c>
      <c r="U21" s="38" t="n">
        <f aca="true">IFERROR(CB_Total_Opex/CB_Headcount,0)</f>
        <v>10497.2483524832</v>
      </c>
      <c r="V21" s="38" t="n">
        <f aca="true">IFERROR(CB_Total_Opex/CB_Headcount,0)</f>
        <v>10536.771484393</v>
      </c>
      <c r="W21" s="38" t="n">
        <f aca="true">IFERROR(CB_Total_Opex/CB_Headcount,0)</f>
        <v>10382.3244262861</v>
      </c>
      <c r="X21" s="38" t="n">
        <f aca="true">IFERROR(CB_Total_Opex/CB_Headcount,0)</f>
        <v>10419.9906476004</v>
      </c>
      <c r="Y21" s="38" t="n">
        <f aca="true">IFERROR(CB_Total_Opex/CB_Headcount,0)</f>
        <v>10459.3151799804</v>
      </c>
      <c r="Z21" s="38" t="n">
        <f aca="true">IFERROR(CB_Total_Opex/CB_Headcount,0)</f>
        <v>10498.8809389795</v>
      </c>
    </row>
    <row r="22" customFormat="false" ht="15" hidden="false" customHeight="false" outlineLevel="0" collapsed="false">
      <c r="A22" s="6"/>
      <c r="B22" s="9" t="s">
        <v>171</v>
      </c>
      <c r="C22" s="45" t="n">
        <f aca="true">IFERROR(CF_Net_Burn/MAX(1,RB_New_Cust*ARPU_Monthly),0)</f>
        <v>69.6577777777778</v>
      </c>
      <c r="D22" s="45" t="n">
        <f aca="true">IFERROR(CF_Net_Burn/MAX(1,RB_New_Cust*ARPU_Monthly),0)</f>
        <v>68.96</v>
      </c>
      <c r="E22" s="45" t="n">
        <f aca="true">IFERROR(CF_Net_Burn/MAX(1,RB_New_Cust*ARPU_Monthly),0)</f>
        <v>68.58</v>
      </c>
      <c r="F22" s="45" t="n">
        <f aca="true">IFERROR(CF_Net_Burn/MAX(1,RB_New_Cust*ARPU_Monthly),0)</f>
        <v>50.5954166666667</v>
      </c>
      <c r="G22" s="45" t="n">
        <f aca="true">IFERROR(CF_Net_Burn/MAX(1,RB_New_Cust*ARPU_Monthly),0)</f>
        <v>64.6816875</v>
      </c>
      <c r="H22" s="45" t="n">
        <f aca="true">IFERROR(CF_Net_Burn/MAX(1,RB_New_Cust*ARPU_Monthly),0)</f>
        <v>64.194271875</v>
      </c>
      <c r="I22" s="45" t="n">
        <f aca="true">IFERROR(CF_Net_Burn/MAX(1,RB_New_Cust*ARPU_Monthly),0)</f>
        <v>63.71698546875</v>
      </c>
      <c r="J22" s="45" t="n">
        <f aca="true">IFERROR(CF_Net_Burn/MAX(1,RB_New_Cust*ARPU_Monthly),0)</f>
        <v>50.3336011270833</v>
      </c>
      <c r="K22" s="45" t="n">
        <f aca="true">IFERROR(CF_Net_Burn/MAX(1,RB_New_Cust*ARPU_Monthly),0)</f>
        <v>61.6358811834375</v>
      </c>
      <c r="L22" s="45" t="n">
        <f aca="true">IFERROR(CF_Net_Burn/MAX(1,RB_New_Cust*ARPU_Monthly),0)</f>
        <v>61.2808752426094</v>
      </c>
      <c r="M22" s="45" t="n">
        <f aca="true">IFERROR(CF_Net_Burn/MAX(1,RB_New_Cust*ARPU_Monthly),0)</f>
        <v>50.4042102817276</v>
      </c>
      <c r="N22" s="45" t="n">
        <f aca="true">IFERROR(CF_Net_Burn/MAX(1,RB_New_Cust*ARPU_Monthly),0)</f>
        <v>49.9718652402585</v>
      </c>
      <c r="O22" s="45" t="n">
        <f aca="true">IFERROR(CF_Net_Burn/MAX(1,RB_New_Cust*ARPU_Monthly),0)</f>
        <v>61.1741251689381</v>
      </c>
      <c r="P22" s="45" t="n">
        <f aca="true">IFERROR(CF_Net_Burn/MAX(1,RB_New_Cust*ARPU_Monthly),0)</f>
        <v>60.9136647607183</v>
      </c>
      <c r="Q22" s="45" t="n">
        <f aca="true">IFERROR(CF_Net_Burn/MAX(1,RB_New_Cust*ARPU_Monthly),0)</f>
        <v>60.6631813320876</v>
      </c>
      <c r="R22" s="45" t="n">
        <f aca="true">IFERROR(CF_Net_Burn/MAX(1,RB_New_Cust*ARPU_Monthly),0)</f>
        <v>51.4693870084026</v>
      </c>
      <c r="S22" s="45" t="n">
        <f aca="true">IFERROR(CF_Net_Burn/MAX(1,RB_New_Cust*ARPU_Monthly),0)</f>
        <v>59.7249992159656</v>
      </c>
      <c r="T22" s="45" t="n">
        <f aca="true">IFERROR(CF_Net_Burn/MAX(1,RB_New_Cust*ARPU_Monthly),0)</f>
        <v>59.538606319621</v>
      </c>
      <c r="U22" s="45" t="n">
        <f aca="true">IFERROR(CF_Net_Burn/MAX(1,RB_New_Cust*ARPU_Monthly),0)</f>
        <v>59.3626080641735</v>
      </c>
      <c r="V22" s="45" t="n">
        <f aca="true">IFERROR(CF_Net_Burn/MAX(1,RB_New_Cust*ARPU_Monthly),0)</f>
        <v>59.1975241816679</v>
      </c>
      <c r="W22" s="45" t="n">
        <f aca="true">IFERROR(CF_Net_Burn/MAX(1,RB_New_Cust*ARPU_Monthly),0)</f>
        <v>67.6272337240846</v>
      </c>
      <c r="X22" s="45" t="n">
        <f aca="true">IFERROR(CF_Net_Burn/MAX(1,RB_New_Cust*ARPU_Monthly),0)</f>
        <v>67.4856430293365</v>
      </c>
      <c r="Y22" s="45" t="n">
        <f aca="true">IFERROR(CF_Net_Burn/MAX(1,RB_New_Cust*ARPU_Monthly),0)</f>
        <v>67.3566870855652</v>
      </c>
      <c r="Z22" s="45" t="n">
        <f aca="true">IFERROR(CF_Net_Burn/MAX(1,RB_New_Cust*ARPU_Monthly),0)</f>
        <v>67.3724262017482</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AD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26" min="3" style="0" width="14"/>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2"/>
      <c r="AB1" s="2"/>
      <c r="AC1" s="2"/>
      <c r="AD1" s="2"/>
    </row>
    <row r="2" customFormat="false" ht="21.75" hidden="false" customHeight="true" outlineLevel="0" collapsed="false">
      <c r="A2" s="1"/>
      <c r="B2" s="3" t="s">
        <v>16</v>
      </c>
      <c r="C2" s="1"/>
      <c r="D2" s="1"/>
      <c r="E2" s="1"/>
      <c r="F2" s="1"/>
      <c r="G2" s="1"/>
      <c r="H2" s="1"/>
      <c r="I2" s="1"/>
      <c r="J2" s="1"/>
      <c r="K2" s="1"/>
      <c r="L2" s="1"/>
      <c r="M2" s="1"/>
      <c r="N2" s="1"/>
      <c r="O2" s="1"/>
      <c r="P2" s="1"/>
      <c r="Q2" s="1"/>
      <c r="R2" s="1"/>
      <c r="S2" s="1"/>
      <c r="T2" s="1"/>
      <c r="U2" s="1"/>
      <c r="V2" s="1"/>
      <c r="W2" s="1"/>
      <c r="X2" s="1"/>
      <c r="Y2" s="1"/>
      <c r="Z2" s="1"/>
      <c r="AA2" s="2"/>
      <c r="AB2" s="2"/>
      <c r="AC2" s="2"/>
      <c r="AD2" s="2"/>
    </row>
    <row r="3" customFormat="false" ht="15" hidden="false" customHeight="false" outlineLevel="0" collapsed="false">
      <c r="A3" s="1"/>
      <c r="B3" s="5" t="s">
        <v>172</v>
      </c>
      <c r="C3" s="1"/>
      <c r="D3" s="1"/>
      <c r="E3" s="1"/>
      <c r="F3" s="1"/>
      <c r="G3" s="1"/>
      <c r="H3" s="1"/>
      <c r="I3" s="1"/>
      <c r="J3" s="1"/>
      <c r="K3" s="1"/>
      <c r="L3" s="1"/>
      <c r="M3" s="1"/>
      <c r="N3" s="1"/>
      <c r="O3" s="1"/>
      <c r="P3" s="1"/>
      <c r="Q3" s="1"/>
      <c r="R3" s="1"/>
      <c r="S3" s="1"/>
      <c r="T3" s="1"/>
      <c r="U3" s="1"/>
      <c r="V3" s="1"/>
      <c r="W3" s="1"/>
      <c r="X3" s="1"/>
      <c r="Y3" s="1"/>
      <c r="Z3" s="1"/>
      <c r="AA3" s="2"/>
      <c r="AB3" s="2"/>
      <c r="AC3" s="2"/>
      <c r="AD3" s="2"/>
    </row>
    <row r="4" customFormat="false" ht="15" hidden="false" customHeight="false" outlineLevel="0" collapsed="false">
      <c r="A4" s="6"/>
      <c r="B4" s="6"/>
      <c r="C4" s="6"/>
      <c r="D4" s="6"/>
      <c r="E4" s="6"/>
      <c r="F4" s="6"/>
      <c r="G4" s="6"/>
      <c r="H4" s="6"/>
      <c r="I4" s="6"/>
      <c r="J4" s="6"/>
      <c r="K4" s="6"/>
      <c r="L4" s="6"/>
      <c r="M4" s="6"/>
      <c r="N4" s="6"/>
      <c r="O4" s="6"/>
      <c r="P4" s="6"/>
      <c r="Q4" s="6"/>
      <c r="R4" s="6"/>
      <c r="S4" s="6"/>
      <c r="T4" s="6"/>
      <c r="U4" s="6"/>
      <c r="V4" s="6"/>
      <c r="W4" s="6"/>
      <c r="X4" s="6"/>
      <c r="Y4" s="6"/>
      <c r="Z4" s="6"/>
    </row>
    <row r="5" customFormat="false" ht="15" hidden="false" customHeight="false" outlineLevel="0" collapsed="false">
      <c r="A5" s="6"/>
      <c r="B5" s="30" t="s">
        <v>115</v>
      </c>
      <c r="C5" s="31" t="n">
        <f aca="false">EDATE(Model_Start_Date,0)</f>
        <v>46023</v>
      </c>
      <c r="D5" s="31" t="n">
        <f aca="false">EDATE(Model_Start_Date,1)</f>
        <v>46054</v>
      </c>
      <c r="E5" s="31" t="n">
        <f aca="false">EDATE(Model_Start_Date,2)</f>
        <v>46082</v>
      </c>
      <c r="F5" s="31" t="n">
        <f aca="false">EDATE(Model_Start_Date,3)</f>
        <v>46113</v>
      </c>
      <c r="G5" s="31" t="n">
        <f aca="false">EDATE(Model_Start_Date,4)</f>
        <v>46143</v>
      </c>
      <c r="H5" s="31" t="n">
        <f aca="false">EDATE(Model_Start_Date,5)</f>
        <v>46174</v>
      </c>
      <c r="I5" s="31" t="n">
        <f aca="false">EDATE(Model_Start_Date,6)</f>
        <v>46204</v>
      </c>
      <c r="J5" s="31" t="n">
        <f aca="false">EDATE(Model_Start_Date,7)</f>
        <v>46235</v>
      </c>
      <c r="K5" s="31" t="n">
        <f aca="false">EDATE(Model_Start_Date,8)</f>
        <v>46266</v>
      </c>
      <c r="L5" s="31" t="n">
        <f aca="false">EDATE(Model_Start_Date,9)</f>
        <v>46296</v>
      </c>
      <c r="M5" s="31" t="n">
        <f aca="false">EDATE(Model_Start_Date,10)</f>
        <v>46327</v>
      </c>
      <c r="N5" s="31" t="n">
        <f aca="false">EDATE(Model_Start_Date,11)</f>
        <v>46357</v>
      </c>
      <c r="O5" s="31" t="n">
        <f aca="false">EDATE(Model_Start_Date,12)</f>
        <v>46388</v>
      </c>
      <c r="P5" s="31" t="n">
        <f aca="false">EDATE(Model_Start_Date,13)</f>
        <v>46419</v>
      </c>
      <c r="Q5" s="31" t="n">
        <f aca="false">EDATE(Model_Start_Date,14)</f>
        <v>46447</v>
      </c>
      <c r="R5" s="31" t="n">
        <f aca="false">EDATE(Model_Start_Date,15)</f>
        <v>46478</v>
      </c>
      <c r="S5" s="31" t="n">
        <f aca="false">EDATE(Model_Start_Date,16)</f>
        <v>46508</v>
      </c>
      <c r="T5" s="31" t="n">
        <f aca="false">EDATE(Model_Start_Date,17)</f>
        <v>46539</v>
      </c>
      <c r="U5" s="31" t="n">
        <f aca="false">EDATE(Model_Start_Date,18)</f>
        <v>46569</v>
      </c>
      <c r="V5" s="31" t="n">
        <f aca="false">EDATE(Model_Start_Date,19)</f>
        <v>46600</v>
      </c>
      <c r="W5" s="31" t="n">
        <f aca="false">EDATE(Model_Start_Date,20)</f>
        <v>46631</v>
      </c>
      <c r="X5" s="31" t="n">
        <f aca="false">EDATE(Model_Start_Date,21)</f>
        <v>46661</v>
      </c>
      <c r="Y5" s="31" t="n">
        <f aca="false">EDATE(Model_Start_Date,22)</f>
        <v>46692</v>
      </c>
      <c r="Z5" s="31" t="n">
        <f aca="false">EDATE(Model_Start_Date,23)</f>
        <v>46722</v>
      </c>
    </row>
    <row r="6" customFormat="false" ht="15" hidden="false" customHeight="false" outlineLevel="0" collapsed="false">
      <c r="A6" s="6"/>
      <c r="B6" s="32" t="s">
        <v>116</v>
      </c>
      <c r="C6" s="33" t="n">
        <f aca="false">COLUMN()-2</f>
        <v>1</v>
      </c>
      <c r="D6" s="33" t="n">
        <f aca="false">COLUMN()-2</f>
        <v>2</v>
      </c>
      <c r="E6" s="33" t="n">
        <f aca="false">COLUMN()-2</f>
        <v>3</v>
      </c>
      <c r="F6" s="33" t="n">
        <f aca="false">COLUMN()-2</f>
        <v>4</v>
      </c>
      <c r="G6" s="33" t="n">
        <f aca="false">COLUMN()-2</f>
        <v>5</v>
      </c>
      <c r="H6" s="33" t="n">
        <f aca="false">COLUMN()-2</f>
        <v>6</v>
      </c>
      <c r="I6" s="33" t="n">
        <f aca="false">COLUMN()-2</f>
        <v>7</v>
      </c>
      <c r="J6" s="33" t="n">
        <f aca="false">COLUMN()-2</f>
        <v>8</v>
      </c>
      <c r="K6" s="33" t="n">
        <f aca="false">COLUMN()-2</f>
        <v>9</v>
      </c>
      <c r="L6" s="33" t="n">
        <f aca="false">COLUMN()-2</f>
        <v>10</v>
      </c>
      <c r="M6" s="33" t="n">
        <f aca="false">COLUMN()-2</f>
        <v>11</v>
      </c>
      <c r="N6" s="33" t="n">
        <f aca="false">COLUMN()-2</f>
        <v>12</v>
      </c>
      <c r="O6" s="33" t="n">
        <f aca="false">COLUMN()-2</f>
        <v>13</v>
      </c>
      <c r="P6" s="33" t="n">
        <f aca="false">COLUMN()-2</f>
        <v>14</v>
      </c>
      <c r="Q6" s="33" t="n">
        <f aca="false">COLUMN()-2</f>
        <v>15</v>
      </c>
      <c r="R6" s="33" t="n">
        <f aca="false">COLUMN()-2</f>
        <v>16</v>
      </c>
      <c r="S6" s="33" t="n">
        <f aca="false">COLUMN()-2</f>
        <v>17</v>
      </c>
      <c r="T6" s="33" t="n">
        <f aca="false">COLUMN()-2</f>
        <v>18</v>
      </c>
      <c r="U6" s="33" t="n">
        <f aca="false">COLUMN()-2</f>
        <v>19</v>
      </c>
      <c r="V6" s="33" t="n">
        <f aca="false">COLUMN()-2</f>
        <v>20</v>
      </c>
      <c r="W6" s="33" t="n">
        <f aca="false">COLUMN()-2</f>
        <v>21</v>
      </c>
      <c r="X6" s="33" t="n">
        <f aca="false">COLUMN()-2</f>
        <v>22</v>
      </c>
      <c r="Y6" s="33" t="n">
        <f aca="false">COLUMN()-2</f>
        <v>23</v>
      </c>
      <c r="Z6" s="33" t="n">
        <f aca="false">COLUMN()-2</f>
        <v>24</v>
      </c>
    </row>
    <row r="7" customFormat="false" ht="15" hidden="false" customHeight="false" outlineLevel="0" collapsed="false">
      <c r="A7" s="6"/>
      <c r="B7" s="6"/>
      <c r="C7" s="6"/>
      <c r="D7" s="6"/>
      <c r="E7" s="6"/>
      <c r="F7" s="6"/>
      <c r="G7" s="6"/>
      <c r="H7" s="6"/>
      <c r="I7" s="6"/>
      <c r="J7" s="6"/>
      <c r="K7" s="6"/>
      <c r="L7" s="6"/>
      <c r="M7" s="6"/>
      <c r="N7" s="6"/>
      <c r="O7" s="6"/>
      <c r="P7" s="6"/>
      <c r="Q7" s="6"/>
      <c r="R7" s="6"/>
      <c r="S7" s="6"/>
      <c r="T7" s="6"/>
      <c r="U7" s="6"/>
      <c r="V7" s="6"/>
      <c r="W7" s="6"/>
      <c r="X7" s="6"/>
      <c r="Y7" s="6"/>
      <c r="Z7" s="6"/>
    </row>
    <row r="8" customFormat="false" ht="15" hidden="false" customHeight="false" outlineLevel="0" collapsed="false">
      <c r="A8" s="6"/>
      <c r="B8" s="23" t="s">
        <v>173</v>
      </c>
      <c r="C8" s="24"/>
      <c r="D8" s="24"/>
      <c r="E8" s="24"/>
      <c r="F8" s="24"/>
      <c r="G8" s="24"/>
      <c r="H8" s="24"/>
      <c r="I8" s="24"/>
      <c r="J8" s="24"/>
      <c r="K8" s="24"/>
      <c r="L8" s="24"/>
      <c r="M8" s="24"/>
      <c r="N8" s="24"/>
      <c r="O8" s="24"/>
      <c r="P8" s="24"/>
      <c r="Q8" s="24"/>
      <c r="R8" s="24"/>
      <c r="S8" s="24"/>
      <c r="T8" s="24"/>
      <c r="U8" s="24"/>
      <c r="V8" s="24"/>
      <c r="W8" s="24"/>
      <c r="X8" s="24"/>
      <c r="Y8" s="24"/>
      <c r="Z8" s="24"/>
    </row>
    <row r="9" customFormat="false" ht="15" hidden="false" customHeight="false" outlineLevel="0" collapsed="false">
      <c r="A9" s="6"/>
      <c r="B9" s="9" t="s">
        <v>174</v>
      </c>
      <c r="C9" s="38" t="n">
        <f aca="true">RB_ARR</f>
        <v>14400</v>
      </c>
      <c r="D9" s="38" t="n">
        <f aca="true">RB_ARR</f>
        <v>19800</v>
      </c>
      <c r="E9" s="38" t="n">
        <f aca="true">RB_ARR</f>
        <v>23400</v>
      </c>
      <c r="F9" s="38" t="n">
        <f aca="true">RB_ARR</f>
        <v>28800</v>
      </c>
      <c r="G9" s="38" t="n">
        <f aca="true">RB_ARR</f>
        <v>34200</v>
      </c>
      <c r="H9" s="38" t="n">
        <f aca="true">RB_ARR</f>
        <v>39600</v>
      </c>
      <c r="I9" s="38" t="n">
        <f aca="true">RB_ARR</f>
        <v>45000</v>
      </c>
      <c r="J9" s="38" t="n">
        <f aca="true">RB_ARR</f>
        <v>50400</v>
      </c>
      <c r="K9" s="38" t="n">
        <f aca="true">RB_ARR</f>
        <v>55800</v>
      </c>
      <c r="L9" s="38" t="n">
        <f aca="true">RB_ARR</f>
        <v>61200</v>
      </c>
      <c r="M9" s="38" t="n">
        <f aca="true">RB_ARR</f>
        <v>68400</v>
      </c>
      <c r="N9" s="38" t="n">
        <f aca="true">RB_ARR</f>
        <v>75600</v>
      </c>
      <c r="O9" s="38" t="n">
        <f aca="true">RB_ARR</f>
        <v>81000</v>
      </c>
      <c r="P9" s="38" t="n">
        <f aca="true">RB_ARR</f>
        <v>86400</v>
      </c>
      <c r="Q9" s="38" t="n">
        <f aca="true">RB_ARR</f>
        <v>91800</v>
      </c>
      <c r="R9" s="38" t="n">
        <f aca="true">RB_ARR</f>
        <v>99000</v>
      </c>
      <c r="S9" s="38" t="n">
        <f aca="true">RB_ARR</f>
        <v>106200</v>
      </c>
      <c r="T9" s="38" t="n">
        <f aca="true">RB_ARR</f>
        <v>111600</v>
      </c>
      <c r="U9" s="38" t="n">
        <f aca="true">RB_ARR</f>
        <v>117000</v>
      </c>
      <c r="V9" s="38" t="n">
        <f aca="true">RB_ARR</f>
        <v>122400</v>
      </c>
      <c r="W9" s="38" t="n">
        <f aca="true">RB_ARR</f>
        <v>127800</v>
      </c>
      <c r="X9" s="38" t="n">
        <f aca="true">RB_ARR</f>
        <v>133200</v>
      </c>
      <c r="Y9" s="38" t="n">
        <f aca="true">RB_ARR</f>
        <v>138600</v>
      </c>
      <c r="Z9" s="38" t="n">
        <f aca="true">RB_ARR</f>
        <v>142200</v>
      </c>
    </row>
    <row r="10" customFormat="false" ht="15" hidden="false" customHeight="false" outlineLevel="0" collapsed="false">
      <c r="A10" s="6"/>
      <c r="B10" s="35" t="s">
        <v>107</v>
      </c>
      <c r="C10" s="38" t="n">
        <f aca="false">Target_ARR</f>
        <v>250000</v>
      </c>
      <c r="D10" s="38" t="n">
        <f aca="false">Target_ARR</f>
        <v>250000</v>
      </c>
      <c r="E10" s="38" t="n">
        <f aca="false">Target_ARR</f>
        <v>250000</v>
      </c>
      <c r="F10" s="38" t="n">
        <f aca="false">Target_ARR</f>
        <v>250000</v>
      </c>
      <c r="G10" s="38" t="n">
        <f aca="false">Target_ARR</f>
        <v>250000</v>
      </c>
      <c r="H10" s="38" t="n">
        <f aca="false">Target_ARR</f>
        <v>250000</v>
      </c>
      <c r="I10" s="38" t="n">
        <f aca="false">Target_ARR</f>
        <v>250000</v>
      </c>
      <c r="J10" s="38" t="n">
        <f aca="false">Target_ARR</f>
        <v>250000</v>
      </c>
      <c r="K10" s="38" t="n">
        <f aca="false">Target_ARR</f>
        <v>250000</v>
      </c>
      <c r="L10" s="38" t="n">
        <f aca="false">Target_ARR</f>
        <v>250000</v>
      </c>
      <c r="M10" s="38" t="n">
        <f aca="false">Target_ARR</f>
        <v>250000</v>
      </c>
      <c r="N10" s="38" t="n">
        <f aca="false">Target_ARR</f>
        <v>250000</v>
      </c>
      <c r="O10" s="38" t="n">
        <f aca="false">Target_ARR</f>
        <v>250000</v>
      </c>
      <c r="P10" s="38" t="n">
        <f aca="false">Target_ARR</f>
        <v>250000</v>
      </c>
      <c r="Q10" s="38" t="n">
        <f aca="false">Target_ARR</f>
        <v>250000</v>
      </c>
      <c r="R10" s="38" t="n">
        <f aca="false">Target_ARR</f>
        <v>250000</v>
      </c>
      <c r="S10" s="38" t="n">
        <f aca="false">Target_ARR</f>
        <v>250000</v>
      </c>
      <c r="T10" s="38" t="n">
        <f aca="false">Target_ARR</f>
        <v>250000</v>
      </c>
      <c r="U10" s="38" t="n">
        <f aca="false">Target_ARR</f>
        <v>250000</v>
      </c>
      <c r="V10" s="38" t="n">
        <f aca="false">Target_ARR</f>
        <v>250000</v>
      </c>
      <c r="W10" s="38" t="n">
        <f aca="false">Target_ARR</f>
        <v>250000</v>
      </c>
      <c r="X10" s="38" t="n">
        <f aca="false">Target_ARR</f>
        <v>250000</v>
      </c>
      <c r="Y10" s="38" t="n">
        <f aca="false">Target_ARR</f>
        <v>250000</v>
      </c>
      <c r="Z10" s="38" t="n">
        <f aca="false">Target_ARR</f>
        <v>250000</v>
      </c>
    </row>
    <row r="11" customFormat="false" ht="15" hidden="false" customHeight="false" outlineLevel="0" collapsed="false">
      <c r="A11" s="6"/>
      <c r="B11" s="35" t="s">
        <v>175</v>
      </c>
      <c r="C11" s="42" t="str">
        <f aca="false">IF(C9&gt;=C10,"PASS","MISS")</f>
        <v>MISS</v>
      </c>
      <c r="D11" s="42" t="str">
        <f aca="false">IF(D9&gt;=D10,"PASS","MISS")</f>
        <v>MISS</v>
      </c>
      <c r="E11" s="42" t="str">
        <f aca="false">IF(E9&gt;=E10,"PASS","MISS")</f>
        <v>MISS</v>
      </c>
      <c r="F11" s="42" t="str">
        <f aca="false">IF(F9&gt;=F10,"PASS","MISS")</f>
        <v>MISS</v>
      </c>
      <c r="G11" s="42" t="str">
        <f aca="false">IF(G9&gt;=G10,"PASS","MISS")</f>
        <v>MISS</v>
      </c>
      <c r="H11" s="42" t="str">
        <f aca="false">IF(H9&gt;=H10,"PASS","MISS")</f>
        <v>MISS</v>
      </c>
      <c r="I11" s="42" t="str">
        <f aca="false">IF(I9&gt;=I10,"PASS","MISS")</f>
        <v>MISS</v>
      </c>
      <c r="J11" s="42" t="str">
        <f aca="false">IF(J9&gt;=J10,"PASS","MISS")</f>
        <v>MISS</v>
      </c>
      <c r="K11" s="42" t="str">
        <f aca="false">IF(K9&gt;=K10,"PASS","MISS")</f>
        <v>MISS</v>
      </c>
      <c r="L11" s="42" t="str">
        <f aca="false">IF(L9&gt;=L10,"PASS","MISS")</f>
        <v>MISS</v>
      </c>
      <c r="M11" s="42" t="str">
        <f aca="false">IF(M9&gt;=M10,"PASS","MISS")</f>
        <v>MISS</v>
      </c>
      <c r="N11" s="42" t="str">
        <f aca="false">IF(N9&gt;=N10,"PASS","MISS")</f>
        <v>MISS</v>
      </c>
      <c r="O11" s="42" t="str">
        <f aca="false">IF(O9&gt;=O10,"PASS","MISS")</f>
        <v>MISS</v>
      </c>
      <c r="P11" s="42" t="str">
        <f aca="false">IF(P9&gt;=P10,"PASS","MISS")</f>
        <v>MISS</v>
      </c>
      <c r="Q11" s="42" t="str">
        <f aca="false">IF(Q9&gt;=Q10,"PASS","MISS")</f>
        <v>MISS</v>
      </c>
      <c r="R11" s="42" t="str">
        <f aca="false">IF(R9&gt;=R10,"PASS","MISS")</f>
        <v>MISS</v>
      </c>
      <c r="S11" s="42" t="str">
        <f aca="false">IF(S9&gt;=S10,"PASS","MISS")</f>
        <v>MISS</v>
      </c>
      <c r="T11" s="42" t="str">
        <f aca="false">IF(T9&gt;=T10,"PASS","MISS")</f>
        <v>MISS</v>
      </c>
      <c r="U11" s="42" t="str">
        <f aca="false">IF(U9&gt;=U10,"PASS","MISS")</f>
        <v>MISS</v>
      </c>
      <c r="V11" s="42" t="str">
        <f aca="false">IF(V9&gt;=V10,"PASS","MISS")</f>
        <v>MISS</v>
      </c>
      <c r="W11" s="42" t="str">
        <f aca="false">IF(W9&gt;=W10,"PASS","MISS")</f>
        <v>MISS</v>
      </c>
      <c r="X11" s="42" t="str">
        <f aca="false">IF(X9&gt;=X10,"PASS","MISS")</f>
        <v>MISS</v>
      </c>
      <c r="Y11" s="42" t="str">
        <f aca="false">IF(Y9&gt;=Y10,"PASS","MISS")</f>
        <v>MISS</v>
      </c>
      <c r="Z11" s="42" t="str">
        <f aca="false">IF(Z9&gt;=Z10,"PASS","MISS")</f>
        <v>MISS</v>
      </c>
    </row>
    <row r="12" customFormat="false" ht="15" hidden="false" customHeight="false" outlineLevel="0" collapsed="false">
      <c r="A12" s="6"/>
      <c r="B12" s="6"/>
      <c r="C12" s="6"/>
      <c r="D12" s="6"/>
      <c r="E12" s="6"/>
      <c r="F12" s="6"/>
      <c r="G12" s="6"/>
      <c r="H12" s="6"/>
      <c r="I12" s="6"/>
      <c r="J12" s="6"/>
      <c r="K12" s="6"/>
      <c r="L12" s="6"/>
      <c r="M12" s="6"/>
      <c r="N12" s="6"/>
      <c r="O12" s="6"/>
      <c r="P12" s="6"/>
      <c r="Q12" s="6"/>
      <c r="R12" s="6"/>
      <c r="S12" s="6"/>
      <c r="T12" s="6"/>
      <c r="U12" s="6"/>
      <c r="V12" s="6"/>
      <c r="W12" s="6"/>
      <c r="X12" s="6"/>
      <c r="Y12" s="6"/>
      <c r="Z12" s="6"/>
    </row>
    <row r="13" customFormat="false" ht="15" hidden="false" customHeight="false" outlineLevel="0" collapsed="false">
      <c r="A13" s="6"/>
      <c r="B13" s="23" t="s">
        <v>176</v>
      </c>
      <c r="C13" s="24"/>
      <c r="D13" s="24"/>
      <c r="E13" s="24"/>
      <c r="F13" s="24"/>
      <c r="G13" s="24"/>
      <c r="H13" s="24"/>
      <c r="I13" s="24"/>
      <c r="J13" s="24"/>
      <c r="K13" s="24"/>
      <c r="L13" s="24"/>
      <c r="M13" s="24"/>
      <c r="N13" s="24"/>
      <c r="O13" s="24"/>
      <c r="P13" s="24"/>
      <c r="Q13" s="24"/>
      <c r="R13" s="24"/>
      <c r="S13" s="24"/>
      <c r="T13" s="24"/>
      <c r="U13" s="24"/>
      <c r="V13" s="24"/>
      <c r="W13" s="24"/>
      <c r="X13" s="24"/>
      <c r="Y13" s="24"/>
      <c r="Z13" s="24"/>
    </row>
    <row r="14" customFormat="false" ht="15" hidden="false" customHeight="false" outlineLevel="0" collapsed="false">
      <c r="A14" s="6"/>
      <c r="B14" s="9" t="s">
        <v>177</v>
      </c>
      <c r="C14" s="34" t="n">
        <f aca="true">RB_Total_Cust</f>
        <v>8</v>
      </c>
      <c r="D14" s="34" t="n">
        <f aca="true">RB_Total_Cust</f>
        <v>11</v>
      </c>
      <c r="E14" s="34" t="n">
        <f aca="true">RB_Total_Cust</f>
        <v>13</v>
      </c>
      <c r="F14" s="34" t="n">
        <f aca="true">RB_Total_Cust</f>
        <v>16</v>
      </c>
      <c r="G14" s="34" t="n">
        <f aca="true">RB_Total_Cust</f>
        <v>19</v>
      </c>
      <c r="H14" s="34" t="n">
        <f aca="true">RB_Total_Cust</f>
        <v>22</v>
      </c>
      <c r="I14" s="34" t="n">
        <f aca="true">RB_Total_Cust</f>
        <v>25</v>
      </c>
      <c r="J14" s="34" t="n">
        <f aca="true">RB_Total_Cust</f>
        <v>28</v>
      </c>
      <c r="K14" s="34" t="n">
        <f aca="true">RB_Total_Cust</f>
        <v>31</v>
      </c>
      <c r="L14" s="34" t="n">
        <f aca="true">RB_Total_Cust</f>
        <v>34</v>
      </c>
      <c r="M14" s="34" t="n">
        <f aca="true">RB_Total_Cust</f>
        <v>38</v>
      </c>
      <c r="N14" s="34" t="n">
        <f aca="true">RB_Total_Cust</f>
        <v>42</v>
      </c>
      <c r="O14" s="34" t="n">
        <f aca="true">RB_Total_Cust</f>
        <v>45</v>
      </c>
      <c r="P14" s="34" t="n">
        <f aca="true">RB_Total_Cust</f>
        <v>48</v>
      </c>
      <c r="Q14" s="34" t="n">
        <f aca="true">RB_Total_Cust</f>
        <v>51</v>
      </c>
      <c r="R14" s="34" t="n">
        <f aca="true">RB_Total_Cust</f>
        <v>55</v>
      </c>
      <c r="S14" s="34" t="n">
        <f aca="true">RB_Total_Cust</f>
        <v>59</v>
      </c>
      <c r="T14" s="34" t="n">
        <f aca="true">RB_Total_Cust</f>
        <v>62</v>
      </c>
      <c r="U14" s="34" t="n">
        <f aca="true">RB_Total_Cust</f>
        <v>65</v>
      </c>
      <c r="V14" s="34" t="n">
        <f aca="true">RB_Total_Cust</f>
        <v>68</v>
      </c>
      <c r="W14" s="34" t="n">
        <f aca="true">RB_Total_Cust</f>
        <v>71</v>
      </c>
      <c r="X14" s="34" t="n">
        <f aca="true">RB_Total_Cust</f>
        <v>74</v>
      </c>
      <c r="Y14" s="34" t="n">
        <f aca="true">RB_Total_Cust</f>
        <v>77</v>
      </c>
      <c r="Z14" s="34" t="n">
        <f aca="true">RB_Total_Cust</f>
        <v>79</v>
      </c>
    </row>
    <row r="15" customFormat="false" ht="15" hidden="false" customHeight="false" outlineLevel="0" collapsed="false">
      <c r="A15" s="6"/>
      <c r="B15" s="35" t="s">
        <v>109</v>
      </c>
      <c r="C15" s="34" t="n">
        <f aca="false">Target_Customers</f>
        <v>100</v>
      </c>
      <c r="D15" s="34" t="n">
        <f aca="false">Target_Customers</f>
        <v>100</v>
      </c>
      <c r="E15" s="34" t="n">
        <f aca="false">Target_Customers</f>
        <v>100</v>
      </c>
      <c r="F15" s="34" t="n">
        <f aca="false">Target_Customers</f>
        <v>100</v>
      </c>
      <c r="G15" s="34" t="n">
        <f aca="false">Target_Customers</f>
        <v>100</v>
      </c>
      <c r="H15" s="34" t="n">
        <f aca="false">Target_Customers</f>
        <v>100</v>
      </c>
      <c r="I15" s="34" t="n">
        <f aca="false">Target_Customers</f>
        <v>100</v>
      </c>
      <c r="J15" s="34" t="n">
        <f aca="false">Target_Customers</f>
        <v>100</v>
      </c>
      <c r="K15" s="34" t="n">
        <f aca="false">Target_Customers</f>
        <v>100</v>
      </c>
      <c r="L15" s="34" t="n">
        <f aca="false">Target_Customers</f>
        <v>100</v>
      </c>
      <c r="M15" s="34" t="n">
        <f aca="false">Target_Customers</f>
        <v>100</v>
      </c>
      <c r="N15" s="34" t="n">
        <f aca="false">Target_Customers</f>
        <v>100</v>
      </c>
      <c r="O15" s="34" t="n">
        <f aca="false">Target_Customers</f>
        <v>100</v>
      </c>
      <c r="P15" s="34" t="n">
        <f aca="false">Target_Customers</f>
        <v>100</v>
      </c>
      <c r="Q15" s="34" t="n">
        <f aca="false">Target_Customers</f>
        <v>100</v>
      </c>
      <c r="R15" s="34" t="n">
        <f aca="false">Target_Customers</f>
        <v>100</v>
      </c>
      <c r="S15" s="34" t="n">
        <f aca="false">Target_Customers</f>
        <v>100</v>
      </c>
      <c r="T15" s="34" t="n">
        <f aca="false">Target_Customers</f>
        <v>100</v>
      </c>
      <c r="U15" s="34" t="n">
        <f aca="false">Target_Customers</f>
        <v>100</v>
      </c>
      <c r="V15" s="34" t="n">
        <f aca="false">Target_Customers</f>
        <v>100</v>
      </c>
      <c r="W15" s="34" t="n">
        <f aca="false">Target_Customers</f>
        <v>100</v>
      </c>
      <c r="X15" s="34" t="n">
        <f aca="false">Target_Customers</f>
        <v>100</v>
      </c>
      <c r="Y15" s="34" t="n">
        <f aca="false">Target_Customers</f>
        <v>100</v>
      </c>
      <c r="Z15" s="34" t="n">
        <f aca="false">Target_Customers</f>
        <v>100</v>
      </c>
    </row>
    <row r="16" customFormat="false" ht="15" hidden="false" customHeight="false" outlineLevel="0" collapsed="false">
      <c r="A16" s="6"/>
      <c r="B16" s="35" t="s">
        <v>178</v>
      </c>
      <c r="C16" s="42" t="str">
        <f aca="false">IF(C14&gt;=C15,"PASS","MISS")</f>
        <v>MISS</v>
      </c>
      <c r="D16" s="42" t="str">
        <f aca="false">IF(D14&gt;=D15,"PASS","MISS")</f>
        <v>MISS</v>
      </c>
      <c r="E16" s="42" t="str">
        <f aca="false">IF(E14&gt;=E15,"PASS","MISS")</f>
        <v>MISS</v>
      </c>
      <c r="F16" s="42" t="str">
        <f aca="false">IF(F14&gt;=F15,"PASS","MISS")</f>
        <v>MISS</v>
      </c>
      <c r="G16" s="42" t="str">
        <f aca="false">IF(G14&gt;=G15,"PASS","MISS")</f>
        <v>MISS</v>
      </c>
      <c r="H16" s="42" t="str">
        <f aca="false">IF(H14&gt;=H15,"PASS","MISS")</f>
        <v>MISS</v>
      </c>
      <c r="I16" s="42" t="str">
        <f aca="false">IF(I14&gt;=I15,"PASS","MISS")</f>
        <v>MISS</v>
      </c>
      <c r="J16" s="42" t="str">
        <f aca="false">IF(J14&gt;=J15,"PASS","MISS")</f>
        <v>MISS</v>
      </c>
      <c r="K16" s="42" t="str">
        <f aca="false">IF(K14&gt;=K15,"PASS","MISS")</f>
        <v>MISS</v>
      </c>
      <c r="L16" s="42" t="str">
        <f aca="false">IF(L14&gt;=L15,"PASS","MISS")</f>
        <v>MISS</v>
      </c>
      <c r="M16" s="42" t="str">
        <f aca="false">IF(M14&gt;=M15,"PASS","MISS")</f>
        <v>MISS</v>
      </c>
      <c r="N16" s="42" t="str">
        <f aca="false">IF(N14&gt;=N15,"PASS","MISS")</f>
        <v>MISS</v>
      </c>
      <c r="O16" s="42" t="str">
        <f aca="false">IF(O14&gt;=O15,"PASS","MISS")</f>
        <v>MISS</v>
      </c>
      <c r="P16" s="42" t="str">
        <f aca="false">IF(P14&gt;=P15,"PASS","MISS")</f>
        <v>MISS</v>
      </c>
      <c r="Q16" s="42" t="str">
        <f aca="false">IF(Q14&gt;=Q15,"PASS","MISS")</f>
        <v>MISS</v>
      </c>
      <c r="R16" s="42" t="str">
        <f aca="false">IF(R14&gt;=R15,"PASS","MISS")</f>
        <v>MISS</v>
      </c>
      <c r="S16" s="42" t="str">
        <f aca="false">IF(S14&gt;=S15,"PASS","MISS")</f>
        <v>MISS</v>
      </c>
      <c r="T16" s="42" t="str">
        <f aca="false">IF(T14&gt;=T15,"PASS","MISS")</f>
        <v>MISS</v>
      </c>
      <c r="U16" s="42" t="str">
        <f aca="false">IF(U14&gt;=U15,"PASS","MISS")</f>
        <v>MISS</v>
      </c>
      <c r="V16" s="42" t="str">
        <f aca="false">IF(V14&gt;=V15,"PASS","MISS")</f>
        <v>MISS</v>
      </c>
      <c r="W16" s="42" t="str">
        <f aca="false">IF(W14&gt;=W15,"PASS","MISS")</f>
        <v>MISS</v>
      </c>
      <c r="X16" s="42" t="str">
        <f aca="false">IF(X14&gt;=X15,"PASS","MISS")</f>
        <v>MISS</v>
      </c>
      <c r="Y16" s="42" t="str">
        <f aca="false">IF(Y14&gt;=Y15,"PASS","MISS")</f>
        <v>MISS</v>
      </c>
      <c r="Z16" s="42" t="str">
        <f aca="false">IF(Z14&gt;=Z15,"PASS","MISS")</f>
        <v>MISS</v>
      </c>
    </row>
    <row r="17" customFormat="false" ht="15" hidden="false" customHeight="false" outlineLevel="0" collapsed="false">
      <c r="A17" s="6"/>
      <c r="B17" s="6"/>
      <c r="C17" s="6"/>
      <c r="D17" s="6"/>
      <c r="E17" s="6"/>
      <c r="F17" s="6"/>
      <c r="G17" s="6"/>
      <c r="H17" s="6"/>
      <c r="I17" s="6"/>
      <c r="J17" s="6"/>
      <c r="K17" s="6"/>
      <c r="L17" s="6"/>
      <c r="M17" s="6"/>
      <c r="N17" s="6"/>
      <c r="O17" s="6"/>
      <c r="P17" s="6"/>
      <c r="Q17" s="6"/>
      <c r="R17" s="6"/>
      <c r="S17" s="6"/>
      <c r="T17" s="6"/>
      <c r="U17" s="6"/>
      <c r="V17" s="6"/>
      <c r="W17" s="6"/>
      <c r="X17" s="6"/>
      <c r="Y17" s="6"/>
      <c r="Z17" s="6"/>
    </row>
    <row r="18" customFormat="false" ht="15" hidden="false" customHeight="false" outlineLevel="0" collapsed="false">
      <c r="A18" s="6"/>
      <c r="B18" s="23" t="s">
        <v>143</v>
      </c>
      <c r="C18" s="24"/>
      <c r="D18" s="24"/>
      <c r="E18" s="24"/>
      <c r="F18" s="24"/>
      <c r="G18" s="24"/>
      <c r="H18" s="24"/>
      <c r="I18" s="24"/>
      <c r="J18" s="24"/>
      <c r="K18" s="24"/>
      <c r="L18" s="24"/>
      <c r="M18" s="24"/>
      <c r="N18" s="24"/>
      <c r="O18" s="24"/>
      <c r="P18" s="24"/>
      <c r="Q18" s="24"/>
      <c r="R18" s="24"/>
      <c r="S18" s="24"/>
      <c r="T18" s="24"/>
      <c r="U18" s="24"/>
      <c r="V18" s="24"/>
      <c r="W18" s="24"/>
      <c r="X18" s="24"/>
      <c r="Y18" s="24"/>
      <c r="Z18" s="24"/>
    </row>
    <row r="19" customFormat="false" ht="15" hidden="false" customHeight="false" outlineLevel="0" collapsed="false">
      <c r="A19" s="6"/>
      <c r="B19" s="9" t="s">
        <v>179</v>
      </c>
      <c r="C19" s="38" t="n">
        <f aca="true">CF_Net_Burn</f>
        <v>31346</v>
      </c>
      <c r="D19" s="38" t="n">
        <f aca="true">CF_Net_Burn</f>
        <v>31032</v>
      </c>
      <c r="E19" s="38" t="n">
        <f aca="true">CF_Net_Burn</f>
        <v>30861</v>
      </c>
      <c r="F19" s="38" t="n">
        <f aca="true">CF_Net_Burn</f>
        <v>30357.25</v>
      </c>
      <c r="G19" s="38" t="n">
        <f aca="true">CF_Net_Burn</f>
        <v>38809.0125</v>
      </c>
      <c r="H19" s="38" t="n">
        <f aca="true">CF_Net_Burn</f>
        <v>38516.563125</v>
      </c>
      <c r="I19" s="38" t="n">
        <f aca="true">CF_Net_Burn</f>
        <v>38230.19128125</v>
      </c>
      <c r="J19" s="38" t="n">
        <f aca="true">CF_Net_Burn</f>
        <v>37750.2008453125</v>
      </c>
      <c r="K19" s="38" t="n">
        <f aca="true">CF_Net_Burn</f>
        <v>46226.9108875781</v>
      </c>
      <c r="L19" s="38" t="n">
        <f aca="true">CF_Net_Burn</f>
        <v>45960.656431957</v>
      </c>
      <c r="M19" s="38" t="n">
        <f aca="true">CF_Net_Burn</f>
        <v>45363.7892535549</v>
      </c>
      <c r="N19" s="38" t="n">
        <f aca="true">CF_Net_Burn</f>
        <v>44974.6787162326</v>
      </c>
      <c r="O19" s="38" t="n">
        <f aca="true">CF_Net_Burn</f>
        <v>55056.7126520443</v>
      </c>
      <c r="P19" s="38" t="n">
        <f aca="true">CF_Net_Burn</f>
        <v>54822.2982846465</v>
      </c>
      <c r="Q19" s="38" t="n">
        <f aca="true">CF_Net_Burn</f>
        <v>54596.8631988788</v>
      </c>
      <c r="R19" s="38" t="n">
        <f aca="true">CF_Net_Burn</f>
        <v>54042.8563588227</v>
      </c>
      <c r="S19" s="38" t="n">
        <f aca="true">CF_Net_Burn</f>
        <v>62711.2491767639</v>
      </c>
      <c r="T19" s="38" t="n">
        <f aca="true">CF_Net_Burn</f>
        <v>62515.5366356021</v>
      </c>
      <c r="U19" s="38" t="n">
        <f aca="true">CF_Net_Burn</f>
        <v>62330.7384673822</v>
      </c>
      <c r="V19" s="38" t="n">
        <f aca="true">CF_Net_Burn</f>
        <v>62157.4003907513</v>
      </c>
      <c r="W19" s="38" t="n">
        <f aca="true">CF_Net_Burn</f>
        <v>71008.5954102889</v>
      </c>
      <c r="X19" s="38" t="n">
        <f aca="true">CF_Net_Burn</f>
        <v>70859.9251808033</v>
      </c>
      <c r="Y19" s="38" t="n">
        <f aca="true">CF_Net_Burn</f>
        <v>70724.5214398435</v>
      </c>
      <c r="Z19" s="38" t="n">
        <f aca="true">CF_Net_Burn</f>
        <v>70741.0475118356</v>
      </c>
    </row>
    <row r="20" customFormat="false" ht="15" hidden="false" customHeight="false" outlineLevel="0" collapsed="false">
      <c r="A20" s="6"/>
      <c r="B20" s="9" t="s">
        <v>155</v>
      </c>
      <c r="C20" s="44" t="n">
        <f aca="true">CF_Runway</f>
        <v>23.7240477253876</v>
      </c>
      <c r="D20" s="44" t="n">
        <f aca="true">CF_Runway</f>
        <v>22.8485042803553</v>
      </c>
      <c r="E20" s="44" t="n">
        <f aca="true">CF_Runway</f>
        <v>21.9359173736312</v>
      </c>
      <c r="F20" s="44" t="n">
        <f aca="true">CF_Runway</f>
        <v>21.1838043799339</v>
      </c>
      <c r="G20" s="44" t="n">
        <f aca="true">CF_Runway</f>
        <v>18.3728332313403</v>
      </c>
      <c r="H20" s="44" t="n">
        <f aca="true">CF_Runway</f>
        <v>15.9935859142719</v>
      </c>
      <c r="I20" s="44" t="n">
        <f aca="true">CF_Runway</f>
        <v>13.9114125787028</v>
      </c>
      <c r="J20" s="44" t="n">
        <f aca="true">CF_Runway</f>
        <v>13.0509439614546</v>
      </c>
      <c r="K20" s="44" t="n">
        <f aca="true">CF_Runway</f>
        <v>11.0927299813312</v>
      </c>
      <c r="L20" s="44" t="n">
        <f aca="true">CF_Runway</f>
        <v>9.3716450727537</v>
      </c>
      <c r="M20" s="44" t="n">
        <f aca="true">CF_Runway</f>
        <v>7.86353042219032</v>
      </c>
      <c r="N20" s="44" t="n">
        <f aca="true">CF_Runway</f>
        <v>6.94586443627387</v>
      </c>
      <c r="O20" s="44" t="n">
        <f aca="true">CF_Runway</f>
        <v>5.37531642781191</v>
      </c>
      <c r="P20" s="44" t="n">
        <f aca="true">CF_Runway</f>
        <v>3.98491123750646</v>
      </c>
      <c r="Q20" s="44" t="n">
        <f aca="true">CF_Runway</f>
        <v>2.75595202550505</v>
      </c>
      <c r="R20" s="44" t="n">
        <f aca="true">CF_Runway</f>
        <v>1.78120307847281</v>
      </c>
      <c r="S20" s="44" t="n">
        <f aca="true">CF_Runway</f>
        <v>0.601253104226856</v>
      </c>
      <c r="T20" s="44" t="n">
        <f aca="true">CF_Runway</f>
        <v>-0.471475856253557</v>
      </c>
      <c r="U20" s="44" t="n">
        <f aca="true">CF_Runway</f>
        <v>-1.44762799833136</v>
      </c>
      <c r="V20" s="44" t="n">
        <f aca="true">CF_Runway</f>
        <v>-2.44907338536601</v>
      </c>
      <c r="W20" s="44" t="n">
        <f aca="true">CF_Runway</f>
        <v>-3.4323412785345</v>
      </c>
      <c r="X20" s="44" t="n">
        <f aca="true">CF_Runway</f>
        <v>-4.33077955064954</v>
      </c>
      <c r="Y20" s="44" t="n">
        <f aca="true">CF_Runway</f>
        <v>-5.1542836973502</v>
      </c>
      <c r="Z20" s="44" t="n">
        <f aca="true">CF_Runway</f>
        <v>-6.16029647588864</v>
      </c>
    </row>
    <row r="21" customFormat="false" ht="15" hidden="false" customHeight="false" outlineLevel="0" collapsed="false">
      <c r="A21" s="6"/>
      <c r="B21" s="35" t="s">
        <v>111</v>
      </c>
      <c r="C21" s="34" t="n">
        <f aca="false">Target_Runway</f>
        <v>6</v>
      </c>
      <c r="D21" s="34" t="n">
        <f aca="false">Target_Runway</f>
        <v>6</v>
      </c>
      <c r="E21" s="34" t="n">
        <f aca="false">Target_Runway</f>
        <v>6</v>
      </c>
      <c r="F21" s="34" t="n">
        <f aca="false">Target_Runway</f>
        <v>6</v>
      </c>
      <c r="G21" s="34" t="n">
        <f aca="false">Target_Runway</f>
        <v>6</v>
      </c>
      <c r="H21" s="34" t="n">
        <f aca="false">Target_Runway</f>
        <v>6</v>
      </c>
      <c r="I21" s="34" t="n">
        <f aca="false">Target_Runway</f>
        <v>6</v>
      </c>
      <c r="J21" s="34" t="n">
        <f aca="false">Target_Runway</f>
        <v>6</v>
      </c>
      <c r="K21" s="34" t="n">
        <f aca="false">Target_Runway</f>
        <v>6</v>
      </c>
      <c r="L21" s="34" t="n">
        <f aca="false">Target_Runway</f>
        <v>6</v>
      </c>
      <c r="M21" s="34" t="n">
        <f aca="false">Target_Runway</f>
        <v>6</v>
      </c>
      <c r="N21" s="34" t="n">
        <f aca="false">Target_Runway</f>
        <v>6</v>
      </c>
      <c r="O21" s="34" t="n">
        <f aca="false">Target_Runway</f>
        <v>6</v>
      </c>
      <c r="P21" s="34" t="n">
        <f aca="false">Target_Runway</f>
        <v>6</v>
      </c>
      <c r="Q21" s="34" t="n">
        <f aca="false">Target_Runway</f>
        <v>6</v>
      </c>
      <c r="R21" s="34" t="n">
        <f aca="false">Target_Runway</f>
        <v>6</v>
      </c>
      <c r="S21" s="34" t="n">
        <f aca="false">Target_Runway</f>
        <v>6</v>
      </c>
      <c r="T21" s="34" t="n">
        <f aca="false">Target_Runway</f>
        <v>6</v>
      </c>
      <c r="U21" s="34" t="n">
        <f aca="false">Target_Runway</f>
        <v>6</v>
      </c>
      <c r="V21" s="34" t="n">
        <f aca="false">Target_Runway</f>
        <v>6</v>
      </c>
      <c r="W21" s="34" t="n">
        <f aca="false">Target_Runway</f>
        <v>6</v>
      </c>
      <c r="X21" s="34" t="n">
        <f aca="false">Target_Runway</f>
        <v>6</v>
      </c>
      <c r="Y21" s="34" t="n">
        <f aca="false">Target_Runway</f>
        <v>6</v>
      </c>
      <c r="Z21" s="34" t="n">
        <f aca="false">Target_Runway</f>
        <v>6</v>
      </c>
    </row>
    <row r="22" customFormat="false" ht="15" hidden="false" customHeight="false" outlineLevel="0" collapsed="false">
      <c r="A22" s="6"/>
      <c r="B22" s="35" t="s">
        <v>180</v>
      </c>
      <c r="C22" s="42" t="str">
        <f aca="false">IF(OR(C20="Profitable",C20="N/A",C20&gt;=C21),"PASS","MISS")</f>
        <v>PASS</v>
      </c>
      <c r="D22" s="42" t="str">
        <f aca="false">IF(OR(D20="Profitable",D20="N/A",D20&gt;=D21),"PASS","MISS")</f>
        <v>PASS</v>
      </c>
      <c r="E22" s="42" t="str">
        <f aca="false">IF(OR(E20="Profitable",E20="N/A",E20&gt;=E21),"PASS","MISS")</f>
        <v>PASS</v>
      </c>
      <c r="F22" s="42" t="str">
        <f aca="false">IF(OR(F20="Profitable",F20="N/A",F20&gt;=F21),"PASS","MISS")</f>
        <v>PASS</v>
      </c>
      <c r="G22" s="42" t="str">
        <f aca="false">IF(OR(G20="Profitable",G20="N/A",G20&gt;=G21),"PASS","MISS")</f>
        <v>PASS</v>
      </c>
      <c r="H22" s="42" t="str">
        <f aca="false">IF(OR(H20="Profitable",H20="N/A",H20&gt;=H21),"PASS","MISS")</f>
        <v>PASS</v>
      </c>
      <c r="I22" s="42" t="str">
        <f aca="false">IF(OR(I20="Profitable",I20="N/A",I20&gt;=I21),"PASS","MISS")</f>
        <v>PASS</v>
      </c>
      <c r="J22" s="42" t="str">
        <f aca="false">IF(OR(J20="Profitable",J20="N/A",J20&gt;=J21),"PASS","MISS")</f>
        <v>PASS</v>
      </c>
      <c r="K22" s="42" t="str">
        <f aca="false">IF(OR(K20="Profitable",K20="N/A",K20&gt;=K21),"PASS","MISS")</f>
        <v>PASS</v>
      </c>
      <c r="L22" s="42" t="str">
        <f aca="false">IF(OR(L20="Profitable",L20="N/A",L20&gt;=L21),"PASS","MISS")</f>
        <v>PASS</v>
      </c>
      <c r="M22" s="42" t="str">
        <f aca="false">IF(OR(M20="Profitable",M20="N/A",M20&gt;=M21),"PASS","MISS")</f>
        <v>PASS</v>
      </c>
      <c r="N22" s="42" t="str">
        <f aca="false">IF(OR(N20="Profitable",N20="N/A",N20&gt;=N21),"PASS","MISS")</f>
        <v>PASS</v>
      </c>
      <c r="O22" s="42" t="str">
        <f aca="false">IF(OR(O20="Profitable",O20="N/A",O20&gt;=O21),"PASS","MISS")</f>
        <v>MISS</v>
      </c>
      <c r="P22" s="42" t="str">
        <f aca="false">IF(OR(P20="Profitable",P20="N/A",P20&gt;=P21),"PASS","MISS")</f>
        <v>MISS</v>
      </c>
      <c r="Q22" s="42" t="str">
        <f aca="false">IF(OR(Q20="Profitable",Q20="N/A",Q20&gt;=Q21),"PASS","MISS")</f>
        <v>MISS</v>
      </c>
      <c r="R22" s="42" t="str">
        <f aca="false">IF(OR(R20="Profitable",R20="N/A",R20&gt;=R21),"PASS","MISS")</f>
        <v>MISS</v>
      </c>
      <c r="S22" s="42" t="str">
        <f aca="false">IF(OR(S20="Profitable",S20="N/A",S20&gt;=S21),"PASS","MISS")</f>
        <v>MISS</v>
      </c>
      <c r="T22" s="42" t="str">
        <f aca="false">IF(OR(T20="Profitable",T20="N/A",T20&gt;=T21),"PASS","MISS")</f>
        <v>MISS</v>
      </c>
      <c r="U22" s="42" t="str">
        <f aca="false">IF(OR(U20="Profitable",U20="N/A",U20&gt;=U21),"PASS","MISS")</f>
        <v>MISS</v>
      </c>
      <c r="V22" s="42" t="str">
        <f aca="false">IF(OR(V20="Profitable",V20="N/A",V20&gt;=V21),"PASS","MISS")</f>
        <v>MISS</v>
      </c>
      <c r="W22" s="42" t="str">
        <f aca="false">IF(OR(W20="Profitable",W20="N/A",W20&gt;=W21),"PASS","MISS")</f>
        <v>MISS</v>
      </c>
      <c r="X22" s="42" t="str">
        <f aca="false">IF(OR(X20="Profitable",X20="N/A",X20&gt;=X21),"PASS","MISS")</f>
        <v>MISS</v>
      </c>
      <c r="Y22" s="42" t="str">
        <f aca="false">IF(OR(Y20="Profitable",Y20="N/A",Y20&gt;=Y21),"PASS","MISS")</f>
        <v>MISS</v>
      </c>
      <c r="Z22" s="42" t="str">
        <f aca="false">IF(OR(Z20="Profitable",Z20="N/A",Z20&gt;=Z21),"PASS","MISS")</f>
        <v>MISS</v>
      </c>
    </row>
    <row r="23" customFormat="false" ht="15" hidden="false" customHeight="false" outlineLevel="0" collapsed="false">
      <c r="A23" s="6"/>
      <c r="B23" s="6"/>
      <c r="C23" s="6"/>
      <c r="D23" s="6"/>
      <c r="E23" s="6"/>
      <c r="F23" s="6"/>
      <c r="G23" s="6"/>
      <c r="H23" s="6"/>
      <c r="I23" s="6"/>
      <c r="J23" s="6"/>
      <c r="K23" s="6"/>
      <c r="L23" s="6"/>
      <c r="M23" s="6"/>
      <c r="N23" s="6"/>
      <c r="O23" s="6"/>
      <c r="P23" s="6"/>
      <c r="Q23" s="6"/>
      <c r="R23" s="6"/>
      <c r="S23" s="6"/>
      <c r="T23" s="6"/>
      <c r="U23" s="6"/>
      <c r="V23" s="6"/>
      <c r="W23" s="6"/>
      <c r="X23" s="6"/>
      <c r="Y23" s="6"/>
      <c r="Z23" s="6"/>
    </row>
    <row r="24" customFormat="false" ht="15" hidden="false" customHeight="false" outlineLevel="0" collapsed="false">
      <c r="A24" s="6"/>
      <c r="B24" s="23" t="s">
        <v>181</v>
      </c>
      <c r="C24" s="24"/>
      <c r="D24" s="24"/>
      <c r="E24" s="24"/>
      <c r="F24" s="24"/>
      <c r="G24" s="24"/>
      <c r="H24" s="24"/>
      <c r="I24" s="24"/>
      <c r="J24" s="24"/>
      <c r="K24" s="24"/>
      <c r="L24" s="24"/>
      <c r="M24" s="24"/>
      <c r="N24" s="24"/>
      <c r="O24" s="24"/>
      <c r="P24" s="24"/>
      <c r="Q24" s="24"/>
      <c r="R24" s="24"/>
      <c r="S24" s="24"/>
      <c r="T24" s="24"/>
      <c r="U24" s="24"/>
      <c r="V24" s="24"/>
      <c r="W24" s="24"/>
      <c r="X24" s="24"/>
      <c r="Y24" s="24"/>
      <c r="Z24" s="24"/>
    </row>
    <row r="25" customFormat="false" ht="15" hidden="false" customHeight="false" outlineLevel="0" collapsed="false">
      <c r="A25" s="6"/>
      <c r="B25" s="9" t="s">
        <v>182</v>
      </c>
      <c r="C25" s="46" t="str">
        <f aca="false">""</f>
        <v/>
      </c>
      <c r="D25" s="46" t="n">
        <f aca="false">IFERROR((D9-C9)/C9,0)</f>
        <v>0.375</v>
      </c>
      <c r="E25" s="46" t="n">
        <f aca="false">IFERROR((E9-D9)/D9,0)</f>
        <v>0.181818181818182</v>
      </c>
      <c r="F25" s="46" t="n">
        <f aca="false">IFERROR((F9-E9)/E9,0)</f>
        <v>0.230769230769231</v>
      </c>
      <c r="G25" s="46" t="n">
        <f aca="false">IFERROR((G9-F9)/F9,0)</f>
        <v>0.1875</v>
      </c>
      <c r="H25" s="46" t="n">
        <f aca="false">IFERROR((H9-G9)/G9,0)</f>
        <v>0.157894736842105</v>
      </c>
      <c r="I25" s="46" t="n">
        <f aca="false">IFERROR((I9-H9)/H9,0)</f>
        <v>0.136363636363636</v>
      </c>
      <c r="J25" s="46" t="n">
        <f aca="false">IFERROR((J9-I9)/I9,0)</f>
        <v>0.12</v>
      </c>
      <c r="K25" s="46" t="n">
        <f aca="false">IFERROR((K9-J9)/J9,0)</f>
        <v>0.107142857142857</v>
      </c>
      <c r="L25" s="46" t="n">
        <f aca="false">IFERROR((L9-K9)/K9,0)</f>
        <v>0.0967741935483871</v>
      </c>
      <c r="M25" s="46" t="n">
        <f aca="false">IFERROR((M9-L9)/L9,0)</f>
        <v>0.117647058823529</v>
      </c>
      <c r="N25" s="46" t="n">
        <f aca="false">IFERROR((N9-M9)/M9,0)</f>
        <v>0.105263157894737</v>
      </c>
      <c r="O25" s="46" t="n">
        <f aca="false">IFERROR((O9-N9)/N9,0)</f>
        <v>0.0714285714285714</v>
      </c>
      <c r="P25" s="46" t="n">
        <f aca="false">IFERROR((P9-O9)/O9,0)</f>
        <v>0.0666666666666667</v>
      </c>
      <c r="Q25" s="46" t="n">
        <f aca="false">IFERROR((Q9-P9)/P9,0)</f>
        <v>0.0625</v>
      </c>
      <c r="R25" s="46" t="n">
        <f aca="false">IFERROR((R9-Q9)/Q9,0)</f>
        <v>0.0784313725490196</v>
      </c>
      <c r="S25" s="46" t="n">
        <f aca="false">IFERROR((S9-R9)/R9,0)</f>
        <v>0.0727272727272727</v>
      </c>
      <c r="T25" s="46" t="n">
        <f aca="false">IFERROR((T9-S9)/S9,0)</f>
        <v>0.0508474576271187</v>
      </c>
      <c r="U25" s="46" t="n">
        <f aca="false">IFERROR((U9-T9)/T9,0)</f>
        <v>0.0483870967741936</v>
      </c>
      <c r="V25" s="46" t="n">
        <f aca="false">IFERROR((V9-U9)/U9,0)</f>
        <v>0.0461538461538462</v>
      </c>
      <c r="W25" s="46" t="n">
        <f aca="false">IFERROR((W9-V9)/V9,0)</f>
        <v>0.0441176470588235</v>
      </c>
      <c r="X25" s="46" t="n">
        <f aca="false">IFERROR((X9-W9)/W9,0)</f>
        <v>0.0422535211267606</v>
      </c>
      <c r="Y25" s="46" t="n">
        <f aca="false">IFERROR((Y9-X9)/X9,0)</f>
        <v>0.0405405405405405</v>
      </c>
      <c r="Z25" s="46" t="n">
        <f aca="false">IFERROR((Z9-Y9)/Y9,0)</f>
        <v>0.025974025974026</v>
      </c>
    </row>
    <row r="26" customFormat="false" ht="15" hidden="false" customHeight="false" outlineLevel="0" collapsed="false">
      <c r="A26" s="6"/>
      <c r="B26" s="9" t="s">
        <v>183</v>
      </c>
      <c r="C26" s="46" t="str">
        <f aca="false">""</f>
        <v/>
      </c>
      <c r="D26" s="46" t="n">
        <f aca="false">IFERROR((D9/C9),0)</f>
        <v>1.375</v>
      </c>
      <c r="E26" s="46" t="n">
        <f aca="false">IFERROR((E9/D9),0)</f>
        <v>1.18181818181818</v>
      </c>
      <c r="F26" s="46" t="n">
        <f aca="false">IFERROR((F9/E9),0)</f>
        <v>1.23076923076923</v>
      </c>
      <c r="G26" s="46" t="n">
        <f aca="false">IFERROR((G9/F9),0)</f>
        <v>1.1875</v>
      </c>
      <c r="H26" s="46" t="n">
        <f aca="false">IFERROR((H9/G9),0)</f>
        <v>1.15789473684211</v>
      </c>
      <c r="I26" s="46" t="n">
        <f aca="false">IFERROR((I9/H9),0)</f>
        <v>1.13636363636364</v>
      </c>
      <c r="J26" s="46" t="n">
        <f aca="false">IFERROR((J9/I9),0)</f>
        <v>1.12</v>
      </c>
      <c r="K26" s="46" t="n">
        <f aca="false">IFERROR((K9/J9),0)</f>
        <v>1.10714285714286</v>
      </c>
      <c r="L26" s="46" t="n">
        <f aca="false">IFERROR((L9/K9),0)</f>
        <v>1.09677419354839</v>
      </c>
      <c r="M26" s="46" t="n">
        <f aca="false">IFERROR((M9/L9),0)</f>
        <v>1.11764705882353</v>
      </c>
      <c r="N26" s="46" t="n">
        <f aca="false">IFERROR((N9/M9),0)</f>
        <v>1.10526315789474</v>
      </c>
      <c r="O26" s="46" t="n">
        <f aca="false">IFERROR((O9/N9),0)</f>
        <v>1.07142857142857</v>
      </c>
      <c r="P26" s="46" t="n">
        <f aca="false">IFERROR((P9/O9),0)</f>
        <v>1.06666666666667</v>
      </c>
      <c r="Q26" s="46" t="n">
        <f aca="false">IFERROR((Q9/P9),0)</f>
        <v>1.0625</v>
      </c>
      <c r="R26" s="46" t="n">
        <f aca="false">IFERROR((R9/Q9),0)</f>
        <v>1.07843137254902</v>
      </c>
      <c r="S26" s="46" t="n">
        <f aca="false">IFERROR((S9/R9),0)</f>
        <v>1.07272727272727</v>
      </c>
      <c r="T26" s="46" t="n">
        <f aca="false">IFERROR((T9/S9),0)</f>
        <v>1.05084745762712</v>
      </c>
      <c r="U26" s="46" t="n">
        <f aca="false">IFERROR((U9/T9),0)</f>
        <v>1.04838709677419</v>
      </c>
      <c r="V26" s="46" t="n">
        <f aca="false">IFERROR((V9/U9),0)</f>
        <v>1.04615384615385</v>
      </c>
      <c r="W26" s="46" t="n">
        <f aca="false">IFERROR((W9/V9),0)</f>
        <v>1.04411764705882</v>
      </c>
      <c r="X26" s="46" t="n">
        <f aca="false">IFERROR((X9/W9),0)</f>
        <v>1.04225352112676</v>
      </c>
      <c r="Y26" s="46" t="n">
        <f aca="false">IFERROR((Y9/X9),0)</f>
        <v>1.04054054054054</v>
      </c>
      <c r="Z26" s="46" t="n">
        <f aca="false">IFERROR((Z9/Y9),0)</f>
        <v>1.02597402597403</v>
      </c>
    </row>
    <row r="27" customFormat="false" ht="15" hidden="false" customHeight="false" outlineLevel="0" collapsed="false">
      <c r="A27" s="6"/>
      <c r="B27" s="6"/>
      <c r="C27" s="6"/>
      <c r="D27" s="6"/>
      <c r="E27" s="6"/>
      <c r="F27" s="6"/>
      <c r="G27" s="6"/>
      <c r="H27" s="6"/>
      <c r="I27" s="6"/>
      <c r="J27" s="6"/>
      <c r="K27" s="6"/>
      <c r="L27" s="6"/>
      <c r="M27" s="6"/>
      <c r="N27" s="6"/>
      <c r="O27" s="6"/>
      <c r="P27" s="6"/>
      <c r="Q27" s="6"/>
      <c r="R27" s="6"/>
      <c r="S27" s="6"/>
      <c r="T27" s="6"/>
      <c r="U27" s="6"/>
      <c r="V27" s="6"/>
      <c r="W27" s="6"/>
      <c r="X27" s="6"/>
      <c r="Y27" s="6"/>
      <c r="Z27" s="6"/>
    </row>
    <row r="28" customFormat="false" ht="15" hidden="false" customHeight="false" outlineLevel="0" collapsed="false">
      <c r="A28" s="6"/>
      <c r="B28" s="23" t="s">
        <v>172</v>
      </c>
      <c r="C28" s="24"/>
      <c r="D28" s="24"/>
      <c r="E28" s="24"/>
      <c r="F28" s="24"/>
      <c r="G28" s="24"/>
      <c r="H28" s="24"/>
      <c r="I28" s="24"/>
      <c r="J28" s="24"/>
      <c r="K28" s="24"/>
      <c r="L28" s="24"/>
      <c r="M28" s="24"/>
      <c r="N28" s="24"/>
      <c r="O28" s="24"/>
      <c r="P28" s="24"/>
      <c r="Q28" s="24"/>
      <c r="R28" s="24"/>
      <c r="S28" s="24"/>
      <c r="T28" s="24"/>
      <c r="U28" s="24"/>
      <c r="V28" s="24"/>
      <c r="W28" s="24"/>
      <c r="X28" s="24"/>
      <c r="Y28" s="24"/>
      <c r="Z28" s="24"/>
    </row>
    <row r="29" customFormat="false" ht="15" hidden="false" customHeight="false" outlineLevel="0" collapsed="false">
      <c r="A29" s="6"/>
      <c r="B29" s="35" t="s">
        <v>44</v>
      </c>
      <c r="C29" s="38" t="n">
        <f aca="false">Seed_Target</f>
        <v>3000000</v>
      </c>
      <c r="D29" s="38" t="n">
        <f aca="false">Seed_Target</f>
        <v>3000000</v>
      </c>
      <c r="E29" s="38" t="n">
        <f aca="false">Seed_Target</f>
        <v>3000000</v>
      </c>
      <c r="F29" s="38" t="n">
        <f aca="false">Seed_Target</f>
        <v>3000000</v>
      </c>
      <c r="G29" s="38" t="n">
        <f aca="false">Seed_Target</f>
        <v>3000000</v>
      </c>
      <c r="H29" s="38" t="n">
        <f aca="false">Seed_Target</f>
        <v>3000000</v>
      </c>
      <c r="I29" s="38" t="n">
        <f aca="false">Seed_Target</f>
        <v>3000000</v>
      </c>
      <c r="J29" s="38" t="n">
        <f aca="false">Seed_Target</f>
        <v>3000000</v>
      </c>
      <c r="K29" s="38" t="n">
        <f aca="false">Seed_Target</f>
        <v>3000000</v>
      </c>
      <c r="L29" s="38" t="n">
        <f aca="false">Seed_Target</f>
        <v>3000000</v>
      </c>
      <c r="M29" s="38" t="n">
        <f aca="false">Seed_Target</f>
        <v>3000000</v>
      </c>
      <c r="N29" s="38" t="n">
        <f aca="false">Seed_Target</f>
        <v>3000000</v>
      </c>
      <c r="O29" s="38" t="n">
        <f aca="false">Seed_Target</f>
        <v>3000000</v>
      </c>
      <c r="P29" s="38" t="n">
        <f aca="false">Seed_Target</f>
        <v>3000000</v>
      </c>
      <c r="Q29" s="38" t="n">
        <f aca="false">Seed_Target</f>
        <v>3000000</v>
      </c>
      <c r="R29" s="38" t="n">
        <f aca="false">Seed_Target</f>
        <v>3000000</v>
      </c>
      <c r="S29" s="38" t="n">
        <f aca="false">Seed_Target</f>
        <v>3000000</v>
      </c>
      <c r="T29" s="38" t="n">
        <f aca="false">Seed_Target</f>
        <v>3000000</v>
      </c>
      <c r="U29" s="38" t="n">
        <f aca="false">Seed_Target</f>
        <v>3000000</v>
      </c>
      <c r="V29" s="38" t="n">
        <f aca="false">Seed_Target</f>
        <v>3000000</v>
      </c>
      <c r="W29" s="38" t="n">
        <f aca="false">Seed_Target</f>
        <v>3000000</v>
      </c>
      <c r="X29" s="38" t="n">
        <f aca="false">Seed_Target</f>
        <v>3000000</v>
      </c>
      <c r="Y29" s="38" t="n">
        <f aca="false">Seed_Target</f>
        <v>3000000</v>
      </c>
      <c r="Z29" s="38" t="n">
        <f aca="false">Seed_Target</f>
        <v>3000000</v>
      </c>
    </row>
    <row r="30" customFormat="false" ht="15" hidden="false" customHeight="false" outlineLevel="0" collapsed="false">
      <c r="A30" s="6"/>
      <c r="B30" s="35" t="s">
        <v>184</v>
      </c>
      <c r="C30" s="34" t="n">
        <f aca="false">Seed_Timing</f>
        <v>18</v>
      </c>
      <c r="D30" s="34" t="n">
        <f aca="false">Seed_Timing</f>
        <v>18</v>
      </c>
      <c r="E30" s="34" t="n">
        <f aca="false">Seed_Timing</f>
        <v>18</v>
      </c>
      <c r="F30" s="34" t="n">
        <f aca="false">Seed_Timing</f>
        <v>18</v>
      </c>
      <c r="G30" s="34" t="n">
        <f aca="false">Seed_Timing</f>
        <v>18</v>
      </c>
      <c r="H30" s="34" t="n">
        <f aca="false">Seed_Timing</f>
        <v>18</v>
      </c>
      <c r="I30" s="34" t="n">
        <f aca="false">Seed_Timing</f>
        <v>18</v>
      </c>
      <c r="J30" s="34" t="n">
        <f aca="false">Seed_Timing</f>
        <v>18</v>
      </c>
      <c r="K30" s="34" t="n">
        <f aca="false">Seed_Timing</f>
        <v>18</v>
      </c>
      <c r="L30" s="34" t="n">
        <f aca="false">Seed_Timing</f>
        <v>18</v>
      </c>
      <c r="M30" s="34" t="n">
        <f aca="false">Seed_Timing</f>
        <v>18</v>
      </c>
      <c r="N30" s="34" t="n">
        <f aca="false">Seed_Timing</f>
        <v>18</v>
      </c>
      <c r="O30" s="34" t="n">
        <f aca="false">Seed_Timing</f>
        <v>18</v>
      </c>
      <c r="P30" s="34" t="n">
        <f aca="false">Seed_Timing</f>
        <v>18</v>
      </c>
      <c r="Q30" s="34" t="n">
        <f aca="false">Seed_Timing</f>
        <v>18</v>
      </c>
      <c r="R30" s="34" t="n">
        <f aca="false">Seed_Timing</f>
        <v>18</v>
      </c>
      <c r="S30" s="34" t="n">
        <f aca="false">Seed_Timing</f>
        <v>18</v>
      </c>
      <c r="T30" s="34" t="n">
        <f aca="false">Seed_Timing</f>
        <v>18</v>
      </c>
      <c r="U30" s="34" t="n">
        <f aca="false">Seed_Timing</f>
        <v>18</v>
      </c>
      <c r="V30" s="34" t="n">
        <f aca="false">Seed_Timing</f>
        <v>18</v>
      </c>
      <c r="W30" s="34" t="n">
        <f aca="false">Seed_Timing</f>
        <v>18</v>
      </c>
      <c r="X30" s="34" t="n">
        <f aca="false">Seed_Timing</f>
        <v>18</v>
      </c>
      <c r="Y30" s="34" t="n">
        <f aca="false">Seed_Timing</f>
        <v>18</v>
      </c>
      <c r="Z30" s="34" t="n">
        <f aca="false">Seed_Timing</f>
        <v>18</v>
      </c>
    </row>
    <row r="31" customFormat="false" ht="15" hidden="false" customHeight="false" outlineLevel="0" collapsed="false">
      <c r="A31" s="6"/>
      <c r="B31" s="36" t="s">
        <v>185</v>
      </c>
      <c r="C31" s="47" t="str">
        <f aca="false">IF(C6&lt;Seed_Timing,"TOO EARLY",IF(AND(C11="PASS",C16="PASS",C22="PASS"),"READY","NOT YET"))</f>
        <v>TOO EARLY</v>
      </c>
      <c r="D31" s="47" t="str">
        <f aca="false">IF(D6&lt;Seed_Timing,"TOO EARLY",IF(AND(D11="PASS",D16="PASS",D22="PASS"),"READY","NOT YET"))</f>
        <v>TOO EARLY</v>
      </c>
      <c r="E31" s="47" t="str">
        <f aca="false">IF(E6&lt;Seed_Timing,"TOO EARLY",IF(AND(E11="PASS",E16="PASS",E22="PASS"),"READY","NOT YET"))</f>
        <v>TOO EARLY</v>
      </c>
      <c r="F31" s="47" t="str">
        <f aca="false">IF(F6&lt;Seed_Timing,"TOO EARLY",IF(AND(F11="PASS",F16="PASS",F22="PASS"),"READY","NOT YET"))</f>
        <v>TOO EARLY</v>
      </c>
      <c r="G31" s="47" t="str">
        <f aca="false">IF(G6&lt;Seed_Timing,"TOO EARLY",IF(AND(G11="PASS",G16="PASS",G22="PASS"),"READY","NOT YET"))</f>
        <v>TOO EARLY</v>
      </c>
      <c r="H31" s="47" t="str">
        <f aca="false">IF(H6&lt;Seed_Timing,"TOO EARLY",IF(AND(H11="PASS",H16="PASS",H22="PASS"),"READY","NOT YET"))</f>
        <v>TOO EARLY</v>
      </c>
      <c r="I31" s="47" t="str">
        <f aca="false">IF(I6&lt;Seed_Timing,"TOO EARLY",IF(AND(I11="PASS",I16="PASS",I22="PASS"),"READY","NOT YET"))</f>
        <v>TOO EARLY</v>
      </c>
      <c r="J31" s="47" t="str">
        <f aca="false">IF(J6&lt;Seed_Timing,"TOO EARLY",IF(AND(J11="PASS",J16="PASS",J22="PASS"),"READY","NOT YET"))</f>
        <v>TOO EARLY</v>
      </c>
      <c r="K31" s="47" t="str">
        <f aca="false">IF(K6&lt;Seed_Timing,"TOO EARLY",IF(AND(K11="PASS",K16="PASS",K22="PASS"),"READY","NOT YET"))</f>
        <v>TOO EARLY</v>
      </c>
      <c r="L31" s="47" t="str">
        <f aca="false">IF(L6&lt;Seed_Timing,"TOO EARLY",IF(AND(L11="PASS",L16="PASS",L22="PASS"),"READY","NOT YET"))</f>
        <v>TOO EARLY</v>
      </c>
      <c r="M31" s="47" t="str">
        <f aca="false">IF(M6&lt;Seed_Timing,"TOO EARLY",IF(AND(M11="PASS",M16="PASS",M22="PASS"),"READY","NOT YET"))</f>
        <v>TOO EARLY</v>
      </c>
      <c r="N31" s="47" t="str">
        <f aca="false">IF(N6&lt;Seed_Timing,"TOO EARLY",IF(AND(N11="PASS",N16="PASS",N22="PASS"),"READY","NOT YET"))</f>
        <v>TOO EARLY</v>
      </c>
      <c r="O31" s="47" t="str">
        <f aca="false">IF(O6&lt;Seed_Timing,"TOO EARLY",IF(AND(O11="PASS",O16="PASS",O22="PASS"),"READY","NOT YET"))</f>
        <v>TOO EARLY</v>
      </c>
      <c r="P31" s="47" t="str">
        <f aca="false">IF(P6&lt;Seed_Timing,"TOO EARLY",IF(AND(P11="PASS",P16="PASS",P22="PASS"),"READY","NOT YET"))</f>
        <v>TOO EARLY</v>
      </c>
      <c r="Q31" s="47" t="str">
        <f aca="false">IF(Q6&lt;Seed_Timing,"TOO EARLY",IF(AND(Q11="PASS",Q16="PASS",Q22="PASS"),"READY","NOT YET"))</f>
        <v>TOO EARLY</v>
      </c>
      <c r="R31" s="47" t="str">
        <f aca="false">IF(R6&lt;Seed_Timing,"TOO EARLY",IF(AND(R11="PASS",R16="PASS",R22="PASS"),"READY","NOT YET"))</f>
        <v>TOO EARLY</v>
      </c>
      <c r="S31" s="47" t="str">
        <f aca="false">IF(S6&lt;Seed_Timing,"TOO EARLY",IF(AND(S11="PASS",S16="PASS",S22="PASS"),"READY","NOT YET"))</f>
        <v>TOO EARLY</v>
      </c>
      <c r="T31" s="47" t="str">
        <f aca="false">IF(T6&lt;Seed_Timing,"TOO EARLY",IF(AND(T11="PASS",T16="PASS",T22="PASS"),"READY","NOT YET"))</f>
        <v>NOT YET</v>
      </c>
      <c r="U31" s="47" t="str">
        <f aca="false">IF(U6&lt;Seed_Timing,"TOO EARLY",IF(AND(U11="PASS",U16="PASS",U22="PASS"),"READY","NOT YET"))</f>
        <v>NOT YET</v>
      </c>
      <c r="V31" s="47" t="str">
        <f aca="false">IF(V6&lt;Seed_Timing,"TOO EARLY",IF(AND(V11="PASS",V16="PASS",V22="PASS"),"READY","NOT YET"))</f>
        <v>NOT YET</v>
      </c>
      <c r="W31" s="47" t="str">
        <f aca="false">IF(W6&lt;Seed_Timing,"TOO EARLY",IF(AND(W11="PASS",W16="PASS",W22="PASS"),"READY","NOT YET"))</f>
        <v>NOT YET</v>
      </c>
      <c r="X31" s="47" t="str">
        <f aca="false">IF(X6&lt;Seed_Timing,"TOO EARLY",IF(AND(X11="PASS",X16="PASS",X22="PASS"),"READY","NOT YET"))</f>
        <v>NOT YET</v>
      </c>
      <c r="Y31" s="47" t="str">
        <f aca="false">IF(Y6&lt;Seed_Timing,"TOO EARLY",IF(AND(Y11="PASS",Y16="PASS",Y22="PASS"),"READY","NOT YET"))</f>
        <v>NOT YET</v>
      </c>
      <c r="Z31" s="47" t="str">
        <f aca="false">IF(Z6&lt;Seed_Timing,"TOO EARLY",IF(AND(Z11="PASS",Z16="PASS",Z22="PASS"),"READY","NOT YET"))</f>
        <v>NOT YET</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48" t="s">
        <v>186</v>
      </c>
    </row>
    <row r="3" customFormat="false" ht="3.75" hidden="false" customHeight="true" outlineLevel="0" collapsed="false">
      <c r="B3" s="49"/>
    </row>
    <row r="5" customFormat="false" ht="19.5" hidden="false" customHeight="true" outlineLevel="0" collapsed="false">
      <c r="B5" s="50" t="s">
        <v>187</v>
      </c>
    </row>
    <row r="6" customFormat="false" ht="48" hidden="false" customHeight="true" outlineLevel="0" collapsed="false">
      <c r="B6" s="51" t="s">
        <v>188</v>
      </c>
    </row>
    <row r="8" customFormat="false" ht="19.5" hidden="false" customHeight="true" outlineLevel="0" collapsed="false">
      <c r="B8" s="50" t="s">
        <v>189</v>
      </c>
    </row>
    <row r="9" customFormat="false" ht="61.5" hidden="false" customHeight="true" outlineLevel="0" collapsed="false">
      <c r="B9" s="51" t="s">
        <v>190</v>
      </c>
    </row>
    <row r="11" customFormat="false" ht="19.5" hidden="false" customHeight="true" outlineLevel="0" collapsed="false">
      <c r="B11" s="50" t="s">
        <v>191</v>
      </c>
    </row>
    <row r="12" customFormat="false" ht="75.75" hidden="false" customHeight="true" outlineLevel="0" collapsed="false">
      <c r="B12" s="51" t="s">
        <v>192</v>
      </c>
    </row>
    <row r="14" customFormat="false" ht="19.5" hidden="false" customHeight="true" outlineLevel="0" collapsed="false">
      <c r="B14" s="50" t="s">
        <v>193</v>
      </c>
    </row>
    <row r="15" customFormat="false" ht="61.5" hidden="false" customHeight="true" outlineLevel="0" collapsed="false">
      <c r="B15" s="51" t="s">
        <v>194</v>
      </c>
    </row>
    <row r="17" customFormat="false" ht="19.5" hidden="false" customHeight="true" outlineLevel="0" collapsed="false">
      <c r="B17" s="50" t="s">
        <v>195</v>
      </c>
    </row>
    <row r="18" customFormat="false" ht="33.75" hidden="false" customHeight="true" outlineLevel="0" collapsed="false">
      <c r="B18" s="51" t="s">
        <v>196</v>
      </c>
    </row>
    <row r="20" customFormat="false" ht="19.5" hidden="false" customHeight="true" outlineLevel="0" collapsed="false">
      <c r="B20" s="50" t="s">
        <v>197</v>
      </c>
    </row>
    <row r="21" customFormat="false" ht="33.75" hidden="false" customHeight="true" outlineLevel="0" collapsed="false">
      <c r="B21" s="51" t="s">
        <v>198</v>
      </c>
    </row>
    <row r="23" customFormat="false" ht="21.75" hidden="false" customHeight="true" outlineLevel="0" collapsed="false">
      <c r="B23" s="52" t="s">
        <v>199</v>
      </c>
    </row>
    <row r="25" customFormat="false" ht="18" hidden="false" customHeight="true" outlineLevel="0" collapsed="false">
      <c r="B25" s="53" t="s">
        <v>200</v>
      </c>
    </row>
    <row r="26" customFormat="false" ht="201.75" hidden="false" customHeight="true" outlineLevel="0" collapsed="false">
      <c r="B26" s="54" t="s">
        <v>201</v>
      </c>
    </row>
    <row r="28" customFormat="false" ht="18" hidden="false" customHeight="true" outlineLevel="0" collapsed="false">
      <c r="B28" s="55" t="s">
        <v>202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2026-05-15T18:53:35Z</dcterms:created>
  <dc:creator>openpyxl</dc:creator>
  <dc:description/>
  <dc:language>en-GB</dc:language>
  <cp:lastModifiedBy/>
  <dcterms:modified xsi:type="dcterms:W3CDTF">2026-05-15T18:53:35Z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