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Disclaimer" sheetId="3" state="visible" r:id="rId5"/>
    <sheet name="Project_Cash_Flow" sheetId="4" state="visible" r:id="rId6"/>
    <sheet name="Capital_Accounts" sheetId="5" state="visible" r:id="rId7"/>
    <sheet name="Waterfall" sheetId="6" state="visible" r:id="rId8"/>
    <sheet name="Returns" sheetId="7" state="visible" r:id="rId9"/>
    <sheet name="Checks" sheetId="8" state="visible" r:id="rId10"/>
  </sheets>
  <definedNames>
    <definedName function="false" hidden="false" name="Annual_Capex" vbProcedure="false">Assumptions!$C$24</definedName>
    <definedName function="false" hidden="false" name="Catchup_Pct" vbProcedure="false">Assumptions!$C$28</definedName>
    <definedName function="false" hidden="false" name="Class_A_Equity" vbProcedure="false">Assumptions!$C$6</definedName>
    <definedName function="false" hidden="false" name="Class_A_Pref_Rate" vbProcedure="false">Assumptions!$C$12</definedName>
    <definedName function="false" hidden="false" name="Class_B_Equity" vbProcedure="false">Assumptions!$C$7</definedName>
    <definedName function="false" hidden="false" name="Class_B_Pref_Rate" vbProcedure="false">Assumptions!$C$13</definedName>
    <definedName function="false" hidden="false" name="Class_C_Equity" vbProcedure="false">Assumptions!$C$8</definedName>
    <definedName function="false" hidden="false" name="Class_C_Pref_Rate" vbProcedure="false">Assumptions!$C$14</definedName>
    <definedName function="false" hidden="false" name="Common_Equity" vbProcedure="false">Assumptions!$C$9</definedName>
    <definedName function="false" hidden="false" name="Exit_Cap_Rate" vbProcedure="false">Assumptions!$C$18</definedName>
    <definedName function="false" hidden="false" name="Hold_Period" vbProcedure="false">Assumptions!$C$17</definedName>
    <definedName function="false" hidden="false" name="Initial_NOI" vbProcedure="false">Assumptions!$C$22</definedName>
    <definedName function="false" hidden="false" name="NOI_Growth" vbProcedure="false">Assumptions!$C$23</definedName>
    <definedName function="false" hidden="false" name="Promote_GP_Split" vbProcedure="false">Assumptions!$C$27</definedName>
    <definedName function="false" hidden="false" name="Selling_Costs_Pct" vbProcedure="false">Assumptions!$C$19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<sst xmlns="http://schemas.openxmlformats.org/spreadsheetml/2006/main" count="240" uniqueCount="169">
  <si>
    <t xml:space="preserve">Preferred Equity Waterfall</t>
  </si>
  <si>
    <t xml:space="preserve">FINAMODEL.com</t>
  </si>
  <si>
    <t xml:space="preserve">Distribution analysis</t>
  </si>
  <si>
    <t xml:space="preserve">Template</t>
  </si>
  <si>
    <t xml:space="preserve">preferred-equity-waterfall</t>
  </si>
  <si>
    <t xml:space="preserve">Version</t>
  </si>
  <si>
    <t xml:space="preserve">v18</t>
  </si>
  <si>
    <t xml:space="preserve">Currency</t>
  </si>
  <si>
    <t xml:space="preserve">USD</t>
  </si>
  <si>
    <t xml:space="preserve">Periods</t>
  </si>
  <si>
    <t xml:space="preserve">Year 0 - Year 6</t>
  </si>
  <si>
    <t xml:space="preserve">Sheet Colour Legend</t>
  </si>
  <si>
    <t xml:space="preserve">Cover</t>
  </si>
  <si>
    <t xml:space="preserve">Assumptions</t>
  </si>
  <si>
    <t xml:space="preserve">Project Cash Flow</t>
  </si>
  <si>
    <t xml:space="preserve">Capital Accounts</t>
  </si>
  <si>
    <t xml:space="preserve">Waterfall</t>
  </si>
  <si>
    <t xml:space="preserve">Returns</t>
  </si>
  <si>
    <t xml:space="preserve">Checks</t>
  </si>
  <si>
    <t xml:space="preserve">About this model</t>
  </si>
  <si>
    <t xml:space="preserve">Allocate exit proceeds through a multi-class equity waterfall with preferred return compounding, return-of-capital priority, sponsor catch-up, and residual split mechanics. This template models Class A, B, and C preferred equity alongside common equity (sponsor), with each class accruing a preferred return (e.g., Class A at 6%, Class B at 10%) on unreturned capital, and distributions flowing through strict tiers. The model handles preferred return compounding when operating cash flows are insufficient for full payment in a given year.
The workbook includes a project cash flow sheet (NOI growth and exit proceeds based on entry/exit cap rates), capital account tracking for each class (contributed capital, returned capital, accrued but unpaid preferred, distributions received), and a full waterfall schedule showing cash allocation each year. The model validates that Class B receives zero preferred until Class A's accrued preferred is satisfied, and that catch-up payments properly equalize GP share of cumulative profits. Returns sheets calculate IRR and equity multiple for each class and document the J-curve effect (common equity receiving nothing until preferred classes are made whole).
Target users are real estate sponsors structuring joint ventures, institutional LPs evaluating preferred equity tranches, and capital markets teams modeling multi-tranche equity offerings in the $10M to $500M equity range.</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</si>
  <si>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</si>
  <si>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</si>
  <si>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</si>
  <si>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</si>
  <si>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Key parameters</t>
  </si>
  <si>
    <t xml:space="preserve">Parameter</t>
  </si>
  <si>
    <t xml:space="preserve">Value</t>
  </si>
  <si>
    <t xml:space="preserve">Unit</t>
  </si>
  <si>
    <t xml:space="preserve">Notes</t>
  </si>
  <si>
    <t xml:space="preserve">Equity Contributions</t>
  </si>
  <si>
    <t xml:space="preserve">Class A Preferred</t>
  </si>
  <si>
    <t xml:space="preserve">$</t>
  </si>
  <si>
    <t xml:space="preserve">Most senior preferred tranche</t>
  </si>
  <si>
    <t xml:space="preserve">Class B Preferred</t>
  </si>
  <si>
    <t xml:space="preserve">Second priority preferred</t>
  </si>
  <si>
    <t xml:space="preserve">Class C Preferred</t>
  </si>
  <si>
    <t xml:space="preserve">Junior preferred tranche</t>
  </si>
  <si>
    <t xml:space="preserve">Common (Sponsor)</t>
  </si>
  <si>
    <t xml:space="preserve">Sponsor equity / promote-eligible</t>
  </si>
  <si>
    <t xml:space="preserve">Preferred Return Rates</t>
  </si>
  <si>
    <t xml:space="preserve">Class A Pref Rate</t>
  </si>
  <si>
    <t xml:space="preserve">%</t>
  </si>
  <si>
    <t xml:space="preserve">Annual compound</t>
  </si>
  <si>
    <t xml:space="preserve">Class B Pref Rate</t>
  </si>
  <si>
    <t xml:space="preserve">Class C Pref Rate</t>
  </si>
  <si>
    <t xml:space="preserve">Hold Period &amp; Exit</t>
  </si>
  <si>
    <t xml:space="preserve">Hold Period</t>
  </si>
  <si>
    <t xml:space="preserve">yrs</t>
  </si>
  <si>
    <t xml:space="preserve">Years of operations before exit</t>
  </si>
  <si>
    <t xml:space="preserve">Exit Cap Rate</t>
  </si>
  <si>
    <t xml:space="preserve">Applied to Year 6 NOI</t>
  </si>
  <si>
    <t xml:space="preserve">Selling Costs</t>
  </si>
  <si>
    <t xml:space="preserve">Brokerage, legal, transfer tax</t>
  </si>
  <si>
    <t xml:space="preserve">Year 1 NOI</t>
  </si>
  <si>
    <t xml:space="preserve">Net Operating Income in first year</t>
  </si>
  <si>
    <t xml:space="preserve">Annual NOI Growth</t>
  </si>
  <si>
    <t xml:space="preserve">Compounding annually</t>
  </si>
  <si>
    <t xml:space="preserve">Annual Capex</t>
  </si>
  <si>
    <t xml:space="preserve">Maintenance + tenant improvements</t>
  </si>
  <si>
    <t xml:space="preserve">Promote Structure</t>
  </si>
  <si>
    <t xml:space="preserve">GP Promote Split</t>
  </si>
  <si>
    <t xml:space="preserve">GP share of residual profits</t>
  </si>
  <si>
    <t xml:space="preserve">Catch-Up Rate</t>
  </si>
  <si>
    <t xml:space="preserve">100% = full catch-up to GP</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</si>
  <si>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</si>
  <si>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</si>
  <si>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</si>
  <si>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</si>
  <si>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</si>
  <si>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</si>
  <si>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</si>
  <si>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</si>
  <si>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</si>
  <si>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</si>
  <si>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</si>
  <si>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</si>
  <si>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</si>
  <si>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</si>
  <si>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</si>
  <si>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</si>
  <si>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</si>
  <si>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Annual cash flows</t>
  </si>
  <si>
    <t xml:space="preserve">Year 0</t>
  </si>
  <si>
    <t xml:space="preserve">Year 1</t>
  </si>
  <si>
    <t xml:space="preserve">Year 2</t>
  </si>
  <si>
    <t xml:space="preserve">Year 3</t>
  </si>
  <si>
    <t xml:space="preserve">Year 4</t>
  </si>
  <si>
    <t xml:space="preserve">Year 5</t>
  </si>
  <si>
    <t xml:space="preserve">Year 6</t>
  </si>
  <si>
    <t xml:space="preserve">Operating Cash Flow</t>
  </si>
  <si>
    <t xml:space="preserve">Net Operating Income</t>
  </si>
  <si>
    <t xml:space="preserve">Capital Expenditure</t>
  </si>
  <si>
    <t xml:space="preserve">Net Operating CF</t>
  </si>
  <si>
    <t xml:space="preserve">Exit Proceeds</t>
  </si>
  <si>
    <t xml:space="preserve">Exit Year NOI</t>
  </si>
  <si>
    <t xml:space="preserve">Gross Sale Proceeds</t>
  </si>
  <si>
    <t xml:space="preserve">Net Sale Proceeds</t>
  </si>
  <si>
    <t xml:space="preserve">Total</t>
  </si>
  <si>
    <t xml:space="preserve">TOTAL DISTRIBUTABLE</t>
  </si>
  <si>
    <t xml:space="preserve">Unreturned capital &amp; accrued preferred</t>
  </si>
  <si>
    <t xml:space="preserve">Opening Capital</t>
  </si>
  <si>
    <t xml:space="preserve">Return of Capital</t>
  </si>
  <si>
    <t xml:space="preserve">Closing Capital</t>
  </si>
  <si>
    <t xml:space="preserve">Accrued Pref Opening</t>
  </si>
  <si>
    <t xml:space="preserve">New Accrual</t>
  </si>
  <si>
    <t xml:space="preserve">Preferred Paid</t>
  </si>
  <si>
    <t xml:space="preserve">Accrued Pref Closing</t>
  </si>
  <si>
    <t xml:space="preserve">Common Equity (Sponsor)</t>
  </si>
  <si>
    <t xml:space="preserve">Distribution Waterfall</t>
  </si>
  <si>
    <t xml:space="preserve">Tiered allocation</t>
  </si>
  <si>
    <t xml:space="preserve">Available Cash</t>
  </si>
  <si>
    <t xml:space="preserve">Tier 1: Return of Capital</t>
  </si>
  <si>
    <t xml:space="preserve">Class A ROC</t>
  </si>
  <si>
    <t xml:space="preserve">Class B ROC</t>
  </si>
  <si>
    <t xml:space="preserve">Class C ROC</t>
  </si>
  <si>
    <t xml:space="preserve">Common ROC</t>
  </si>
  <si>
    <t xml:space="preserve">Total ROC</t>
  </si>
  <si>
    <t xml:space="preserve">Remaining After ROC</t>
  </si>
  <si>
    <t xml:space="preserve">Tier 2: Preferred Return</t>
  </si>
  <si>
    <t xml:space="preserve">Total Preferred Paid</t>
  </si>
  <si>
    <t xml:space="preserve">Remaining After Pref</t>
  </si>
  <si>
    <t xml:space="preserve">Tier 3: Catch-Up</t>
  </si>
  <si>
    <t xml:space="preserve">GP Catch-Up</t>
  </si>
  <si>
    <t xml:space="preserve">Remaining After Catch-Up</t>
  </si>
  <si>
    <t xml:space="preserve">Tier 4: Residual Split</t>
  </si>
  <si>
    <t xml:space="preserve">LP Residual</t>
  </si>
  <si>
    <t xml:space="preserve">GP Residual</t>
  </si>
  <si>
    <t xml:space="preserve">Total Residual</t>
  </si>
  <si>
    <t xml:space="preserve">Summary Distributions</t>
  </si>
  <si>
    <t xml:space="preserve">Class A Total</t>
  </si>
  <si>
    <t xml:space="preserve">Class B Total</t>
  </si>
  <si>
    <t xml:space="preserve">Class C Total</t>
  </si>
  <si>
    <t xml:space="preserve">TOTAL DISTRIBUTED</t>
  </si>
  <si>
    <t xml:space="preserve">Check (should = 0)</t>
  </si>
  <si>
    <t xml:space="preserve">Returns Analysis</t>
  </si>
  <si>
    <t xml:space="preserve">By equity class</t>
  </si>
  <si>
    <t xml:space="preserve">Cash Flow Streams</t>
  </si>
  <si>
    <t xml:space="preserve">Class A CF</t>
  </si>
  <si>
    <t xml:space="preserve">Class B CF</t>
  </si>
  <si>
    <t xml:space="preserve">Class C CF</t>
  </si>
  <si>
    <t xml:space="preserve">Common CF</t>
  </si>
  <si>
    <t xml:space="preserve">Cumulative Distributions</t>
  </si>
  <si>
    <t xml:space="preserve">Class A Cumulative</t>
  </si>
  <si>
    <t xml:space="preserve">Class B Cumulative</t>
  </si>
  <si>
    <t xml:space="preserve">Class C Cumulative</t>
  </si>
  <si>
    <t xml:space="preserve">Common Cumulative</t>
  </si>
  <si>
    <t xml:space="preserve">Equity Multiples</t>
  </si>
  <si>
    <t xml:space="preserve">Class A Multiple</t>
  </si>
  <si>
    <t xml:space="preserve">Class B Multiple</t>
  </si>
  <si>
    <t xml:space="preserve">Class C Multiple</t>
  </si>
  <si>
    <t xml:space="preserve">Common Multiple</t>
  </si>
  <si>
    <t xml:space="preserve">Internal Rate of Return</t>
  </si>
  <si>
    <t xml:space="preserve">Class A IRR</t>
  </si>
  <si>
    <t xml:space="preserve">Class B IRR</t>
  </si>
  <si>
    <t xml:space="preserve">Class C IRR</t>
  </si>
  <si>
    <t xml:space="preserve">Common IRR</t>
  </si>
  <si>
    <t xml:space="preserve">Cash-on-Cash Yield</t>
  </si>
  <si>
    <t xml:space="preserve">Class A CoC</t>
  </si>
  <si>
    <t xml:space="preserve">Class B CoC</t>
  </si>
  <si>
    <t xml:space="preserve">Class C CoC</t>
  </si>
  <si>
    <t xml:space="preserve">Common CoC</t>
  </si>
  <si>
    <t xml:space="preserve">Validation Checks</t>
  </si>
  <si>
    <t xml:space="preserve">Automated checks</t>
  </si>
  <si>
    <t xml:space="preserve">Distribution Balance</t>
  </si>
  <si>
    <t xml:space="preserve">Total Equity Check</t>
  </si>
  <si>
    <t xml:space="preserve">No Negative Dists</t>
  </si>
  <si>
    <t xml:space="preserve">Pref Priority A&gt;B</t>
  </si>
  <si>
    <t xml:space="preserve">Multiples &gt; 1.0x</t>
  </si>
</sst>
</file>

<file path=xl/styles.xml><?xml version="1.0" encoding="utf-8"?>
<styleSheet xmlns="http://schemas.openxmlformats.org/spreadsheetml/2006/main">
  <numFmts count="5">
    <numFmt numFmtId="164" formatCode="General"/>
    <numFmt numFmtId="165" formatCode="\$#,##0.00"/>
    <numFmt numFmtId="166" formatCode="0.00%"/>
    <numFmt numFmtId="167" formatCode="#,##0.00"/>
    <numFmt numFmtId="168" formatCode="0.00\x"/>
  </numFmts>
  <fonts count="29">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0"/>
      <name val="Arial"/>
      <family val="0"/>
      <charset val="1"/>
    </font>
    <font>
      <sz val="1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0"/>
      <color theme="0"/>
      <name val="Arial"/>
      <family val="0"/>
      <charset val="1"/>
    </font>
    <font>
      <b val="true"/>
      <sz val="11"/>
      <color theme="3"/>
      <name val="Arial"/>
      <family val="0"/>
      <charset val="1"/>
    </font>
    <font>
      <sz val="10"/>
      <color theme="3"/>
      <name val="Arial"/>
      <family val="0"/>
      <charset val="1"/>
    </font>
    <font>
      <i val="true"/>
      <sz val="10"/>
      <color rgb="FFA5A5A5"/>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b val="true"/>
      <sz val="18"/>
      <name val="Arial"/>
      <family val="0"/>
      <charset val="1"/>
    </font>
    <font>
      <i val="true"/>
      <sz val="11"/>
      <color rgb="FFA5A5A5"/>
      <name val="Arial"/>
      <family val="0"/>
      <charset val="1"/>
    </font>
    <font>
      <b val="true"/>
      <sz val="10"/>
      <color rgb="FFFFFFFF"/>
      <name val="Arial"/>
      <family val="0"/>
      <charset val="1"/>
    </font>
    <font>
      <sz val="10"/>
      <color rgb="FF000000"/>
      <name val="Arial"/>
      <family val="0"/>
      <charset val="1"/>
    </font>
  </fonts>
  <fills count="13">
    <fill>
      <patternFill patternType="none"/>
    </fill>
    <fill>
      <patternFill patternType="gray125"/>
    </fill>
    <fill>
      <patternFill patternType="solid">
        <fgColor theme="3"/>
        <bgColor rgb="FF1F4E79"/>
      </patternFill>
    </fill>
    <fill>
      <patternFill patternType="solid">
        <fgColor rgb="FF5B9BD5"/>
        <bgColor rgb="FF808080"/>
      </patternFill>
    </fill>
    <fill>
      <patternFill patternType="solid">
        <fgColor rgb="FF70AD47"/>
        <bgColor rgb="FF99CC00"/>
      </patternFill>
    </fill>
    <fill>
      <patternFill patternType="solid">
        <fgColor rgb="FFED7D31"/>
        <bgColor rgb="FFFF8080"/>
      </patternFill>
    </fill>
    <fill>
      <patternFill patternType="solid">
        <fgColor rgb="FFA5A5A5"/>
        <bgColor rgb="FFC0C0C0"/>
      </patternFill>
    </fill>
    <fill>
      <patternFill patternType="solid">
        <fgColor rgb="FFFF0000"/>
        <bgColor rgb="FF993300"/>
      </patternFill>
    </fill>
    <fill>
      <patternFill patternType="solid">
        <fgColor rgb="FFD6E4F0"/>
        <bgColor rgb="FFC6D9F1"/>
      </patternFill>
    </fill>
    <fill>
      <patternFill patternType="solid">
        <fgColor theme="3" tint="0.8"/>
        <bgColor rgb="FFD6E4F0"/>
      </patternFill>
    </fill>
    <fill>
      <patternFill patternType="solid">
        <fgColor rgb="FFFFF2CC"/>
        <bgColor rgb="FFF2F2F2"/>
      </patternFill>
    </fill>
    <fill>
      <patternFill patternType="solid">
        <fgColor rgb="FF1F4E79"/>
        <bgColor rgb="FF1F497D"/>
      </patternFill>
    </fill>
    <fill>
      <patternFill patternType="solid">
        <fgColor rgb="FFF2F2F2"/>
        <bgColor rgb="FFFFFFFF"/>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10" fillId="4" borderId="0" xfId="0" applyFont="true" applyBorder="false" applyAlignment="false" applyProtection="false">
      <alignment horizontal="general" vertical="bottom" textRotation="0" wrapText="false" indent="0" shrinkToFit="false"/>
      <protection locked="true" hidden="false"/>
    </xf>
    <xf numFmtId="164" fontId="10" fillId="5" borderId="0" xfId="0" applyFont="true" applyBorder="false" applyAlignment="false" applyProtection="false">
      <alignment horizontal="general" vertical="bottom" textRotation="0" wrapText="false" indent="0" shrinkToFit="false"/>
      <protection locked="true" hidden="false"/>
    </xf>
    <xf numFmtId="164" fontId="10" fillId="6" borderId="0" xfId="0" applyFont="true" applyBorder="false" applyAlignment="false" applyProtection="false">
      <alignment horizontal="general" vertical="bottom" textRotation="0" wrapText="false" indent="0" shrinkToFit="false"/>
      <protection locked="true" hidden="false"/>
    </xf>
    <xf numFmtId="164" fontId="10" fillId="7" borderId="0" xfId="0" applyFont="true" applyBorder="false" applyAlignment="false" applyProtection="false">
      <alignment horizontal="general" vertical="bottom" textRotation="0" wrapText="false" indent="0" shrinkToFit="false"/>
      <protection locked="true" hidden="false"/>
    </xf>
    <xf numFmtId="164" fontId="11" fillId="8" borderId="0" xfId="0" applyFont="true" applyBorder="false" applyAlignment="true" applyProtection="false">
      <alignment horizontal="left" vertical="center"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2" borderId="0" xfId="0" applyFont="true" applyBorder="false" applyAlignment="true" applyProtection="false">
      <alignment horizontal="left" vertical="bottom" textRotation="0" wrapText="false" indent="0" shrinkToFit="false"/>
      <protection locked="true" hidden="false"/>
    </xf>
    <xf numFmtId="164" fontId="15" fillId="2" borderId="0" xfId="0" applyFont="true" applyBorder="false" applyAlignment="true" applyProtection="false">
      <alignment horizontal="center" vertical="bottom" textRotation="0" wrapText="false" indent="0" shrinkToFit="false"/>
      <protection locked="true" hidden="false"/>
    </xf>
    <xf numFmtId="164" fontId="16" fillId="9" borderId="0" xfId="0" applyFont="true" applyBorder="false" applyAlignment="false" applyProtection="false">
      <alignment horizontal="general" vertical="bottom" textRotation="0" wrapText="false" indent="0" shrinkToFit="false"/>
      <protection locked="true" hidden="false"/>
    </xf>
    <xf numFmtId="164" fontId="8" fillId="9" borderId="0" xfId="0" applyFont="true" applyBorder="false" applyAlignment="false" applyProtection="false">
      <alignment horizontal="general" vertical="bottom" textRotation="0" wrapText="false" indent="0" shrinkToFit="false"/>
      <protection locked="true" hidden="false"/>
    </xf>
    <xf numFmtId="165" fontId="17" fillId="10" borderId="0" xfId="0" applyFont="true" applyBorder="false" applyAlignment="true" applyProtection="false">
      <alignment horizontal="right" vertical="bottom" textRotation="0" wrapText="false" indent="0" shrinkToFit="false"/>
      <protection locked="true" hidden="false"/>
    </xf>
    <xf numFmtId="164" fontId="18" fillId="0" borderId="0" xfId="0" applyFont="true" applyBorder="false" applyAlignment="true" applyProtection="false">
      <alignment horizontal="left" vertical="bottom" textRotation="0" wrapText="false" indent="0" shrinkToFit="false"/>
      <protection locked="true" hidden="false"/>
    </xf>
    <xf numFmtId="166" fontId="17" fillId="10" borderId="0" xfId="0" applyFont="true" applyBorder="false" applyAlignment="true" applyProtection="false">
      <alignment horizontal="right" vertical="bottom" textRotation="0" wrapText="false" indent="0" shrinkToFit="false"/>
      <protection locked="true" hidden="false"/>
    </xf>
    <xf numFmtId="167" fontId="17" fillId="10"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20" fillId="11" borderId="0" xfId="0" applyFont="true" applyBorder="false" applyAlignment="true" applyProtection="false">
      <alignment horizontal="left" vertical="center" textRotation="0" wrapText="false" indent="1" shrinkToFit="false"/>
      <protection locked="true" hidden="false"/>
    </xf>
    <xf numFmtId="164" fontId="21" fillId="0" borderId="0" xfId="0" applyFont="true" applyBorder="false" applyAlignment="true" applyProtection="false">
      <alignment horizontal="left" vertical="top" textRotation="0" wrapText="true" indent="1" shrinkToFit="false"/>
      <protection locked="true" hidden="false"/>
    </xf>
    <xf numFmtId="164" fontId="22"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23" fillId="12" borderId="0" xfId="0" applyFont="true" applyBorder="false" applyAlignment="true" applyProtection="false">
      <alignment horizontal="left" vertical="top" textRotation="0" wrapText="true" indent="1" shrinkToFit="false"/>
      <protection locked="true" hidden="false"/>
    </xf>
    <xf numFmtId="164" fontId="24" fillId="0" borderId="0" xfId="0" applyFont="true" applyBorder="false" applyAlignment="true" applyProtection="false">
      <alignment horizontal="left" vertical="center" textRotation="0" wrapText="false" indent="1"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27" fillId="11" borderId="0" xfId="0" applyFont="true" applyBorder="false" applyAlignment="true" applyProtection="false">
      <alignment horizontal="center" vertical="bottom" textRotation="0" wrapText="false" indent="0" shrinkToFit="false"/>
      <protection locked="true" hidden="false"/>
    </xf>
    <xf numFmtId="164" fontId="11" fillId="8" borderId="0" xfId="0" applyFont="true" applyBorder="false" applyAlignment="false" applyProtection="false">
      <alignment horizontal="general" vertical="bottom" textRotation="0" wrapText="false" indent="0" shrinkToFit="false"/>
      <protection locked="true" hidden="false"/>
    </xf>
    <xf numFmtId="165" fontId="28"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1" shrinkToFit="false"/>
      <protection locked="true" hidden="false"/>
    </xf>
    <xf numFmtId="165" fontId="9" fillId="0" borderId="2" xfId="0" applyFont="true" applyBorder="true" applyAlignment="true" applyProtection="false">
      <alignment horizontal="right" vertical="bottom" textRotation="0" wrapText="false" indent="0" shrinkToFit="false"/>
      <protection locked="true" hidden="false"/>
    </xf>
    <xf numFmtId="165" fontId="9" fillId="0" borderId="3" xfId="0" applyFont="true" applyBorder="true" applyAlignment="true" applyProtection="false">
      <alignment horizontal="right" vertical="bottom" textRotation="0" wrapText="false" indent="0" shrinkToFit="false"/>
      <protection locked="true" hidden="false"/>
    </xf>
    <xf numFmtId="165" fontId="9" fillId="0" borderId="0" xfId="0" applyFont="true" applyBorder="false" applyAlignment="true" applyProtection="false">
      <alignment horizontal="right" vertical="bottom" textRotation="0" wrapText="false" indent="0" shrinkToFit="false"/>
      <protection locked="true" hidden="false"/>
    </xf>
    <xf numFmtId="168" fontId="28" fillId="0" borderId="0" xfId="0" applyFont="true" applyBorder="false" applyAlignment="true" applyProtection="false">
      <alignment horizontal="right" vertical="bottom" textRotation="0" wrapText="false" indent="0" shrinkToFit="false"/>
      <protection locked="true" hidden="false"/>
    </xf>
    <xf numFmtId="166" fontId="28" fillId="0" borderId="0" xfId="0" applyFont="true" applyBorder="false" applyAlignment="true" applyProtection="false">
      <alignment horizontal="right" vertical="bottom" textRotation="0" wrapText="false" indent="0" shrinkToFit="false"/>
      <protection locked="true" hidden="false"/>
    </xf>
    <xf numFmtId="164" fontId="28"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FF2CC"/>
      <rgbColor rgb="FFD6E4F0"/>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 min="3" style="0" width="3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7" t="s">
        <v>4</v>
      </c>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6" t="s">
        <v>5</v>
      </c>
      <c r="C6" s="7" t="s">
        <v>6</v>
      </c>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6" t="s">
        <v>7</v>
      </c>
      <c r="C7" s="7" t="s">
        <v>8</v>
      </c>
      <c r="D7" s="5"/>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6" t="s">
        <v>9</v>
      </c>
      <c r="C8" s="7" t="s">
        <v>10</v>
      </c>
      <c r="D8" s="5"/>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5"/>
      <c r="C9" s="5"/>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8" t="s">
        <v>11</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9"/>
      <c r="C12" s="10" t="s">
        <v>12</v>
      </c>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11"/>
      <c r="C13" s="10" t="s">
        <v>13</v>
      </c>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12"/>
      <c r="C14" s="10" t="s">
        <v>14</v>
      </c>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13"/>
      <c r="C15" s="10" t="s">
        <v>15</v>
      </c>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13"/>
      <c r="C16" s="10" t="s">
        <v>16</v>
      </c>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14"/>
      <c r="C17" s="10" t="s">
        <v>17</v>
      </c>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15"/>
      <c r="C18" s="10" t="s">
        <v>18</v>
      </c>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9.5" hidden="false" customHeight="true" outlineLevel="0" collapsed="false">
      <c r="A21" s="5"/>
      <c r="B21" s="16" t="s">
        <v>19</v>
      </c>
      <c r="C21" s="17"/>
      <c r="D21" s="17"/>
      <c r="E21" s="17"/>
      <c r="F21" s="17"/>
      <c r="G21" s="17"/>
      <c r="H21" s="5"/>
      <c r="I21" s="5"/>
      <c r="J21" s="5"/>
      <c r="K21" s="5"/>
      <c r="L21" s="5"/>
      <c r="M21" s="5"/>
      <c r="N21" s="5"/>
      <c r="O21" s="5"/>
      <c r="P21" s="5"/>
      <c r="Q21" s="5"/>
      <c r="R21" s="5"/>
      <c r="S21" s="5"/>
      <c r="T21" s="5"/>
      <c r="U21" s="5"/>
      <c r="V21" s="5"/>
      <c r="W21" s="5"/>
      <c r="X21" s="5"/>
      <c r="Y21" s="5"/>
      <c r="Z21" s="5"/>
      <c r="AA21" s="5"/>
      <c r="AB21" s="5"/>
      <c r="AC21" s="5"/>
      <c r="AD21" s="5"/>
    </row>
    <row r="22" customFormat="false" ht="220.5" hidden="false" customHeight="true" outlineLevel="0" collapsed="false">
      <c r="A22" s="5"/>
      <c r="B22" s="18" t="s">
        <v>20</v>
      </c>
      <c r="C22" s="18"/>
      <c r="D22" s="18"/>
      <c r="E22" s="18"/>
      <c r="F22" s="18"/>
      <c r="G22" s="18"/>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9.5" hidden="false" customHeight="true" outlineLevel="0" collapsed="false">
      <c r="A24" s="5"/>
      <c r="B24" s="16" t="s">
        <v>21</v>
      </c>
      <c r="C24" s="17"/>
      <c r="D24" s="17"/>
      <c r="E24" s="17"/>
      <c r="F24" s="17"/>
      <c r="G24" s="17"/>
      <c r="H24" s="5"/>
      <c r="I24" s="5"/>
      <c r="J24" s="5"/>
      <c r="K24" s="5"/>
      <c r="L24" s="5"/>
      <c r="M24" s="5"/>
      <c r="N24" s="5"/>
      <c r="O24" s="5"/>
      <c r="P24" s="5"/>
      <c r="Q24" s="5"/>
      <c r="R24" s="5"/>
      <c r="S24" s="5"/>
      <c r="T24" s="5"/>
      <c r="U24" s="5"/>
      <c r="V24" s="5"/>
      <c r="W24" s="5"/>
      <c r="X24" s="5"/>
      <c r="Y24" s="5"/>
      <c r="Z24" s="5"/>
      <c r="AA24" s="5"/>
      <c r="AB24" s="5"/>
      <c r="AC24" s="5"/>
      <c r="AD24" s="5"/>
    </row>
    <row r="25" customFormat="false" ht="57" hidden="false" customHeight="true" outlineLevel="0" collapsed="false">
      <c r="A25" s="5"/>
      <c r="B25" s="18" t="s">
        <v>22</v>
      </c>
      <c r="C25" s="18"/>
      <c r="D25" s="18"/>
      <c r="E25" s="18"/>
      <c r="F25" s="18"/>
      <c r="G25" s="18"/>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19" t="s">
        <v>23</v>
      </c>
      <c r="C26" s="19"/>
      <c r="D26" s="19"/>
      <c r="E26" s="19"/>
      <c r="F26" s="19"/>
      <c r="G26" s="19"/>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20" t="s">
        <v>24</v>
      </c>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row>
  </sheetData>
  <mergeCells count="3">
    <mergeCell ref="B22:G22"/>
    <mergeCell ref="B25:G25"/>
    <mergeCell ref="B26:G26"/>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 min="3" style="0" width="18"/>
    <col collapsed="false" customWidth="true" hidden="false" outlineLevel="0" max="4" min="4" style="0" width="8"/>
    <col collapsed="false" customWidth="true" hidden="false" outlineLevel="0" max="5" min="5" style="0" width="4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13</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25</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21" t="s">
        <v>26</v>
      </c>
      <c r="C4" s="22" t="s">
        <v>27</v>
      </c>
      <c r="D4" s="22" t="s">
        <v>28</v>
      </c>
      <c r="E4" s="21" t="s">
        <v>29</v>
      </c>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23" t="s">
        <v>30</v>
      </c>
      <c r="C5" s="24"/>
      <c r="D5" s="24"/>
      <c r="E5" s="24"/>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7" t="s">
        <v>31</v>
      </c>
      <c r="C6" s="25" t="n">
        <v>20000000</v>
      </c>
      <c r="D6" s="7" t="s">
        <v>32</v>
      </c>
      <c r="E6" s="26" t="s">
        <v>33</v>
      </c>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34</v>
      </c>
      <c r="C7" s="25" t="n">
        <v>15000000</v>
      </c>
      <c r="D7" s="7" t="s">
        <v>32</v>
      </c>
      <c r="E7" s="26" t="s">
        <v>35</v>
      </c>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36</v>
      </c>
      <c r="C8" s="25" t="n">
        <v>10000000</v>
      </c>
      <c r="D8" s="7" t="s">
        <v>32</v>
      </c>
      <c r="E8" s="26" t="s">
        <v>37</v>
      </c>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38</v>
      </c>
      <c r="C9" s="25" t="n">
        <v>5000000</v>
      </c>
      <c r="D9" s="7" t="s">
        <v>32</v>
      </c>
      <c r="E9" s="26" t="s">
        <v>39</v>
      </c>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23" t="s">
        <v>40</v>
      </c>
      <c r="C11" s="24"/>
      <c r="D11" s="24"/>
      <c r="E11" s="24"/>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7" t="s">
        <v>41</v>
      </c>
      <c r="C12" s="27" t="n">
        <v>0.07</v>
      </c>
      <c r="D12" s="7" t="s">
        <v>42</v>
      </c>
      <c r="E12" s="26" t="s">
        <v>43</v>
      </c>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7" t="s">
        <v>44</v>
      </c>
      <c r="C13" s="27" t="n">
        <v>0.09</v>
      </c>
      <c r="D13" s="7" t="s">
        <v>42</v>
      </c>
      <c r="E13" s="26" t="s">
        <v>43</v>
      </c>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7" t="s">
        <v>45</v>
      </c>
      <c r="C14" s="27" t="n">
        <v>0.12</v>
      </c>
      <c r="D14" s="7" t="s">
        <v>42</v>
      </c>
      <c r="E14" s="26" t="s">
        <v>43</v>
      </c>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23" t="s">
        <v>46</v>
      </c>
      <c r="C16" s="24"/>
      <c r="D16" s="24"/>
      <c r="E16" s="24"/>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7" t="s">
        <v>47</v>
      </c>
      <c r="C17" s="28" t="n">
        <v>6</v>
      </c>
      <c r="D17" s="7" t="s">
        <v>48</v>
      </c>
      <c r="E17" s="26" t="s">
        <v>49</v>
      </c>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7" t="s">
        <v>50</v>
      </c>
      <c r="C18" s="27" t="n">
        <v>0.055</v>
      </c>
      <c r="D18" s="7" t="s">
        <v>42</v>
      </c>
      <c r="E18" s="26" t="s">
        <v>51</v>
      </c>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7" t="s">
        <v>52</v>
      </c>
      <c r="C19" s="27" t="n">
        <v>0.02</v>
      </c>
      <c r="D19" s="7" t="s">
        <v>42</v>
      </c>
      <c r="E19" s="26" t="s">
        <v>53</v>
      </c>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23" t="s">
        <v>14</v>
      </c>
      <c r="C21" s="24"/>
      <c r="D21" s="24"/>
      <c r="E21" s="24"/>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7" t="s">
        <v>54</v>
      </c>
      <c r="C22" s="25" t="n">
        <v>5000000</v>
      </c>
      <c r="D22" s="7" t="s">
        <v>32</v>
      </c>
      <c r="E22" s="26" t="s">
        <v>55</v>
      </c>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7" t="s">
        <v>56</v>
      </c>
      <c r="C23" s="27" t="n">
        <v>0.03</v>
      </c>
      <c r="D23" s="7" t="s">
        <v>42</v>
      </c>
      <c r="E23" s="26" t="s">
        <v>57</v>
      </c>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7" t="s">
        <v>58</v>
      </c>
      <c r="C24" s="25" t="n">
        <v>500000</v>
      </c>
      <c r="D24" s="7" t="s">
        <v>32</v>
      </c>
      <c r="E24" s="26" t="s">
        <v>59</v>
      </c>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23" t="s">
        <v>60</v>
      </c>
      <c r="C26" s="24"/>
      <c r="D26" s="24"/>
      <c r="E26" s="24"/>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7" t="s">
        <v>61</v>
      </c>
      <c r="C27" s="27" t="n">
        <v>0.2</v>
      </c>
      <c r="D27" s="7" t="s">
        <v>42</v>
      </c>
      <c r="E27" s="26" t="s">
        <v>62</v>
      </c>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7" t="s">
        <v>63</v>
      </c>
      <c r="C28" s="27" t="n">
        <v>1</v>
      </c>
      <c r="D28" s="7" t="s">
        <v>42</v>
      </c>
      <c r="E28" s="26" t="s">
        <v>64</v>
      </c>
      <c r="F28" s="5"/>
      <c r="G28" s="5"/>
      <c r="H28" s="5"/>
      <c r="I28" s="5"/>
      <c r="J28" s="5"/>
      <c r="K28" s="5"/>
      <c r="L28" s="5"/>
      <c r="M28" s="5"/>
      <c r="N28" s="5"/>
      <c r="O28" s="5"/>
      <c r="P28" s="5"/>
      <c r="Q28" s="5"/>
      <c r="R28" s="5"/>
      <c r="S28" s="5"/>
      <c r="T28" s="5"/>
      <c r="U28" s="5"/>
      <c r="V28" s="5"/>
      <c r="W28" s="5"/>
      <c r="X28" s="5"/>
      <c r="Y28" s="5"/>
      <c r="Z28" s="5"/>
      <c r="AA28" s="5"/>
      <c r="AB28" s="5"/>
      <c r="AC28" s="5"/>
      <c r="AD28"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9" t="s">
        <v>65</v>
      </c>
    </row>
    <row r="3" customFormat="false" ht="3.75" hidden="false" customHeight="true" outlineLevel="0" collapsed="false">
      <c r="A3" s="5"/>
      <c r="B3" s="30"/>
    </row>
    <row r="4" customFormat="false" ht="15" hidden="false" customHeight="false" outlineLevel="0" collapsed="false">
      <c r="A4" s="5"/>
      <c r="B4" s="5"/>
    </row>
    <row r="5" customFormat="false" ht="19.5" hidden="false" customHeight="true" outlineLevel="0" collapsed="false">
      <c r="A5" s="5"/>
      <c r="B5" s="31" t="s">
        <v>66</v>
      </c>
    </row>
    <row r="6" customFormat="false" ht="48" hidden="false" customHeight="true" outlineLevel="0" collapsed="false">
      <c r="A6" s="5"/>
      <c r="B6" s="32" t="s">
        <v>67</v>
      </c>
    </row>
    <row r="7" customFormat="false" ht="15" hidden="false" customHeight="false" outlineLevel="0" collapsed="false">
      <c r="A7" s="5"/>
      <c r="B7" s="5"/>
    </row>
    <row r="8" customFormat="false" ht="19.5" hidden="false" customHeight="true" outlineLevel="0" collapsed="false">
      <c r="A8" s="5"/>
      <c r="B8" s="31" t="s">
        <v>68</v>
      </c>
    </row>
    <row r="9" customFormat="false" ht="61.5" hidden="false" customHeight="true" outlineLevel="0" collapsed="false">
      <c r="A9" s="5"/>
      <c r="B9" s="32" t="s">
        <v>69</v>
      </c>
    </row>
    <row r="10" customFormat="false" ht="15" hidden="false" customHeight="false" outlineLevel="0" collapsed="false">
      <c r="A10" s="5"/>
      <c r="B10" s="5"/>
    </row>
    <row r="11" customFormat="false" ht="19.5" hidden="false" customHeight="true" outlineLevel="0" collapsed="false">
      <c r="A11" s="5"/>
      <c r="B11" s="31" t="s">
        <v>70</v>
      </c>
    </row>
    <row r="12" customFormat="false" ht="75.75" hidden="false" customHeight="true" outlineLevel="0" collapsed="false">
      <c r="A12" s="5"/>
      <c r="B12" s="32" t="s">
        <v>71</v>
      </c>
    </row>
    <row r="13" customFormat="false" ht="15" hidden="false" customHeight="false" outlineLevel="0" collapsed="false">
      <c r="A13" s="5"/>
      <c r="B13" s="5"/>
    </row>
    <row r="14" customFormat="false" ht="19.5" hidden="false" customHeight="true" outlineLevel="0" collapsed="false">
      <c r="A14" s="5"/>
      <c r="B14" s="31" t="s">
        <v>72</v>
      </c>
    </row>
    <row r="15" customFormat="false" ht="61.5" hidden="false" customHeight="true" outlineLevel="0" collapsed="false">
      <c r="A15" s="5"/>
      <c r="B15" s="32" t="s">
        <v>73</v>
      </c>
    </row>
    <row r="16" customFormat="false" ht="15" hidden="false" customHeight="false" outlineLevel="0" collapsed="false">
      <c r="A16" s="5"/>
      <c r="B16" s="5"/>
    </row>
    <row r="17" customFormat="false" ht="19.5" hidden="false" customHeight="true" outlineLevel="0" collapsed="false">
      <c r="A17" s="5"/>
      <c r="B17" s="31" t="s">
        <v>74</v>
      </c>
    </row>
    <row r="18" customFormat="false" ht="33.75" hidden="false" customHeight="true" outlineLevel="0" collapsed="false">
      <c r="A18" s="5"/>
      <c r="B18" s="32" t="s">
        <v>75</v>
      </c>
    </row>
    <row r="19" customFormat="false" ht="15" hidden="false" customHeight="false" outlineLevel="0" collapsed="false">
      <c r="A19" s="5"/>
      <c r="B19" s="5"/>
    </row>
    <row r="20" customFormat="false" ht="19.5" hidden="false" customHeight="true" outlineLevel="0" collapsed="false">
      <c r="A20" s="5"/>
      <c r="B20" s="31" t="s">
        <v>76</v>
      </c>
    </row>
    <row r="21" customFormat="false" ht="33.75" hidden="false" customHeight="true" outlineLevel="0" collapsed="false">
      <c r="A21" s="5"/>
      <c r="B21" s="32" t="s">
        <v>77</v>
      </c>
    </row>
    <row r="22" customFormat="false" ht="15" hidden="false" customHeight="false" outlineLevel="0" collapsed="false">
      <c r="A22" s="5"/>
      <c r="B22" s="5"/>
    </row>
    <row r="23" customFormat="false" ht="21.75" hidden="false" customHeight="true" outlineLevel="0" collapsed="false">
      <c r="A23" s="5"/>
      <c r="B23" s="33" t="s">
        <v>78</v>
      </c>
    </row>
    <row r="24" customFormat="false" ht="15" hidden="false" customHeight="false" outlineLevel="0" collapsed="false">
      <c r="A24" s="5"/>
      <c r="B24" s="5"/>
    </row>
    <row r="25" customFormat="false" ht="18" hidden="false" customHeight="true" outlineLevel="0" collapsed="false">
      <c r="A25" s="5"/>
      <c r="B25" s="34" t="s">
        <v>79</v>
      </c>
    </row>
    <row r="26" customFormat="false" ht="201.75" hidden="false" customHeight="true" outlineLevel="0" collapsed="false">
      <c r="A26" s="5"/>
      <c r="B26" s="35" t="s">
        <v>80</v>
      </c>
    </row>
    <row r="27" customFormat="false" ht="15" hidden="false" customHeight="false" outlineLevel="0" collapsed="false">
      <c r="A27" s="5"/>
      <c r="B27" s="5"/>
    </row>
    <row r="28" customFormat="false" ht="18" hidden="false" customHeight="true" outlineLevel="0" collapsed="false">
      <c r="A28" s="5"/>
      <c r="B28" s="36" t="s">
        <v>81</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I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37" t="s">
        <v>14</v>
      </c>
      <c r="C2" s="5"/>
      <c r="D2" s="5"/>
      <c r="E2" s="5"/>
      <c r="F2" s="5"/>
      <c r="G2" s="5"/>
      <c r="H2" s="5"/>
      <c r="I2" s="5"/>
    </row>
    <row r="3" customFormat="false" ht="15" hidden="false" customHeight="false" outlineLevel="0" collapsed="false">
      <c r="A3" s="5"/>
      <c r="B3" s="38" t="s">
        <v>82</v>
      </c>
      <c r="C3" s="5"/>
      <c r="D3" s="5"/>
      <c r="E3" s="5"/>
      <c r="F3" s="5"/>
      <c r="G3" s="5"/>
      <c r="H3" s="5"/>
      <c r="I3" s="5"/>
    </row>
    <row r="4" customFormat="false" ht="15" hidden="false" customHeight="false" outlineLevel="0" collapsed="false">
      <c r="A4" s="5"/>
      <c r="B4" s="5"/>
      <c r="C4" s="39" t="s">
        <v>83</v>
      </c>
      <c r="D4" s="39" t="s">
        <v>84</v>
      </c>
      <c r="E4" s="39" t="s">
        <v>85</v>
      </c>
      <c r="F4" s="39" t="s">
        <v>86</v>
      </c>
      <c r="G4" s="39" t="s">
        <v>87</v>
      </c>
      <c r="H4" s="39" t="s">
        <v>88</v>
      </c>
      <c r="I4" s="39" t="s">
        <v>89</v>
      </c>
    </row>
    <row r="5" customFormat="false" ht="15" hidden="false" customHeight="false" outlineLevel="0" collapsed="false">
      <c r="A5" s="5"/>
      <c r="B5" s="5"/>
      <c r="C5" s="5"/>
      <c r="D5" s="5"/>
      <c r="E5" s="5"/>
      <c r="F5" s="5"/>
      <c r="G5" s="5"/>
      <c r="H5" s="5"/>
      <c r="I5" s="5"/>
    </row>
    <row r="6" customFormat="false" ht="15" hidden="false" customHeight="false" outlineLevel="0" collapsed="false">
      <c r="A6" s="5"/>
      <c r="B6" s="40" t="s">
        <v>90</v>
      </c>
      <c r="C6" s="17"/>
      <c r="D6" s="17"/>
      <c r="E6" s="17"/>
      <c r="F6" s="17"/>
      <c r="G6" s="17"/>
      <c r="H6" s="17"/>
      <c r="I6" s="17"/>
    </row>
    <row r="7" customFormat="false" ht="15" hidden="false" customHeight="false" outlineLevel="0" collapsed="false">
      <c r="A7" s="5"/>
      <c r="B7" s="7" t="s">
        <v>91</v>
      </c>
      <c r="C7" s="41" t="n">
        <f aca="false">0</f>
        <v>0</v>
      </c>
      <c r="D7" s="41" t="n">
        <f aca="false">Initial_NOI</f>
        <v>5000000</v>
      </c>
      <c r="E7" s="41" t="n">
        <f aca="false">D7*(1+NOI_Growth)</f>
        <v>5150000</v>
      </c>
      <c r="F7" s="41" t="n">
        <f aca="false">E7*(1+NOI_Growth)</f>
        <v>5304500</v>
      </c>
      <c r="G7" s="41" t="n">
        <f aca="false">F7*(1+NOI_Growth)</f>
        <v>5463635</v>
      </c>
      <c r="H7" s="41" t="n">
        <f aca="false">G7*(1+NOI_Growth)</f>
        <v>5627544.05</v>
      </c>
      <c r="I7" s="41" t="n">
        <f aca="false">H7*(1+NOI_Growth)</f>
        <v>5796370.3715</v>
      </c>
    </row>
    <row r="8" customFormat="false" ht="15" hidden="false" customHeight="false" outlineLevel="0" collapsed="false">
      <c r="A8" s="5"/>
      <c r="B8" s="42" t="s">
        <v>92</v>
      </c>
      <c r="C8" s="41" t="n">
        <f aca="false">0</f>
        <v>0</v>
      </c>
      <c r="D8" s="41" t="n">
        <f aca="false">-Annual_Capex</f>
        <v>-500000</v>
      </c>
      <c r="E8" s="41" t="n">
        <f aca="false">-Annual_Capex</f>
        <v>-500000</v>
      </c>
      <c r="F8" s="41" t="n">
        <f aca="false">-Annual_Capex</f>
        <v>-500000</v>
      </c>
      <c r="G8" s="41" t="n">
        <f aca="false">-Annual_Capex</f>
        <v>-500000</v>
      </c>
      <c r="H8" s="41" t="n">
        <f aca="false">-Annual_Capex</f>
        <v>-500000</v>
      </c>
      <c r="I8" s="41" t="n">
        <f aca="false">-Annual_Capex</f>
        <v>-500000</v>
      </c>
    </row>
    <row r="9" customFormat="false" ht="15" hidden="false" customHeight="false" outlineLevel="0" collapsed="false">
      <c r="A9" s="5"/>
      <c r="B9" s="6" t="s">
        <v>93</v>
      </c>
      <c r="C9" s="43" t="n">
        <f aca="false">C7+C8</f>
        <v>0</v>
      </c>
      <c r="D9" s="43" t="n">
        <f aca="false">D7+D8</f>
        <v>4500000</v>
      </c>
      <c r="E9" s="43" t="n">
        <f aca="false">E7+E8</f>
        <v>4650000</v>
      </c>
      <c r="F9" s="43" t="n">
        <f aca="false">F7+F8</f>
        <v>4804500</v>
      </c>
      <c r="G9" s="43" t="n">
        <f aca="false">G7+G8</f>
        <v>4963635</v>
      </c>
      <c r="H9" s="43" t="n">
        <f aca="false">H7+H8</f>
        <v>5127544.05</v>
      </c>
      <c r="I9" s="43" t="n">
        <f aca="false">I7+I8</f>
        <v>5296370.3715</v>
      </c>
    </row>
    <row r="10" customFormat="false" ht="15" hidden="false" customHeight="false" outlineLevel="0" collapsed="false">
      <c r="A10" s="5"/>
      <c r="B10" s="5"/>
      <c r="C10" s="5"/>
      <c r="D10" s="5"/>
      <c r="E10" s="5"/>
      <c r="F10" s="5"/>
      <c r="G10" s="5"/>
      <c r="H10" s="5"/>
      <c r="I10" s="5"/>
    </row>
    <row r="11" customFormat="false" ht="15" hidden="false" customHeight="false" outlineLevel="0" collapsed="false">
      <c r="A11" s="5"/>
      <c r="B11" s="40" t="s">
        <v>94</v>
      </c>
      <c r="C11" s="17"/>
      <c r="D11" s="17"/>
      <c r="E11" s="17"/>
      <c r="F11" s="17"/>
      <c r="G11" s="17"/>
      <c r="H11" s="17"/>
      <c r="I11" s="17"/>
    </row>
    <row r="12" customFormat="false" ht="15" hidden="false" customHeight="false" outlineLevel="0" collapsed="false">
      <c r="A12" s="5"/>
      <c r="B12" s="42" t="s">
        <v>95</v>
      </c>
      <c r="C12" s="41" t="n">
        <f aca="false">IF(0=Hold_Period,C7,0)</f>
        <v>0</v>
      </c>
      <c r="D12" s="41" t="n">
        <f aca="false">IF(1=Hold_Period,D7,0)</f>
        <v>0</v>
      </c>
      <c r="E12" s="41" t="n">
        <f aca="false">IF(2=Hold_Period,E7,0)</f>
        <v>0</v>
      </c>
      <c r="F12" s="41" t="n">
        <f aca="false">IF(3=Hold_Period,F7,0)</f>
        <v>0</v>
      </c>
      <c r="G12" s="41" t="n">
        <f aca="false">IF(4=Hold_Period,G7,0)</f>
        <v>0</v>
      </c>
      <c r="H12" s="41" t="n">
        <f aca="false">IF(5=Hold_Period,H7,0)</f>
        <v>0</v>
      </c>
      <c r="I12" s="41" t="n">
        <f aca="false">IF(6=Hold_Period,I7,0)</f>
        <v>5796370.3715</v>
      </c>
    </row>
    <row r="13" customFormat="false" ht="15" hidden="false" customHeight="false" outlineLevel="0" collapsed="false">
      <c r="A13" s="5"/>
      <c r="B13" s="42" t="s">
        <v>96</v>
      </c>
      <c r="C13" s="41" t="n">
        <f aca="false">IF(C12&lt;&gt;0,C12/Exit_Cap_Rate,0)</f>
        <v>0</v>
      </c>
      <c r="D13" s="41" t="n">
        <f aca="false">IF(D12&lt;&gt;0,D12/Exit_Cap_Rate,0)</f>
        <v>0</v>
      </c>
      <c r="E13" s="41" t="n">
        <f aca="false">IF(E12&lt;&gt;0,E12/Exit_Cap_Rate,0)</f>
        <v>0</v>
      </c>
      <c r="F13" s="41" t="n">
        <f aca="false">IF(F12&lt;&gt;0,F12/Exit_Cap_Rate,0)</f>
        <v>0</v>
      </c>
      <c r="G13" s="41" t="n">
        <f aca="false">IF(G12&lt;&gt;0,G12/Exit_Cap_Rate,0)</f>
        <v>0</v>
      </c>
      <c r="H13" s="41" t="n">
        <f aca="false">IF(H12&lt;&gt;0,H12/Exit_Cap_Rate,0)</f>
        <v>0</v>
      </c>
      <c r="I13" s="41" t="n">
        <f aca="false">IF(I12&lt;&gt;0,I12/Exit_Cap_Rate,0)</f>
        <v>105388552.209091</v>
      </c>
    </row>
    <row r="14" customFormat="false" ht="15" hidden="false" customHeight="false" outlineLevel="0" collapsed="false">
      <c r="A14" s="5"/>
      <c r="B14" s="42" t="s">
        <v>52</v>
      </c>
      <c r="C14" s="41" t="n">
        <f aca="false">-C13*Selling_Costs_Pct</f>
        <v>-0</v>
      </c>
      <c r="D14" s="41" t="n">
        <f aca="false">-D13*Selling_Costs_Pct</f>
        <v>-0</v>
      </c>
      <c r="E14" s="41" t="n">
        <f aca="false">-E13*Selling_Costs_Pct</f>
        <v>-0</v>
      </c>
      <c r="F14" s="41" t="n">
        <f aca="false">-F13*Selling_Costs_Pct</f>
        <v>-0</v>
      </c>
      <c r="G14" s="41" t="n">
        <f aca="false">-G13*Selling_Costs_Pct</f>
        <v>-0</v>
      </c>
      <c r="H14" s="41" t="n">
        <f aca="false">-H13*Selling_Costs_Pct</f>
        <v>-0</v>
      </c>
      <c r="I14" s="41" t="n">
        <f aca="false">-I13*Selling_Costs_Pct</f>
        <v>-2107771.04418182</v>
      </c>
    </row>
    <row r="15" customFormat="false" ht="15" hidden="false" customHeight="false" outlineLevel="0" collapsed="false">
      <c r="A15" s="5"/>
      <c r="B15" s="6" t="s">
        <v>97</v>
      </c>
      <c r="C15" s="43" t="n">
        <f aca="false">C13+C14</f>
        <v>0</v>
      </c>
      <c r="D15" s="43" t="n">
        <f aca="false">D13+D14</f>
        <v>0</v>
      </c>
      <c r="E15" s="43" t="n">
        <f aca="false">E13+E14</f>
        <v>0</v>
      </c>
      <c r="F15" s="43" t="n">
        <f aca="false">F13+F14</f>
        <v>0</v>
      </c>
      <c r="G15" s="43" t="n">
        <f aca="false">G13+G14</f>
        <v>0</v>
      </c>
      <c r="H15" s="43" t="n">
        <f aca="false">H13+H14</f>
        <v>0</v>
      </c>
      <c r="I15" s="43" t="n">
        <f aca="false">I13+I14</f>
        <v>103280781.164909</v>
      </c>
    </row>
    <row r="16" customFormat="false" ht="15" hidden="false" customHeight="false" outlineLevel="0" collapsed="false">
      <c r="A16" s="5"/>
      <c r="B16" s="40" t="s">
        <v>98</v>
      </c>
      <c r="C16" s="17"/>
      <c r="D16" s="17"/>
      <c r="E16" s="17"/>
      <c r="F16" s="17"/>
      <c r="G16" s="17"/>
      <c r="H16" s="17"/>
      <c r="I16" s="17"/>
    </row>
    <row r="17" customFormat="false" ht="15" hidden="false" customHeight="false" outlineLevel="0" collapsed="false">
      <c r="A17" s="5"/>
      <c r="B17" s="6" t="s">
        <v>99</v>
      </c>
      <c r="C17" s="44" t="n">
        <f aca="false">C9+C15</f>
        <v>0</v>
      </c>
      <c r="D17" s="44" t="n">
        <f aca="false">D9+D15</f>
        <v>4500000</v>
      </c>
      <c r="E17" s="44" t="n">
        <f aca="false">E9+E15</f>
        <v>4650000</v>
      </c>
      <c r="F17" s="44" t="n">
        <f aca="false">F9+F15</f>
        <v>4804500</v>
      </c>
      <c r="G17" s="44" t="n">
        <f aca="false">G9+G15</f>
        <v>4963635</v>
      </c>
      <c r="H17" s="44" t="n">
        <f aca="false">H9+H15</f>
        <v>5127544.05</v>
      </c>
      <c r="I17" s="44" t="n">
        <f aca="false">I9+I15</f>
        <v>108577151.536409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I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37" t="s">
        <v>15</v>
      </c>
      <c r="C2" s="5"/>
      <c r="D2" s="5"/>
      <c r="E2" s="5"/>
      <c r="F2" s="5"/>
      <c r="G2" s="5"/>
      <c r="H2" s="5"/>
      <c r="I2" s="5"/>
    </row>
    <row r="3" customFormat="false" ht="15" hidden="false" customHeight="false" outlineLevel="0" collapsed="false">
      <c r="A3" s="5"/>
      <c r="B3" s="38" t="s">
        <v>100</v>
      </c>
      <c r="C3" s="5"/>
      <c r="D3" s="5"/>
      <c r="E3" s="5"/>
      <c r="F3" s="5"/>
      <c r="G3" s="5"/>
      <c r="H3" s="5"/>
      <c r="I3" s="5"/>
    </row>
    <row r="4" customFormat="false" ht="15" hidden="false" customHeight="false" outlineLevel="0" collapsed="false">
      <c r="A4" s="5"/>
      <c r="B4" s="5"/>
      <c r="C4" s="39" t="s">
        <v>83</v>
      </c>
      <c r="D4" s="39" t="s">
        <v>84</v>
      </c>
      <c r="E4" s="39" t="s">
        <v>85</v>
      </c>
      <c r="F4" s="39" t="s">
        <v>86</v>
      </c>
      <c r="G4" s="39" t="s">
        <v>87</v>
      </c>
      <c r="H4" s="39" t="s">
        <v>88</v>
      </c>
      <c r="I4" s="39" t="s">
        <v>89</v>
      </c>
    </row>
    <row r="5" customFormat="false" ht="15" hidden="false" customHeight="false" outlineLevel="0" collapsed="false">
      <c r="A5" s="5"/>
      <c r="B5" s="5"/>
      <c r="C5" s="5"/>
      <c r="D5" s="5"/>
      <c r="E5" s="5"/>
      <c r="F5" s="5"/>
      <c r="G5" s="5"/>
      <c r="H5" s="5"/>
      <c r="I5" s="5"/>
    </row>
    <row r="6" customFormat="false" ht="15" hidden="false" customHeight="false" outlineLevel="0" collapsed="false">
      <c r="A6" s="5"/>
      <c r="B6" s="40" t="s">
        <v>31</v>
      </c>
      <c r="C6" s="17"/>
      <c r="D6" s="17"/>
      <c r="E6" s="17"/>
      <c r="F6" s="17"/>
      <c r="G6" s="17"/>
      <c r="H6" s="17"/>
      <c r="I6" s="17"/>
    </row>
    <row r="7" customFormat="false" ht="15" hidden="false" customHeight="false" outlineLevel="0" collapsed="false">
      <c r="A7" s="5"/>
      <c r="B7" s="42" t="s">
        <v>101</v>
      </c>
      <c r="C7" s="41" t="n">
        <f aca="false">Class_A_Equity</f>
        <v>20000000</v>
      </c>
      <c r="D7" s="41" t="n">
        <f aca="false">C9</f>
        <v>20000000</v>
      </c>
      <c r="E7" s="41" t="n">
        <f aca="false">D9</f>
        <v>15500000</v>
      </c>
      <c r="F7" s="41" t="n">
        <f aca="false">E9</f>
        <v>10850000</v>
      </c>
      <c r="G7" s="41" t="n">
        <f aca="false">F9</f>
        <v>6045500</v>
      </c>
      <c r="H7" s="41" t="n">
        <f aca="false">G9</f>
        <v>1081865</v>
      </c>
      <c r="I7" s="41" t="n">
        <f aca="false">H9</f>
        <v>0</v>
      </c>
    </row>
    <row r="8" customFormat="false" ht="15" hidden="false" customHeight="false" outlineLevel="0" collapsed="false">
      <c r="A8" s="5"/>
      <c r="B8" s="42" t="s">
        <v>102</v>
      </c>
      <c r="C8" s="41" t="n">
        <f aca="false">Waterfall!C8</f>
        <v>0</v>
      </c>
      <c r="D8" s="41" t="n">
        <f aca="false">Waterfall!D8</f>
        <v>4500000</v>
      </c>
      <c r="E8" s="41" t="n">
        <f aca="false">Waterfall!E8</f>
        <v>4650000</v>
      </c>
      <c r="F8" s="41" t="n">
        <f aca="false">Waterfall!F8</f>
        <v>4804500</v>
      </c>
      <c r="G8" s="41" t="n">
        <f aca="false">Waterfall!G8</f>
        <v>4963635</v>
      </c>
      <c r="H8" s="41" t="n">
        <f aca="false">Waterfall!H8</f>
        <v>1081865</v>
      </c>
      <c r="I8" s="41" t="n">
        <f aca="false">Waterfall!I8</f>
        <v>0</v>
      </c>
    </row>
    <row r="9" customFormat="false" ht="15" hidden="false" customHeight="false" outlineLevel="0" collapsed="false">
      <c r="A9" s="5"/>
      <c r="B9" s="6" t="s">
        <v>103</v>
      </c>
      <c r="C9" s="43" t="n">
        <f aca="false">MAX(0,C7-C8)</f>
        <v>20000000</v>
      </c>
      <c r="D9" s="43" t="n">
        <f aca="false">MAX(0,D7-D8)</f>
        <v>15500000</v>
      </c>
      <c r="E9" s="43" t="n">
        <f aca="false">MAX(0,E7-E8)</f>
        <v>10850000</v>
      </c>
      <c r="F9" s="43" t="n">
        <f aca="false">MAX(0,F7-F8)</f>
        <v>6045500</v>
      </c>
      <c r="G9" s="43" t="n">
        <f aca="false">MAX(0,G7-G8)</f>
        <v>1081865</v>
      </c>
      <c r="H9" s="43" t="n">
        <f aca="false">MAX(0,H7-H8)</f>
        <v>0</v>
      </c>
      <c r="I9" s="43" t="n">
        <f aca="false">MAX(0,I7-I8)</f>
        <v>0</v>
      </c>
    </row>
    <row r="10" customFormat="false" ht="15" hidden="false" customHeight="false" outlineLevel="0" collapsed="false">
      <c r="A10" s="5"/>
      <c r="B10" s="42" t="s">
        <v>104</v>
      </c>
      <c r="C10" s="41" t="n">
        <f aca="false">0</f>
        <v>0</v>
      </c>
      <c r="D10" s="41" t="n">
        <f aca="false">C13</f>
        <v>1400000</v>
      </c>
      <c r="E10" s="41" t="n">
        <f aca="false">D13</f>
        <v>2800000</v>
      </c>
      <c r="F10" s="41" t="n">
        <f aca="false">E13</f>
        <v>3885000</v>
      </c>
      <c r="G10" s="41" t="n">
        <f aca="false">F13</f>
        <v>4644500</v>
      </c>
      <c r="H10" s="41" t="n">
        <f aca="false">G13</f>
        <v>5067685</v>
      </c>
      <c r="I10" s="41" t="n">
        <f aca="false">H13</f>
        <v>5143415.55</v>
      </c>
    </row>
    <row r="11" customFormat="false" ht="15" hidden="false" customHeight="false" outlineLevel="0" collapsed="false">
      <c r="A11" s="5"/>
      <c r="B11" s="42" t="s">
        <v>105</v>
      </c>
      <c r="C11" s="41" t="n">
        <f aca="false">C7*Class_A_Pref_Rate</f>
        <v>1400000</v>
      </c>
      <c r="D11" s="41" t="n">
        <f aca="false">D7*Class_A_Pref_Rate</f>
        <v>1400000</v>
      </c>
      <c r="E11" s="41" t="n">
        <f aca="false">E7*Class_A_Pref_Rate</f>
        <v>1085000</v>
      </c>
      <c r="F11" s="41" t="n">
        <f aca="false">F7*Class_A_Pref_Rate</f>
        <v>759500</v>
      </c>
      <c r="G11" s="41" t="n">
        <f aca="false">G7*Class_A_Pref_Rate</f>
        <v>423185</v>
      </c>
      <c r="H11" s="41" t="n">
        <f aca="false">H7*Class_A_Pref_Rate</f>
        <v>75730.55</v>
      </c>
      <c r="I11" s="41" t="n">
        <f aca="false">I7*Class_A_Pref_Rate</f>
        <v>0</v>
      </c>
    </row>
    <row r="12" customFormat="false" ht="15" hidden="false" customHeight="false" outlineLevel="0" collapsed="false">
      <c r="A12" s="5"/>
      <c r="B12" s="42" t="s">
        <v>106</v>
      </c>
      <c r="C12" s="41" t="n">
        <f aca="false">Waterfall!C16</f>
        <v>0</v>
      </c>
      <c r="D12" s="41" t="n">
        <f aca="false">Waterfall!D16</f>
        <v>0</v>
      </c>
      <c r="E12" s="41" t="n">
        <f aca="false">Waterfall!E16</f>
        <v>0</v>
      </c>
      <c r="F12" s="41" t="n">
        <f aca="false">Waterfall!F16</f>
        <v>0</v>
      </c>
      <c r="G12" s="41" t="n">
        <f aca="false">Waterfall!G16</f>
        <v>0</v>
      </c>
      <c r="H12" s="41" t="n">
        <f aca="false">Waterfall!H16</f>
        <v>0</v>
      </c>
      <c r="I12" s="41" t="n">
        <f aca="false">Waterfall!I16</f>
        <v>5143415.55</v>
      </c>
    </row>
    <row r="13" customFormat="false" ht="15" hidden="false" customHeight="false" outlineLevel="0" collapsed="false">
      <c r="A13" s="5"/>
      <c r="B13" s="6" t="s">
        <v>107</v>
      </c>
      <c r="C13" s="43" t="n">
        <f aca="false">MAX(0,C10+C11-C12)</f>
        <v>1400000</v>
      </c>
      <c r="D13" s="43" t="n">
        <f aca="false">MAX(0,D10+D11-D12)</f>
        <v>2800000</v>
      </c>
      <c r="E13" s="43" t="n">
        <f aca="false">MAX(0,E10+E11-E12)</f>
        <v>3885000</v>
      </c>
      <c r="F13" s="43" t="n">
        <f aca="false">MAX(0,F10+F11-F12)</f>
        <v>4644500</v>
      </c>
      <c r="G13" s="43" t="n">
        <f aca="false">MAX(0,G10+G11-G12)</f>
        <v>5067685</v>
      </c>
      <c r="H13" s="43" t="n">
        <f aca="false">MAX(0,H10+H11-H12)</f>
        <v>5143415.55</v>
      </c>
      <c r="I13" s="43" t="n">
        <f aca="false">MAX(0,I10+I11-I12)</f>
        <v>0</v>
      </c>
    </row>
    <row r="14" customFormat="false" ht="15" hidden="false" customHeight="false" outlineLevel="0" collapsed="false">
      <c r="A14" s="5"/>
      <c r="B14" s="5"/>
      <c r="C14" s="5"/>
      <c r="D14" s="5"/>
      <c r="E14" s="5"/>
      <c r="F14" s="5"/>
      <c r="G14" s="5"/>
      <c r="H14" s="5"/>
      <c r="I14" s="5"/>
    </row>
    <row r="15" customFormat="false" ht="15" hidden="false" customHeight="false" outlineLevel="0" collapsed="false">
      <c r="A15" s="5"/>
      <c r="B15" s="40" t="s">
        <v>34</v>
      </c>
      <c r="C15" s="17"/>
      <c r="D15" s="17"/>
      <c r="E15" s="17"/>
      <c r="F15" s="17"/>
      <c r="G15" s="17"/>
      <c r="H15" s="17"/>
      <c r="I15" s="17"/>
    </row>
    <row r="16" customFormat="false" ht="15" hidden="false" customHeight="false" outlineLevel="0" collapsed="false">
      <c r="A16" s="5"/>
      <c r="B16" s="42" t="s">
        <v>101</v>
      </c>
      <c r="C16" s="41" t="n">
        <f aca="false">Class_B_Equity</f>
        <v>15000000</v>
      </c>
      <c r="D16" s="41" t="n">
        <f aca="false">C18</f>
        <v>15000000</v>
      </c>
      <c r="E16" s="41" t="n">
        <f aca="false">D18</f>
        <v>15000000</v>
      </c>
      <c r="F16" s="41" t="n">
        <f aca="false">E18</f>
        <v>15000000</v>
      </c>
      <c r="G16" s="41" t="n">
        <f aca="false">F18</f>
        <v>15000000</v>
      </c>
      <c r="H16" s="41" t="n">
        <f aca="false">G18</f>
        <v>15000000</v>
      </c>
      <c r="I16" s="41" t="n">
        <f aca="false">H18</f>
        <v>10954320.95</v>
      </c>
    </row>
    <row r="17" customFormat="false" ht="15" hidden="false" customHeight="false" outlineLevel="0" collapsed="false">
      <c r="A17" s="5"/>
      <c r="B17" s="42" t="s">
        <v>102</v>
      </c>
      <c r="C17" s="41" t="n">
        <f aca="false">Waterfall!C9</f>
        <v>0</v>
      </c>
      <c r="D17" s="41" t="n">
        <f aca="false">Waterfall!D9</f>
        <v>0</v>
      </c>
      <c r="E17" s="41" t="n">
        <f aca="false">Waterfall!E9</f>
        <v>0</v>
      </c>
      <c r="F17" s="41" t="n">
        <f aca="false">Waterfall!F9</f>
        <v>0</v>
      </c>
      <c r="G17" s="41" t="n">
        <f aca="false">Waterfall!G9</f>
        <v>0</v>
      </c>
      <c r="H17" s="41" t="n">
        <f aca="false">Waterfall!H9</f>
        <v>4045679.05</v>
      </c>
      <c r="I17" s="41" t="n">
        <f aca="false">Waterfall!I9</f>
        <v>10954320.95</v>
      </c>
    </row>
    <row r="18" customFormat="false" ht="15" hidden="false" customHeight="false" outlineLevel="0" collapsed="false">
      <c r="A18" s="5"/>
      <c r="B18" s="6" t="s">
        <v>103</v>
      </c>
      <c r="C18" s="43" t="n">
        <f aca="false">MAX(0,C16-C17)</f>
        <v>15000000</v>
      </c>
      <c r="D18" s="43" t="n">
        <f aca="false">MAX(0,D16-D17)</f>
        <v>15000000</v>
      </c>
      <c r="E18" s="43" t="n">
        <f aca="false">MAX(0,E16-E17)</f>
        <v>15000000</v>
      </c>
      <c r="F18" s="43" t="n">
        <f aca="false">MAX(0,F16-F17)</f>
        <v>15000000</v>
      </c>
      <c r="G18" s="43" t="n">
        <f aca="false">MAX(0,G16-G17)</f>
        <v>15000000</v>
      </c>
      <c r="H18" s="43" t="n">
        <f aca="false">MAX(0,H16-H17)</f>
        <v>10954320.95</v>
      </c>
      <c r="I18" s="43" t="n">
        <f aca="false">MAX(0,I16-I17)</f>
        <v>0</v>
      </c>
    </row>
    <row r="19" customFormat="false" ht="15" hidden="false" customHeight="false" outlineLevel="0" collapsed="false">
      <c r="A19" s="5"/>
      <c r="B19" s="42" t="s">
        <v>104</v>
      </c>
      <c r="C19" s="41" t="n">
        <f aca="false">0</f>
        <v>0</v>
      </c>
      <c r="D19" s="41" t="n">
        <f aca="false">C22</f>
        <v>1350000</v>
      </c>
      <c r="E19" s="41" t="n">
        <f aca="false">D22</f>
        <v>2700000</v>
      </c>
      <c r="F19" s="41" t="n">
        <f aca="false">E22</f>
        <v>4050000</v>
      </c>
      <c r="G19" s="41" t="n">
        <f aca="false">F22</f>
        <v>5400000</v>
      </c>
      <c r="H19" s="41" t="n">
        <f aca="false">G22</f>
        <v>6750000</v>
      </c>
      <c r="I19" s="41" t="n">
        <f aca="false">H22</f>
        <v>8100000</v>
      </c>
    </row>
    <row r="20" customFormat="false" ht="15" hidden="false" customHeight="false" outlineLevel="0" collapsed="false">
      <c r="A20" s="5"/>
      <c r="B20" s="42" t="s">
        <v>105</v>
      </c>
      <c r="C20" s="41" t="n">
        <f aca="false">C16*Class_B_Pref_Rate</f>
        <v>1350000</v>
      </c>
      <c r="D20" s="41" t="n">
        <f aca="false">D16*Class_B_Pref_Rate</f>
        <v>1350000</v>
      </c>
      <c r="E20" s="41" t="n">
        <f aca="false">E16*Class_B_Pref_Rate</f>
        <v>1350000</v>
      </c>
      <c r="F20" s="41" t="n">
        <f aca="false">F16*Class_B_Pref_Rate</f>
        <v>1350000</v>
      </c>
      <c r="G20" s="41" t="n">
        <f aca="false">G16*Class_B_Pref_Rate</f>
        <v>1350000</v>
      </c>
      <c r="H20" s="41" t="n">
        <f aca="false">H16*Class_B_Pref_Rate</f>
        <v>1350000</v>
      </c>
      <c r="I20" s="41" t="n">
        <f aca="false">I16*Class_B_Pref_Rate</f>
        <v>985888.8855</v>
      </c>
    </row>
    <row r="21" customFormat="false" ht="15" hidden="false" customHeight="false" outlineLevel="0" collapsed="false">
      <c r="A21" s="5"/>
      <c r="B21" s="42" t="s">
        <v>106</v>
      </c>
      <c r="C21" s="41" t="n">
        <f aca="false">Waterfall!C17</f>
        <v>0</v>
      </c>
      <c r="D21" s="41" t="n">
        <f aca="false">Waterfall!D17</f>
        <v>0</v>
      </c>
      <c r="E21" s="41" t="n">
        <f aca="false">Waterfall!E17</f>
        <v>0</v>
      </c>
      <c r="F21" s="41" t="n">
        <f aca="false">Waterfall!F17</f>
        <v>0</v>
      </c>
      <c r="G21" s="41" t="n">
        <f aca="false">Waterfall!G17</f>
        <v>0</v>
      </c>
      <c r="H21" s="41" t="n">
        <f aca="false">Waterfall!H17</f>
        <v>0</v>
      </c>
      <c r="I21" s="41" t="n">
        <f aca="false">Waterfall!I17</f>
        <v>9085888.8855</v>
      </c>
    </row>
    <row r="22" customFormat="false" ht="15" hidden="false" customHeight="false" outlineLevel="0" collapsed="false">
      <c r="A22" s="5"/>
      <c r="B22" s="6" t="s">
        <v>107</v>
      </c>
      <c r="C22" s="43" t="n">
        <f aca="false">MAX(0,C19+C20-C21)</f>
        <v>1350000</v>
      </c>
      <c r="D22" s="43" t="n">
        <f aca="false">MAX(0,D19+D20-D21)</f>
        <v>2700000</v>
      </c>
      <c r="E22" s="43" t="n">
        <f aca="false">MAX(0,E19+E20-E21)</f>
        <v>4050000</v>
      </c>
      <c r="F22" s="43" t="n">
        <f aca="false">MAX(0,F19+F20-F21)</f>
        <v>5400000</v>
      </c>
      <c r="G22" s="43" t="n">
        <f aca="false">MAX(0,G19+G20-G21)</f>
        <v>6750000</v>
      </c>
      <c r="H22" s="43" t="n">
        <f aca="false">MAX(0,H19+H20-H21)</f>
        <v>8100000</v>
      </c>
      <c r="I22" s="43" t="n">
        <f aca="false">MAX(0,I19+I20-I21)</f>
        <v>0</v>
      </c>
    </row>
    <row r="23" customFormat="false" ht="15" hidden="false" customHeight="false" outlineLevel="0" collapsed="false">
      <c r="A23" s="5"/>
      <c r="B23" s="5"/>
      <c r="C23" s="5"/>
      <c r="D23" s="5"/>
      <c r="E23" s="5"/>
      <c r="F23" s="5"/>
      <c r="G23" s="5"/>
      <c r="H23" s="5"/>
      <c r="I23" s="5"/>
    </row>
    <row r="24" customFormat="false" ht="15" hidden="false" customHeight="false" outlineLevel="0" collapsed="false">
      <c r="A24" s="5"/>
      <c r="B24" s="40" t="s">
        <v>36</v>
      </c>
      <c r="C24" s="17"/>
      <c r="D24" s="17"/>
      <c r="E24" s="17"/>
      <c r="F24" s="17"/>
      <c r="G24" s="17"/>
      <c r="H24" s="17"/>
      <c r="I24" s="17"/>
    </row>
    <row r="25" customFormat="false" ht="15" hidden="false" customHeight="false" outlineLevel="0" collapsed="false">
      <c r="A25" s="5"/>
      <c r="B25" s="42" t="s">
        <v>101</v>
      </c>
      <c r="C25" s="41" t="n">
        <f aca="false">Class_C_Equity</f>
        <v>10000000</v>
      </c>
      <c r="D25" s="41" t="n">
        <f aca="false">C27</f>
        <v>10000000</v>
      </c>
      <c r="E25" s="41" t="n">
        <f aca="false">D27</f>
        <v>10000000</v>
      </c>
      <c r="F25" s="41" t="n">
        <f aca="false">E27</f>
        <v>10000000</v>
      </c>
      <c r="G25" s="41" t="n">
        <f aca="false">F27</f>
        <v>10000000</v>
      </c>
      <c r="H25" s="41" t="n">
        <f aca="false">G27</f>
        <v>10000000</v>
      </c>
      <c r="I25" s="41" t="n">
        <f aca="false">H27</f>
        <v>10000000</v>
      </c>
    </row>
    <row r="26" customFormat="false" ht="15" hidden="false" customHeight="false" outlineLevel="0" collapsed="false">
      <c r="A26" s="5"/>
      <c r="B26" s="42" t="s">
        <v>102</v>
      </c>
      <c r="C26" s="41" t="n">
        <f aca="false">Waterfall!C10</f>
        <v>0</v>
      </c>
      <c r="D26" s="41" t="n">
        <f aca="false">Waterfall!D10</f>
        <v>0</v>
      </c>
      <c r="E26" s="41" t="n">
        <f aca="false">Waterfall!E10</f>
        <v>0</v>
      </c>
      <c r="F26" s="41" t="n">
        <f aca="false">Waterfall!F10</f>
        <v>0</v>
      </c>
      <c r="G26" s="41" t="n">
        <f aca="false">Waterfall!G10</f>
        <v>0</v>
      </c>
      <c r="H26" s="41" t="n">
        <f aca="false">Waterfall!H10</f>
        <v>0</v>
      </c>
      <c r="I26" s="41" t="n">
        <f aca="false">Waterfall!I10</f>
        <v>10000000</v>
      </c>
    </row>
    <row r="27" customFormat="false" ht="15" hidden="false" customHeight="false" outlineLevel="0" collapsed="false">
      <c r="A27" s="5"/>
      <c r="B27" s="6" t="s">
        <v>103</v>
      </c>
      <c r="C27" s="43" t="n">
        <f aca="false">MAX(0,C25-C26)</f>
        <v>10000000</v>
      </c>
      <c r="D27" s="43" t="n">
        <f aca="false">MAX(0,D25-D26)</f>
        <v>10000000</v>
      </c>
      <c r="E27" s="43" t="n">
        <f aca="false">MAX(0,E25-E26)</f>
        <v>10000000</v>
      </c>
      <c r="F27" s="43" t="n">
        <f aca="false">MAX(0,F25-F26)</f>
        <v>10000000</v>
      </c>
      <c r="G27" s="43" t="n">
        <f aca="false">MAX(0,G25-G26)</f>
        <v>10000000</v>
      </c>
      <c r="H27" s="43" t="n">
        <f aca="false">MAX(0,H25-H26)</f>
        <v>10000000</v>
      </c>
      <c r="I27" s="43" t="n">
        <f aca="false">MAX(0,I25-I26)</f>
        <v>0</v>
      </c>
    </row>
    <row r="28" customFormat="false" ht="15" hidden="false" customHeight="false" outlineLevel="0" collapsed="false">
      <c r="A28" s="5"/>
      <c r="B28" s="42" t="s">
        <v>104</v>
      </c>
      <c r="C28" s="41" t="n">
        <f aca="false">0</f>
        <v>0</v>
      </c>
      <c r="D28" s="41" t="n">
        <f aca="false">C31</f>
        <v>1200000</v>
      </c>
      <c r="E28" s="41" t="n">
        <f aca="false">D31</f>
        <v>2400000</v>
      </c>
      <c r="F28" s="41" t="n">
        <f aca="false">E31</f>
        <v>3600000</v>
      </c>
      <c r="G28" s="41" t="n">
        <f aca="false">F31</f>
        <v>4800000</v>
      </c>
      <c r="H28" s="41" t="n">
        <f aca="false">G31</f>
        <v>6000000</v>
      </c>
      <c r="I28" s="41" t="n">
        <f aca="false">H31</f>
        <v>7200000</v>
      </c>
    </row>
    <row r="29" customFormat="false" ht="15" hidden="false" customHeight="false" outlineLevel="0" collapsed="false">
      <c r="A29" s="5"/>
      <c r="B29" s="42" t="s">
        <v>105</v>
      </c>
      <c r="C29" s="41" t="n">
        <f aca="false">C25*Class_C_Pref_Rate</f>
        <v>1200000</v>
      </c>
      <c r="D29" s="41" t="n">
        <f aca="false">D25*Class_C_Pref_Rate</f>
        <v>1200000</v>
      </c>
      <c r="E29" s="41" t="n">
        <f aca="false">E25*Class_C_Pref_Rate</f>
        <v>1200000</v>
      </c>
      <c r="F29" s="41" t="n">
        <f aca="false">F25*Class_C_Pref_Rate</f>
        <v>1200000</v>
      </c>
      <c r="G29" s="41" t="n">
        <f aca="false">G25*Class_C_Pref_Rate</f>
        <v>1200000</v>
      </c>
      <c r="H29" s="41" t="n">
        <f aca="false">H25*Class_C_Pref_Rate</f>
        <v>1200000</v>
      </c>
      <c r="I29" s="41" t="n">
        <f aca="false">I25*Class_C_Pref_Rate</f>
        <v>1200000</v>
      </c>
    </row>
    <row r="30" customFormat="false" ht="15" hidden="false" customHeight="false" outlineLevel="0" collapsed="false">
      <c r="A30" s="5"/>
      <c r="B30" s="42" t="s">
        <v>106</v>
      </c>
      <c r="C30" s="41" t="n">
        <f aca="false">Waterfall!C18</f>
        <v>0</v>
      </c>
      <c r="D30" s="41" t="n">
        <f aca="false">Waterfall!D18</f>
        <v>0</v>
      </c>
      <c r="E30" s="41" t="n">
        <f aca="false">Waterfall!E18</f>
        <v>0</v>
      </c>
      <c r="F30" s="41" t="n">
        <f aca="false">Waterfall!F18</f>
        <v>0</v>
      </c>
      <c r="G30" s="41" t="n">
        <f aca="false">Waterfall!G18</f>
        <v>0</v>
      </c>
      <c r="H30" s="41" t="n">
        <f aca="false">Waterfall!H18</f>
        <v>0</v>
      </c>
      <c r="I30" s="41" t="n">
        <f aca="false">Waterfall!I18</f>
        <v>8400000</v>
      </c>
    </row>
    <row r="31" customFormat="false" ht="15" hidden="false" customHeight="false" outlineLevel="0" collapsed="false">
      <c r="A31" s="5"/>
      <c r="B31" s="6" t="s">
        <v>107</v>
      </c>
      <c r="C31" s="43" t="n">
        <f aca="false">MAX(0,C28+C29-C30)</f>
        <v>1200000</v>
      </c>
      <c r="D31" s="43" t="n">
        <f aca="false">MAX(0,D28+D29-D30)</f>
        <v>2400000</v>
      </c>
      <c r="E31" s="43" t="n">
        <f aca="false">MAX(0,E28+E29-E30)</f>
        <v>3600000</v>
      </c>
      <c r="F31" s="43" t="n">
        <f aca="false">MAX(0,F28+F29-F30)</f>
        <v>4800000</v>
      </c>
      <c r="G31" s="43" t="n">
        <f aca="false">MAX(0,G28+G29-G30)</f>
        <v>6000000</v>
      </c>
      <c r="H31" s="43" t="n">
        <f aca="false">MAX(0,H28+H29-H30)</f>
        <v>7200000</v>
      </c>
      <c r="I31" s="43" t="n">
        <f aca="false">MAX(0,I28+I29-I30)</f>
        <v>0</v>
      </c>
    </row>
    <row r="32" customFormat="false" ht="15" hidden="false" customHeight="false" outlineLevel="0" collapsed="false">
      <c r="A32" s="5"/>
      <c r="B32" s="5"/>
      <c r="C32" s="5"/>
      <c r="D32" s="5"/>
      <c r="E32" s="5"/>
      <c r="F32" s="5"/>
      <c r="G32" s="5"/>
      <c r="H32" s="5"/>
      <c r="I32" s="5"/>
    </row>
    <row r="33" customFormat="false" ht="15" hidden="false" customHeight="false" outlineLevel="0" collapsed="false">
      <c r="A33" s="5"/>
      <c r="B33" s="40" t="s">
        <v>108</v>
      </c>
      <c r="C33" s="17"/>
      <c r="D33" s="17"/>
      <c r="E33" s="17"/>
      <c r="F33" s="17"/>
      <c r="G33" s="17"/>
      <c r="H33" s="17"/>
      <c r="I33" s="17"/>
    </row>
    <row r="34" customFormat="false" ht="15" hidden="false" customHeight="false" outlineLevel="0" collapsed="false">
      <c r="A34" s="5"/>
      <c r="B34" s="42" t="s">
        <v>101</v>
      </c>
      <c r="C34" s="41" t="n">
        <f aca="false">Common_Equity</f>
        <v>5000000</v>
      </c>
      <c r="D34" s="41" t="n">
        <f aca="false">C36</f>
        <v>5000000</v>
      </c>
      <c r="E34" s="41" t="n">
        <f aca="false">D36</f>
        <v>5000000</v>
      </c>
      <c r="F34" s="41" t="n">
        <f aca="false">E36</f>
        <v>5000000</v>
      </c>
      <c r="G34" s="41" t="n">
        <f aca="false">F36</f>
        <v>5000000</v>
      </c>
      <c r="H34" s="41" t="n">
        <f aca="false">G36</f>
        <v>5000000</v>
      </c>
      <c r="I34" s="41" t="n">
        <f aca="false">H36</f>
        <v>5000000</v>
      </c>
    </row>
    <row r="35" customFormat="false" ht="15" hidden="false" customHeight="false" outlineLevel="0" collapsed="false">
      <c r="A35" s="5"/>
      <c r="B35" s="42" t="s">
        <v>102</v>
      </c>
      <c r="C35" s="41" t="n">
        <f aca="false">Waterfall!C11</f>
        <v>0</v>
      </c>
      <c r="D35" s="41" t="n">
        <f aca="false">Waterfall!D11</f>
        <v>0</v>
      </c>
      <c r="E35" s="41" t="n">
        <f aca="false">Waterfall!E11</f>
        <v>0</v>
      </c>
      <c r="F35" s="41" t="n">
        <f aca="false">Waterfall!F11</f>
        <v>0</v>
      </c>
      <c r="G35" s="41" t="n">
        <f aca="false">Waterfall!G11</f>
        <v>0</v>
      </c>
      <c r="H35" s="41" t="n">
        <f aca="false">Waterfall!H11</f>
        <v>0</v>
      </c>
      <c r="I35" s="41" t="n">
        <f aca="false">Waterfall!I11</f>
        <v>5000000</v>
      </c>
    </row>
    <row r="36" customFormat="false" ht="15" hidden="false" customHeight="false" outlineLevel="0" collapsed="false">
      <c r="A36" s="5"/>
      <c r="B36" s="6" t="s">
        <v>103</v>
      </c>
      <c r="C36" s="43" t="n">
        <f aca="false">MAX(0,C34-C35)</f>
        <v>5000000</v>
      </c>
      <c r="D36" s="43" t="n">
        <f aca="false">MAX(0,D34-D35)</f>
        <v>5000000</v>
      </c>
      <c r="E36" s="43" t="n">
        <f aca="false">MAX(0,E34-E35)</f>
        <v>5000000</v>
      </c>
      <c r="F36" s="43" t="n">
        <f aca="false">MAX(0,F34-F35)</f>
        <v>5000000</v>
      </c>
      <c r="G36" s="43" t="n">
        <f aca="false">MAX(0,G34-G35)</f>
        <v>5000000</v>
      </c>
      <c r="H36" s="43" t="n">
        <f aca="false">MAX(0,H34-H35)</f>
        <v>5000000</v>
      </c>
      <c r="I36" s="43" t="n">
        <f aca="false">MAX(0,I34-I35)</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I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37" t="s">
        <v>109</v>
      </c>
      <c r="C2" s="5"/>
      <c r="D2" s="5"/>
      <c r="E2" s="5"/>
      <c r="F2" s="5"/>
      <c r="G2" s="5"/>
      <c r="H2" s="5"/>
      <c r="I2" s="5"/>
    </row>
    <row r="3" customFormat="false" ht="15" hidden="false" customHeight="false" outlineLevel="0" collapsed="false">
      <c r="A3" s="5"/>
      <c r="B3" s="38" t="s">
        <v>110</v>
      </c>
      <c r="C3" s="5"/>
      <c r="D3" s="5"/>
      <c r="E3" s="5"/>
      <c r="F3" s="5"/>
      <c r="G3" s="5"/>
      <c r="H3" s="5"/>
      <c r="I3" s="5"/>
    </row>
    <row r="4" customFormat="false" ht="15" hidden="false" customHeight="false" outlineLevel="0" collapsed="false">
      <c r="A4" s="5"/>
      <c r="B4" s="5"/>
      <c r="C4" s="39" t="s">
        <v>83</v>
      </c>
      <c r="D4" s="39" t="s">
        <v>84</v>
      </c>
      <c r="E4" s="39" t="s">
        <v>85</v>
      </c>
      <c r="F4" s="39" t="s">
        <v>86</v>
      </c>
      <c r="G4" s="39" t="s">
        <v>87</v>
      </c>
      <c r="H4" s="39" t="s">
        <v>88</v>
      </c>
      <c r="I4" s="39" t="s">
        <v>89</v>
      </c>
    </row>
    <row r="5" customFormat="false" ht="15" hidden="false" customHeight="false" outlineLevel="0" collapsed="false">
      <c r="A5" s="5"/>
      <c r="B5" s="6" t="s">
        <v>111</v>
      </c>
      <c r="C5" s="45" t="n">
        <f aca="false">Project_Cash_Flow!C$17</f>
        <v>0</v>
      </c>
      <c r="D5" s="45" t="n">
        <f aca="false">Project_Cash_Flow!D$17</f>
        <v>4500000</v>
      </c>
      <c r="E5" s="45" t="n">
        <f aca="false">Project_Cash_Flow!E$17</f>
        <v>4650000</v>
      </c>
      <c r="F5" s="45" t="n">
        <f aca="false">Project_Cash_Flow!F$17</f>
        <v>4804500</v>
      </c>
      <c r="G5" s="45" t="n">
        <f aca="false">Project_Cash_Flow!G$17</f>
        <v>4963635</v>
      </c>
      <c r="H5" s="45" t="n">
        <f aca="false">Project_Cash_Flow!H$17</f>
        <v>5127544.05</v>
      </c>
      <c r="I5" s="45" t="n">
        <f aca="false">Project_Cash_Flow!I$17</f>
        <v>108577151.536409</v>
      </c>
    </row>
    <row r="6" customFormat="false" ht="15" hidden="false" customHeight="false" outlineLevel="0" collapsed="false">
      <c r="A6" s="5"/>
      <c r="B6" s="5"/>
      <c r="C6" s="5"/>
      <c r="D6" s="5"/>
      <c r="E6" s="5"/>
      <c r="F6" s="5"/>
      <c r="G6" s="5"/>
      <c r="H6" s="5"/>
      <c r="I6" s="5"/>
    </row>
    <row r="7" customFormat="false" ht="15" hidden="false" customHeight="false" outlineLevel="0" collapsed="false">
      <c r="A7" s="5"/>
      <c r="B7" s="40" t="s">
        <v>112</v>
      </c>
      <c r="C7" s="17"/>
      <c r="D7" s="17"/>
      <c r="E7" s="17"/>
      <c r="F7" s="17"/>
      <c r="G7" s="17"/>
      <c r="H7" s="17"/>
      <c r="I7" s="17"/>
    </row>
    <row r="8" customFormat="false" ht="15" hidden="false" customHeight="false" outlineLevel="0" collapsed="false">
      <c r="A8" s="5"/>
      <c r="B8" s="42" t="s">
        <v>113</v>
      </c>
      <c r="C8" s="41" t="n">
        <f aca="false">MIN(Capital_Accounts!C7,C5)</f>
        <v>0</v>
      </c>
      <c r="D8" s="41" t="n">
        <f aca="false">MIN(Capital_Accounts!D7,D5)</f>
        <v>4500000</v>
      </c>
      <c r="E8" s="41" t="n">
        <f aca="false">MIN(Capital_Accounts!E7,E5)</f>
        <v>4650000</v>
      </c>
      <c r="F8" s="41" t="n">
        <f aca="false">MIN(Capital_Accounts!F7,F5)</f>
        <v>4804500</v>
      </c>
      <c r="G8" s="41" t="n">
        <f aca="false">MIN(Capital_Accounts!G7,G5)</f>
        <v>4963635</v>
      </c>
      <c r="H8" s="41" t="n">
        <f aca="false">MIN(Capital_Accounts!H7,H5)</f>
        <v>1081865</v>
      </c>
      <c r="I8" s="41" t="n">
        <f aca="false">MIN(Capital_Accounts!I7,I5)</f>
        <v>0</v>
      </c>
    </row>
    <row r="9" customFormat="false" ht="15" hidden="false" customHeight="false" outlineLevel="0" collapsed="false">
      <c r="A9" s="5"/>
      <c r="B9" s="42" t="s">
        <v>114</v>
      </c>
      <c r="C9" s="41" t="n">
        <f aca="false">MIN(Capital_Accounts!C16,MAX(0,C5-C8))</f>
        <v>0</v>
      </c>
      <c r="D9" s="41" t="n">
        <f aca="false">MIN(Capital_Accounts!D16,MAX(0,D5-D8))</f>
        <v>0</v>
      </c>
      <c r="E9" s="41" t="n">
        <f aca="false">MIN(Capital_Accounts!E16,MAX(0,E5-E8))</f>
        <v>0</v>
      </c>
      <c r="F9" s="41" t="n">
        <f aca="false">MIN(Capital_Accounts!F16,MAX(0,F5-F8))</f>
        <v>0</v>
      </c>
      <c r="G9" s="41" t="n">
        <f aca="false">MIN(Capital_Accounts!G16,MAX(0,G5-G8))</f>
        <v>0</v>
      </c>
      <c r="H9" s="41" t="n">
        <f aca="false">MIN(Capital_Accounts!H16,MAX(0,H5-H8))</f>
        <v>4045679.05</v>
      </c>
      <c r="I9" s="41" t="n">
        <f aca="false">MIN(Capital_Accounts!I16,MAX(0,I5-I8))</f>
        <v>10954320.95</v>
      </c>
    </row>
    <row r="10" customFormat="false" ht="15" hidden="false" customHeight="false" outlineLevel="0" collapsed="false">
      <c r="A10" s="5"/>
      <c r="B10" s="42" t="s">
        <v>115</v>
      </c>
      <c r="C10" s="41" t="n">
        <f aca="false">MIN(Capital_Accounts!C25,MAX(0,C5-C8-C9))</f>
        <v>0</v>
      </c>
      <c r="D10" s="41" t="n">
        <f aca="false">MIN(Capital_Accounts!D25,MAX(0,D5-D8-D9))</f>
        <v>0</v>
      </c>
      <c r="E10" s="41" t="n">
        <f aca="false">MIN(Capital_Accounts!E25,MAX(0,E5-E8-E9))</f>
        <v>0</v>
      </c>
      <c r="F10" s="41" t="n">
        <f aca="false">MIN(Capital_Accounts!F25,MAX(0,F5-F8-F9))</f>
        <v>0</v>
      </c>
      <c r="G10" s="41" t="n">
        <f aca="false">MIN(Capital_Accounts!G25,MAX(0,G5-G8-G9))</f>
        <v>0</v>
      </c>
      <c r="H10" s="41" t="n">
        <f aca="false">MIN(Capital_Accounts!H25,MAX(0,H5-H8-H9))</f>
        <v>0</v>
      </c>
      <c r="I10" s="41" t="n">
        <f aca="false">MIN(Capital_Accounts!I25,MAX(0,I5-I8-I9))</f>
        <v>10000000</v>
      </c>
    </row>
    <row r="11" customFormat="false" ht="15" hidden="false" customHeight="false" outlineLevel="0" collapsed="false">
      <c r="A11" s="5"/>
      <c r="B11" s="42" t="s">
        <v>116</v>
      </c>
      <c r="C11" s="41" t="n">
        <f aca="false">MIN(Capital_Accounts!C34,MAX(0,C5-C8-C9-C10))</f>
        <v>0</v>
      </c>
      <c r="D11" s="41" t="n">
        <f aca="false">MIN(Capital_Accounts!D34,MAX(0,D5-D8-D9-D10))</f>
        <v>0</v>
      </c>
      <c r="E11" s="41" t="n">
        <f aca="false">MIN(Capital_Accounts!E34,MAX(0,E5-E8-E9-E10))</f>
        <v>0</v>
      </c>
      <c r="F11" s="41" t="n">
        <f aca="false">MIN(Capital_Accounts!F34,MAX(0,F5-F8-F9-F10))</f>
        <v>0</v>
      </c>
      <c r="G11" s="41" t="n">
        <f aca="false">MIN(Capital_Accounts!G34,MAX(0,G5-G8-G9-G10))</f>
        <v>0</v>
      </c>
      <c r="H11" s="41" t="n">
        <f aca="false">MIN(Capital_Accounts!H34,MAX(0,H5-H8-H9-H10))</f>
        <v>0</v>
      </c>
      <c r="I11" s="41" t="n">
        <f aca="false">MIN(Capital_Accounts!I34,MAX(0,I5-I8-I9-I10))</f>
        <v>5000000</v>
      </c>
    </row>
    <row r="12" customFormat="false" ht="15" hidden="false" customHeight="false" outlineLevel="0" collapsed="false">
      <c r="A12" s="5"/>
      <c r="B12" s="6" t="s">
        <v>117</v>
      </c>
      <c r="C12" s="43" t="n">
        <f aca="false">C8+C9+C10+C11</f>
        <v>0</v>
      </c>
      <c r="D12" s="43" t="n">
        <f aca="false">D8+D9+D10+D11</f>
        <v>4500000</v>
      </c>
      <c r="E12" s="43" t="n">
        <f aca="false">E8+E9+E10+E11</f>
        <v>4650000</v>
      </c>
      <c r="F12" s="43" t="n">
        <f aca="false">F8+F9+F10+F11</f>
        <v>4804500</v>
      </c>
      <c r="G12" s="43" t="n">
        <f aca="false">G8+G9+G10+G11</f>
        <v>4963635</v>
      </c>
      <c r="H12" s="43" t="n">
        <f aca="false">H8+H9+H10+H11</f>
        <v>5127544.05</v>
      </c>
      <c r="I12" s="43" t="n">
        <f aca="false">I8+I9+I10+I11</f>
        <v>25954320.95</v>
      </c>
    </row>
    <row r="13" customFormat="false" ht="15" hidden="false" customHeight="false" outlineLevel="0" collapsed="false">
      <c r="A13" s="5"/>
      <c r="B13" s="6" t="s">
        <v>118</v>
      </c>
      <c r="C13" s="45" t="n">
        <f aca="false">MAX(0,C5-C12)</f>
        <v>0</v>
      </c>
      <c r="D13" s="45" t="n">
        <f aca="false">MAX(0,D5-D12)</f>
        <v>0</v>
      </c>
      <c r="E13" s="45" t="n">
        <f aca="false">MAX(0,E5-E12)</f>
        <v>0</v>
      </c>
      <c r="F13" s="45" t="n">
        <f aca="false">MAX(0,F5-F12)</f>
        <v>0</v>
      </c>
      <c r="G13" s="45" t="n">
        <f aca="false">MAX(0,G5-G12)</f>
        <v>0</v>
      </c>
      <c r="H13" s="45" t="n">
        <f aca="false">MAX(0,H5-H12)</f>
        <v>0</v>
      </c>
      <c r="I13" s="45" t="n">
        <f aca="false">MAX(0,I5-I12)</f>
        <v>82622830.5864091</v>
      </c>
    </row>
    <row r="14" customFormat="false" ht="15" hidden="false" customHeight="false" outlineLevel="0" collapsed="false">
      <c r="A14" s="5"/>
      <c r="B14" s="5"/>
      <c r="C14" s="5"/>
      <c r="D14" s="5"/>
      <c r="E14" s="5"/>
      <c r="F14" s="5"/>
      <c r="G14" s="5"/>
      <c r="H14" s="5"/>
      <c r="I14" s="5"/>
    </row>
    <row r="15" customFormat="false" ht="15" hidden="false" customHeight="false" outlineLevel="0" collapsed="false">
      <c r="A15" s="5"/>
      <c r="B15" s="40" t="s">
        <v>119</v>
      </c>
      <c r="C15" s="17"/>
      <c r="D15" s="17"/>
      <c r="E15" s="17"/>
      <c r="F15" s="17"/>
      <c r="G15" s="17"/>
      <c r="H15" s="17"/>
      <c r="I15" s="17"/>
    </row>
    <row r="16" customFormat="false" ht="15" hidden="false" customHeight="false" outlineLevel="0" collapsed="false">
      <c r="A16" s="5"/>
      <c r="B16" s="42" t="s">
        <v>31</v>
      </c>
      <c r="C16" s="41" t="n">
        <f aca="false">MIN(Capital_Accounts!C10+Capital_Accounts!C11,C13)</f>
        <v>0</v>
      </c>
      <c r="D16" s="41" t="n">
        <f aca="false">MIN(Capital_Accounts!D10+Capital_Accounts!D11,D13)</f>
        <v>0</v>
      </c>
      <c r="E16" s="41" t="n">
        <f aca="false">MIN(Capital_Accounts!E10+Capital_Accounts!E11,E13)</f>
        <v>0</v>
      </c>
      <c r="F16" s="41" t="n">
        <f aca="false">MIN(Capital_Accounts!F10+Capital_Accounts!F11,F13)</f>
        <v>0</v>
      </c>
      <c r="G16" s="41" t="n">
        <f aca="false">MIN(Capital_Accounts!G10+Capital_Accounts!G11,G13)</f>
        <v>0</v>
      </c>
      <c r="H16" s="41" t="n">
        <f aca="false">MIN(Capital_Accounts!H10+Capital_Accounts!H11,H13)</f>
        <v>0</v>
      </c>
      <c r="I16" s="41" t="n">
        <f aca="false">MIN(Capital_Accounts!I10+Capital_Accounts!I11,I13)</f>
        <v>5143415.55</v>
      </c>
    </row>
    <row r="17" customFormat="false" ht="15" hidden="false" customHeight="false" outlineLevel="0" collapsed="false">
      <c r="A17" s="5"/>
      <c r="B17" s="42" t="s">
        <v>34</v>
      </c>
      <c r="C17" s="41" t="n">
        <f aca="false">MIN(Capital_Accounts!C19+Capital_Accounts!C20,MAX(0,C13-C16))</f>
        <v>0</v>
      </c>
      <c r="D17" s="41" t="n">
        <f aca="false">MIN(Capital_Accounts!D19+Capital_Accounts!D20,MAX(0,D13-D16))</f>
        <v>0</v>
      </c>
      <c r="E17" s="41" t="n">
        <f aca="false">MIN(Capital_Accounts!E19+Capital_Accounts!E20,MAX(0,E13-E16))</f>
        <v>0</v>
      </c>
      <c r="F17" s="41" t="n">
        <f aca="false">MIN(Capital_Accounts!F19+Capital_Accounts!F20,MAX(0,F13-F16))</f>
        <v>0</v>
      </c>
      <c r="G17" s="41" t="n">
        <f aca="false">MIN(Capital_Accounts!G19+Capital_Accounts!G20,MAX(0,G13-G16))</f>
        <v>0</v>
      </c>
      <c r="H17" s="41" t="n">
        <f aca="false">MIN(Capital_Accounts!H19+Capital_Accounts!H20,MAX(0,H13-H16))</f>
        <v>0</v>
      </c>
      <c r="I17" s="41" t="n">
        <f aca="false">MIN(Capital_Accounts!I19+Capital_Accounts!I20,MAX(0,I13-I16))</f>
        <v>9085888.8855</v>
      </c>
    </row>
    <row r="18" customFormat="false" ht="15" hidden="false" customHeight="false" outlineLevel="0" collapsed="false">
      <c r="A18" s="5"/>
      <c r="B18" s="42" t="s">
        <v>36</v>
      </c>
      <c r="C18" s="41" t="n">
        <f aca="false">MIN(Capital_Accounts!C28+Capital_Accounts!C29,MAX(0,C13-C16-C17))</f>
        <v>0</v>
      </c>
      <c r="D18" s="41" t="n">
        <f aca="false">MIN(Capital_Accounts!D28+Capital_Accounts!D29,MAX(0,D13-D16-D17))</f>
        <v>0</v>
      </c>
      <c r="E18" s="41" t="n">
        <f aca="false">MIN(Capital_Accounts!E28+Capital_Accounts!E29,MAX(0,E13-E16-E17))</f>
        <v>0</v>
      </c>
      <c r="F18" s="41" t="n">
        <f aca="false">MIN(Capital_Accounts!F28+Capital_Accounts!F29,MAX(0,F13-F16-F17))</f>
        <v>0</v>
      </c>
      <c r="G18" s="41" t="n">
        <f aca="false">MIN(Capital_Accounts!G28+Capital_Accounts!G29,MAX(0,G13-G16-G17))</f>
        <v>0</v>
      </c>
      <c r="H18" s="41" t="n">
        <f aca="false">MIN(Capital_Accounts!H28+Capital_Accounts!H29,MAX(0,H13-H16-H17))</f>
        <v>0</v>
      </c>
      <c r="I18" s="41" t="n">
        <f aca="false">MIN(Capital_Accounts!I28+Capital_Accounts!I29,MAX(0,I13-I16-I17))</f>
        <v>8400000</v>
      </c>
    </row>
    <row r="19" customFormat="false" ht="15" hidden="false" customHeight="false" outlineLevel="0" collapsed="false">
      <c r="A19" s="5"/>
      <c r="B19" s="6" t="s">
        <v>120</v>
      </c>
      <c r="C19" s="43" t="n">
        <f aca="false">C16+C17+C18</f>
        <v>0</v>
      </c>
      <c r="D19" s="43" t="n">
        <f aca="false">D16+D17+D18</f>
        <v>0</v>
      </c>
      <c r="E19" s="43" t="n">
        <f aca="false">E16+E17+E18</f>
        <v>0</v>
      </c>
      <c r="F19" s="43" t="n">
        <f aca="false">F16+F17+F18</f>
        <v>0</v>
      </c>
      <c r="G19" s="43" t="n">
        <f aca="false">G16+G17+G18</f>
        <v>0</v>
      </c>
      <c r="H19" s="43" t="n">
        <f aca="false">H16+H17+H18</f>
        <v>0</v>
      </c>
      <c r="I19" s="43" t="n">
        <f aca="false">I16+I17+I18</f>
        <v>22629304.4355</v>
      </c>
    </row>
    <row r="20" customFormat="false" ht="15" hidden="false" customHeight="false" outlineLevel="0" collapsed="false">
      <c r="A20" s="5"/>
      <c r="B20" s="6" t="s">
        <v>121</v>
      </c>
      <c r="C20" s="45" t="n">
        <f aca="false">MAX(0,C13-C19)</f>
        <v>0</v>
      </c>
      <c r="D20" s="45" t="n">
        <f aca="false">MAX(0,D13-D19)</f>
        <v>0</v>
      </c>
      <c r="E20" s="45" t="n">
        <f aca="false">MAX(0,E13-E19)</f>
        <v>0</v>
      </c>
      <c r="F20" s="45" t="n">
        <f aca="false">MAX(0,F13-F19)</f>
        <v>0</v>
      </c>
      <c r="G20" s="45" t="n">
        <f aca="false">MAX(0,G13-G19)</f>
        <v>0</v>
      </c>
      <c r="H20" s="45" t="n">
        <f aca="false">MAX(0,H13-H19)</f>
        <v>0</v>
      </c>
      <c r="I20" s="45" t="n">
        <f aca="false">MAX(0,I13-I19)</f>
        <v>59993526.1509091</v>
      </c>
    </row>
    <row r="21" customFormat="false" ht="15" hidden="false" customHeight="false" outlineLevel="0" collapsed="false">
      <c r="A21" s="5"/>
      <c r="B21" s="5"/>
      <c r="C21" s="5"/>
      <c r="D21" s="5"/>
      <c r="E21" s="5"/>
      <c r="F21" s="5"/>
      <c r="G21" s="5"/>
      <c r="H21" s="5"/>
      <c r="I21" s="5"/>
    </row>
    <row r="22" customFormat="false" ht="15" hidden="false" customHeight="false" outlineLevel="0" collapsed="false">
      <c r="A22" s="5"/>
      <c r="B22" s="40" t="s">
        <v>122</v>
      </c>
      <c r="C22" s="17"/>
      <c r="D22" s="17"/>
      <c r="E22" s="17"/>
      <c r="F22" s="17"/>
      <c r="G22" s="17"/>
      <c r="H22" s="17"/>
      <c r="I22" s="17"/>
    </row>
    <row r="23" customFormat="false" ht="15" hidden="false" customHeight="false" outlineLevel="0" collapsed="false">
      <c r="A23" s="5"/>
      <c r="B23" s="42" t="s">
        <v>123</v>
      </c>
      <c r="C23" s="41" t="n">
        <f aca="false">MIN(C20*Catchup_Pct,MAX(0,(C19+C20)*Promote_GP_Split/(1-Promote_GP_Split+0.0001)))</f>
        <v>0</v>
      </c>
      <c r="D23" s="41" t="n">
        <f aca="false">MIN(D20*Catchup_Pct,MAX(0,(D19+D20)*Promote_GP_Split/(1-Promote_GP_Split+0.0001)))</f>
        <v>0</v>
      </c>
      <c r="E23" s="41" t="n">
        <f aca="false">MIN(E20*Catchup_Pct,MAX(0,(E19+E20)*Promote_GP_Split/(1-Promote_GP_Split+0.0001)))</f>
        <v>0</v>
      </c>
      <c r="F23" s="41" t="n">
        <f aca="false">MIN(F20*Catchup_Pct,MAX(0,(F19+F20)*Promote_GP_Split/(1-Promote_GP_Split+0.0001)))</f>
        <v>0</v>
      </c>
      <c r="G23" s="41" t="n">
        <f aca="false">MIN(G20*Catchup_Pct,MAX(0,(G19+G20)*Promote_GP_Split/(1-Promote_GP_Split+0.0001)))</f>
        <v>0</v>
      </c>
      <c r="H23" s="41" t="n">
        <f aca="false">MIN(H20*Catchup_Pct,MAX(0,(H19+H20)*Promote_GP_Split/(1-Promote_GP_Split+0.0001)))</f>
        <v>0</v>
      </c>
      <c r="I23" s="41" t="n">
        <f aca="false">MIN(I20*Catchup_Pct,MAX(0,(I19+I20)*Promote_GP_Split/(1-Promote_GP_Split+0.0001)))</f>
        <v>20653126.0058515</v>
      </c>
    </row>
    <row r="24" customFormat="false" ht="15" hidden="false" customHeight="false" outlineLevel="0" collapsed="false">
      <c r="A24" s="5"/>
      <c r="B24" s="6" t="s">
        <v>124</v>
      </c>
      <c r="C24" s="45" t="n">
        <f aca="false">MAX(0,C20-C23)</f>
        <v>0</v>
      </c>
      <c r="D24" s="45" t="n">
        <f aca="false">MAX(0,D20-D23)</f>
        <v>0</v>
      </c>
      <c r="E24" s="45" t="n">
        <f aca="false">MAX(0,E20-E23)</f>
        <v>0</v>
      </c>
      <c r="F24" s="45" t="n">
        <f aca="false">MAX(0,F20-F23)</f>
        <v>0</v>
      </c>
      <c r="G24" s="45" t="n">
        <f aca="false">MAX(0,G20-G23)</f>
        <v>0</v>
      </c>
      <c r="H24" s="45" t="n">
        <f aca="false">MAX(0,H20-H23)</f>
        <v>0</v>
      </c>
      <c r="I24" s="45" t="n">
        <f aca="false">MAX(0,I20-I23)</f>
        <v>39340400.1450576</v>
      </c>
    </row>
    <row r="25" customFormat="false" ht="15" hidden="false" customHeight="false" outlineLevel="0" collapsed="false">
      <c r="A25" s="5"/>
      <c r="B25" s="5"/>
      <c r="C25" s="5"/>
      <c r="D25" s="5"/>
      <c r="E25" s="5"/>
      <c r="F25" s="5"/>
      <c r="G25" s="5"/>
      <c r="H25" s="5"/>
      <c r="I25" s="5"/>
    </row>
    <row r="26" customFormat="false" ht="15" hidden="false" customHeight="false" outlineLevel="0" collapsed="false">
      <c r="A26" s="5"/>
      <c r="B26" s="40" t="s">
        <v>125</v>
      </c>
      <c r="C26" s="17"/>
      <c r="D26" s="17"/>
      <c r="E26" s="17"/>
      <c r="F26" s="17"/>
      <c r="G26" s="17"/>
      <c r="H26" s="17"/>
      <c r="I26" s="17"/>
    </row>
    <row r="27" customFormat="false" ht="15" hidden="false" customHeight="false" outlineLevel="0" collapsed="false">
      <c r="A27" s="5"/>
      <c r="B27" s="42" t="s">
        <v>126</v>
      </c>
      <c r="C27" s="41" t="n">
        <f aca="false">C24*(1-Promote_GP_Split)</f>
        <v>0</v>
      </c>
      <c r="D27" s="41" t="n">
        <f aca="false">D24*(1-Promote_GP_Split)</f>
        <v>0</v>
      </c>
      <c r="E27" s="41" t="n">
        <f aca="false">E24*(1-Promote_GP_Split)</f>
        <v>0</v>
      </c>
      <c r="F27" s="41" t="n">
        <f aca="false">F24*(1-Promote_GP_Split)</f>
        <v>0</v>
      </c>
      <c r="G27" s="41" t="n">
        <f aca="false">G24*(1-Promote_GP_Split)</f>
        <v>0</v>
      </c>
      <c r="H27" s="41" t="n">
        <f aca="false">H24*(1-Promote_GP_Split)</f>
        <v>0</v>
      </c>
      <c r="I27" s="41" t="n">
        <f aca="false">I24*(1-Promote_GP_Split)</f>
        <v>31472320.1160461</v>
      </c>
    </row>
    <row r="28" customFormat="false" ht="15" hidden="false" customHeight="false" outlineLevel="0" collapsed="false">
      <c r="A28" s="5"/>
      <c r="B28" s="42" t="s">
        <v>127</v>
      </c>
      <c r="C28" s="41" t="n">
        <f aca="false">C24*Promote_GP_Split</f>
        <v>0</v>
      </c>
      <c r="D28" s="41" t="n">
        <f aca="false">D24*Promote_GP_Split</f>
        <v>0</v>
      </c>
      <c r="E28" s="41" t="n">
        <f aca="false">E24*Promote_GP_Split</f>
        <v>0</v>
      </c>
      <c r="F28" s="41" t="n">
        <f aca="false">F24*Promote_GP_Split</f>
        <v>0</v>
      </c>
      <c r="G28" s="41" t="n">
        <f aca="false">G24*Promote_GP_Split</f>
        <v>0</v>
      </c>
      <c r="H28" s="41" t="n">
        <f aca="false">H24*Promote_GP_Split</f>
        <v>0</v>
      </c>
      <c r="I28" s="41" t="n">
        <f aca="false">I24*Promote_GP_Split</f>
        <v>7868080.02901151</v>
      </c>
    </row>
    <row r="29" customFormat="false" ht="15" hidden="false" customHeight="false" outlineLevel="0" collapsed="false">
      <c r="A29" s="5"/>
      <c r="B29" s="6" t="s">
        <v>128</v>
      </c>
      <c r="C29" s="43" t="n">
        <f aca="false">C27+C28</f>
        <v>0</v>
      </c>
      <c r="D29" s="43" t="n">
        <f aca="false">D27+D28</f>
        <v>0</v>
      </c>
      <c r="E29" s="43" t="n">
        <f aca="false">E27+E28</f>
        <v>0</v>
      </c>
      <c r="F29" s="43" t="n">
        <f aca="false">F27+F28</f>
        <v>0</v>
      </c>
      <c r="G29" s="43" t="n">
        <f aca="false">G27+G28</f>
        <v>0</v>
      </c>
      <c r="H29" s="43" t="n">
        <f aca="false">H27+H28</f>
        <v>0</v>
      </c>
      <c r="I29" s="43" t="n">
        <f aca="false">I27+I28</f>
        <v>39340400.1450576</v>
      </c>
    </row>
    <row r="30" customFormat="false" ht="15" hidden="false" customHeight="false" outlineLevel="0" collapsed="false">
      <c r="A30" s="5"/>
      <c r="B30" s="5"/>
      <c r="C30" s="5"/>
      <c r="D30" s="5"/>
      <c r="E30" s="5"/>
      <c r="F30" s="5"/>
      <c r="G30" s="5"/>
      <c r="H30" s="5"/>
      <c r="I30" s="5"/>
    </row>
    <row r="31" customFormat="false" ht="15" hidden="false" customHeight="false" outlineLevel="0" collapsed="false">
      <c r="A31" s="5"/>
      <c r="B31" s="40" t="s">
        <v>129</v>
      </c>
      <c r="C31" s="17"/>
      <c r="D31" s="17"/>
      <c r="E31" s="17"/>
      <c r="F31" s="17"/>
      <c r="G31" s="17"/>
      <c r="H31" s="17"/>
      <c r="I31" s="17"/>
    </row>
    <row r="32" customFormat="false" ht="15" hidden="false" customHeight="false" outlineLevel="0" collapsed="false">
      <c r="A32" s="5"/>
      <c r="B32" s="42" t="s">
        <v>130</v>
      </c>
      <c r="C32" s="41" t="n">
        <f aca="false">C8+C16+C27*Class_A_Equity/(Class_A_Equity+Class_B_Equity+Class_C_Equity+Common_Equity)</f>
        <v>0</v>
      </c>
      <c r="D32" s="41" t="n">
        <f aca="false">D8+D16+D27*Class_A_Equity/(Class_A_Equity+Class_B_Equity+Class_C_Equity+Common_Equity)</f>
        <v>4500000</v>
      </c>
      <c r="E32" s="41" t="n">
        <f aca="false">E8+E16+E27*Class_A_Equity/(Class_A_Equity+Class_B_Equity+Class_C_Equity+Common_Equity)</f>
        <v>4650000</v>
      </c>
      <c r="F32" s="41" t="n">
        <f aca="false">F8+F16+F27*Class_A_Equity/(Class_A_Equity+Class_B_Equity+Class_C_Equity+Common_Equity)</f>
        <v>4804500</v>
      </c>
      <c r="G32" s="41" t="n">
        <f aca="false">G8+G16+G27*Class_A_Equity/(Class_A_Equity+Class_B_Equity+Class_C_Equity+Common_Equity)</f>
        <v>4963635</v>
      </c>
      <c r="H32" s="41" t="n">
        <f aca="false">H8+H16+H27*Class_A_Equity/(Class_A_Equity+Class_B_Equity+Class_C_Equity+Common_Equity)</f>
        <v>1081865</v>
      </c>
      <c r="I32" s="41" t="n">
        <f aca="false">I8+I16+I27*Class_A_Equity/(Class_A_Equity+Class_B_Equity+Class_C_Equity+Common_Equity)</f>
        <v>17732343.5964184</v>
      </c>
    </row>
    <row r="33" customFormat="false" ht="15" hidden="false" customHeight="false" outlineLevel="0" collapsed="false">
      <c r="A33" s="5"/>
      <c r="B33" s="42" t="s">
        <v>131</v>
      </c>
      <c r="C33" s="41" t="n">
        <f aca="false">C9+C17+C27*Class_B_Equity/(Class_A_Equity+Class_B_Equity+Class_C_Equity+Common_Equity)</f>
        <v>0</v>
      </c>
      <c r="D33" s="41" t="n">
        <f aca="false">D9+D17+D27*Class_B_Equity/(Class_A_Equity+Class_B_Equity+Class_C_Equity+Common_Equity)</f>
        <v>0</v>
      </c>
      <c r="E33" s="41" t="n">
        <f aca="false">E9+E17+E27*Class_B_Equity/(Class_A_Equity+Class_B_Equity+Class_C_Equity+Common_Equity)</f>
        <v>0</v>
      </c>
      <c r="F33" s="41" t="n">
        <f aca="false">F9+F17+F27*Class_B_Equity/(Class_A_Equity+Class_B_Equity+Class_C_Equity+Common_Equity)</f>
        <v>0</v>
      </c>
      <c r="G33" s="41" t="n">
        <f aca="false">G9+G17+G27*Class_B_Equity/(Class_A_Equity+Class_B_Equity+Class_C_Equity+Common_Equity)</f>
        <v>0</v>
      </c>
      <c r="H33" s="41" t="n">
        <f aca="false">H9+H17+H27*Class_B_Equity/(Class_A_Equity+Class_B_Equity+Class_C_Equity+Common_Equity)</f>
        <v>4045679.05</v>
      </c>
      <c r="I33" s="41" t="n">
        <f aca="false">I9+I17+I27*Class_B_Equity/(Class_A_Equity+Class_B_Equity+Class_C_Equity+Common_Equity)</f>
        <v>29481905.8703138</v>
      </c>
    </row>
    <row r="34" customFormat="false" ht="15" hidden="false" customHeight="false" outlineLevel="0" collapsed="false">
      <c r="A34" s="5"/>
      <c r="B34" s="42" t="s">
        <v>132</v>
      </c>
      <c r="C34" s="41" t="n">
        <f aca="false">C10+C18+C27*Class_C_Equity/(Class_A_Equity+Class_B_Equity+Class_C_Equity+Common_Equity)</f>
        <v>0</v>
      </c>
      <c r="D34" s="41" t="n">
        <f aca="false">D10+D18+D27*Class_C_Equity/(Class_A_Equity+Class_B_Equity+Class_C_Equity+Common_Equity)</f>
        <v>0</v>
      </c>
      <c r="E34" s="41" t="n">
        <f aca="false">E10+E18+E27*Class_C_Equity/(Class_A_Equity+Class_B_Equity+Class_C_Equity+Common_Equity)</f>
        <v>0</v>
      </c>
      <c r="F34" s="41" t="n">
        <f aca="false">F10+F18+F27*Class_C_Equity/(Class_A_Equity+Class_B_Equity+Class_C_Equity+Common_Equity)</f>
        <v>0</v>
      </c>
      <c r="G34" s="41" t="n">
        <f aca="false">G10+G18+G27*Class_C_Equity/(Class_A_Equity+Class_B_Equity+Class_C_Equity+Common_Equity)</f>
        <v>0</v>
      </c>
      <c r="H34" s="41" t="n">
        <f aca="false">H10+H18+H27*Class_C_Equity/(Class_A_Equity+Class_B_Equity+Class_C_Equity+Common_Equity)</f>
        <v>0</v>
      </c>
      <c r="I34" s="41" t="n">
        <f aca="false">I10+I18+I27*Class_C_Equity/(Class_A_Equity+Class_B_Equity+Class_C_Equity+Common_Equity)</f>
        <v>24694464.0232092</v>
      </c>
    </row>
    <row r="35" customFormat="false" ht="15" hidden="false" customHeight="false" outlineLevel="0" collapsed="false">
      <c r="A35" s="5"/>
      <c r="B35" s="42" t="s">
        <v>38</v>
      </c>
      <c r="C35" s="41" t="n">
        <f aca="false">C11+C23+C28+C27*Common_Equity/(Class_A_Equity+Class_B_Equity+Class_C_Equity+Common_Equity)</f>
        <v>0</v>
      </c>
      <c r="D35" s="41" t="n">
        <f aca="false">D11+D23+D28+D27*Common_Equity/(Class_A_Equity+Class_B_Equity+Class_C_Equity+Common_Equity)</f>
        <v>0</v>
      </c>
      <c r="E35" s="41" t="n">
        <f aca="false">E11+E23+E28+E27*Common_Equity/(Class_A_Equity+Class_B_Equity+Class_C_Equity+Common_Equity)</f>
        <v>0</v>
      </c>
      <c r="F35" s="41" t="n">
        <f aca="false">F11+F23+F28+F27*Common_Equity/(Class_A_Equity+Class_B_Equity+Class_C_Equity+Common_Equity)</f>
        <v>0</v>
      </c>
      <c r="G35" s="41" t="n">
        <f aca="false">G11+G23+G28+G27*Common_Equity/(Class_A_Equity+Class_B_Equity+Class_C_Equity+Common_Equity)</f>
        <v>0</v>
      </c>
      <c r="H35" s="41" t="n">
        <f aca="false">H11+H23+H28+H27*Common_Equity/(Class_A_Equity+Class_B_Equity+Class_C_Equity+Common_Equity)</f>
        <v>0</v>
      </c>
      <c r="I35" s="41" t="n">
        <f aca="false">I11+I23+I28+I27*Common_Equity/(Class_A_Equity+Class_B_Equity+Class_C_Equity+Common_Equity)</f>
        <v>36668438.0464677</v>
      </c>
    </row>
    <row r="36" customFormat="false" ht="15" hidden="false" customHeight="false" outlineLevel="0" collapsed="false">
      <c r="A36" s="5"/>
      <c r="B36" s="6" t="s">
        <v>133</v>
      </c>
      <c r="C36" s="44" t="n">
        <f aca="false">C32+C33+C34+C35</f>
        <v>0</v>
      </c>
      <c r="D36" s="44" t="n">
        <f aca="false">D32+D33+D34+D35</f>
        <v>4500000</v>
      </c>
      <c r="E36" s="44" t="n">
        <f aca="false">E32+E33+E34+E35</f>
        <v>4650000</v>
      </c>
      <c r="F36" s="44" t="n">
        <f aca="false">F32+F33+F34+F35</f>
        <v>4804500</v>
      </c>
      <c r="G36" s="44" t="n">
        <f aca="false">G32+G33+G34+G35</f>
        <v>4963635</v>
      </c>
      <c r="H36" s="44" t="n">
        <f aca="false">H32+H33+H34+H35</f>
        <v>5127544.05</v>
      </c>
      <c r="I36" s="44" t="n">
        <f aca="false">I32+I33+I34+I35</f>
        <v>108577151.536409</v>
      </c>
    </row>
    <row r="37" customFormat="false" ht="15" hidden="false" customHeight="false" outlineLevel="0" collapsed="false">
      <c r="A37" s="5"/>
      <c r="B37" s="7" t="s">
        <v>134</v>
      </c>
      <c r="C37" s="41" t="n">
        <f aca="false">C5-C36</f>
        <v>0</v>
      </c>
      <c r="D37" s="41" t="n">
        <f aca="false">D5-D36</f>
        <v>0</v>
      </c>
      <c r="E37" s="41" t="n">
        <f aca="false">E5-E36</f>
        <v>0</v>
      </c>
      <c r="F37" s="41" t="n">
        <f aca="false">F5-F36</f>
        <v>0</v>
      </c>
      <c r="G37" s="41" t="n">
        <f aca="false">G5-G36</f>
        <v>0</v>
      </c>
      <c r="H37" s="41" t="n">
        <f aca="false">H5-H36</f>
        <v>0</v>
      </c>
      <c r="I37" s="41" t="n">
        <f aca="false">I5-I36</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I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37" t="s">
        <v>135</v>
      </c>
      <c r="C2" s="5"/>
      <c r="D2" s="5"/>
      <c r="E2" s="5"/>
      <c r="F2" s="5"/>
      <c r="G2" s="5"/>
      <c r="H2" s="5"/>
      <c r="I2" s="5"/>
    </row>
    <row r="3" customFormat="false" ht="15" hidden="false" customHeight="false" outlineLevel="0" collapsed="false">
      <c r="A3" s="5"/>
      <c r="B3" s="38" t="s">
        <v>136</v>
      </c>
      <c r="C3" s="5"/>
      <c r="D3" s="5"/>
      <c r="E3" s="5"/>
      <c r="F3" s="5"/>
      <c r="G3" s="5"/>
      <c r="H3" s="5"/>
      <c r="I3" s="5"/>
    </row>
    <row r="4" customFormat="false" ht="15" hidden="false" customHeight="false" outlineLevel="0" collapsed="false">
      <c r="A4" s="5"/>
      <c r="B4" s="5"/>
      <c r="C4" s="39" t="s">
        <v>83</v>
      </c>
      <c r="D4" s="39" t="s">
        <v>84</v>
      </c>
      <c r="E4" s="39" t="s">
        <v>85</v>
      </c>
      <c r="F4" s="39" t="s">
        <v>86</v>
      </c>
      <c r="G4" s="39" t="s">
        <v>87</v>
      </c>
      <c r="H4" s="39" t="s">
        <v>88</v>
      </c>
      <c r="I4" s="39" t="s">
        <v>89</v>
      </c>
    </row>
    <row r="5" customFormat="false" ht="15" hidden="false" customHeight="false" outlineLevel="0" collapsed="false">
      <c r="A5" s="5"/>
      <c r="B5" s="40" t="s">
        <v>137</v>
      </c>
      <c r="C5" s="17"/>
      <c r="D5" s="17"/>
      <c r="E5" s="17"/>
      <c r="F5" s="17"/>
      <c r="G5" s="17"/>
      <c r="H5" s="17"/>
      <c r="I5" s="17"/>
    </row>
    <row r="6" customFormat="false" ht="15" hidden="false" customHeight="false" outlineLevel="0" collapsed="false">
      <c r="A6" s="5"/>
      <c r="B6" s="42" t="s">
        <v>138</v>
      </c>
      <c r="C6" s="41" t="n">
        <f aca="false">-Class_A_Equity</f>
        <v>-20000000</v>
      </c>
      <c r="D6" s="41" t="n">
        <f aca="false">Waterfall!D32</f>
        <v>4500000</v>
      </c>
      <c r="E6" s="41" t="n">
        <f aca="false">Waterfall!E32</f>
        <v>4650000</v>
      </c>
      <c r="F6" s="41" t="n">
        <f aca="false">Waterfall!F32</f>
        <v>4804500</v>
      </c>
      <c r="G6" s="41" t="n">
        <f aca="false">Waterfall!G32</f>
        <v>4963635</v>
      </c>
      <c r="H6" s="41" t="n">
        <f aca="false">Waterfall!H32</f>
        <v>1081865</v>
      </c>
      <c r="I6" s="41" t="n">
        <f aca="false">Waterfall!I32</f>
        <v>17732343.5964184</v>
      </c>
    </row>
    <row r="7" customFormat="false" ht="15" hidden="false" customHeight="false" outlineLevel="0" collapsed="false">
      <c r="A7" s="5"/>
      <c r="B7" s="42" t="s">
        <v>139</v>
      </c>
      <c r="C7" s="41" t="n">
        <f aca="false">-Class_B_Equity</f>
        <v>-15000000</v>
      </c>
      <c r="D7" s="41" t="n">
        <f aca="false">Waterfall!D33</f>
        <v>0</v>
      </c>
      <c r="E7" s="41" t="n">
        <f aca="false">Waterfall!E33</f>
        <v>0</v>
      </c>
      <c r="F7" s="41" t="n">
        <f aca="false">Waterfall!F33</f>
        <v>0</v>
      </c>
      <c r="G7" s="41" t="n">
        <f aca="false">Waterfall!G33</f>
        <v>0</v>
      </c>
      <c r="H7" s="41" t="n">
        <f aca="false">Waterfall!H33</f>
        <v>4045679.05</v>
      </c>
      <c r="I7" s="41" t="n">
        <f aca="false">Waterfall!I33</f>
        <v>29481905.8703138</v>
      </c>
    </row>
    <row r="8" customFormat="false" ht="15" hidden="false" customHeight="false" outlineLevel="0" collapsed="false">
      <c r="A8" s="5"/>
      <c r="B8" s="42" t="s">
        <v>140</v>
      </c>
      <c r="C8" s="41" t="n">
        <f aca="false">-Class_C_Equity</f>
        <v>-10000000</v>
      </c>
      <c r="D8" s="41" t="n">
        <f aca="false">Waterfall!D34</f>
        <v>0</v>
      </c>
      <c r="E8" s="41" t="n">
        <f aca="false">Waterfall!E34</f>
        <v>0</v>
      </c>
      <c r="F8" s="41" t="n">
        <f aca="false">Waterfall!F34</f>
        <v>0</v>
      </c>
      <c r="G8" s="41" t="n">
        <f aca="false">Waterfall!G34</f>
        <v>0</v>
      </c>
      <c r="H8" s="41" t="n">
        <f aca="false">Waterfall!H34</f>
        <v>0</v>
      </c>
      <c r="I8" s="41" t="n">
        <f aca="false">Waterfall!I34</f>
        <v>24694464.0232092</v>
      </c>
    </row>
    <row r="9" customFormat="false" ht="15" hidden="false" customHeight="false" outlineLevel="0" collapsed="false">
      <c r="A9" s="5"/>
      <c r="B9" s="42" t="s">
        <v>141</v>
      </c>
      <c r="C9" s="41" t="n">
        <f aca="false">-Common_Equity</f>
        <v>-5000000</v>
      </c>
      <c r="D9" s="41" t="n">
        <f aca="false">Waterfall!D35</f>
        <v>0</v>
      </c>
      <c r="E9" s="41" t="n">
        <f aca="false">Waterfall!E35</f>
        <v>0</v>
      </c>
      <c r="F9" s="41" t="n">
        <f aca="false">Waterfall!F35</f>
        <v>0</v>
      </c>
      <c r="G9" s="41" t="n">
        <f aca="false">Waterfall!G35</f>
        <v>0</v>
      </c>
      <c r="H9" s="41" t="n">
        <f aca="false">Waterfall!H35</f>
        <v>0</v>
      </c>
      <c r="I9" s="41" t="n">
        <f aca="false">Waterfall!I35</f>
        <v>36668438.0464677</v>
      </c>
    </row>
    <row r="10" customFormat="false" ht="15" hidden="false" customHeight="false" outlineLevel="0" collapsed="false">
      <c r="A10" s="5"/>
      <c r="B10" s="5"/>
      <c r="C10" s="5"/>
      <c r="D10" s="5"/>
      <c r="E10" s="5"/>
      <c r="F10" s="5"/>
      <c r="G10" s="5"/>
      <c r="H10" s="5"/>
      <c r="I10" s="5"/>
    </row>
    <row r="11" customFormat="false" ht="15" hidden="false" customHeight="false" outlineLevel="0" collapsed="false">
      <c r="A11" s="5"/>
      <c r="B11" s="40" t="s">
        <v>142</v>
      </c>
      <c r="C11" s="17"/>
      <c r="D11" s="17"/>
      <c r="E11" s="17"/>
      <c r="F11" s="17"/>
      <c r="G11" s="17"/>
      <c r="H11" s="17"/>
      <c r="I11" s="17"/>
    </row>
    <row r="12" customFormat="false" ht="15" hidden="false" customHeight="false" outlineLevel="0" collapsed="false">
      <c r="A12" s="5"/>
      <c r="B12" s="42" t="s">
        <v>143</v>
      </c>
      <c r="C12" s="41" t="n">
        <f aca="false">MAX(0,C6)</f>
        <v>0</v>
      </c>
      <c r="D12" s="41" t="n">
        <f aca="false">C12+MAX(0,D6)</f>
        <v>4500000</v>
      </c>
      <c r="E12" s="41" t="n">
        <f aca="false">D12+MAX(0,E6)</f>
        <v>9150000</v>
      </c>
      <c r="F12" s="41" t="n">
        <f aca="false">E12+MAX(0,F6)</f>
        <v>13954500</v>
      </c>
      <c r="G12" s="41" t="n">
        <f aca="false">F12+MAX(0,G6)</f>
        <v>18918135</v>
      </c>
      <c r="H12" s="41" t="n">
        <f aca="false">G12+MAX(0,H6)</f>
        <v>20000000</v>
      </c>
      <c r="I12" s="41" t="n">
        <f aca="false">H12+MAX(0,I6)</f>
        <v>37732343.5964184</v>
      </c>
    </row>
    <row r="13" customFormat="false" ht="15" hidden="false" customHeight="false" outlineLevel="0" collapsed="false">
      <c r="A13" s="5"/>
      <c r="B13" s="42" t="s">
        <v>144</v>
      </c>
      <c r="C13" s="41" t="n">
        <f aca="false">MAX(0,C7)</f>
        <v>0</v>
      </c>
      <c r="D13" s="41" t="n">
        <f aca="false">C13+MAX(0,D7)</f>
        <v>0</v>
      </c>
      <c r="E13" s="41" t="n">
        <f aca="false">D13+MAX(0,E7)</f>
        <v>0</v>
      </c>
      <c r="F13" s="41" t="n">
        <f aca="false">E13+MAX(0,F7)</f>
        <v>0</v>
      </c>
      <c r="G13" s="41" t="n">
        <f aca="false">F13+MAX(0,G7)</f>
        <v>0</v>
      </c>
      <c r="H13" s="41" t="n">
        <f aca="false">G13+MAX(0,H7)</f>
        <v>4045679.05</v>
      </c>
      <c r="I13" s="41" t="n">
        <f aca="false">H13+MAX(0,I7)</f>
        <v>33527584.9203138</v>
      </c>
    </row>
    <row r="14" customFormat="false" ht="15" hidden="false" customHeight="false" outlineLevel="0" collapsed="false">
      <c r="A14" s="5"/>
      <c r="B14" s="42" t="s">
        <v>145</v>
      </c>
      <c r="C14" s="41" t="n">
        <f aca="false">MAX(0,C8)</f>
        <v>0</v>
      </c>
      <c r="D14" s="41" t="n">
        <f aca="false">C14+MAX(0,D8)</f>
        <v>0</v>
      </c>
      <c r="E14" s="41" t="n">
        <f aca="false">D14+MAX(0,E8)</f>
        <v>0</v>
      </c>
      <c r="F14" s="41" t="n">
        <f aca="false">E14+MAX(0,F8)</f>
        <v>0</v>
      </c>
      <c r="G14" s="41" t="n">
        <f aca="false">F14+MAX(0,G8)</f>
        <v>0</v>
      </c>
      <c r="H14" s="41" t="n">
        <f aca="false">G14+MAX(0,H8)</f>
        <v>0</v>
      </c>
      <c r="I14" s="41" t="n">
        <f aca="false">H14+MAX(0,I8)</f>
        <v>24694464.0232092</v>
      </c>
    </row>
    <row r="15" customFormat="false" ht="15" hidden="false" customHeight="false" outlineLevel="0" collapsed="false">
      <c r="A15" s="5"/>
      <c r="B15" s="42" t="s">
        <v>146</v>
      </c>
      <c r="C15" s="41" t="n">
        <f aca="false">MAX(0,C9)</f>
        <v>0</v>
      </c>
      <c r="D15" s="41" t="n">
        <f aca="false">C15+MAX(0,D9)</f>
        <v>0</v>
      </c>
      <c r="E15" s="41" t="n">
        <f aca="false">D15+MAX(0,E9)</f>
        <v>0</v>
      </c>
      <c r="F15" s="41" t="n">
        <f aca="false">E15+MAX(0,F9)</f>
        <v>0</v>
      </c>
      <c r="G15" s="41" t="n">
        <f aca="false">F15+MAX(0,G9)</f>
        <v>0</v>
      </c>
      <c r="H15" s="41" t="n">
        <f aca="false">G15+MAX(0,H9)</f>
        <v>0</v>
      </c>
      <c r="I15" s="41" t="n">
        <f aca="false">H15+MAX(0,I9)</f>
        <v>36668438.0464677</v>
      </c>
    </row>
    <row r="16" customFormat="false" ht="15" hidden="false" customHeight="false" outlineLevel="0" collapsed="false">
      <c r="A16" s="5"/>
      <c r="B16" s="5"/>
      <c r="C16" s="5"/>
      <c r="D16" s="5"/>
      <c r="E16" s="5"/>
      <c r="F16" s="5"/>
      <c r="G16" s="5"/>
      <c r="H16" s="5"/>
      <c r="I16" s="5"/>
    </row>
    <row r="17" customFormat="false" ht="15" hidden="false" customHeight="false" outlineLevel="0" collapsed="false">
      <c r="A17" s="5"/>
      <c r="B17" s="40" t="s">
        <v>147</v>
      </c>
      <c r="C17" s="17"/>
      <c r="D17" s="17"/>
      <c r="E17" s="17"/>
      <c r="F17" s="17"/>
      <c r="G17" s="17"/>
      <c r="H17" s="17"/>
      <c r="I17" s="17"/>
    </row>
    <row r="18" customFormat="false" ht="15" hidden="false" customHeight="false" outlineLevel="0" collapsed="false">
      <c r="A18" s="5"/>
      <c r="B18" s="42" t="s">
        <v>148</v>
      </c>
      <c r="C18" s="46" t="n">
        <f aca="false">IF(Class_A_Equity=0,0,C12/Class_A_Equity)</f>
        <v>0</v>
      </c>
      <c r="D18" s="46" t="n">
        <f aca="false">IF(Class_A_Equity=0,0,D12/Class_A_Equity)</f>
        <v>0.225</v>
      </c>
      <c r="E18" s="46" t="n">
        <f aca="false">IF(Class_A_Equity=0,0,E12/Class_A_Equity)</f>
        <v>0.4575</v>
      </c>
      <c r="F18" s="46" t="n">
        <f aca="false">IF(Class_A_Equity=0,0,F12/Class_A_Equity)</f>
        <v>0.697725</v>
      </c>
      <c r="G18" s="46" t="n">
        <f aca="false">IF(Class_A_Equity=0,0,G12/Class_A_Equity)</f>
        <v>0.94590675</v>
      </c>
      <c r="H18" s="46" t="n">
        <f aca="false">IF(Class_A_Equity=0,0,H12/Class_A_Equity)</f>
        <v>1</v>
      </c>
      <c r="I18" s="46" t="n">
        <f aca="false">IF(Class_A_Equity=0,0,I12/Class_A_Equity)</f>
        <v>1.88661717982092</v>
      </c>
    </row>
    <row r="19" customFormat="false" ht="15" hidden="false" customHeight="false" outlineLevel="0" collapsed="false">
      <c r="A19" s="5"/>
      <c r="B19" s="42" t="s">
        <v>149</v>
      </c>
      <c r="C19" s="46" t="n">
        <f aca="false">IF(Class_B_Equity=0,0,C13/Class_B_Equity)</f>
        <v>0</v>
      </c>
      <c r="D19" s="46" t="n">
        <f aca="false">IF(Class_B_Equity=0,0,D13/Class_B_Equity)</f>
        <v>0</v>
      </c>
      <c r="E19" s="46" t="n">
        <f aca="false">IF(Class_B_Equity=0,0,E13/Class_B_Equity)</f>
        <v>0</v>
      </c>
      <c r="F19" s="46" t="n">
        <f aca="false">IF(Class_B_Equity=0,0,F13/Class_B_Equity)</f>
        <v>0</v>
      </c>
      <c r="G19" s="46" t="n">
        <f aca="false">IF(Class_B_Equity=0,0,G13/Class_B_Equity)</f>
        <v>0</v>
      </c>
      <c r="H19" s="46" t="n">
        <f aca="false">IF(Class_B_Equity=0,0,H13/Class_B_Equity)</f>
        <v>0.269711936666667</v>
      </c>
      <c r="I19" s="46" t="n">
        <f aca="false">IF(Class_B_Equity=0,0,I13/Class_B_Equity)</f>
        <v>2.23517232802092</v>
      </c>
    </row>
    <row r="20" customFormat="false" ht="15" hidden="false" customHeight="false" outlineLevel="0" collapsed="false">
      <c r="A20" s="5"/>
      <c r="B20" s="42" t="s">
        <v>150</v>
      </c>
      <c r="C20" s="46" t="n">
        <f aca="false">IF(Class_C_Equity=0,0,C14/Class_C_Equity)</f>
        <v>0</v>
      </c>
      <c r="D20" s="46" t="n">
        <f aca="false">IF(Class_C_Equity=0,0,D14/Class_C_Equity)</f>
        <v>0</v>
      </c>
      <c r="E20" s="46" t="n">
        <f aca="false">IF(Class_C_Equity=0,0,E14/Class_C_Equity)</f>
        <v>0</v>
      </c>
      <c r="F20" s="46" t="n">
        <f aca="false">IF(Class_C_Equity=0,0,F14/Class_C_Equity)</f>
        <v>0</v>
      </c>
      <c r="G20" s="46" t="n">
        <f aca="false">IF(Class_C_Equity=0,0,G14/Class_C_Equity)</f>
        <v>0</v>
      </c>
      <c r="H20" s="46" t="n">
        <f aca="false">IF(Class_C_Equity=0,0,H14/Class_C_Equity)</f>
        <v>0</v>
      </c>
      <c r="I20" s="46" t="n">
        <f aca="false">IF(Class_C_Equity=0,0,I14/Class_C_Equity)</f>
        <v>2.46944640232092</v>
      </c>
    </row>
    <row r="21" customFormat="false" ht="15" hidden="false" customHeight="false" outlineLevel="0" collapsed="false">
      <c r="A21" s="5"/>
      <c r="B21" s="42" t="s">
        <v>151</v>
      </c>
      <c r="C21" s="46" t="n">
        <f aca="false">IF(Common_Equity=0,0,C15/Common_Equity)</f>
        <v>0</v>
      </c>
      <c r="D21" s="46" t="n">
        <f aca="false">IF(Common_Equity=0,0,D15/Common_Equity)</f>
        <v>0</v>
      </c>
      <c r="E21" s="46" t="n">
        <f aca="false">IF(Common_Equity=0,0,E15/Common_Equity)</f>
        <v>0</v>
      </c>
      <c r="F21" s="46" t="n">
        <f aca="false">IF(Common_Equity=0,0,F15/Common_Equity)</f>
        <v>0</v>
      </c>
      <c r="G21" s="46" t="n">
        <f aca="false">IF(Common_Equity=0,0,G15/Common_Equity)</f>
        <v>0</v>
      </c>
      <c r="H21" s="46" t="n">
        <f aca="false">IF(Common_Equity=0,0,H15/Common_Equity)</f>
        <v>0</v>
      </c>
      <c r="I21" s="46" t="n">
        <f aca="false">IF(Common_Equity=0,0,I15/Common_Equity)</f>
        <v>7.33368760929353</v>
      </c>
    </row>
    <row r="22" customFormat="false" ht="15" hidden="false" customHeight="false" outlineLevel="0" collapsed="false">
      <c r="A22" s="5"/>
      <c r="B22" s="5"/>
      <c r="C22" s="5"/>
      <c r="D22" s="5"/>
      <c r="E22" s="5"/>
      <c r="F22" s="5"/>
      <c r="G22" s="5"/>
      <c r="H22" s="5"/>
      <c r="I22" s="5"/>
    </row>
    <row r="23" customFormat="false" ht="15" hidden="false" customHeight="false" outlineLevel="0" collapsed="false">
      <c r="A23" s="5"/>
      <c r="B23" s="40" t="s">
        <v>152</v>
      </c>
      <c r="C23" s="17"/>
      <c r="D23" s="17"/>
      <c r="E23" s="17"/>
      <c r="F23" s="17"/>
      <c r="G23" s="17"/>
      <c r="H23" s="17"/>
      <c r="I23" s="17"/>
    </row>
    <row r="24" customFormat="false" ht="15" hidden="false" customHeight="false" outlineLevel="0" collapsed="false">
      <c r="A24" s="5"/>
      <c r="B24" s="42" t="s">
        <v>153</v>
      </c>
      <c r="C24" s="47"/>
      <c r="D24" s="47"/>
      <c r="E24" s="47"/>
      <c r="F24" s="47"/>
      <c r="G24" s="47"/>
      <c r="H24" s="47"/>
      <c r="I24" s="47" t="n">
        <f aca="false">IFERROR(IRR(C6:I6),0)</f>
        <v>0.174752757272548</v>
      </c>
    </row>
    <row r="25" customFormat="false" ht="15" hidden="false" customHeight="false" outlineLevel="0" collapsed="false">
      <c r="A25" s="5"/>
      <c r="B25" s="42" t="s">
        <v>154</v>
      </c>
      <c r="C25" s="47"/>
      <c r="D25" s="47"/>
      <c r="E25" s="47"/>
      <c r="F25" s="47"/>
      <c r="G25" s="47"/>
      <c r="H25" s="47"/>
      <c r="I25" s="47" t="n">
        <f aca="false">IFERROR(IRR(C7:I7),0)</f>
        <v>0.146804786965216</v>
      </c>
    </row>
    <row r="26" customFormat="false" ht="15" hidden="false" customHeight="false" outlineLevel="0" collapsed="false">
      <c r="A26" s="5"/>
      <c r="B26" s="42" t="s">
        <v>155</v>
      </c>
      <c r="C26" s="47"/>
      <c r="D26" s="47"/>
      <c r="E26" s="47"/>
      <c r="F26" s="47"/>
      <c r="G26" s="47"/>
      <c r="H26" s="47"/>
      <c r="I26" s="47" t="n">
        <f aca="false">IFERROR(IRR(C8:I8),0)</f>
        <v>0.16260789392455</v>
      </c>
    </row>
    <row r="27" customFormat="false" ht="15" hidden="false" customHeight="false" outlineLevel="0" collapsed="false">
      <c r="A27" s="5"/>
      <c r="B27" s="42" t="s">
        <v>156</v>
      </c>
      <c r="C27" s="47"/>
      <c r="D27" s="47"/>
      <c r="E27" s="47"/>
      <c r="F27" s="47"/>
      <c r="G27" s="47"/>
      <c r="H27" s="47"/>
      <c r="I27" s="47" t="n">
        <f aca="false">IFERROR(IRR(C9:I9),0)</f>
        <v>0.393863998666876</v>
      </c>
    </row>
    <row r="28" customFormat="false" ht="15" hidden="false" customHeight="false" outlineLevel="0" collapsed="false">
      <c r="A28" s="5"/>
      <c r="B28" s="5"/>
      <c r="C28" s="5"/>
      <c r="D28" s="5"/>
      <c r="E28" s="5"/>
      <c r="F28" s="5"/>
      <c r="G28" s="5"/>
      <c r="H28" s="5"/>
      <c r="I28" s="5"/>
    </row>
    <row r="29" customFormat="false" ht="15" hidden="false" customHeight="false" outlineLevel="0" collapsed="false">
      <c r="A29" s="5"/>
      <c r="B29" s="40" t="s">
        <v>157</v>
      </c>
      <c r="C29" s="17"/>
      <c r="D29" s="17"/>
      <c r="E29" s="17"/>
      <c r="F29" s="17"/>
      <c r="G29" s="17"/>
      <c r="H29" s="17"/>
      <c r="I29" s="17"/>
    </row>
    <row r="30" customFormat="false" ht="15" hidden="false" customHeight="false" outlineLevel="0" collapsed="false">
      <c r="A30" s="5"/>
      <c r="B30" s="42" t="s">
        <v>158</v>
      </c>
      <c r="C30" s="47" t="n">
        <f aca="false">IF(Class_A_Equity=0,0,Waterfall!C32/Class_A_Equity)</f>
        <v>0</v>
      </c>
      <c r="D30" s="47" t="n">
        <f aca="false">IF(Class_A_Equity=0,0,Waterfall!D32/Class_A_Equity)</f>
        <v>0.225</v>
      </c>
      <c r="E30" s="47" t="n">
        <f aca="false">IF(Class_A_Equity=0,0,Waterfall!E32/Class_A_Equity)</f>
        <v>0.2325</v>
      </c>
      <c r="F30" s="47" t="n">
        <f aca="false">IF(Class_A_Equity=0,0,Waterfall!F32/Class_A_Equity)</f>
        <v>0.240225</v>
      </c>
      <c r="G30" s="47" t="n">
        <f aca="false">IF(Class_A_Equity=0,0,Waterfall!G32/Class_A_Equity)</f>
        <v>0.24818175</v>
      </c>
      <c r="H30" s="47" t="n">
        <f aca="false">IF(Class_A_Equity=0,0,Waterfall!H32/Class_A_Equity)</f>
        <v>0.05409325</v>
      </c>
      <c r="I30" s="47" t="n">
        <f aca="false">IF(Class_A_Equity=0,0,Waterfall!I32/Class_A_Equity)</f>
        <v>0.886617179820921</v>
      </c>
    </row>
    <row r="31" customFormat="false" ht="15" hidden="false" customHeight="false" outlineLevel="0" collapsed="false">
      <c r="A31" s="5"/>
      <c r="B31" s="42" t="s">
        <v>159</v>
      </c>
      <c r="C31" s="47" t="n">
        <f aca="false">IF(Class_B_Equity=0,0,Waterfall!C33/Class_B_Equity)</f>
        <v>0</v>
      </c>
      <c r="D31" s="47" t="n">
        <f aca="false">IF(Class_B_Equity=0,0,Waterfall!D33/Class_B_Equity)</f>
        <v>0</v>
      </c>
      <c r="E31" s="47" t="n">
        <f aca="false">IF(Class_B_Equity=0,0,Waterfall!E33/Class_B_Equity)</f>
        <v>0</v>
      </c>
      <c r="F31" s="47" t="n">
        <f aca="false">IF(Class_B_Equity=0,0,Waterfall!F33/Class_B_Equity)</f>
        <v>0</v>
      </c>
      <c r="G31" s="47" t="n">
        <f aca="false">IF(Class_B_Equity=0,0,Waterfall!G33/Class_B_Equity)</f>
        <v>0</v>
      </c>
      <c r="H31" s="47" t="n">
        <f aca="false">IF(Class_B_Equity=0,0,Waterfall!H33/Class_B_Equity)</f>
        <v>0.269711936666667</v>
      </c>
      <c r="I31" s="47" t="n">
        <f aca="false">IF(Class_B_Equity=0,0,Waterfall!I33/Class_B_Equity)</f>
        <v>1.96546039135425</v>
      </c>
    </row>
    <row r="32" customFormat="false" ht="15" hidden="false" customHeight="false" outlineLevel="0" collapsed="false">
      <c r="A32" s="5"/>
      <c r="B32" s="42" t="s">
        <v>160</v>
      </c>
      <c r="C32" s="47" t="n">
        <f aca="false">IF(Class_C_Equity=0,0,Waterfall!C34/Class_C_Equity)</f>
        <v>0</v>
      </c>
      <c r="D32" s="47" t="n">
        <f aca="false">IF(Class_C_Equity=0,0,Waterfall!D34/Class_C_Equity)</f>
        <v>0</v>
      </c>
      <c r="E32" s="47" t="n">
        <f aca="false">IF(Class_C_Equity=0,0,Waterfall!E34/Class_C_Equity)</f>
        <v>0</v>
      </c>
      <c r="F32" s="47" t="n">
        <f aca="false">IF(Class_C_Equity=0,0,Waterfall!F34/Class_C_Equity)</f>
        <v>0</v>
      </c>
      <c r="G32" s="47" t="n">
        <f aca="false">IF(Class_C_Equity=0,0,Waterfall!G34/Class_C_Equity)</f>
        <v>0</v>
      </c>
      <c r="H32" s="47" t="n">
        <f aca="false">IF(Class_C_Equity=0,0,Waterfall!H34/Class_C_Equity)</f>
        <v>0</v>
      </c>
      <c r="I32" s="47" t="n">
        <f aca="false">IF(Class_C_Equity=0,0,Waterfall!I34/Class_C_Equity)</f>
        <v>2.46944640232092</v>
      </c>
    </row>
    <row r="33" customFormat="false" ht="15" hidden="false" customHeight="false" outlineLevel="0" collapsed="false">
      <c r="A33" s="5"/>
      <c r="B33" s="42" t="s">
        <v>161</v>
      </c>
      <c r="C33" s="47" t="n">
        <f aca="false">IF(Common_Equity=0,0,Waterfall!C35/Common_Equity)</f>
        <v>0</v>
      </c>
      <c r="D33" s="47" t="n">
        <f aca="false">IF(Common_Equity=0,0,Waterfall!D35/Common_Equity)</f>
        <v>0</v>
      </c>
      <c r="E33" s="47" t="n">
        <f aca="false">IF(Common_Equity=0,0,Waterfall!E35/Common_Equity)</f>
        <v>0</v>
      </c>
      <c r="F33" s="47" t="n">
        <f aca="false">IF(Common_Equity=0,0,Waterfall!F35/Common_Equity)</f>
        <v>0</v>
      </c>
      <c r="G33" s="47" t="n">
        <f aca="false">IF(Common_Equity=0,0,Waterfall!G35/Common_Equity)</f>
        <v>0</v>
      </c>
      <c r="H33" s="47" t="n">
        <f aca="false">IF(Common_Equity=0,0,Waterfall!H35/Common_Equity)</f>
        <v>0</v>
      </c>
      <c r="I33" s="47" t="n">
        <f aca="false">IF(Common_Equity=0,0,Waterfall!I35/Common_Equity)</f>
        <v>7.33368760929353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I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37" t="s">
        <v>162</v>
      </c>
      <c r="C2" s="5"/>
      <c r="D2" s="5"/>
      <c r="E2" s="5"/>
      <c r="F2" s="5"/>
      <c r="G2" s="5"/>
      <c r="H2" s="5"/>
      <c r="I2" s="5"/>
    </row>
    <row r="3" customFormat="false" ht="15" hidden="false" customHeight="false" outlineLevel="0" collapsed="false">
      <c r="A3" s="5"/>
      <c r="B3" s="38" t="s">
        <v>163</v>
      </c>
      <c r="C3" s="5"/>
      <c r="D3" s="5"/>
      <c r="E3" s="5"/>
      <c r="F3" s="5"/>
      <c r="G3" s="5"/>
      <c r="H3" s="5"/>
      <c r="I3" s="5"/>
    </row>
    <row r="4" customFormat="false" ht="15" hidden="false" customHeight="false" outlineLevel="0" collapsed="false">
      <c r="A4" s="5"/>
      <c r="B4" s="5"/>
      <c r="C4" s="39" t="s">
        <v>83</v>
      </c>
      <c r="D4" s="39" t="s">
        <v>84</v>
      </c>
      <c r="E4" s="39" t="s">
        <v>85</v>
      </c>
      <c r="F4" s="39" t="s">
        <v>86</v>
      </c>
      <c r="G4" s="39" t="s">
        <v>87</v>
      </c>
      <c r="H4" s="39" t="s">
        <v>88</v>
      </c>
      <c r="I4" s="39" t="s">
        <v>89</v>
      </c>
    </row>
    <row r="5" customFormat="false" ht="15" hidden="false" customHeight="false" outlineLevel="0" collapsed="false">
      <c r="A5" s="5"/>
      <c r="B5" s="5"/>
      <c r="C5" s="5"/>
      <c r="D5" s="5"/>
      <c r="E5" s="5"/>
      <c r="F5" s="5"/>
      <c r="G5" s="5"/>
      <c r="H5" s="5"/>
      <c r="I5" s="5"/>
    </row>
    <row r="6" customFormat="false" ht="15" hidden="false" customHeight="false" outlineLevel="0" collapsed="false">
      <c r="A6" s="5"/>
      <c r="B6" s="6" t="s">
        <v>164</v>
      </c>
      <c r="C6" s="48" t="str">
        <f aca="false">IF(ABS(Waterfall!C$37)&lt;1,"PASS","FAIL")</f>
        <v>PASS</v>
      </c>
      <c r="D6" s="48" t="str">
        <f aca="false">IF(ABS(Waterfall!D$37)&lt;1,"PASS","FAIL")</f>
        <v>PASS</v>
      </c>
      <c r="E6" s="48" t="str">
        <f aca="false">IF(ABS(Waterfall!E$37)&lt;1,"PASS","FAIL")</f>
        <v>PASS</v>
      </c>
      <c r="F6" s="48" t="str">
        <f aca="false">IF(ABS(Waterfall!F$37)&lt;1,"PASS","FAIL")</f>
        <v>PASS</v>
      </c>
      <c r="G6" s="48" t="str">
        <f aca="false">IF(ABS(Waterfall!G$37)&lt;1,"PASS","FAIL")</f>
        <v>PASS</v>
      </c>
      <c r="H6" s="48" t="str">
        <f aca="false">IF(ABS(Waterfall!H$37)&lt;1,"PASS","FAIL")</f>
        <v>PASS</v>
      </c>
      <c r="I6" s="48" t="str">
        <f aca="false">IF(ABS(Waterfall!I$37)&lt;1,"PASS","FAIL")</f>
        <v>PASS</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6" t="s">
        <v>165</v>
      </c>
      <c r="C8" s="48" t="str">
        <f aca="false">IF(ABS(Class_A_Equity+Class_B_Equity+Class_C_Equity+Common_Equity-50000000)&lt;1,"PASS","FAIL")</f>
        <v>PASS</v>
      </c>
      <c r="D8" s="5"/>
      <c r="E8" s="5"/>
      <c r="F8" s="5"/>
      <c r="G8" s="5"/>
      <c r="H8" s="5"/>
      <c r="I8" s="5"/>
    </row>
    <row r="9" customFormat="false" ht="15" hidden="false" customHeight="false" outlineLevel="0" collapsed="false">
      <c r="A9" s="5"/>
      <c r="B9" s="5"/>
      <c r="C9" s="5"/>
      <c r="D9" s="5"/>
      <c r="E9" s="5"/>
      <c r="F9" s="5"/>
      <c r="G9" s="5"/>
      <c r="H9" s="5"/>
      <c r="I9" s="5"/>
    </row>
    <row r="10" customFormat="false" ht="15" hidden="false" customHeight="false" outlineLevel="0" collapsed="false">
      <c r="A10" s="5"/>
      <c r="B10" s="6" t="s">
        <v>166</v>
      </c>
      <c r="C10" s="48" t="str">
        <f aca="false">IF(AND(Waterfall!C32&gt;=0,Waterfall!C33&gt;=0,Waterfall!C34&gt;=0,Waterfall!C35&gt;=0),"PASS","FAIL")</f>
        <v>PASS</v>
      </c>
      <c r="D10" s="48" t="str">
        <f aca="false">IF(AND(Waterfall!D32&gt;=0,Waterfall!D33&gt;=0,Waterfall!D34&gt;=0,Waterfall!D35&gt;=0),"PASS","FAIL")</f>
        <v>PASS</v>
      </c>
      <c r="E10" s="48" t="str">
        <f aca="false">IF(AND(Waterfall!E32&gt;=0,Waterfall!E33&gt;=0,Waterfall!E34&gt;=0,Waterfall!E35&gt;=0),"PASS","FAIL")</f>
        <v>PASS</v>
      </c>
      <c r="F10" s="48" t="str">
        <f aca="false">IF(AND(Waterfall!F32&gt;=0,Waterfall!F33&gt;=0,Waterfall!F34&gt;=0,Waterfall!F35&gt;=0),"PASS","FAIL")</f>
        <v>PASS</v>
      </c>
      <c r="G10" s="48" t="str">
        <f aca="false">IF(AND(Waterfall!G32&gt;=0,Waterfall!G33&gt;=0,Waterfall!G34&gt;=0,Waterfall!G35&gt;=0),"PASS","FAIL")</f>
        <v>PASS</v>
      </c>
      <c r="H10" s="48" t="str">
        <f aca="false">IF(AND(Waterfall!H32&gt;=0,Waterfall!H33&gt;=0,Waterfall!H34&gt;=0,Waterfall!H35&gt;=0),"PASS","FAIL")</f>
        <v>PASS</v>
      </c>
      <c r="I10" s="48" t="str">
        <f aca="false">IF(AND(Waterfall!I32&gt;=0,Waterfall!I33&gt;=0,Waterfall!I34&gt;=0,Waterfall!I35&gt;=0),"PASS","FAIL")</f>
        <v>PASS</v>
      </c>
    </row>
    <row r="11" customFormat="false" ht="15" hidden="false" customHeight="false" outlineLevel="0" collapsed="false">
      <c r="A11" s="5"/>
      <c r="B11" s="5"/>
      <c r="C11" s="5"/>
      <c r="D11" s="5"/>
      <c r="E11" s="5"/>
      <c r="F11" s="5"/>
      <c r="G11" s="5"/>
      <c r="H11" s="5"/>
      <c r="I11" s="5"/>
    </row>
    <row r="12" customFormat="false" ht="15" hidden="false" customHeight="false" outlineLevel="0" collapsed="false">
      <c r="A12" s="5"/>
      <c r="B12" s="6" t="s">
        <v>167</v>
      </c>
      <c r="C12" s="48" t="str">
        <f aca="false">IF(OR(Capital_Accounts!C13=0,Waterfall!C17=0),"PASS","FAIL")</f>
        <v>PASS</v>
      </c>
      <c r="D12" s="48" t="str">
        <f aca="false">IF(OR(Capital_Accounts!D13=0,Waterfall!D17=0),"PASS","FAIL")</f>
        <v>PASS</v>
      </c>
      <c r="E12" s="48" t="str">
        <f aca="false">IF(OR(Capital_Accounts!E13=0,Waterfall!E17=0),"PASS","FAIL")</f>
        <v>PASS</v>
      </c>
      <c r="F12" s="48" t="str">
        <f aca="false">IF(OR(Capital_Accounts!F13=0,Waterfall!F17=0),"PASS","FAIL")</f>
        <v>PASS</v>
      </c>
      <c r="G12" s="48" t="str">
        <f aca="false">IF(OR(Capital_Accounts!G13=0,Waterfall!G17=0),"PASS","FAIL")</f>
        <v>PASS</v>
      </c>
      <c r="H12" s="48" t="str">
        <f aca="false">IF(OR(Capital_Accounts!H13=0,Waterfall!H17=0),"PASS","FAIL")</f>
        <v>PASS</v>
      </c>
      <c r="I12" s="48" t="str">
        <f aca="false">IF(OR(Capital_Accounts!I13=0,Waterfall!I17=0),"PASS","FAIL")</f>
        <v>PASS</v>
      </c>
    </row>
    <row r="13" customFormat="false" ht="15" hidden="false" customHeight="false" outlineLevel="0" collapsed="false">
      <c r="A13" s="5"/>
      <c r="B13" s="5"/>
      <c r="C13" s="5"/>
      <c r="D13" s="5"/>
      <c r="E13" s="5"/>
      <c r="F13" s="5"/>
      <c r="G13" s="5"/>
      <c r="H13" s="5"/>
      <c r="I13" s="5"/>
    </row>
    <row r="14" customFormat="false" ht="15" hidden="false" customHeight="false" outlineLevel="0" collapsed="false">
      <c r="A14" s="5"/>
      <c r="B14" s="6" t="s">
        <v>168</v>
      </c>
      <c r="C14" s="5"/>
      <c r="D14" s="5"/>
      <c r="E14" s="5"/>
      <c r="F14" s="5"/>
      <c r="G14" s="5"/>
      <c r="H14" s="5"/>
      <c r="I14" s="48" t="str">
        <f aca="false">IF(AND(Returns!I18&gt;=1,Returns!I19&gt;=1,Returns!I20&gt;=1,Returns!I21&gt;=1),"PASS","FAIL")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2026-05-15T18:53:36Z</dcterms:created>
  <dc:creator>openpyxl</dc:creator>
  <dc:description/>
  <dc:language>en-GB</dc:language>
  <cp:lastModifiedBy/>
  <dcterms:modified xsi:type="dcterms:W3CDTF">2026-05-15T18:53:36Z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