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Enrolment" sheetId="3" state="visible" r:id="rId5"/>
    <sheet name="Revenue" sheetId="4" state="visible" r:id="rId6"/>
    <sheet name="Staff_Costs" sheetId="5" state="visible" r:id="rId7"/>
    <sheet name="Opex" sheetId="6" state="visible" r:id="rId8"/>
    <sheet name="Capex_Depr" sheetId="7" state="visible" r:id="rId9"/>
    <sheet name="Debt_Schedule" sheetId="8" state="visible" r:id="rId10"/>
    <sheet name="Income_Statement" sheetId="9" state="visible" r:id="rId11"/>
    <sheet name="Cash_Flow" sheetId="10" state="visible" r:id="rId12"/>
    <sheet name="Balance_Sheet" sheetId="11" state="visible" r:id="rId13"/>
    <sheet name="Disclaimer" sheetId="12" state="visible" r:id="rId14"/>
  </sheets>
  <definedNames>
    <definedName function="false" hidden="false" name="Admin_Pct" vbProcedure="false">Assumptions!$C$31</definedName>
    <definedName function="false" hidden="false" name="Ancillary_Escalation" vbProcedure="false">Assumptions!$C$22</definedName>
    <definedName function="false" hidden="false" name="Ancillary_Rev_Student" vbProcedure="false">Assumptions!$C$21</definedName>
    <definedName function="false" hidden="false" name="Annual_Intake" vbProcedure="false">Assumptions!$C$13</definedName>
    <definedName function="false" hidden="false" name="Attrition_Rate" vbProcedure="false">Assumptions!$C$15</definedName>
    <definedName function="false" hidden="false" name="Avg_Teacher_Salary" vbProcedure="false">Assumptions!$C$27</definedName>
    <definedName function="false" hidden="false" name="BS_AP" vbProcedure="false">Balance_Sheet!$C$21:$G$21</definedName>
    <definedName function="false" hidden="false" name="BS_AR" vbProcedure="false">Balance_Sheet!$C$10:$G$10</definedName>
    <definedName function="false" hidden="false" name="BS_Cash" vbProcedure="false">Balance_Sheet!$C$9:$G$9</definedName>
    <definedName function="false" hidden="false" name="BS_Net_PPE" vbProcedure="false">Balance_Sheet!$C$14:$G$14</definedName>
    <definedName function="false" hidden="false" name="BS_Retained_Earnings" vbProcedure="false">Balance_Sheet!$C$33:$G$33</definedName>
    <definedName function="false" hidden="false" name="BS_Total_Assets" vbProcedure="false">Balance_Sheet!$C$17:$G$17</definedName>
    <definedName function="false" hidden="false" name="BS_Total_Debt" vbProcedure="false">Balance_Sheet!$C$26:$G$26</definedName>
    <definedName function="false" hidden="false" name="BS_Total_Equity" vbProcedure="false">Balance_Sheet!$C$34:$G$34</definedName>
    <definedName function="false" hidden="false" name="Building_Life" vbProcedure="false">Assumptions!$C$38</definedName>
    <definedName function="false" hidden="false" name="Capex_Asset_Life" vbProcedure="false">Assumptions!$C$40</definedName>
    <definedName function="false" hidden="false" name="CD_Closing_PPE" vbProcedure="false">Capex_Depr!$C$16:$G$16</definedName>
    <definedName function="false" hidden="false" name="CD_Maint_Capex" vbProcedure="false">Capex_Depr!$C$11:$G$11</definedName>
    <definedName function="false" hidden="false" name="CD_Total_Depr" vbProcedure="false">Capex_Depr!$C$14:$G$14</definedName>
    <definedName function="false" hidden="false" name="CF_CFF" vbProcedure="false">Cash_Flow!$C$28:$G$28</definedName>
    <definedName function="false" hidden="false" name="CF_CFI" vbProcedure="false">Cash_Flow!$C$21:$G$21</definedName>
    <definedName function="false" hidden="false" name="CF_CFO" vbProcedure="false">Cash_Flow!$C$16:$G$16</definedName>
    <definedName function="false" hidden="false" name="CF_Closing" vbProcedure="false">Cash_Flow!$C$33:$G$33</definedName>
    <definedName function="false" hidden="false" name="CF_Net_Change" vbProcedure="false">Cash_Flow!$C$30:$G$30</definedName>
    <definedName function="false" hidden="false" name="CF_Opening" vbProcedure="false">Cash_Flow!$C$32:$G$32</definedName>
    <definedName function="false" hidden="false" name="Dividend_Payout" vbProcedure="false">Assumptions!$C$49</definedName>
    <definedName function="false" hidden="false" name="DPO_Days" vbProcedure="false">Assumptions!$C$57</definedName>
    <definedName function="false" hidden="false" name="DSO_Days" vbProcedure="false">Assumptions!$C$56</definedName>
    <definedName function="false" hidden="false" name="DS_Closing" vbProcedure="false">Debt_Schedule!$C$11:$G$11</definedName>
    <definedName function="false" hidden="false" name="DS_Interest" vbProcedure="false">Debt_Schedule!$C$13:$G$13</definedName>
    <definedName function="false" hidden="false" name="DS_Opening" vbProcedure="false">Debt_Schedule!$C$8:$G$8</definedName>
    <definedName function="false" hidden="false" name="DS_Proceeds" vbProcedure="false">Debt_Schedule!$C$9:$G$9</definedName>
    <definedName function="false" hidden="false" name="DS_Repayment" vbProcedure="false">Debt_Schedule!$C$10:$G$10</definedName>
    <definedName function="false" hidden="false" name="Enrolment_Fee_Amt" vbProcedure="false">Assumptions!$C$20</definedName>
    <definedName function="false" hidden="false" name="EN_Closing" vbProcedure="false">Enrolment!$C$13:$G$13</definedName>
    <definedName function="false" hidden="false" name="EN_New_Intake" vbProcedure="false">Enrolment!$C$9:$G$9</definedName>
    <definedName function="false" hidden="false" name="EN_Utilisation" vbProcedure="false">Enrolment!$C$16:$G$16</definedName>
    <definedName function="false" hidden="false" name="Facilities_Pct" vbProcedure="false">Assumptions!$C$32</definedName>
    <definedName function="false" hidden="false" name="Graduation_Rate" vbProcedure="false">Assumptions!$C$14</definedName>
    <definedName function="false" hidden="false" name="Insurance_Pct" vbProcedure="false">Assumptions!$C$34</definedName>
    <definedName function="false" hidden="false" name="Interest_Rate" vbProcedure="false">Assumptions!$C$44</definedName>
    <definedName function="false" hidden="false" name="IS_Depreciation" vbProcedure="false">Income_Statement!$C$30:$G$30</definedName>
    <definedName function="false" hidden="false" name="IS_Dividends" vbProcedure="false">Income_Statement!$C$41:$G$41</definedName>
    <definedName function="false" hidden="false" name="IS_EBIT" vbProcedure="false">Income_Statement!$C$31:$G$31</definedName>
    <definedName function="false" hidden="false" name="IS_EBITDA" vbProcedure="false">Income_Statement!$C$27:$G$27</definedName>
    <definedName function="false" hidden="false" name="IS_Gross_Profit" vbProcedure="false">Income_Statement!$C$18:$G$18</definedName>
    <definedName function="false" hidden="false" name="IS_Interest" vbProcedure="false">Income_Statement!$C$33:$G$33</definedName>
    <definedName function="false" hidden="false" name="IS_Net_Income" vbProcedure="false">Income_Statement!$C$38:$G$38</definedName>
    <definedName function="false" hidden="false" name="IS_Tax" vbProcedure="false">Income_Statement!$C$36:$G$36</definedName>
    <definedName function="false" hidden="false" name="IS_Total_Rev" vbProcedure="false">Income_Statement!$C$11:$G$11</definedName>
    <definedName function="false" hidden="false" name="Loan_Tenor" vbProcedure="false">Assumptions!$C$45</definedName>
    <definedName function="false" hidden="false" name="Maint_Capex_Pct" vbProcedure="false">Assumptions!$C$39</definedName>
    <definedName function="false" hidden="false" name="Marketing_IT_Pct" vbProcedure="false">Assumptions!$C$33</definedName>
    <definedName function="false" hidden="false" name="Max_Capacity" vbProcedure="false">Assumptions!$C$11</definedName>
    <definedName function="false" hidden="false" name="Opening_Cash" vbProcedure="false">Assumptions!$C$52</definedName>
    <definedName function="false" hidden="false" name="Opening_PPE" vbProcedure="false">Assumptions!$C$37</definedName>
    <definedName function="false" hidden="false" name="OX_Facilities" vbProcedure="false">Opex!$C$10:$G$10</definedName>
    <definedName function="false" hidden="false" name="OX_Insurance" vbProcedure="false">Opex!$C$12:$G$12</definedName>
    <definedName function="false" hidden="false" name="OX_Marketing" vbProcedure="false">Opex!$C$11:$G$11</definedName>
    <definedName function="false" hidden="false" name="OX_Total" vbProcedure="false">Opex!$C$14:$G$14</definedName>
    <definedName function="false" hidden="false" name="REV_Ancillary" vbProcedure="false">Revenue!$C$18:$G$18</definedName>
    <definedName function="false" hidden="false" name="REV_Enrolment_Fees" vbProcedure="false">Revenue!$C$15:$G$15</definedName>
    <definedName function="false" hidden="false" name="REV_Net_Tuition" vbProcedure="false">Revenue!$C$12:$G$12</definedName>
    <definedName function="false" hidden="false" name="REV_Total" vbProcedure="false">Revenue!$C$20:$G$20</definedName>
    <definedName function="false" hidden="false" name="Salary_Inflation" vbProcedure="false">Assumptions!$C$28</definedName>
    <definedName function="false" hidden="false" name="Scholarship_Rate" vbProcedure="false">Assumptions!$C$23</definedName>
    <definedName function="false" hidden="false" name="SC_Admin" vbProcedure="false">Staff_Costs!$C$15:$G$15</definedName>
    <definedName function="false" hidden="false" name="SC_Teaching" vbProcedure="false">Staff_Costs!$C$13:$G$13</definedName>
    <definedName function="false" hidden="false" name="SC_Total" vbProcedure="false">Staff_Costs!$C$17:$G$17</definedName>
    <definedName function="false" hidden="false" name="Share_Capital_Amt" vbProcedure="false">Assumptions!$C$53</definedName>
    <definedName function="false" hidden="false" name="Starting_Enrolment" vbProcedure="false">Assumptions!$C$12</definedName>
    <definedName function="false" hidden="false" name="Start_Year" vbProcedure="false">Assumptions!$C$8</definedName>
    <definedName function="false" hidden="false" name="Student_Teacher_Ratio" vbProcedure="false">Assumptions!$C$26</definedName>
    <definedName function="false" hidden="false" name="Tax_Rate" vbProcedure="false">Assumptions!$C$48</definedName>
    <definedName function="false" hidden="false" name="Term_Loan_Amt" vbProcedure="false">Assumptions!$C$43</definedName>
    <definedName function="false" hidden="false" name="Tuition_Escalation" vbProcedure="false">Assumptions!$C$19</definedName>
    <definedName function="false" hidden="false" name="Tuition_Fee" vbProcedure="false">Assumptions!$C$18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<sst xmlns="http://schemas.openxmlformats.org/spreadsheetml/2006/main" count="324" uniqueCount="260">
  <si>
    <t xml:space="preserve">Private K-12 School</t>
  </si>
  <si>
    <t xml:space="preserve">FINAMODEL.com</t>
  </si>
  <si>
    <t xml:space="preserve">Financial Model</t>
  </si>
  <si>
    <t xml:space="preserve">Model Overview</t>
  </si>
  <si>
    <t xml:space="preserve">5-year projection model for a premium private K-12 school</t>
  </si>
  <si>
    <t xml:space="preserve">investment and acquisition analysis.</t>
  </si>
  <si>
    <t xml:space="preserve">Sheet Index</t>
  </si>
  <si>
    <t xml:space="preserve">Assumptions</t>
  </si>
  <si>
    <t xml:space="preserve">Key model parameters</t>
  </si>
  <si>
    <t xml:space="preserve">Enrolment</t>
  </si>
  <si>
    <t xml:space="preserve">Student numbers &amp; capacity</t>
  </si>
  <si>
    <t xml:space="preserve">Revenue</t>
  </si>
  <si>
    <t xml:space="preserve">Tuition, fees, ancillary</t>
  </si>
  <si>
    <t xml:space="preserve">Staff_Costs</t>
  </si>
  <si>
    <t xml:space="preserve">Teaching &amp; admin costs</t>
  </si>
  <si>
    <t xml:space="preserve">Opex</t>
  </si>
  <si>
    <t xml:space="preserve">Operating expenses</t>
  </si>
  <si>
    <t xml:space="preserve">Capex_Depr</t>
  </si>
  <si>
    <t xml:space="preserve">Capital expenditure &amp; depreciation</t>
  </si>
  <si>
    <t xml:space="preserve">Debt_Schedule</t>
  </si>
  <si>
    <t xml:space="preserve">Senior debt service</t>
  </si>
  <si>
    <t xml:space="preserve">Income_Statement</t>
  </si>
  <si>
    <t xml:space="preserve">Profit &amp; Loss</t>
  </si>
  <si>
    <t xml:space="preserve">Cash_Flow</t>
  </si>
  <si>
    <t xml:space="preserve">Cash flow statement</t>
  </si>
  <si>
    <t xml:space="preserve">Balance_Sheet</t>
  </si>
  <si>
    <t xml:space="preserve">Balance sheet</t>
  </si>
  <si>
    <t xml:space="preserve">Colour Legend</t>
  </si>
  <si>
    <t xml:space="preserve">Dark Blue</t>
  </si>
  <si>
    <t xml:space="preserve">Cover</t>
  </si>
  <si>
    <t xml:space="preserve">Light Blue</t>
  </si>
  <si>
    <t xml:space="preserve">Assumptions / Inputs</t>
  </si>
  <si>
    <t xml:space="preserve">Green</t>
  </si>
  <si>
    <t xml:space="preserve">Revenue &amp; enrolment drivers</t>
  </si>
  <si>
    <t xml:space="preserve">Orange</t>
  </si>
  <si>
    <t xml:space="preserve">Cost &amp; expense schedules</t>
  </si>
  <si>
    <t xml:space="preserve">Grey</t>
  </si>
  <si>
    <t xml:space="preserve">Summary / output sheets</t>
  </si>
  <si>
    <t xml:space="preserve">Red</t>
  </si>
  <si>
    <t xml:space="preserve">Debt &amp; risk schedules</t>
  </si>
  <si>
    <t xml:space="preserve">About this model</t>
  </si>
  <si>
    <t xml:space="preserve">Evaluate acquisition of a premium independent Kâ12 school by modeling enrollment dynamics, tuition escalation, and payroll-to-revenue ratios across a 5-year hold. This template projects student enrollment with annual intake/graduation/attrition, models tuition revenue with scholarship adjustments, and calculates staffing requirements using a student-teacher ratio that creates discrete cost steps (each new teacher adds a fixed salary cost when the ratio threshold is breached). Operating expenses include admin and support staff (% of revenue), facilities and utilities, and marketing costs.
The workbook contains enrollment roll-forward with capacity constraints, revenue sheets for tuition/enrolment fees/ancillary services, a staffing model with ROUNDUP() mechanics to capture teacher step-function costs, capex and depreciation schedules, debt amortisation, and a three-statement model. Key covenants include DSCR monitoring (typically â¥1.25x for educational borrowing) and per-student revenue/cost KPIs. The model assumes a going-concern asset (existing school acquired pre-revenue) with pre-existing campus PP&amp;E and senior secured debt, no new debt issuance. Equity IRR is calculated from an equity cash flow stream: initial equity investment in Year 0, annual dividends, plus exit proceeds from an EV multiple applied to Year 5 EBITDA.
Target users are educational PE sponsors (Nord Anglia, GEMS, Cognita), family offices in education, and lenders evaluating premium international school acquisitions valued at $20M to $200M+.</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</si>
  <si>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</si>
  <si>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</si>
  <si>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</si>
  <si>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</si>
  <si>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Key Parameters</t>
  </si>
  <si>
    <t xml:space="preserve">Parameter</t>
  </si>
  <si>
    <t xml:space="preserve">Value</t>
  </si>
  <si>
    <t xml:space="preserve">Unit</t>
  </si>
  <si>
    <t xml:space="preserve">Notes</t>
  </si>
  <si>
    <t xml:space="preserve">General</t>
  </si>
  <si>
    <t xml:space="preserve">Model Start Year</t>
  </si>
  <si>
    <t xml:space="preserve">Year</t>
  </si>
  <si>
    <t xml:space="preserve">Maximum Capacity</t>
  </si>
  <si>
    <t xml:space="preserve">Students</t>
  </si>
  <si>
    <t xml:space="preserve">Mid-to-large campus</t>
  </si>
  <si>
    <t xml:space="preserve">Starting Enrolment</t>
  </si>
  <si>
    <t xml:space="preserve">Opening roster</t>
  </si>
  <si>
    <t xml:space="preserve">Annual New Intake</t>
  </si>
  <si>
    <t xml:space="preserve">Grows with capacity</t>
  </si>
  <si>
    <t xml:space="preserve">Graduation Rate</t>
  </si>
  <si>
    <t xml:space="preserve">%</t>
  </si>
  <si>
    <t xml:space="preserve">~1/13 of students</t>
  </si>
  <si>
    <t xml:space="preserve">Attrition Rate</t>
  </si>
  <si>
    <t xml:space="preserve">Non-graduation leavers</t>
  </si>
  <si>
    <t xml:space="preserve">Annual Tuition Fee</t>
  </si>
  <si>
    <t xml:space="preserve">USD</t>
  </si>
  <si>
    <t xml:space="preserve">Premium international</t>
  </si>
  <si>
    <t xml:space="preserve">Tuition Escalation</t>
  </si>
  <si>
    <t xml:space="preserve">Inflation + fee hike</t>
  </si>
  <si>
    <t xml:space="preserve">Enrolment Fee</t>
  </si>
  <si>
    <t xml:space="preserve">One-time per new student</t>
  </si>
  <si>
    <t xml:space="preserve">Ancillary Rev/Student</t>
  </si>
  <si>
    <t xml:space="preserve">Transport, catering</t>
  </si>
  <si>
    <t xml:space="preserve">Ancillary Escalation</t>
  </si>
  <si>
    <t xml:space="preserve">Scholarship Rate</t>
  </si>
  <si>
    <t xml:space="preserve">% of gross</t>
  </si>
  <si>
    <t xml:space="preserve">Staff children, bursaries</t>
  </si>
  <si>
    <t xml:space="preserve">Staffing</t>
  </si>
  <si>
    <t xml:space="preserve">Student-Teacher Ratio</t>
  </si>
  <si>
    <t xml:space="preserve">Ratio</t>
  </si>
  <si>
    <t xml:space="preserve">Premium standard</t>
  </si>
  <si>
    <t xml:space="preserve">Avg Teacher Salary</t>
  </si>
  <si>
    <t xml:space="preserve">Fully loaded</t>
  </si>
  <si>
    <t xml:space="preserve">Salary Inflation</t>
  </si>
  <si>
    <t xml:space="preserve">Annual escalation</t>
  </si>
  <si>
    <t xml:space="preserve">Operating Expenses</t>
  </si>
  <si>
    <t xml:space="preserve">Admin &amp; Support</t>
  </si>
  <si>
    <t xml:space="preserve">% of revenue</t>
  </si>
  <si>
    <t xml:space="preserve">Leadership, HR, admissions</t>
  </si>
  <si>
    <t xml:space="preserve">Facilities &amp; Utilities</t>
  </si>
  <si>
    <t xml:space="preserve">Power, maintenance</t>
  </si>
  <si>
    <t xml:space="preserve">Marketing &amp; IT</t>
  </si>
  <si>
    <t xml:space="preserve">Acquisition, LMS</t>
  </si>
  <si>
    <t xml:space="preserve">Insurance</t>
  </si>
  <si>
    <t xml:space="preserve">Property, liability</t>
  </si>
  <si>
    <t xml:space="preserve">CapEx &amp; Depreciation</t>
  </si>
  <si>
    <t xml:space="preserve">Opening PP&amp;E</t>
  </si>
  <si>
    <t xml:space="preserve">Campus value at Day 0</t>
  </si>
  <si>
    <t xml:space="preserve">Building Useful Life</t>
  </si>
  <si>
    <t xml:space="preserve">Years</t>
  </si>
  <si>
    <t xml:space="preserve">Straight-line</t>
  </si>
  <si>
    <t xml:space="preserve">Maintenance Capex</t>
  </si>
  <si>
    <t xml:space="preserve">Annual upkeep</t>
  </si>
  <si>
    <t xml:space="preserve">Capex Asset Life</t>
  </si>
  <si>
    <t xml:space="preserve">New asset depreciation</t>
  </si>
  <si>
    <t xml:space="preserve">Debt</t>
  </si>
  <si>
    <t xml:space="preserve">Term Loan</t>
  </si>
  <si>
    <t xml:space="preserve">Senior secured mortgage</t>
  </si>
  <si>
    <t xml:space="preserve">Interest Rate</t>
  </si>
  <si>
    <t xml:space="preserve">Base + margin</t>
  </si>
  <si>
    <t xml:space="preserve">Loan Tenor</t>
  </si>
  <si>
    <t xml:space="preserve">Amortising</t>
  </si>
  <si>
    <t xml:space="preserve">Tax &amp; Dividends</t>
  </si>
  <si>
    <t xml:space="preserve">Tax Rate</t>
  </si>
  <si>
    <t xml:space="preserve">Corporate</t>
  </si>
  <si>
    <t xml:space="preserve">Dividend Payout</t>
  </si>
  <si>
    <t xml:space="preserve">% of NI</t>
  </si>
  <si>
    <t xml:space="preserve">After stabilisation</t>
  </si>
  <si>
    <t xml:space="preserve">Opening Balances</t>
  </si>
  <si>
    <t xml:space="preserve">Opening Cash</t>
  </si>
  <si>
    <t xml:space="preserve">Day 0 balance</t>
  </si>
  <si>
    <t xml:space="preserve">Share Capital</t>
  </si>
  <si>
    <t xml:space="preserve">Equity injection</t>
  </si>
  <si>
    <t xml:space="preserve">Working Capital</t>
  </si>
  <si>
    <t xml:space="preserve">Days Sales Outstanding</t>
  </si>
  <si>
    <t xml:space="preserve">Days</t>
  </si>
  <si>
    <t xml:space="preserve">Days Payable Outstanding</t>
  </si>
  <si>
    <t xml:space="preserve">Enrolment Build</t>
  </si>
  <si>
    <t xml:space="preserve">Student Projections</t>
  </si>
  <si>
    <t xml:space="preserve">Student Numbers</t>
  </si>
  <si>
    <t xml:space="preserve">Opening Enrolment</t>
  </si>
  <si>
    <t xml:space="preserve">New Intake</t>
  </si>
  <si>
    <t xml:space="preserve">Graduates</t>
  </si>
  <si>
    <t xml:space="preserve">Attrition</t>
  </si>
  <si>
    <t xml:space="preserve">Closing Enrolment</t>
  </si>
  <si>
    <t xml:space="preserve">Capacity Analysis</t>
  </si>
  <si>
    <t xml:space="preserve">Max Capacity</t>
  </si>
  <si>
    <t xml:space="preserve">Utilisation</t>
  </si>
  <si>
    <t xml:space="preserve">Revenue Build</t>
  </si>
  <si>
    <t xml:space="preserve">Fee Income</t>
  </si>
  <si>
    <t xml:space="preserve">Tuition Revenue</t>
  </si>
  <si>
    <t xml:space="preserve">Enrolled Students</t>
  </si>
  <si>
    <t xml:space="preserve">Tuition Rate</t>
  </si>
  <si>
    <t xml:space="preserve">Gross Tuition</t>
  </si>
  <si>
    <t xml:space="preserve">Scholarships</t>
  </si>
  <si>
    <t xml:space="preserve">Net Tuition</t>
  </si>
  <si>
    <t xml:space="preserve">Enrolment Fees</t>
  </si>
  <si>
    <t xml:space="preserve">New Students</t>
  </si>
  <si>
    <t xml:space="preserve">Ancillary Revenue</t>
  </si>
  <si>
    <t xml:space="preserve">Ancillary Rate</t>
  </si>
  <si>
    <t xml:space="preserve">TOTAL REVENUE</t>
  </si>
  <si>
    <t xml:space="preserve">Staff Costs</t>
  </si>
  <si>
    <t xml:space="preserve">Teaching &amp; Admin</t>
  </si>
  <si>
    <t xml:space="preserve">Teaching Staff</t>
  </si>
  <si>
    <t xml:space="preserve">Teachers Required</t>
  </si>
  <si>
    <t xml:space="preserve">Teaching Costs</t>
  </si>
  <si>
    <t xml:space="preserve">Avg Salary (inflated)</t>
  </si>
  <si>
    <t xml:space="preserve">Total Teaching Cost</t>
  </si>
  <si>
    <t xml:space="preserve">Admin Costs</t>
  </si>
  <si>
    <t xml:space="preserve">TOTAL STAFF COSTS</t>
  </si>
  <si>
    <t xml:space="preserve">Non-Staff Costs</t>
  </si>
  <si>
    <t xml:space="preserve">Total Revenue</t>
  </si>
  <si>
    <t xml:space="preserve">Expense Categories</t>
  </si>
  <si>
    <t xml:space="preserve">TOTAL OPEX</t>
  </si>
  <si>
    <t xml:space="preserve">Fixed Assets</t>
  </si>
  <si>
    <t xml:space="preserve">Existing Assets</t>
  </si>
  <si>
    <t xml:space="preserve">Existing Depr</t>
  </si>
  <si>
    <t xml:space="preserve">Maintenance CapEx</t>
  </si>
  <si>
    <t xml:space="preserve">Maint Capex</t>
  </si>
  <si>
    <t xml:space="preserve">New Asset Depr</t>
  </si>
  <si>
    <t xml:space="preserve">Total Depreciation</t>
  </si>
  <si>
    <t xml:space="preserve">Closing PP&amp;E</t>
  </si>
  <si>
    <t xml:space="preserve">Debt Schedule</t>
  </si>
  <si>
    <t xml:space="preserve">Senior Debt</t>
  </si>
  <si>
    <t xml:space="preserve">Opening Balance</t>
  </si>
  <si>
    <t xml:space="preserve">Loan Proceeds</t>
  </si>
  <si>
    <t xml:space="preserve">Repayment</t>
  </si>
  <si>
    <t xml:space="preserve">Closing Balance</t>
  </si>
  <si>
    <t xml:space="preserve">Interest</t>
  </si>
  <si>
    <t xml:space="preserve">Interest Expense</t>
  </si>
  <si>
    <t xml:space="preserve">Coverage</t>
  </si>
  <si>
    <t xml:space="preserve">DSCR</t>
  </si>
  <si>
    <t xml:space="preserve">Income Statement</t>
  </si>
  <si>
    <t xml:space="preserve">Direct Costs</t>
  </si>
  <si>
    <t xml:space="preserve">Total Direct Costs</t>
  </si>
  <si>
    <t xml:space="preserve">Gross Profit</t>
  </si>
  <si>
    <t xml:space="preserve">Gross Margin</t>
  </si>
  <si>
    <t xml:space="preserve">Total OpEx</t>
  </si>
  <si>
    <t xml:space="preserve">EBITDA</t>
  </si>
  <si>
    <t xml:space="preserve">EBITDA Margin</t>
  </si>
  <si>
    <t xml:space="preserve">Depreciation</t>
  </si>
  <si>
    <t xml:space="preserve">EBIT</t>
  </si>
  <si>
    <t xml:space="preserve">EBT</t>
  </si>
  <si>
    <t xml:space="preserve">Tax</t>
  </si>
  <si>
    <t xml:space="preserve">NET INCOME</t>
  </si>
  <si>
    <t xml:space="preserve">Net Margin</t>
  </si>
  <si>
    <t xml:space="preserve">Dividends</t>
  </si>
  <si>
    <t xml:space="preserve">Cash Flow Statement</t>
  </si>
  <si>
    <t xml:space="preserve">Indirect Method</t>
  </si>
  <si>
    <t xml:space="preserve">Operating Activities</t>
  </si>
  <si>
    <t xml:space="preserve">Net Income</t>
  </si>
  <si>
    <t xml:space="preserve">Working Capital Changes</t>
  </si>
  <si>
    <t xml:space="preserve">AR Level</t>
  </si>
  <si>
    <t xml:space="preserve">Change in AR</t>
  </si>
  <si>
    <t xml:space="preserve">AP Level</t>
  </si>
  <si>
    <t xml:space="preserve">Change in AP</t>
  </si>
  <si>
    <t xml:space="preserve">CASH FROM OPERATIONS</t>
  </si>
  <si>
    <t xml:space="preserve">Investing Activities</t>
  </si>
  <si>
    <t xml:space="preserve">Initial PP&amp;E Purchase</t>
  </si>
  <si>
    <t xml:space="preserve">CASH FROM INVESTING</t>
  </si>
  <si>
    <t xml:space="preserve">Financing Activities</t>
  </si>
  <si>
    <t xml:space="preserve">Debt Proceeds</t>
  </si>
  <si>
    <t xml:space="preserve">Debt Repayment</t>
  </si>
  <si>
    <t xml:space="preserve">Equity Injection</t>
  </si>
  <si>
    <t xml:space="preserve">Dividends Paid</t>
  </si>
  <si>
    <t xml:space="preserve">CASH FROM FINANCING</t>
  </si>
  <si>
    <t xml:space="preserve">Net Change in Cash</t>
  </si>
  <si>
    <t xml:space="preserve">Closing Cash</t>
  </si>
  <si>
    <t xml:space="preserve">Balance Sheet</t>
  </si>
  <si>
    <t xml:space="preserve">Financial Position</t>
  </si>
  <si>
    <t xml:space="preserve">Current Assets</t>
  </si>
  <si>
    <t xml:space="preserve">Cash</t>
  </si>
  <si>
    <t xml:space="preserve">Accounts Receivable</t>
  </si>
  <si>
    <t xml:space="preserve">Total Current Assets</t>
  </si>
  <si>
    <t xml:space="preserve">Non-Current Assets</t>
  </si>
  <si>
    <t xml:space="preserve">Net PP&amp;E</t>
  </si>
  <si>
    <t xml:space="preserve">Total Non-Current Assets</t>
  </si>
  <si>
    <t xml:space="preserve">TOTAL ASSETS</t>
  </si>
  <si>
    <t xml:space="preserve">Current Liabilities</t>
  </si>
  <si>
    <t xml:space="preserve">Accounts Payable</t>
  </si>
  <si>
    <t xml:space="preserve">Current Portion Debt</t>
  </si>
  <si>
    <t xml:space="preserve">Total Current Liab</t>
  </si>
  <si>
    <t xml:space="preserve">Non-Current Liabilities</t>
  </si>
  <si>
    <t xml:space="preserve">Long-Term Debt</t>
  </si>
  <si>
    <t xml:space="preserve">Total Non-Current Liab</t>
  </si>
  <si>
    <t xml:space="preserve">Total Liabilities</t>
  </si>
  <si>
    <t xml:space="preserve">Equity</t>
  </si>
  <si>
    <t xml:space="preserve">Retained Earnings</t>
  </si>
  <si>
    <t xml:space="preserve">Total Equity</t>
  </si>
  <si>
    <t xml:space="preserve">TOTAL L + E</t>
  </si>
  <si>
    <t xml:space="preserve">Balance Check</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</si>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</sst>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6">
    <numFmt numFmtId="164" formatCode="General"/>
    <numFmt numFmtId="165" formatCode="#,##0.00"/>
    <numFmt numFmtId="166" formatCode="0.00%"/>
    <numFmt numFmtId="167" formatCode="\$#,##0.00"/>
    <numFmt numFmtId="168" formatCode="0.00"/>
    <numFmt numFmtId="169" formatCode="0.00\x"/>
  </numFmts>
  <fonts count="27">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b val="true"/>
      <sz val="11"/>
      <color theme="3"/>
      <name val="Arial"/>
      <family val="0"/>
      <charset val="1"/>
    </font>
    <font>
      <sz val="10"/>
      <name val="Arial"/>
      <family val="0"/>
      <charset val="1"/>
    </font>
    <font>
      <b val="true"/>
      <sz val="10"/>
      <name val="Arial"/>
      <family val="0"/>
      <charset val="1"/>
    </font>
    <font>
      <b val="true"/>
      <sz val="10"/>
      <color theme="0"/>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sz val="10"/>
      <color rgb="FF0000CC"/>
      <name val="Arial"/>
      <family val="0"/>
      <charset val="1"/>
    </font>
    <font>
      <i val="true"/>
      <sz val="10"/>
      <color rgb="FF808080"/>
      <name val="Arial"/>
      <family val="0"/>
      <charset val="1"/>
    </font>
    <font>
      <b val="true"/>
      <sz val="11"/>
      <color rgb="FFFF000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s>
  <fills count="13">
    <fill>
      <patternFill patternType="none"/>
    </fill>
    <fill>
      <patternFill patternType="gray125"/>
    </fill>
    <fill>
      <patternFill patternType="solid">
        <fgColor theme="3"/>
        <bgColor rgb="FF1F4E79"/>
      </patternFill>
    </fill>
    <fill>
      <patternFill patternType="solid">
        <fgColor rgb="FF5B9BD5"/>
        <bgColor rgb="FF808080"/>
      </patternFill>
    </fill>
    <fill>
      <patternFill patternType="solid">
        <fgColor rgb="FF70AD47"/>
        <bgColor rgb="FF99CC00"/>
      </patternFill>
    </fill>
    <fill>
      <patternFill patternType="solid">
        <fgColor rgb="FFED7D31"/>
        <bgColor rgb="FFFF8080"/>
      </patternFill>
    </fill>
    <fill>
      <patternFill patternType="solid">
        <fgColor rgb="FFA5A5A5"/>
        <bgColor rgb="FFC0C0C0"/>
      </patternFill>
    </fill>
    <fill>
      <patternFill patternType="solid">
        <fgColor rgb="FFFF0000"/>
        <bgColor rgb="FF993300"/>
      </patternFill>
    </fill>
    <fill>
      <patternFill patternType="solid">
        <fgColor rgb="FFD6E4F0"/>
        <bgColor rgb="FFC6D9F1"/>
      </patternFill>
    </fill>
    <fill>
      <patternFill patternType="solid">
        <fgColor theme="3" tint="0.8"/>
        <bgColor rgb="FFD6E4F0"/>
      </patternFill>
    </fill>
    <fill>
      <patternFill patternType="solid">
        <fgColor rgb="FFE8F0FE"/>
        <bgColor rgb="FFF2F2F2"/>
      </patternFill>
    </fill>
    <fill>
      <patternFill patternType="solid">
        <fgColor rgb="FF1F4E79"/>
        <bgColor rgb="FF1F497D"/>
      </patternFill>
    </fill>
    <fill>
      <patternFill patternType="solid">
        <fgColor rgb="FFF2F2F2"/>
        <bgColor rgb="FFE8F0FE"/>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2" fillId="3" borderId="0" xfId="0" applyFont="true" applyBorder="false" applyAlignment="false" applyProtection="false">
      <alignment horizontal="general" vertical="bottom" textRotation="0" wrapText="false" indent="0" shrinkToFit="false"/>
      <protection locked="true" hidden="false"/>
    </xf>
    <xf numFmtId="164" fontId="12" fillId="4" borderId="0" xfId="0" applyFont="true" applyBorder="false" applyAlignment="false" applyProtection="false">
      <alignment horizontal="general" vertical="bottom" textRotation="0" wrapText="false" indent="0" shrinkToFit="false"/>
      <protection locked="true" hidden="false"/>
    </xf>
    <xf numFmtId="164" fontId="12" fillId="5" borderId="0" xfId="0" applyFont="true" applyBorder="false" applyAlignment="false" applyProtection="false">
      <alignment horizontal="general" vertical="bottom" textRotation="0" wrapText="false" indent="0" shrinkToFit="false"/>
      <protection locked="true" hidden="false"/>
    </xf>
    <xf numFmtId="164" fontId="12" fillId="6" borderId="0" xfId="0" applyFont="true" applyBorder="false" applyAlignment="false" applyProtection="false">
      <alignment horizontal="general" vertical="bottom" textRotation="0" wrapText="false" indent="0" shrinkToFit="false"/>
      <protection locked="true" hidden="false"/>
    </xf>
    <xf numFmtId="164" fontId="13" fillId="7" borderId="0" xfId="0" applyFont="true" applyBorder="false" applyAlignment="false" applyProtection="false">
      <alignment horizontal="general" vertical="bottom" textRotation="0" wrapText="false" indent="0" shrinkToFit="false"/>
      <protection locked="true" hidden="false"/>
    </xf>
    <xf numFmtId="164" fontId="14" fillId="8" borderId="0" xfId="0" applyFont="true" applyBorder="false" applyAlignment="true" applyProtection="false">
      <alignment horizontal="left" vertical="center" textRotation="0" wrapText="false" indent="0" shrinkToFit="false"/>
      <protection locked="true" hidden="false"/>
    </xf>
    <xf numFmtId="164" fontId="15" fillId="8"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true" applyAlignment="true" applyProtection="false">
      <alignment horizontal="left" vertical="top" textRotation="0" wrapText="true" indent="0" shrinkToFit="false"/>
      <protection locked="true" hidden="false"/>
    </xf>
    <xf numFmtId="164" fontId="17" fillId="0" borderId="0" xfId="0" applyFont="true" applyBorder="true" applyAlignment="true" applyProtection="false">
      <alignment horizontal="left"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13" fillId="2" borderId="0" xfId="0" applyFont="true" applyBorder="false" applyAlignment="true" applyProtection="false">
      <alignment horizontal="left"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0" fillId="9" borderId="0" xfId="0" applyFont="true" applyBorder="false" applyAlignment="false" applyProtection="false">
      <alignment horizontal="general" vertical="bottom" textRotation="0" wrapText="false" indent="0" shrinkToFit="false"/>
      <protection locked="true" hidden="false"/>
    </xf>
    <xf numFmtId="164" fontId="9" fillId="9"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left" vertical="bottom" textRotation="0" wrapText="false" indent="0" shrinkToFit="false"/>
      <protection locked="true" hidden="false"/>
    </xf>
    <xf numFmtId="165" fontId="19" fillId="10" borderId="0" xfId="0" applyFont="true" applyBorder="false" applyAlignment="true" applyProtection="false">
      <alignment horizontal="right" vertical="bottom" textRotation="0" wrapText="false" indent="0" shrinkToFit="false"/>
      <protection locked="true" hidden="false"/>
    </xf>
    <xf numFmtId="164" fontId="20" fillId="0" borderId="0" xfId="0" applyFont="true" applyBorder="false" applyAlignment="true" applyProtection="false">
      <alignment horizontal="left" vertical="bottom" textRotation="0" wrapText="false" indent="0" shrinkToFit="false"/>
      <protection locked="true" hidden="false"/>
    </xf>
    <xf numFmtId="166" fontId="19" fillId="10" borderId="0" xfId="0" applyFont="true" applyBorder="false" applyAlignment="true" applyProtection="false">
      <alignment horizontal="right" vertical="bottom" textRotation="0" wrapText="false" indent="0" shrinkToFit="false"/>
      <protection locked="true" hidden="false"/>
    </xf>
    <xf numFmtId="165" fontId="13" fillId="2" borderId="0" xfId="0" applyFont="true" applyBorder="false" applyAlignment="true" applyProtection="false">
      <alignment horizontal="center" vertical="bottom" textRotation="0" wrapText="false" indent="0" shrinkToFit="false"/>
      <protection locked="true" hidden="false"/>
    </xf>
    <xf numFmtId="165" fontId="11" fillId="0" borderId="0" xfId="0" applyFont="true" applyBorder="false" applyAlignment="true" applyProtection="false">
      <alignment horizontal="right" vertical="bottom" textRotation="0" wrapText="false" indent="0" shrinkToFit="false"/>
      <protection locked="true" hidden="false"/>
    </xf>
    <xf numFmtId="164" fontId="11" fillId="0" borderId="0" xfId="0" applyFont="true" applyBorder="false" applyAlignment="true" applyProtection="false">
      <alignment horizontal="left" vertical="bottom" textRotation="0" wrapText="false" indent="1"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5" fontId="12" fillId="0" borderId="1" xfId="0" applyFont="true" applyBorder="true" applyAlignment="true" applyProtection="false">
      <alignment horizontal="right" vertical="bottom" textRotation="0" wrapText="false" indent="0" shrinkToFit="false"/>
      <protection locked="true" hidden="false"/>
    </xf>
    <xf numFmtId="166" fontId="11" fillId="0" borderId="0" xfId="0" applyFont="true" applyBorder="false" applyAlignment="true" applyProtection="false">
      <alignment horizontal="right" vertical="bottom" textRotation="0" wrapText="false" indent="0" shrinkToFit="false"/>
      <protection locked="true" hidden="false"/>
    </xf>
    <xf numFmtId="167" fontId="11" fillId="0" borderId="0" xfId="0" applyFont="true" applyBorder="false" applyAlignment="true" applyProtection="false">
      <alignment horizontal="right" vertical="bottom" textRotation="0" wrapText="false" indent="0" shrinkToFit="false"/>
      <protection locked="true" hidden="false"/>
    </xf>
    <xf numFmtId="167" fontId="12" fillId="0" borderId="1" xfId="0" applyFont="true" applyBorder="true" applyAlignment="true" applyProtection="false">
      <alignment horizontal="right" vertical="bottom" textRotation="0" wrapText="false" indent="0" shrinkToFit="false"/>
      <protection locked="true" hidden="false"/>
    </xf>
    <xf numFmtId="167" fontId="12" fillId="0" borderId="2" xfId="0" applyFont="true" applyBorder="true" applyAlignment="true" applyProtection="false">
      <alignment horizontal="right" vertical="bottom" textRotation="0" wrapText="false" indent="0" shrinkToFit="false"/>
      <protection locked="true" hidden="false"/>
    </xf>
    <xf numFmtId="168" fontId="11" fillId="0" borderId="0" xfId="0" applyFont="true" applyBorder="false" applyAlignment="true" applyProtection="false">
      <alignment horizontal="right" vertical="bottom" textRotation="0" wrapText="false" indent="0" shrinkToFit="false"/>
      <protection locked="true" hidden="false"/>
    </xf>
    <xf numFmtId="169" fontId="11" fillId="0" borderId="0" xfId="0" applyFont="true" applyBorder="false" applyAlignment="true" applyProtection="false">
      <alignment horizontal="right" vertical="bottom" textRotation="0" wrapText="false" indent="0" shrinkToFit="false"/>
      <protection locked="true" hidden="false"/>
    </xf>
    <xf numFmtId="166" fontId="20" fillId="0" borderId="0" xfId="0" applyFont="true" applyBorder="false" applyAlignment="true" applyProtection="false">
      <alignment horizontal="right"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7" fontId="20" fillId="0" borderId="0" xfId="0" applyFont="true" applyBorder="false" applyAlignment="true" applyProtection="false">
      <alignment horizontal="right" vertical="bottom" textRotation="0" wrapText="false" indent="0" shrinkToFit="false"/>
      <protection locked="true" hidden="false"/>
    </xf>
    <xf numFmtId="164" fontId="21" fillId="0" borderId="0" xfId="0" applyFont="true" applyBorder="false" applyAlignment="true" applyProtection="false">
      <alignment horizontal="left" vertical="bottom" textRotation="0" wrapText="false" indent="0" shrinkToFit="false"/>
      <protection locked="true" hidden="false"/>
    </xf>
    <xf numFmtId="167" fontId="21" fillId="0" borderId="0" xfId="0" applyFont="true" applyBorder="false" applyAlignment="true" applyProtection="false">
      <alignment horizontal="right" vertical="bottom"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15" fillId="0" borderId="3" xfId="0" applyFont="true" applyBorder="true" applyAlignment="false" applyProtection="false">
      <alignment horizontal="general" vertical="bottom" textRotation="0" wrapText="false" indent="0" shrinkToFit="false"/>
      <protection locked="true" hidden="false"/>
    </xf>
    <xf numFmtId="164" fontId="23" fillId="11" borderId="0" xfId="0" applyFont="true" applyBorder="false" applyAlignment="true" applyProtection="false">
      <alignment horizontal="left" vertical="center" textRotation="0" wrapText="false" indent="1" shrinkToFit="false"/>
      <protection locked="true" hidden="false"/>
    </xf>
    <xf numFmtId="164" fontId="24" fillId="0" borderId="0" xfId="0" applyFont="true" applyBorder="false" applyAlignment="true" applyProtection="false">
      <alignment horizontal="left" vertical="top" textRotation="0" wrapText="true" indent="1" shrinkToFit="false"/>
      <protection locked="true" hidden="false"/>
    </xf>
    <xf numFmtId="164" fontId="25" fillId="0" borderId="0" xfId="0" applyFont="true" applyBorder="false" applyAlignment="true" applyProtection="false">
      <alignment horizontal="left" vertical="center" textRotation="0" wrapText="false" indent="1" shrinkToFit="false"/>
      <protection locked="true" hidden="false"/>
    </xf>
    <xf numFmtId="164" fontId="14" fillId="0" borderId="0" xfId="0" applyFont="true" applyBorder="false" applyAlignment="true" applyProtection="false">
      <alignment horizontal="left" vertical="center" textRotation="0" wrapText="false" indent="1" shrinkToFit="false"/>
      <protection locked="true" hidden="false"/>
    </xf>
    <xf numFmtId="164" fontId="26" fillId="12" borderId="0" xfId="0" applyFont="true" applyBorder="false" applyAlignment="true" applyProtection="false">
      <alignment horizontal="left" vertical="top" textRotation="0" wrapText="true" indent="1" shrinkToFit="false"/>
      <protection locked="true" hidden="false"/>
    </xf>
    <xf numFmtId="164" fontId="20"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CC"/>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E8F0FE"/>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6E4F0"/>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40"/>
    <col collapsed="false" customWidth="true" hidden="false" outlineLevel="0" max="3" min="3" style="0" width="30"/>
    <col collapsed="false" customWidth="true" hidden="false" outlineLevel="0" max="4" min="4" style="0" width="20"/>
  </cols>
  <sheetData>
    <row r="1" customFormat="false" ht="15" hidden="false" customHeight="false" outlineLevel="0" collapsed="false">
      <c r="A1" s="1"/>
      <c r="B1" s="1"/>
      <c r="C1" s="1"/>
      <c r="D1" s="2"/>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2"/>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row>
    <row r="5" customFormat="false" ht="15" hidden="false" customHeight="false" outlineLevel="0" collapsed="false">
      <c r="A5" s="6"/>
      <c r="B5" s="7" t="s">
        <v>3</v>
      </c>
      <c r="C5" s="6"/>
    </row>
    <row r="6" customFormat="false" ht="15" hidden="false" customHeight="false" outlineLevel="0" collapsed="false">
      <c r="A6" s="6"/>
      <c r="B6" s="8" t="s">
        <v>4</v>
      </c>
      <c r="C6" s="6"/>
    </row>
    <row r="7" customFormat="false" ht="15" hidden="false" customHeight="false" outlineLevel="0" collapsed="false">
      <c r="A7" s="6"/>
      <c r="B7" s="8" t="s">
        <v>5</v>
      </c>
      <c r="C7" s="6"/>
    </row>
    <row r="8" customFormat="false" ht="15" hidden="false" customHeight="false" outlineLevel="0" collapsed="false">
      <c r="A8" s="6"/>
      <c r="B8" s="6"/>
      <c r="C8" s="6"/>
    </row>
    <row r="9" customFormat="false" ht="15" hidden="false" customHeight="false" outlineLevel="0" collapsed="false">
      <c r="A9" s="6"/>
      <c r="B9" s="7" t="s">
        <v>6</v>
      </c>
      <c r="C9" s="6"/>
    </row>
    <row r="10" customFormat="false" ht="15" hidden="false" customHeight="false" outlineLevel="0" collapsed="false">
      <c r="A10" s="6"/>
      <c r="B10" s="9" t="s">
        <v>7</v>
      </c>
      <c r="C10" s="8" t="s">
        <v>8</v>
      </c>
    </row>
    <row r="11" customFormat="false" ht="15" hidden="false" customHeight="false" outlineLevel="0" collapsed="false">
      <c r="A11" s="6"/>
      <c r="B11" s="9" t="s">
        <v>9</v>
      </c>
      <c r="C11" s="8" t="s">
        <v>10</v>
      </c>
    </row>
    <row r="12" customFormat="false" ht="15" hidden="false" customHeight="false" outlineLevel="0" collapsed="false">
      <c r="A12" s="6"/>
      <c r="B12" s="9" t="s">
        <v>11</v>
      </c>
      <c r="C12" s="8" t="s">
        <v>12</v>
      </c>
    </row>
    <row r="13" customFormat="false" ht="15" hidden="false" customHeight="false" outlineLevel="0" collapsed="false">
      <c r="A13" s="6"/>
      <c r="B13" s="9" t="s">
        <v>13</v>
      </c>
      <c r="C13" s="8" t="s">
        <v>14</v>
      </c>
    </row>
    <row r="14" customFormat="false" ht="15" hidden="false" customHeight="false" outlineLevel="0" collapsed="false">
      <c r="A14" s="6"/>
      <c r="B14" s="9" t="s">
        <v>15</v>
      </c>
      <c r="C14" s="8" t="s">
        <v>16</v>
      </c>
    </row>
    <row r="15" customFormat="false" ht="15" hidden="false" customHeight="false" outlineLevel="0" collapsed="false">
      <c r="A15" s="6"/>
      <c r="B15" s="9" t="s">
        <v>17</v>
      </c>
      <c r="C15" s="8" t="s">
        <v>18</v>
      </c>
    </row>
    <row r="16" customFormat="false" ht="15" hidden="false" customHeight="false" outlineLevel="0" collapsed="false">
      <c r="A16" s="6"/>
      <c r="B16" s="9" t="s">
        <v>19</v>
      </c>
      <c r="C16" s="8" t="s">
        <v>20</v>
      </c>
    </row>
    <row r="17" customFormat="false" ht="15" hidden="false" customHeight="false" outlineLevel="0" collapsed="false">
      <c r="A17" s="6"/>
      <c r="B17" s="9" t="s">
        <v>21</v>
      </c>
      <c r="C17" s="8" t="s">
        <v>22</v>
      </c>
    </row>
    <row r="18" customFormat="false" ht="15" hidden="false" customHeight="false" outlineLevel="0" collapsed="false">
      <c r="A18" s="6"/>
      <c r="B18" s="9" t="s">
        <v>23</v>
      </c>
      <c r="C18" s="8" t="s">
        <v>24</v>
      </c>
    </row>
    <row r="19" customFormat="false" ht="15" hidden="false" customHeight="false" outlineLevel="0" collapsed="false">
      <c r="A19" s="6"/>
      <c r="B19" s="9" t="s">
        <v>25</v>
      </c>
      <c r="C19" s="8" t="s">
        <v>26</v>
      </c>
    </row>
    <row r="20" customFormat="false" ht="15" hidden="false" customHeight="false" outlineLevel="0" collapsed="false">
      <c r="A20" s="6"/>
      <c r="B20" s="6"/>
      <c r="C20" s="6"/>
    </row>
    <row r="21" customFormat="false" ht="15" hidden="false" customHeight="false" outlineLevel="0" collapsed="false">
      <c r="A21" s="6"/>
      <c r="B21" s="6"/>
      <c r="C21" s="6"/>
    </row>
    <row r="22" customFormat="false" ht="15" hidden="false" customHeight="false" outlineLevel="0" collapsed="false">
      <c r="A22" s="6"/>
      <c r="B22" s="7" t="s">
        <v>27</v>
      </c>
      <c r="C22" s="6"/>
    </row>
    <row r="23" customFormat="false" ht="15" hidden="false" customHeight="false" outlineLevel="0" collapsed="false">
      <c r="A23" s="6"/>
      <c r="B23" s="10" t="s">
        <v>28</v>
      </c>
      <c r="C23" s="8" t="s">
        <v>29</v>
      </c>
    </row>
    <row r="24" customFormat="false" ht="15" hidden="false" customHeight="false" outlineLevel="0" collapsed="false">
      <c r="A24" s="6"/>
      <c r="B24" s="11" t="s">
        <v>30</v>
      </c>
      <c r="C24" s="8" t="s">
        <v>31</v>
      </c>
    </row>
    <row r="25" customFormat="false" ht="15" hidden="false" customHeight="false" outlineLevel="0" collapsed="false">
      <c r="A25" s="6"/>
      <c r="B25" s="12" t="s">
        <v>32</v>
      </c>
      <c r="C25" s="8" t="s">
        <v>33</v>
      </c>
    </row>
    <row r="26" customFormat="false" ht="15" hidden="false" customHeight="false" outlineLevel="0" collapsed="false">
      <c r="A26" s="6"/>
      <c r="B26" s="13" t="s">
        <v>34</v>
      </c>
      <c r="C26" s="8" t="s">
        <v>35</v>
      </c>
    </row>
    <row r="27" customFormat="false" ht="15" hidden="false" customHeight="false" outlineLevel="0" collapsed="false">
      <c r="A27" s="6"/>
      <c r="B27" s="14" t="s">
        <v>36</v>
      </c>
      <c r="C27" s="8" t="s">
        <v>37</v>
      </c>
    </row>
    <row r="28" customFormat="false" ht="15" hidden="false" customHeight="false" outlineLevel="0" collapsed="false">
      <c r="A28" s="6"/>
      <c r="B28" s="15" t="s">
        <v>38</v>
      </c>
      <c r="C28" s="8" t="s">
        <v>39</v>
      </c>
    </row>
    <row r="31" customFormat="false" ht="19.5" hidden="false" customHeight="true" outlineLevel="0" collapsed="false">
      <c r="B31" s="16" t="s">
        <v>40</v>
      </c>
      <c r="C31" s="17"/>
      <c r="D31" s="17"/>
      <c r="E31" s="17"/>
      <c r="F31" s="17"/>
      <c r="G31" s="17"/>
    </row>
    <row r="32" customFormat="false" ht="220.5" hidden="false" customHeight="true" outlineLevel="0" collapsed="false">
      <c r="B32" s="18" t="s">
        <v>41</v>
      </c>
      <c r="C32" s="18"/>
      <c r="D32" s="18"/>
      <c r="E32" s="18"/>
      <c r="F32" s="18"/>
      <c r="G32" s="18"/>
    </row>
    <row r="34" customFormat="false" ht="19.5" hidden="false" customHeight="true" outlineLevel="0" collapsed="false">
      <c r="B34" s="16" t="s">
        <v>42</v>
      </c>
      <c r="C34" s="17"/>
      <c r="D34" s="17"/>
      <c r="E34" s="17"/>
      <c r="F34" s="17"/>
      <c r="G34" s="17"/>
    </row>
    <row r="35" customFormat="false" ht="57" hidden="false" customHeight="true" outlineLevel="0" collapsed="false">
      <c r="B35" s="18" t="s">
        <v>43</v>
      </c>
      <c r="C35" s="18"/>
      <c r="D35" s="18"/>
      <c r="E35" s="18"/>
      <c r="F35" s="18"/>
      <c r="G35" s="18"/>
    </row>
    <row r="36" customFormat="false" ht="15" hidden="false" customHeight="false" outlineLevel="0" collapsed="false">
      <c r="B36" s="19" t="s">
        <v>44</v>
      </c>
      <c r="C36" s="19"/>
      <c r="D36" s="19"/>
      <c r="E36" s="19"/>
      <c r="F36" s="19"/>
      <c r="G36" s="19"/>
    </row>
    <row r="37" customFormat="false" ht="15" hidden="false" customHeight="false" outlineLevel="0" collapsed="false">
      <c r="B37" s="20" t="s">
        <v>45</v>
      </c>
    </row>
  </sheetData>
  <mergeCells count="3">
    <mergeCell ref="B32:G32"/>
    <mergeCell ref="B35:G35"/>
    <mergeCell ref="B36:G36"/>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5"/>
    <col collapsed="false" customWidth="true" hidden="false" outlineLevel="0" max="7" min="3" style="0" width="15"/>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199</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200</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1" t="s">
        <v>53</v>
      </c>
      <c r="C5" s="29" t="n">
        <f aca="false">Start_Year+0</f>
        <v>2025</v>
      </c>
      <c r="D5" s="29" t="n">
        <f aca="false">Start_Year+1</f>
        <v>2026</v>
      </c>
      <c r="E5" s="29" t="n">
        <f aca="false">Start_Year+2</f>
        <v>2027</v>
      </c>
      <c r="F5" s="29" t="n">
        <f aca="false">Start_Year+3</f>
        <v>2028</v>
      </c>
      <c r="G5" s="29" t="n">
        <f aca="false">Start_Year+4</f>
        <v>2029</v>
      </c>
    </row>
    <row r="6" customFormat="false" ht="15" hidden="false" customHeight="false" outlineLevel="0" collapsed="false">
      <c r="A6" s="6"/>
      <c r="B6" s="6"/>
      <c r="C6" s="6"/>
      <c r="D6" s="6"/>
      <c r="E6" s="6"/>
      <c r="F6" s="6"/>
      <c r="G6" s="6"/>
    </row>
    <row r="7" customFormat="false" ht="15" hidden="false" customHeight="false" outlineLevel="0" collapsed="false">
      <c r="A7" s="6"/>
      <c r="B7" s="23" t="s">
        <v>201</v>
      </c>
      <c r="C7" s="24"/>
      <c r="D7" s="24"/>
      <c r="E7" s="24"/>
      <c r="F7" s="24"/>
      <c r="G7" s="24"/>
    </row>
    <row r="8" customFormat="false" ht="15" hidden="false" customHeight="false" outlineLevel="0" collapsed="false">
      <c r="A8" s="6"/>
      <c r="B8" s="25" t="s">
        <v>202</v>
      </c>
      <c r="C8" s="35" t="n">
        <f aca="false">IS_Net_Income</f>
        <v>651937.2</v>
      </c>
      <c r="D8" s="35" t="n">
        <f aca="false">IS_Net_Income</f>
        <v>1173529.068</v>
      </c>
      <c r="E8" s="35" t="n">
        <f aca="false">IS_Net_Income</f>
        <v>1642096.26195</v>
      </c>
      <c r="F8" s="35" t="n">
        <f aca="false">IS_Net_Income</f>
        <v>2114953.675575</v>
      </c>
      <c r="G8" s="35" t="n">
        <f aca="false">IS_Net_Income</f>
        <v>2602077.66236336</v>
      </c>
    </row>
    <row r="9" customFormat="false" ht="15" hidden="false" customHeight="false" outlineLevel="0" collapsed="false">
      <c r="A9" s="6"/>
      <c r="B9" s="31" t="s">
        <v>192</v>
      </c>
      <c r="C9" s="35" t="n">
        <f aca="false">ABS(IS_Depreciation)</f>
        <v>1026834.4</v>
      </c>
      <c r="D9" s="35" t="n">
        <f aca="false">ABS(IS_Depreciation)</f>
        <v>1058171.536</v>
      </c>
      <c r="E9" s="35" t="n">
        <f aca="false">ABS(IS_Depreciation)</f>
        <v>1093842.4114</v>
      </c>
      <c r="F9" s="35" t="n">
        <f aca="false">ABS(IS_Depreciation)</f>
        <v>1133701.6580875</v>
      </c>
      <c r="G9" s="35" t="n">
        <f aca="false">ABS(IS_Depreciation)</f>
        <v>1177633.80451277</v>
      </c>
    </row>
    <row r="10" customFormat="false" ht="15" hidden="false" customHeight="false" outlineLevel="0" collapsed="false">
      <c r="A10" s="6"/>
      <c r="B10" s="41" t="s">
        <v>203</v>
      </c>
      <c r="C10" s="6"/>
      <c r="D10" s="6"/>
      <c r="E10" s="6"/>
      <c r="F10" s="6"/>
      <c r="G10" s="6"/>
    </row>
    <row r="11" customFormat="false" ht="15" hidden="false" customHeight="false" outlineLevel="0" collapsed="false">
      <c r="A11" s="6"/>
      <c r="B11" s="31" t="s">
        <v>204</v>
      </c>
      <c r="C11" s="42" t="n">
        <f aca="false">IS_Total_Rev*DSO_Days/365</f>
        <v>245063.01369863</v>
      </c>
      <c r="D11" s="42" t="n">
        <f aca="false">IS_Total_Rev*DSO_Days/365</f>
        <v>286183.890410959</v>
      </c>
      <c r="E11" s="42" t="n">
        <f aca="false">IS_Total_Rev*DSO_Days/365</f>
        <v>325761.419178082</v>
      </c>
      <c r="F11" s="42" t="n">
        <f aca="false">IS_Total_Rev*DSO_Days/365</f>
        <v>364011.385273973</v>
      </c>
      <c r="G11" s="42" t="n">
        <f aca="false">IS_Total_Rev*DSO_Days/365</f>
        <v>401206.816669151</v>
      </c>
    </row>
    <row r="12" customFormat="false" ht="15" hidden="false" customHeight="false" outlineLevel="0" collapsed="false">
      <c r="A12" s="6"/>
      <c r="B12" s="31" t="s">
        <v>205</v>
      </c>
      <c r="C12" s="35" t="n">
        <f aca="false">-C11</f>
        <v>-245063.01369863</v>
      </c>
      <c r="D12" s="35" t="n">
        <f aca="false">-(D11-C11)</f>
        <v>-41120.8767123288</v>
      </c>
      <c r="E12" s="35" t="n">
        <f aca="false">-(E11-D11)</f>
        <v>-39577.5287671234</v>
      </c>
      <c r="F12" s="35" t="n">
        <f aca="false">-(F11-E11)</f>
        <v>-38249.9660958904</v>
      </c>
      <c r="G12" s="35" t="n">
        <f aca="false">-(G11-F11)</f>
        <v>-37195.4313951781</v>
      </c>
    </row>
    <row r="13" customFormat="false" ht="15" hidden="false" customHeight="false" outlineLevel="0" collapsed="false">
      <c r="A13" s="6"/>
      <c r="B13" s="31" t="s">
        <v>206</v>
      </c>
      <c r="C13" s="42" t="n">
        <f aca="false">(SC_Total+OX_Total)*DPO_Days/365</f>
        <v>496109.753424658</v>
      </c>
      <c r="D13" s="42" t="n">
        <f aca="false">(SC_Total+OX_Total)*DPO_Days/365</f>
        <v>579330.072328767</v>
      </c>
      <c r="E13" s="42" t="n">
        <f aca="false">(SC_Total+OX_Total)*DPO_Days/365</f>
        <v>663512.519753425</v>
      </c>
      <c r="F13" s="42" t="n">
        <f aca="false">(SC_Total+OX_Total)*DPO_Days/365</f>
        <v>742098.351947774</v>
      </c>
      <c r="G13" s="42" t="n">
        <f aca="false">(SC_Total+OX_Total)*DPO_Days/365</f>
        <v>814778.723908501</v>
      </c>
    </row>
    <row r="14" customFormat="false" ht="15" hidden="false" customHeight="false" outlineLevel="0" collapsed="false">
      <c r="A14" s="6"/>
      <c r="B14" s="31" t="s">
        <v>207</v>
      </c>
      <c r="C14" s="35" t="n">
        <f aca="false">C13</f>
        <v>496109.753424658</v>
      </c>
      <c r="D14" s="35" t="n">
        <f aca="false">D13-C13</f>
        <v>83220.3189041097</v>
      </c>
      <c r="E14" s="35" t="n">
        <f aca="false">E13-D13</f>
        <v>84182.4474246575</v>
      </c>
      <c r="F14" s="35" t="n">
        <f aca="false">F13-E13</f>
        <v>78585.8321943492</v>
      </c>
      <c r="G14" s="35" t="n">
        <f aca="false">G13-F13</f>
        <v>72680.3719607269</v>
      </c>
    </row>
    <row r="15" customFormat="false" ht="15" hidden="false" customHeight="false" outlineLevel="0" collapsed="false">
      <c r="A15" s="6"/>
      <c r="B15" s="6"/>
      <c r="C15" s="6"/>
      <c r="D15" s="6"/>
      <c r="E15" s="6"/>
      <c r="F15" s="6"/>
      <c r="G15" s="6"/>
    </row>
    <row r="16" customFormat="false" ht="15" hidden="false" customHeight="false" outlineLevel="0" collapsed="false">
      <c r="A16" s="6"/>
      <c r="B16" s="32" t="s">
        <v>208</v>
      </c>
      <c r="C16" s="36" t="n">
        <f aca="false">C8+C9+C12+C14</f>
        <v>1929818.33972603</v>
      </c>
      <c r="D16" s="36" t="n">
        <f aca="false">D8+D9+D12+D14</f>
        <v>2273800.04619178</v>
      </c>
      <c r="E16" s="36" t="n">
        <f aca="false">E8+E9+E12+E14</f>
        <v>2780543.59200754</v>
      </c>
      <c r="F16" s="36" t="n">
        <f aca="false">F8+F9+F12+F14</f>
        <v>3288991.19976096</v>
      </c>
      <c r="G16" s="36" t="n">
        <f aca="false">G8+G9+G12+G14</f>
        <v>3815196.40744168</v>
      </c>
    </row>
    <row r="17" customFormat="false" ht="15" hidden="false" customHeight="false" outlineLevel="0" collapsed="false">
      <c r="A17" s="6"/>
      <c r="B17" s="6"/>
      <c r="C17" s="6"/>
      <c r="D17" s="6"/>
      <c r="E17" s="6"/>
      <c r="F17" s="6"/>
      <c r="G17" s="6"/>
    </row>
    <row r="18" customFormat="false" ht="15" hidden="false" customHeight="false" outlineLevel="0" collapsed="false">
      <c r="A18" s="6"/>
      <c r="B18" s="23" t="s">
        <v>209</v>
      </c>
      <c r="C18" s="24"/>
      <c r="D18" s="24"/>
      <c r="E18" s="24"/>
      <c r="F18" s="24"/>
      <c r="G18" s="24"/>
    </row>
    <row r="19" customFormat="false" ht="15" hidden="false" customHeight="false" outlineLevel="0" collapsed="false">
      <c r="A19" s="6"/>
      <c r="B19" s="31" t="s">
        <v>210</v>
      </c>
      <c r="C19" s="35" t="n">
        <f aca="false">-Opening_PPE</f>
        <v>-40000000</v>
      </c>
      <c r="D19" s="35" t="n">
        <f aca="false">0</f>
        <v>0</v>
      </c>
      <c r="E19" s="35" t="n">
        <f aca="false">0</f>
        <v>0</v>
      </c>
      <c r="F19" s="35" t="n">
        <f aca="false">0</f>
        <v>0</v>
      </c>
      <c r="G19" s="35" t="n">
        <f aca="false">0</f>
        <v>0</v>
      </c>
    </row>
    <row r="20" customFormat="false" ht="15" hidden="false" customHeight="false" outlineLevel="0" collapsed="false">
      <c r="A20" s="6"/>
      <c r="B20" s="31" t="s">
        <v>169</v>
      </c>
      <c r="C20" s="35" t="n">
        <f aca="false">-CD_Maint_Capex</f>
        <v>-268344</v>
      </c>
      <c r="D20" s="35" t="n">
        <f aca="false">-CD_Maint_Capex</f>
        <v>-313371.36</v>
      </c>
      <c r="E20" s="35" t="n">
        <f aca="false">-CD_Maint_Capex</f>
        <v>-356708.754</v>
      </c>
      <c r="F20" s="35" t="n">
        <f aca="false">-CD_Maint_Capex</f>
        <v>-398592.466875</v>
      </c>
      <c r="G20" s="35" t="n">
        <f aca="false">-CD_Maint_Capex</f>
        <v>-439321.46425272</v>
      </c>
    </row>
    <row r="21" customFormat="false" ht="15" hidden="false" customHeight="false" outlineLevel="0" collapsed="false">
      <c r="A21" s="6"/>
      <c r="B21" s="32" t="s">
        <v>211</v>
      </c>
      <c r="C21" s="36" t="n">
        <f aca="false">C19+C20</f>
        <v>-40268344</v>
      </c>
      <c r="D21" s="36" t="n">
        <f aca="false">D19+D20</f>
        <v>-313371.36</v>
      </c>
      <c r="E21" s="36" t="n">
        <f aca="false">E19+E20</f>
        <v>-356708.754</v>
      </c>
      <c r="F21" s="36" t="n">
        <f aca="false">F19+F20</f>
        <v>-398592.466875</v>
      </c>
      <c r="G21" s="36" t="n">
        <f aca="false">G19+G20</f>
        <v>-439321.46425272</v>
      </c>
    </row>
    <row r="22" customFormat="false" ht="15" hidden="false" customHeight="false" outlineLevel="0" collapsed="false">
      <c r="A22" s="6"/>
      <c r="B22" s="6"/>
      <c r="C22" s="6"/>
      <c r="D22" s="6"/>
      <c r="E22" s="6"/>
      <c r="F22" s="6"/>
      <c r="G22" s="6"/>
    </row>
    <row r="23" customFormat="false" ht="15" hidden="false" customHeight="false" outlineLevel="0" collapsed="false">
      <c r="A23" s="6"/>
      <c r="B23" s="23" t="s">
        <v>212</v>
      </c>
      <c r="C23" s="24"/>
      <c r="D23" s="24"/>
      <c r="E23" s="24"/>
      <c r="F23" s="24"/>
      <c r="G23" s="24"/>
    </row>
    <row r="24" customFormat="false" ht="15" hidden="false" customHeight="false" outlineLevel="0" collapsed="false">
      <c r="A24" s="6"/>
      <c r="B24" s="31" t="s">
        <v>213</v>
      </c>
      <c r="C24" s="35" t="n">
        <f aca="false">Term_Loan_Amt</f>
        <v>25000000</v>
      </c>
      <c r="D24" s="35" t="n">
        <f aca="false">0</f>
        <v>0</v>
      </c>
      <c r="E24" s="35" t="n">
        <f aca="false">0</f>
        <v>0</v>
      </c>
      <c r="F24" s="35" t="n">
        <f aca="false">0</f>
        <v>0</v>
      </c>
      <c r="G24" s="35" t="n">
        <f aca="false">0</f>
        <v>0</v>
      </c>
    </row>
    <row r="25" customFormat="false" ht="15" hidden="false" customHeight="false" outlineLevel="0" collapsed="false">
      <c r="A25" s="6"/>
      <c r="B25" s="31" t="s">
        <v>214</v>
      </c>
      <c r="C25" s="35" t="n">
        <f aca="false">DS_Repayment</f>
        <v>-1250000</v>
      </c>
      <c r="D25" s="35" t="n">
        <f aca="false">DS_Repayment</f>
        <v>-1250000</v>
      </c>
      <c r="E25" s="35" t="n">
        <f aca="false">DS_Repayment</f>
        <v>-1250000</v>
      </c>
      <c r="F25" s="35" t="n">
        <f aca="false">DS_Repayment</f>
        <v>-1250000</v>
      </c>
      <c r="G25" s="35" t="n">
        <f aca="false">DS_Repayment</f>
        <v>-1250000</v>
      </c>
    </row>
    <row r="26" customFormat="false" ht="15" hidden="false" customHeight="false" outlineLevel="0" collapsed="false">
      <c r="A26" s="6"/>
      <c r="B26" s="31" t="s">
        <v>215</v>
      </c>
      <c r="C26" s="35" t="n">
        <f aca="false">Share_Capital_Amt</f>
        <v>20000000</v>
      </c>
      <c r="D26" s="35" t="n">
        <f aca="false">0</f>
        <v>0</v>
      </c>
      <c r="E26" s="35" t="n">
        <f aca="false">0</f>
        <v>0</v>
      </c>
      <c r="F26" s="35" t="n">
        <f aca="false">0</f>
        <v>0</v>
      </c>
      <c r="G26" s="35" t="n">
        <f aca="false">0</f>
        <v>0</v>
      </c>
    </row>
    <row r="27" customFormat="false" ht="15" hidden="false" customHeight="false" outlineLevel="0" collapsed="false">
      <c r="A27" s="6"/>
      <c r="B27" s="31" t="s">
        <v>216</v>
      </c>
      <c r="C27" s="35" t="n">
        <f aca="false">IS_Dividends</f>
        <v>-260774.88</v>
      </c>
      <c r="D27" s="35" t="n">
        <f aca="false">IS_Dividends</f>
        <v>-469411.6272</v>
      </c>
      <c r="E27" s="35" t="n">
        <f aca="false">IS_Dividends</f>
        <v>-656838.504780001</v>
      </c>
      <c r="F27" s="35" t="n">
        <f aca="false">IS_Dividends</f>
        <v>-845981.470230001</v>
      </c>
      <c r="G27" s="35" t="n">
        <f aca="false">IS_Dividends</f>
        <v>-1040831.06494535</v>
      </c>
    </row>
    <row r="28" customFormat="false" ht="15" hidden="false" customHeight="false" outlineLevel="0" collapsed="false">
      <c r="A28" s="6"/>
      <c r="B28" s="32" t="s">
        <v>217</v>
      </c>
      <c r="C28" s="36" t="n">
        <f aca="false">C24+C25+C26+C27</f>
        <v>43489225.12</v>
      </c>
      <c r="D28" s="36" t="n">
        <f aca="false">D24+D25+D26+D27</f>
        <v>-1719411.6272</v>
      </c>
      <c r="E28" s="36" t="n">
        <f aca="false">E24+E25+E26+E27</f>
        <v>-1906838.50478</v>
      </c>
      <c r="F28" s="36" t="n">
        <f aca="false">F24+F25+F26+F27</f>
        <v>-2095981.47023</v>
      </c>
      <c r="G28" s="36" t="n">
        <f aca="false">G24+G25+G26+G27</f>
        <v>-2290831.06494535</v>
      </c>
    </row>
    <row r="29" customFormat="false" ht="15" hidden="false" customHeight="false" outlineLevel="0" collapsed="false">
      <c r="A29" s="6"/>
      <c r="B29" s="6"/>
      <c r="C29" s="6"/>
      <c r="D29" s="6"/>
      <c r="E29" s="6"/>
      <c r="F29" s="6"/>
      <c r="G29" s="6"/>
    </row>
    <row r="30" customFormat="false" ht="15" hidden="false" customHeight="false" outlineLevel="0" collapsed="false">
      <c r="A30" s="6"/>
      <c r="B30" s="32" t="s">
        <v>218</v>
      </c>
      <c r="C30" s="36" t="n">
        <f aca="false">C16+C21+C28</f>
        <v>5150699.45972603</v>
      </c>
      <c r="D30" s="36" t="n">
        <f aca="false">D16+D21+D28</f>
        <v>241017.058991781</v>
      </c>
      <c r="E30" s="36" t="n">
        <f aca="false">E16+E21+E28</f>
        <v>516996.333227535</v>
      </c>
      <c r="F30" s="36" t="n">
        <f aca="false">F16+F21+F28</f>
        <v>794417.26265596</v>
      </c>
      <c r="G30" s="36" t="n">
        <f aca="false">G16+G21+G28</f>
        <v>1085043.87824362</v>
      </c>
    </row>
    <row r="31" customFormat="false" ht="15" hidden="false" customHeight="false" outlineLevel="0" collapsed="false">
      <c r="A31" s="6"/>
      <c r="B31" s="6"/>
      <c r="C31" s="6"/>
      <c r="D31" s="6"/>
      <c r="E31" s="6"/>
      <c r="F31" s="6"/>
      <c r="G31" s="6"/>
    </row>
    <row r="32" customFormat="false" ht="15" hidden="false" customHeight="false" outlineLevel="0" collapsed="false">
      <c r="A32" s="6"/>
      <c r="B32" s="25" t="s">
        <v>121</v>
      </c>
      <c r="C32" s="35" t="n">
        <f aca="false">0</f>
        <v>0</v>
      </c>
      <c r="D32" s="35" t="n">
        <f aca="false">C33</f>
        <v>5150699.45972603</v>
      </c>
      <c r="E32" s="35" t="n">
        <f aca="false">D33</f>
        <v>5391716.51871781</v>
      </c>
      <c r="F32" s="35" t="n">
        <f aca="false">E33</f>
        <v>5908712.85194534</v>
      </c>
      <c r="G32" s="35" t="n">
        <f aca="false">F33</f>
        <v>6703130.11460131</v>
      </c>
    </row>
    <row r="33" customFormat="false" ht="15" hidden="false" customHeight="false" outlineLevel="0" collapsed="false">
      <c r="A33" s="6"/>
      <c r="B33" s="32" t="s">
        <v>219</v>
      </c>
      <c r="C33" s="37" t="n">
        <f aca="false">C32+C30</f>
        <v>5150699.45972603</v>
      </c>
      <c r="D33" s="37" t="n">
        <f aca="false">D32+D30</f>
        <v>5391716.51871781</v>
      </c>
      <c r="E33" s="37" t="n">
        <f aca="false">E32+E30</f>
        <v>5908712.85194534</v>
      </c>
      <c r="F33" s="37" t="n">
        <f aca="false">F32+F30</f>
        <v>6703130.11460131</v>
      </c>
      <c r="G33" s="37" t="n">
        <f aca="false">G32+G30</f>
        <v>7788173.99284492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3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5"/>
    <col collapsed="false" customWidth="true" hidden="false" outlineLevel="0" max="7" min="3" style="0" width="15"/>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220</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221</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1" t="s">
        <v>53</v>
      </c>
      <c r="C5" s="29" t="n">
        <f aca="false">Start_Year+0</f>
        <v>2025</v>
      </c>
      <c r="D5" s="29" t="n">
        <f aca="false">Start_Year+1</f>
        <v>2026</v>
      </c>
      <c r="E5" s="29" t="n">
        <f aca="false">Start_Year+2</f>
        <v>2027</v>
      </c>
      <c r="F5" s="29" t="n">
        <f aca="false">Start_Year+3</f>
        <v>2028</v>
      </c>
      <c r="G5" s="29" t="n">
        <f aca="false">Start_Year+4</f>
        <v>2029</v>
      </c>
    </row>
    <row r="6" customFormat="false" ht="15" hidden="false" customHeight="false" outlineLevel="0" collapsed="false">
      <c r="A6" s="6"/>
      <c r="B6" s="6"/>
      <c r="C6" s="6"/>
      <c r="D6" s="6"/>
      <c r="E6" s="6"/>
      <c r="F6" s="6"/>
      <c r="G6" s="6"/>
    </row>
    <row r="7" customFormat="false" ht="15" hidden="false" customHeight="false" outlineLevel="0" collapsed="false">
      <c r="A7" s="6"/>
      <c r="B7" s="23" t="s">
        <v>222</v>
      </c>
      <c r="C7" s="24"/>
      <c r="D7" s="24"/>
      <c r="E7" s="24"/>
      <c r="F7" s="24"/>
      <c r="G7" s="24"/>
    </row>
    <row r="8" customFormat="false" ht="15" hidden="false" customHeight="false" outlineLevel="0" collapsed="false">
      <c r="A8" s="6"/>
      <c r="B8" s="6"/>
      <c r="C8" s="6"/>
      <c r="D8" s="6"/>
      <c r="E8" s="6"/>
      <c r="F8" s="6"/>
      <c r="G8" s="6"/>
    </row>
    <row r="9" customFormat="false" ht="15" hidden="false" customHeight="false" outlineLevel="0" collapsed="false">
      <c r="A9" s="6"/>
      <c r="B9" s="31" t="s">
        <v>223</v>
      </c>
      <c r="C9" s="35" t="n">
        <f aca="false">CF_Closing</f>
        <v>5150699.45972603</v>
      </c>
      <c r="D9" s="35" t="n">
        <f aca="false">CF_Closing</f>
        <v>5391716.51871781</v>
      </c>
      <c r="E9" s="35" t="n">
        <f aca="false">CF_Closing</f>
        <v>5908712.85194534</v>
      </c>
      <c r="F9" s="35" t="n">
        <f aca="false">CF_Closing</f>
        <v>6703130.11460131</v>
      </c>
      <c r="G9" s="35" t="n">
        <f aca="false">CF_Closing</f>
        <v>7788173.99284492</v>
      </c>
    </row>
    <row r="10" customFormat="false" ht="15" hidden="false" customHeight="false" outlineLevel="0" collapsed="false">
      <c r="A10" s="6"/>
      <c r="B10" s="31" t="s">
        <v>224</v>
      </c>
      <c r="C10" s="35" t="n">
        <f aca="false">IS_Total_Rev*DSO_Days/365</f>
        <v>245063.01369863</v>
      </c>
      <c r="D10" s="35" t="n">
        <f aca="false">IS_Total_Rev*DSO_Days/365</f>
        <v>286183.890410959</v>
      </c>
      <c r="E10" s="35" t="n">
        <f aca="false">IS_Total_Rev*DSO_Days/365</f>
        <v>325761.419178082</v>
      </c>
      <c r="F10" s="35" t="n">
        <f aca="false">IS_Total_Rev*DSO_Days/365</f>
        <v>364011.385273973</v>
      </c>
      <c r="G10" s="35" t="n">
        <f aca="false">IS_Total_Rev*DSO_Days/365</f>
        <v>401206.816669151</v>
      </c>
    </row>
    <row r="11" customFormat="false" ht="15" hidden="false" customHeight="false" outlineLevel="0" collapsed="false">
      <c r="A11" s="6"/>
      <c r="B11" s="32" t="s">
        <v>225</v>
      </c>
      <c r="C11" s="36" t="n">
        <f aca="false">C9+C10</f>
        <v>5395762.47342466</v>
      </c>
      <c r="D11" s="36" t="n">
        <f aca="false">D9+D10</f>
        <v>5677900.40912877</v>
      </c>
      <c r="E11" s="36" t="n">
        <f aca="false">E9+E10</f>
        <v>6234474.27112343</v>
      </c>
      <c r="F11" s="36" t="n">
        <f aca="false">F9+F10</f>
        <v>7067141.49987528</v>
      </c>
      <c r="G11" s="36" t="n">
        <f aca="false">G9+G10</f>
        <v>8189380.80951407</v>
      </c>
    </row>
    <row r="12" customFormat="false" ht="15" hidden="false" customHeight="false" outlineLevel="0" collapsed="false">
      <c r="A12" s="6"/>
      <c r="B12" s="6"/>
      <c r="C12" s="6"/>
      <c r="D12" s="6"/>
      <c r="E12" s="6"/>
      <c r="F12" s="6"/>
      <c r="G12" s="6"/>
    </row>
    <row r="13" customFormat="false" ht="15" hidden="false" customHeight="false" outlineLevel="0" collapsed="false">
      <c r="A13" s="6"/>
      <c r="B13" s="23" t="s">
        <v>226</v>
      </c>
      <c r="C13" s="24"/>
      <c r="D13" s="24"/>
      <c r="E13" s="24"/>
      <c r="F13" s="24"/>
      <c r="G13" s="24"/>
    </row>
    <row r="14" customFormat="false" ht="15" hidden="false" customHeight="false" outlineLevel="0" collapsed="false">
      <c r="A14" s="6"/>
      <c r="B14" s="31" t="s">
        <v>227</v>
      </c>
      <c r="C14" s="35" t="n">
        <f aca="false">CD_Closing_PPE</f>
        <v>39241509.6</v>
      </c>
      <c r="D14" s="35" t="n">
        <f aca="false">CD_Closing_PPE</f>
        <v>38496709.424</v>
      </c>
      <c r="E14" s="35" t="n">
        <f aca="false">CD_Closing_PPE</f>
        <v>37759575.7666</v>
      </c>
      <c r="F14" s="35" t="n">
        <f aca="false">CD_Closing_PPE</f>
        <v>37024466.5753875</v>
      </c>
      <c r="G14" s="35" t="n">
        <f aca="false">CD_Closing_PPE</f>
        <v>36286154.2351275</v>
      </c>
    </row>
    <row r="15" customFormat="false" ht="15" hidden="false" customHeight="false" outlineLevel="0" collapsed="false">
      <c r="A15" s="6"/>
      <c r="B15" s="32" t="s">
        <v>228</v>
      </c>
      <c r="C15" s="36" t="n">
        <f aca="false">C14</f>
        <v>39241509.6</v>
      </c>
      <c r="D15" s="36" t="n">
        <f aca="false">D14</f>
        <v>38496709.424</v>
      </c>
      <c r="E15" s="36" t="n">
        <f aca="false">E14</f>
        <v>37759575.7666</v>
      </c>
      <c r="F15" s="36" t="n">
        <f aca="false">F14</f>
        <v>37024466.5753875</v>
      </c>
      <c r="G15" s="36" t="n">
        <f aca="false">G14</f>
        <v>36286154.2351275</v>
      </c>
    </row>
    <row r="16" customFormat="false" ht="15" hidden="false" customHeight="false" outlineLevel="0" collapsed="false">
      <c r="A16" s="6"/>
      <c r="B16" s="6"/>
      <c r="C16" s="6"/>
      <c r="D16" s="6"/>
      <c r="E16" s="6"/>
      <c r="F16" s="6"/>
      <c r="G16" s="6"/>
    </row>
    <row r="17" customFormat="false" ht="15" hidden="false" customHeight="false" outlineLevel="0" collapsed="false">
      <c r="A17" s="6"/>
      <c r="B17" s="32" t="s">
        <v>229</v>
      </c>
      <c r="C17" s="37" t="n">
        <f aca="false">C11+C15</f>
        <v>44637272.0734247</v>
      </c>
      <c r="D17" s="37" t="n">
        <f aca="false">D11+D15</f>
        <v>44174609.8331288</v>
      </c>
      <c r="E17" s="37" t="n">
        <f aca="false">E11+E15</f>
        <v>43994050.0377234</v>
      </c>
      <c r="F17" s="37" t="n">
        <f aca="false">F11+F15</f>
        <v>44091608.0752628</v>
      </c>
      <c r="G17" s="37" t="n">
        <f aca="false">G11+G15</f>
        <v>44475535.0446415</v>
      </c>
    </row>
    <row r="18" customFormat="false" ht="15" hidden="false" customHeight="false" outlineLevel="0" collapsed="false">
      <c r="A18" s="6"/>
      <c r="B18" s="6"/>
      <c r="C18" s="6"/>
      <c r="D18" s="6"/>
      <c r="E18" s="6"/>
      <c r="F18" s="6"/>
      <c r="G18" s="6"/>
    </row>
    <row r="19" customFormat="false" ht="15" hidden="false" customHeight="false" outlineLevel="0" collapsed="false">
      <c r="A19" s="6"/>
      <c r="B19" s="23" t="s">
        <v>230</v>
      </c>
      <c r="C19" s="24"/>
      <c r="D19" s="24"/>
      <c r="E19" s="24"/>
      <c r="F19" s="24"/>
      <c r="G19" s="24"/>
    </row>
    <row r="20" customFormat="false" ht="15" hidden="false" customHeight="false" outlineLevel="0" collapsed="false">
      <c r="A20" s="6"/>
      <c r="B20" s="6"/>
      <c r="C20" s="6"/>
      <c r="D20" s="6"/>
      <c r="E20" s="6"/>
      <c r="F20" s="6"/>
      <c r="G20" s="6"/>
    </row>
    <row r="21" customFormat="false" ht="15" hidden="false" customHeight="false" outlineLevel="0" collapsed="false">
      <c r="A21" s="6"/>
      <c r="B21" s="31" t="s">
        <v>231</v>
      </c>
      <c r="C21" s="35" t="n">
        <f aca="false">(SC_Total+OX_Total)*DPO_Days/365</f>
        <v>496109.753424658</v>
      </c>
      <c r="D21" s="35" t="n">
        <f aca="false">(SC_Total+OX_Total)*DPO_Days/365</f>
        <v>579330.072328767</v>
      </c>
      <c r="E21" s="35" t="n">
        <f aca="false">(SC_Total+OX_Total)*DPO_Days/365</f>
        <v>663512.519753425</v>
      </c>
      <c r="F21" s="35" t="n">
        <f aca="false">(SC_Total+OX_Total)*DPO_Days/365</f>
        <v>742098.351947774</v>
      </c>
      <c r="G21" s="35" t="n">
        <f aca="false">(SC_Total+OX_Total)*DPO_Days/365</f>
        <v>814778.723908501</v>
      </c>
    </row>
    <row r="22" customFormat="false" ht="15" hidden="false" customHeight="false" outlineLevel="0" collapsed="false">
      <c r="A22" s="6"/>
      <c r="B22" s="31" t="s">
        <v>232</v>
      </c>
      <c r="C22" s="35" t="n">
        <f aca="false">MIN(ABS(DS_Repayment),DS_Closing+ABS(DS_Repayment))</f>
        <v>1250000</v>
      </c>
      <c r="D22" s="35" t="n">
        <f aca="false">MIN(ABS(DS_Repayment),DS_Closing+ABS(DS_Repayment))</f>
        <v>1250000</v>
      </c>
      <c r="E22" s="35" t="n">
        <f aca="false">MIN(ABS(DS_Repayment),DS_Closing+ABS(DS_Repayment))</f>
        <v>1250000</v>
      </c>
      <c r="F22" s="35" t="n">
        <f aca="false">MIN(ABS(DS_Repayment),DS_Closing+ABS(DS_Repayment))</f>
        <v>1250000</v>
      </c>
      <c r="G22" s="35" t="n">
        <f aca="false">MIN(ABS(DS_Repayment),DS_Closing+ABS(DS_Repayment))</f>
        <v>1250000</v>
      </c>
    </row>
    <row r="23" customFormat="false" ht="15" hidden="false" customHeight="false" outlineLevel="0" collapsed="false">
      <c r="A23" s="6"/>
      <c r="B23" s="32" t="s">
        <v>233</v>
      </c>
      <c r="C23" s="36" t="n">
        <f aca="false">C21+C22</f>
        <v>1746109.75342466</v>
      </c>
      <c r="D23" s="36" t="n">
        <f aca="false">D21+D22</f>
        <v>1829330.07232877</v>
      </c>
      <c r="E23" s="36" t="n">
        <f aca="false">E21+E22</f>
        <v>1913512.51975342</v>
      </c>
      <c r="F23" s="36" t="n">
        <f aca="false">F21+F22</f>
        <v>1992098.35194777</v>
      </c>
      <c r="G23" s="36" t="n">
        <f aca="false">G21+G22</f>
        <v>2064778.7239085</v>
      </c>
    </row>
    <row r="24" customFormat="false" ht="15" hidden="false" customHeight="false" outlineLevel="0" collapsed="false">
      <c r="A24" s="6"/>
      <c r="B24" s="6"/>
      <c r="C24" s="6"/>
      <c r="D24" s="6"/>
      <c r="E24" s="6"/>
      <c r="F24" s="6"/>
      <c r="G24" s="6"/>
    </row>
    <row r="25" customFormat="false" ht="15" hidden="false" customHeight="false" outlineLevel="0" collapsed="false">
      <c r="A25" s="6"/>
      <c r="B25" s="23" t="s">
        <v>234</v>
      </c>
      <c r="C25" s="24"/>
      <c r="D25" s="24"/>
      <c r="E25" s="24"/>
      <c r="F25" s="24"/>
      <c r="G25" s="24"/>
    </row>
    <row r="26" customFormat="false" ht="15" hidden="false" customHeight="false" outlineLevel="0" collapsed="false">
      <c r="A26" s="6"/>
      <c r="B26" s="31" t="s">
        <v>235</v>
      </c>
      <c r="C26" s="35" t="n">
        <f aca="false">MAX(0,DS_Closing-C22)</f>
        <v>22500000</v>
      </c>
      <c r="D26" s="35" t="n">
        <f aca="false">MAX(0,DS_Closing-D22)</f>
        <v>21250000</v>
      </c>
      <c r="E26" s="35" t="n">
        <f aca="false">MAX(0,DS_Closing-E22)</f>
        <v>20000000</v>
      </c>
      <c r="F26" s="35" t="n">
        <f aca="false">MAX(0,DS_Closing-F22)</f>
        <v>18750000</v>
      </c>
      <c r="G26" s="35" t="n">
        <f aca="false">MAX(0,DS_Closing-G22)</f>
        <v>17500000</v>
      </c>
    </row>
    <row r="27" customFormat="false" ht="15" hidden="false" customHeight="false" outlineLevel="0" collapsed="false">
      <c r="A27" s="6"/>
      <c r="B27" s="32" t="s">
        <v>236</v>
      </c>
      <c r="C27" s="36" t="n">
        <f aca="false">C26</f>
        <v>22500000</v>
      </c>
      <c r="D27" s="36" t="n">
        <f aca="false">D26</f>
        <v>21250000</v>
      </c>
      <c r="E27" s="36" t="n">
        <f aca="false">E26</f>
        <v>20000000</v>
      </c>
      <c r="F27" s="36" t="n">
        <f aca="false">F26</f>
        <v>18750000</v>
      </c>
      <c r="G27" s="36" t="n">
        <f aca="false">G26</f>
        <v>17500000</v>
      </c>
    </row>
    <row r="28" customFormat="false" ht="15" hidden="false" customHeight="false" outlineLevel="0" collapsed="false">
      <c r="A28" s="6"/>
      <c r="B28" s="6"/>
      <c r="C28" s="6"/>
      <c r="D28" s="6"/>
      <c r="E28" s="6"/>
      <c r="F28" s="6"/>
      <c r="G28" s="6"/>
    </row>
    <row r="29" customFormat="false" ht="15" hidden="false" customHeight="false" outlineLevel="0" collapsed="false">
      <c r="A29" s="6"/>
      <c r="B29" s="32" t="s">
        <v>237</v>
      </c>
      <c r="C29" s="36" t="n">
        <f aca="false">C23+C27</f>
        <v>24246109.7534247</v>
      </c>
      <c r="D29" s="36" t="n">
        <f aca="false">D23+D27</f>
        <v>23079330.0723288</v>
      </c>
      <c r="E29" s="36" t="n">
        <f aca="false">E23+E27</f>
        <v>21913512.5197534</v>
      </c>
      <c r="F29" s="36" t="n">
        <f aca="false">F23+F27</f>
        <v>20742098.3519478</v>
      </c>
      <c r="G29" s="36" t="n">
        <f aca="false">G23+G27</f>
        <v>19564778.7239085</v>
      </c>
    </row>
    <row r="30" customFormat="false" ht="15" hidden="false" customHeight="false" outlineLevel="0" collapsed="false">
      <c r="A30" s="6"/>
      <c r="B30" s="6"/>
      <c r="C30" s="6"/>
      <c r="D30" s="6"/>
      <c r="E30" s="6"/>
      <c r="F30" s="6"/>
      <c r="G30" s="6"/>
    </row>
    <row r="31" customFormat="false" ht="15" hidden="false" customHeight="false" outlineLevel="0" collapsed="false">
      <c r="A31" s="6"/>
      <c r="B31" s="23" t="s">
        <v>238</v>
      </c>
      <c r="C31" s="24"/>
      <c r="D31" s="24"/>
      <c r="E31" s="24"/>
      <c r="F31" s="24"/>
      <c r="G31" s="24"/>
    </row>
    <row r="32" customFormat="false" ht="15" hidden="false" customHeight="false" outlineLevel="0" collapsed="false">
      <c r="A32" s="6"/>
      <c r="B32" s="31" t="s">
        <v>123</v>
      </c>
      <c r="C32" s="35" t="n">
        <f aca="false">Share_Capital_Amt</f>
        <v>20000000</v>
      </c>
      <c r="D32" s="35" t="n">
        <f aca="false">Share_Capital_Amt</f>
        <v>20000000</v>
      </c>
      <c r="E32" s="35" t="n">
        <f aca="false">Share_Capital_Amt</f>
        <v>20000000</v>
      </c>
      <c r="F32" s="35" t="n">
        <f aca="false">Share_Capital_Amt</f>
        <v>20000000</v>
      </c>
      <c r="G32" s="35" t="n">
        <f aca="false">Share_Capital_Amt</f>
        <v>20000000</v>
      </c>
    </row>
    <row r="33" customFormat="false" ht="15" hidden="false" customHeight="false" outlineLevel="0" collapsed="false">
      <c r="A33" s="6"/>
      <c r="B33" s="31" t="s">
        <v>239</v>
      </c>
      <c r="C33" s="35" t="n">
        <f aca="false">IS_Net_Income+IS_Dividends</f>
        <v>391162.32</v>
      </c>
      <c r="D33" s="35" t="n">
        <f aca="false">C33+IS_Net_Income+IS_Dividends</f>
        <v>1095279.7608</v>
      </c>
      <c r="E33" s="35" t="n">
        <f aca="false">D33+IS_Net_Income+IS_Dividends</f>
        <v>2080537.51797</v>
      </c>
      <c r="F33" s="35" t="n">
        <f aca="false">E33+IS_Net_Income+IS_Dividends</f>
        <v>3349509.723315</v>
      </c>
      <c r="G33" s="35" t="n">
        <f aca="false">F33+IS_Net_Income+IS_Dividends</f>
        <v>4910756.32073302</v>
      </c>
    </row>
    <row r="34" customFormat="false" ht="15" hidden="false" customHeight="false" outlineLevel="0" collapsed="false">
      <c r="A34" s="6"/>
      <c r="B34" s="32" t="s">
        <v>240</v>
      </c>
      <c r="C34" s="36" t="n">
        <f aca="false">C32+C33</f>
        <v>20391162.32</v>
      </c>
      <c r="D34" s="36" t="n">
        <f aca="false">D32+D33</f>
        <v>21095279.7608</v>
      </c>
      <c r="E34" s="36" t="n">
        <f aca="false">E32+E33</f>
        <v>22080537.51797</v>
      </c>
      <c r="F34" s="36" t="n">
        <f aca="false">F32+F33</f>
        <v>23349509.723315</v>
      </c>
      <c r="G34" s="36" t="n">
        <f aca="false">G32+G33</f>
        <v>24910756.320733</v>
      </c>
    </row>
    <row r="35" customFormat="false" ht="15" hidden="false" customHeight="false" outlineLevel="0" collapsed="false">
      <c r="A35" s="6"/>
      <c r="B35" s="6"/>
      <c r="C35" s="6"/>
      <c r="D35" s="6"/>
      <c r="E35" s="6"/>
      <c r="F35" s="6"/>
      <c r="G35" s="6"/>
    </row>
    <row r="36" customFormat="false" ht="15" hidden="false" customHeight="false" outlineLevel="0" collapsed="false">
      <c r="A36" s="6"/>
      <c r="B36" s="32" t="s">
        <v>241</v>
      </c>
      <c r="C36" s="37" t="n">
        <f aca="false">C29+C34</f>
        <v>44637272.0734247</v>
      </c>
      <c r="D36" s="37" t="n">
        <f aca="false">D29+D34</f>
        <v>44174609.8331288</v>
      </c>
      <c r="E36" s="37" t="n">
        <f aca="false">E29+E34</f>
        <v>43994050.0377234</v>
      </c>
      <c r="F36" s="37" t="n">
        <f aca="false">F29+F34</f>
        <v>44091608.0752628</v>
      </c>
      <c r="G36" s="37" t="n">
        <f aca="false">G29+G34</f>
        <v>44475535.0446415</v>
      </c>
    </row>
    <row r="37" customFormat="false" ht="15" hidden="false" customHeight="false" outlineLevel="0" collapsed="false">
      <c r="A37" s="6"/>
      <c r="B37" s="6"/>
      <c r="C37" s="6"/>
      <c r="D37" s="6"/>
      <c r="E37" s="6"/>
      <c r="F37" s="6"/>
      <c r="G37" s="6"/>
    </row>
    <row r="38" customFormat="false" ht="15" hidden="false" customHeight="false" outlineLevel="0" collapsed="false">
      <c r="A38" s="6"/>
      <c r="B38" s="43" t="s">
        <v>242</v>
      </c>
      <c r="C38" s="44" t="n">
        <f aca="false">C17-C36</f>
        <v>0</v>
      </c>
      <c r="D38" s="44" t="n">
        <f aca="false">D17-D36</f>
        <v>0</v>
      </c>
      <c r="E38" s="44" t="n">
        <f aca="false">E17-E36</f>
        <v>0</v>
      </c>
      <c r="F38" s="44" t="n">
        <f aca="false">F17-F36</f>
        <v>0</v>
      </c>
      <c r="G38" s="44" t="n">
        <f aca="false">G17-G36</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45" t="s">
        <v>243</v>
      </c>
    </row>
    <row r="3" customFormat="false" ht="3.75" hidden="false" customHeight="true" outlineLevel="0" collapsed="false">
      <c r="B3" s="46"/>
    </row>
    <row r="5" customFormat="false" ht="19.5" hidden="false" customHeight="true" outlineLevel="0" collapsed="false">
      <c r="B5" s="47" t="s">
        <v>244</v>
      </c>
    </row>
    <row r="6" customFormat="false" ht="48" hidden="false" customHeight="true" outlineLevel="0" collapsed="false">
      <c r="B6" s="48" t="s">
        <v>245</v>
      </c>
    </row>
    <row r="8" customFormat="false" ht="19.5" hidden="false" customHeight="true" outlineLevel="0" collapsed="false">
      <c r="B8" s="47" t="s">
        <v>246</v>
      </c>
    </row>
    <row r="9" customFormat="false" ht="61.5" hidden="false" customHeight="true" outlineLevel="0" collapsed="false">
      <c r="B9" s="48" t="s">
        <v>247</v>
      </c>
    </row>
    <row r="11" customFormat="false" ht="19.5" hidden="false" customHeight="true" outlineLevel="0" collapsed="false">
      <c r="B11" s="47" t="s">
        <v>248</v>
      </c>
    </row>
    <row r="12" customFormat="false" ht="75.75" hidden="false" customHeight="true" outlineLevel="0" collapsed="false">
      <c r="B12" s="48" t="s">
        <v>249</v>
      </c>
    </row>
    <row r="14" customFormat="false" ht="19.5" hidden="false" customHeight="true" outlineLevel="0" collapsed="false">
      <c r="B14" s="47" t="s">
        <v>250</v>
      </c>
    </row>
    <row r="15" customFormat="false" ht="61.5" hidden="false" customHeight="true" outlineLevel="0" collapsed="false">
      <c r="B15" s="48" t="s">
        <v>251</v>
      </c>
    </row>
    <row r="17" customFormat="false" ht="19.5" hidden="false" customHeight="true" outlineLevel="0" collapsed="false">
      <c r="B17" s="47" t="s">
        <v>252</v>
      </c>
    </row>
    <row r="18" customFormat="false" ht="33.75" hidden="false" customHeight="true" outlineLevel="0" collapsed="false">
      <c r="B18" s="48" t="s">
        <v>253</v>
      </c>
    </row>
    <row r="20" customFormat="false" ht="19.5" hidden="false" customHeight="true" outlineLevel="0" collapsed="false">
      <c r="B20" s="47" t="s">
        <v>254</v>
      </c>
    </row>
    <row r="21" customFormat="false" ht="33.75" hidden="false" customHeight="true" outlineLevel="0" collapsed="false">
      <c r="B21" s="48" t="s">
        <v>255</v>
      </c>
    </row>
    <row r="23" customFormat="false" ht="21.75" hidden="false" customHeight="true" outlineLevel="0" collapsed="false">
      <c r="B23" s="49" t="s">
        <v>256</v>
      </c>
    </row>
    <row r="25" customFormat="false" ht="18" hidden="false" customHeight="true" outlineLevel="0" collapsed="false">
      <c r="B25" s="50" t="s">
        <v>257</v>
      </c>
    </row>
    <row r="26" customFormat="false" ht="201.75" hidden="false" customHeight="true" outlineLevel="0" collapsed="false">
      <c r="B26" s="51" t="s">
        <v>258</v>
      </c>
    </row>
    <row r="28" customFormat="false" ht="18" hidden="false" customHeight="true" outlineLevel="0" collapsed="false">
      <c r="B28" s="52" t="s">
        <v>259</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5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18"/>
    <col collapsed="false" customWidth="true" hidden="false" outlineLevel="0" max="4" min="4" style="0" width="15"/>
    <col collapsed="false" customWidth="true" hidden="false" outlineLevel="0" max="5" min="5" style="0" width="35"/>
  </cols>
  <sheetData>
    <row r="1" customFormat="false" ht="15" hidden="false" customHeight="false" outlineLevel="0" collapsed="false">
      <c r="A1" s="1"/>
      <c r="B1" s="1"/>
      <c r="C1" s="1"/>
      <c r="D1" s="1"/>
      <c r="E1" s="1"/>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7</v>
      </c>
      <c r="C2" s="1"/>
      <c r="D2" s="1"/>
      <c r="E2" s="1"/>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46</v>
      </c>
      <c r="C3" s="1"/>
      <c r="D3" s="1"/>
      <c r="E3" s="1"/>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row>
    <row r="5" customFormat="false" ht="15" hidden="false" customHeight="false" outlineLevel="0" collapsed="false">
      <c r="A5" s="6"/>
      <c r="B5" s="6"/>
      <c r="C5" s="6"/>
      <c r="D5" s="6"/>
      <c r="E5" s="6"/>
    </row>
    <row r="6" customFormat="false" ht="15" hidden="false" customHeight="false" outlineLevel="0" collapsed="false">
      <c r="A6" s="6"/>
      <c r="B6" s="21" t="s">
        <v>47</v>
      </c>
      <c r="C6" s="22" t="s">
        <v>48</v>
      </c>
      <c r="D6" s="22" t="s">
        <v>49</v>
      </c>
      <c r="E6" s="22" t="s">
        <v>50</v>
      </c>
    </row>
    <row r="7" customFormat="false" ht="15" hidden="false" customHeight="false" outlineLevel="0" collapsed="false">
      <c r="A7" s="6"/>
      <c r="B7" s="23" t="s">
        <v>51</v>
      </c>
      <c r="C7" s="24"/>
      <c r="D7" s="24"/>
      <c r="E7" s="24"/>
    </row>
    <row r="8" customFormat="false" ht="15" hidden="false" customHeight="false" outlineLevel="0" collapsed="false">
      <c r="A8" s="6"/>
      <c r="B8" s="25" t="s">
        <v>52</v>
      </c>
      <c r="C8" s="26" t="n">
        <v>2025</v>
      </c>
      <c r="D8" s="27" t="s">
        <v>53</v>
      </c>
      <c r="E8" s="6"/>
    </row>
    <row r="9" customFormat="false" ht="15" hidden="false" customHeight="false" outlineLevel="0" collapsed="false">
      <c r="A9" s="6"/>
      <c r="B9" s="6"/>
      <c r="C9" s="6"/>
      <c r="D9" s="6"/>
      <c r="E9" s="6"/>
    </row>
    <row r="10" customFormat="false" ht="15" hidden="false" customHeight="false" outlineLevel="0" collapsed="false">
      <c r="A10" s="6"/>
      <c r="B10" s="23" t="s">
        <v>9</v>
      </c>
      <c r="C10" s="24"/>
      <c r="D10" s="24"/>
      <c r="E10" s="24"/>
    </row>
    <row r="11" customFormat="false" ht="15" hidden="false" customHeight="false" outlineLevel="0" collapsed="false">
      <c r="A11" s="6"/>
      <c r="B11" s="25" t="s">
        <v>54</v>
      </c>
      <c r="C11" s="26" t="n">
        <v>1200</v>
      </c>
      <c r="D11" s="27" t="s">
        <v>55</v>
      </c>
      <c r="E11" s="27" t="s">
        <v>56</v>
      </c>
    </row>
    <row r="12" customFormat="false" ht="15" hidden="false" customHeight="false" outlineLevel="0" collapsed="false">
      <c r="A12" s="6"/>
      <c r="B12" s="25" t="s">
        <v>57</v>
      </c>
      <c r="C12" s="26" t="n">
        <v>400</v>
      </c>
      <c r="D12" s="27" t="s">
        <v>55</v>
      </c>
      <c r="E12" s="27" t="s">
        <v>58</v>
      </c>
    </row>
    <row r="13" customFormat="false" ht="15" hidden="false" customHeight="false" outlineLevel="0" collapsed="false">
      <c r="A13" s="6"/>
      <c r="B13" s="25" t="s">
        <v>59</v>
      </c>
      <c r="C13" s="26" t="n">
        <v>120</v>
      </c>
      <c r="D13" s="27" t="s">
        <v>55</v>
      </c>
      <c r="E13" s="27" t="s">
        <v>60</v>
      </c>
    </row>
    <row r="14" customFormat="false" ht="15" hidden="false" customHeight="false" outlineLevel="0" collapsed="false">
      <c r="A14" s="6"/>
      <c r="B14" s="25" t="s">
        <v>61</v>
      </c>
      <c r="C14" s="28" t="n">
        <v>0.08</v>
      </c>
      <c r="D14" s="27" t="s">
        <v>62</v>
      </c>
      <c r="E14" s="27" t="s">
        <v>63</v>
      </c>
    </row>
    <row r="15" customFormat="false" ht="15" hidden="false" customHeight="false" outlineLevel="0" collapsed="false">
      <c r="A15" s="6"/>
      <c r="B15" s="25" t="s">
        <v>64</v>
      </c>
      <c r="C15" s="28" t="n">
        <v>0.05</v>
      </c>
      <c r="D15" s="27" t="s">
        <v>62</v>
      </c>
      <c r="E15" s="27" t="s">
        <v>65</v>
      </c>
    </row>
    <row r="16" customFormat="false" ht="15" hidden="false" customHeight="false" outlineLevel="0" collapsed="false">
      <c r="A16" s="6"/>
      <c r="B16" s="6"/>
      <c r="C16" s="6"/>
      <c r="D16" s="6"/>
      <c r="E16" s="6"/>
    </row>
    <row r="17" customFormat="false" ht="15" hidden="false" customHeight="false" outlineLevel="0" collapsed="false">
      <c r="A17" s="6"/>
      <c r="B17" s="23" t="s">
        <v>11</v>
      </c>
      <c r="C17" s="24"/>
      <c r="D17" s="24"/>
      <c r="E17" s="24"/>
    </row>
    <row r="18" customFormat="false" ht="15" hidden="false" customHeight="false" outlineLevel="0" collapsed="false">
      <c r="A18" s="6"/>
      <c r="B18" s="25" t="s">
        <v>66</v>
      </c>
      <c r="C18" s="26" t="n">
        <v>18000</v>
      </c>
      <c r="D18" s="27" t="s">
        <v>67</v>
      </c>
      <c r="E18" s="27" t="s">
        <v>68</v>
      </c>
    </row>
    <row r="19" customFormat="false" ht="15" hidden="false" customHeight="false" outlineLevel="0" collapsed="false">
      <c r="A19" s="6"/>
      <c r="B19" s="25" t="s">
        <v>69</v>
      </c>
      <c r="C19" s="28" t="n">
        <v>0.04</v>
      </c>
      <c r="D19" s="27" t="s">
        <v>62</v>
      </c>
      <c r="E19" s="27" t="s">
        <v>70</v>
      </c>
    </row>
    <row r="20" customFormat="false" ht="15" hidden="false" customHeight="false" outlineLevel="0" collapsed="false">
      <c r="A20" s="6"/>
      <c r="B20" s="25" t="s">
        <v>71</v>
      </c>
      <c r="C20" s="26" t="n">
        <v>2000</v>
      </c>
      <c r="D20" s="27" t="s">
        <v>67</v>
      </c>
      <c r="E20" s="27" t="s">
        <v>72</v>
      </c>
    </row>
    <row r="21" customFormat="false" ht="15" hidden="false" customHeight="false" outlineLevel="0" collapsed="false">
      <c r="A21" s="6"/>
      <c r="B21" s="25" t="s">
        <v>73</v>
      </c>
      <c r="C21" s="26" t="n">
        <v>1500</v>
      </c>
      <c r="D21" s="27" t="s">
        <v>67</v>
      </c>
      <c r="E21" s="27" t="s">
        <v>74</v>
      </c>
    </row>
    <row r="22" customFormat="false" ht="15" hidden="false" customHeight="false" outlineLevel="0" collapsed="false">
      <c r="A22" s="6"/>
      <c r="B22" s="25" t="s">
        <v>75</v>
      </c>
      <c r="C22" s="28" t="n">
        <v>0.03</v>
      </c>
      <c r="D22" s="27" t="s">
        <v>62</v>
      </c>
      <c r="E22" s="6"/>
    </row>
    <row r="23" customFormat="false" ht="15" hidden="false" customHeight="false" outlineLevel="0" collapsed="false">
      <c r="A23" s="6"/>
      <c r="B23" s="25" t="s">
        <v>76</v>
      </c>
      <c r="C23" s="28" t="n">
        <v>0.05</v>
      </c>
      <c r="D23" s="27" t="s">
        <v>77</v>
      </c>
      <c r="E23" s="27" t="s">
        <v>78</v>
      </c>
    </row>
    <row r="24" customFormat="false" ht="15" hidden="false" customHeight="false" outlineLevel="0" collapsed="false">
      <c r="A24" s="6"/>
      <c r="B24" s="6"/>
      <c r="C24" s="6"/>
      <c r="D24" s="6"/>
      <c r="E24" s="6"/>
    </row>
    <row r="25" customFormat="false" ht="15" hidden="false" customHeight="false" outlineLevel="0" collapsed="false">
      <c r="A25" s="6"/>
      <c r="B25" s="23" t="s">
        <v>79</v>
      </c>
      <c r="C25" s="24"/>
      <c r="D25" s="24"/>
      <c r="E25" s="24"/>
    </row>
    <row r="26" customFormat="false" ht="15" hidden="false" customHeight="false" outlineLevel="0" collapsed="false">
      <c r="A26" s="6"/>
      <c r="B26" s="25" t="s">
        <v>80</v>
      </c>
      <c r="C26" s="26" t="n">
        <v>12</v>
      </c>
      <c r="D26" s="27" t="s">
        <v>81</v>
      </c>
      <c r="E26" s="27" t="s">
        <v>82</v>
      </c>
    </row>
    <row r="27" customFormat="false" ht="15" hidden="false" customHeight="false" outlineLevel="0" collapsed="false">
      <c r="A27" s="6"/>
      <c r="B27" s="25" t="s">
        <v>83</v>
      </c>
      <c r="C27" s="26" t="n">
        <v>65000</v>
      </c>
      <c r="D27" s="27" t="s">
        <v>67</v>
      </c>
      <c r="E27" s="27" t="s">
        <v>84</v>
      </c>
    </row>
    <row r="28" customFormat="false" ht="15" hidden="false" customHeight="false" outlineLevel="0" collapsed="false">
      <c r="A28" s="6"/>
      <c r="B28" s="25" t="s">
        <v>85</v>
      </c>
      <c r="C28" s="28" t="n">
        <v>0.035</v>
      </c>
      <c r="D28" s="27" t="s">
        <v>62</v>
      </c>
      <c r="E28" s="27" t="s">
        <v>86</v>
      </c>
    </row>
    <row r="29" customFormat="false" ht="15" hidden="false" customHeight="false" outlineLevel="0" collapsed="false">
      <c r="A29" s="6"/>
      <c r="B29" s="6"/>
      <c r="C29" s="6"/>
      <c r="D29" s="6"/>
      <c r="E29" s="6"/>
    </row>
    <row r="30" customFormat="false" ht="15" hidden="false" customHeight="false" outlineLevel="0" collapsed="false">
      <c r="A30" s="6"/>
      <c r="B30" s="23" t="s">
        <v>87</v>
      </c>
      <c r="C30" s="24"/>
      <c r="D30" s="24"/>
      <c r="E30" s="24"/>
    </row>
    <row r="31" customFormat="false" ht="15" hidden="false" customHeight="false" outlineLevel="0" collapsed="false">
      <c r="A31" s="6"/>
      <c r="B31" s="25" t="s">
        <v>88</v>
      </c>
      <c r="C31" s="28" t="n">
        <v>0.15</v>
      </c>
      <c r="D31" s="27" t="s">
        <v>89</v>
      </c>
      <c r="E31" s="27" t="s">
        <v>90</v>
      </c>
    </row>
    <row r="32" customFormat="false" ht="15" hidden="false" customHeight="false" outlineLevel="0" collapsed="false">
      <c r="A32" s="6"/>
      <c r="B32" s="25" t="s">
        <v>91</v>
      </c>
      <c r="C32" s="28" t="n">
        <v>0.08</v>
      </c>
      <c r="D32" s="27" t="s">
        <v>89</v>
      </c>
      <c r="E32" s="27" t="s">
        <v>92</v>
      </c>
    </row>
    <row r="33" customFormat="false" ht="15" hidden="false" customHeight="false" outlineLevel="0" collapsed="false">
      <c r="A33" s="6"/>
      <c r="B33" s="25" t="s">
        <v>93</v>
      </c>
      <c r="C33" s="28" t="n">
        <v>0.05</v>
      </c>
      <c r="D33" s="27" t="s">
        <v>89</v>
      </c>
      <c r="E33" s="27" t="s">
        <v>94</v>
      </c>
    </row>
    <row r="34" customFormat="false" ht="15" hidden="false" customHeight="false" outlineLevel="0" collapsed="false">
      <c r="A34" s="6"/>
      <c r="B34" s="25" t="s">
        <v>95</v>
      </c>
      <c r="C34" s="28" t="n">
        <v>0.015</v>
      </c>
      <c r="D34" s="27" t="s">
        <v>89</v>
      </c>
      <c r="E34" s="27" t="s">
        <v>96</v>
      </c>
    </row>
    <row r="35" customFormat="false" ht="15" hidden="false" customHeight="false" outlineLevel="0" collapsed="false">
      <c r="A35" s="6"/>
      <c r="B35" s="6"/>
      <c r="C35" s="6"/>
      <c r="D35" s="6"/>
      <c r="E35" s="6"/>
    </row>
    <row r="36" customFormat="false" ht="15" hidden="false" customHeight="false" outlineLevel="0" collapsed="false">
      <c r="A36" s="6"/>
      <c r="B36" s="23" t="s">
        <v>97</v>
      </c>
      <c r="C36" s="24"/>
      <c r="D36" s="24"/>
      <c r="E36" s="24"/>
    </row>
    <row r="37" customFormat="false" ht="15" hidden="false" customHeight="false" outlineLevel="0" collapsed="false">
      <c r="A37" s="6"/>
      <c r="B37" s="25" t="s">
        <v>98</v>
      </c>
      <c r="C37" s="26" t="n">
        <v>40000000</v>
      </c>
      <c r="D37" s="27" t="s">
        <v>67</v>
      </c>
      <c r="E37" s="27" t="s">
        <v>99</v>
      </c>
    </row>
    <row r="38" customFormat="false" ht="15" hidden="false" customHeight="false" outlineLevel="0" collapsed="false">
      <c r="A38" s="6"/>
      <c r="B38" s="25" t="s">
        <v>100</v>
      </c>
      <c r="C38" s="26" t="n">
        <v>40</v>
      </c>
      <c r="D38" s="27" t="s">
        <v>101</v>
      </c>
      <c r="E38" s="27" t="s">
        <v>102</v>
      </c>
    </row>
    <row r="39" customFormat="false" ht="15" hidden="false" customHeight="false" outlineLevel="0" collapsed="false">
      <c r="A39" s="6"/>
      <c r="B39" s="25" t="s">
        <v>103</v>
      </c>
      <c r="C39" s="28" t="n">
        <v>0.03</v>
      </c>
      <c r="D39" s="27" t="s">
        <v>89</v>
      </c>
      <c r="E39" s="27" t="s">
        <v>104</v>
      </c>
    </row>
    <row r="40" customFormat="false" ht="15" hidden="false" customHeight="false" outlineLevel="0" collapsed="false">
      <c r="A40" s="6"/>
      <c r="B40" s="25" t="s">
        <v>105</v>
      </c>
      <c r="C40" s="26" t="n">
        <v>10</v>
      </c>
      <c r="D40" s="27" t="s">
        <v>101</v>
      </c>
      <c r="E40" s="27" t="s">
        <v>106</v>
      </c>
    </row>
    <row r="41" customFormat="false" ht="15" hidden="false" customHeight="false" outlineLevel="0" collapsed="false">
      <c r="A41" s="6"/>
      <c r="B41" s="6"/>
      <c r="C41" s="6"/>
      <c r="D41" s="6"/>
      <c r="E41" s="6"/>
    </row>
    <row r="42" customFormat="false" ht="15" hidden="false" customHeight="false" outlineLevel="0" collapsed="false">
      <c r="A42" s="6"/>
      <c r="B42" s="23" t="s">
        <v>107</v>
      </c>
      <c r="C42" s="24"/>
      <c r="D42" s="24"/>
      <c r="E42" s="24"/>
    </row>
    <row r="43" customFormat="false" ht="15" hidden="false" customHeight="false" outlineLevel="0" collapsed="false">
      <c r="A43" s="6"/>
      <c r="B43" s="25" t="s">
        <v>108</v>
      </c>
      <c r="C43" s="26" t="n">
        <v>25000000</v>
      </c>
      <c r="D43" s="27" t="s">
        <v>67</v>
      </c>
      <c r="E43" s="27" t="s">
        <v>109</v>
      </c>
    </row>
    <row r="44" customFormat="false" ht="15" hidden="false" customHeight="false" outlineLevel="0" collapsed="false">
      <c r="A44" s="6"/>
      <c r="B44" s="25" t="s">
        <v>110</v>
      </c>
      <c r="C44" s="28" t="n">
        <v>0.075</v>
      </c>
      <c r="D44" s="27" t="s">
        <v>62</v>
      </c>
      <c r="E44" s="27" t="s">
        <v>111</v>
      </c>
    </row>
    <row r="45" customFormat="false" ht="15" hidden="false" customHeight="false" outlineLevel="0" collapsed="false">
      <c r="A45" s="6"/>
      <c r="B45" s="25" t="s">
        <v>112</v>
      </c>
      <c r="C45" s="26" t="n">
        <v>20</v>
      </c>
      <c r="D45" s="27" t="s">
        <v>101</v>
      </c>
      <c r="E45" s="27" t="s">
        <v>113</v>
      </c>
    </row>
    <row r="46" customFormat="false" ht="15" hidden="false" customHeight="false" outlineLevel="0" collapsed="false">
      <c r="A46" s="6"/>
      <c r="B46" s="6"/>
      <c r="C46" s="6"/>
      <c r="D46" s="6"/>
      <c r="E46" s="6"/>
    </row>
    <row r="47" customFormat="false" ht="15" hidden="false" customHeight="false" outlineLevel="0" collapsed="false">
      <c r="A47" s="6"/>
      <c r="B47" s="23" t="s">
        <v>114</v>
      </c>
      <c r="C47" s="24"/>
      <c r="D47" s="24"/>
      <c r="E47" s="24"/>
    </row>
    <row r="48" customFormat="false" ht="15" hidden="false" customHeight="false" outlineLevel="0" collapsed="false">
      <c r="A48" s="6"/>
      <c r="B48" s="25" t="s">
        <v>115</v>
      </c>
      <c r="C48" s="28" t="n">
        <v>0.25</v>
      </c>
      <c r="D48" s="27" t="s">
        <v>62</v>
      </c>
      <c r="E48" s="27" t="s">
        <v>116</v>
      </c>
    </row>
    <row r="49" customFormat="false" ht="15" hidden="false" customHeight="false" outlineLevel="0" collapsed="false">
      <c r="A49" s="6"/>
      <c r="B49" s="25" t="s">
        <v>117</v>
      </c>
      <c r="C49" s="28" t="n">
        <v>0.4</v>
      </c>
      <c r="D49" s="27" t="s">
        <v>118</v>
      </c>
      <c r="E49" s="27" t="s">
        <v>119</v>
      </c>
    </row>
    <row r="50" customFormat="false" ht="15" hidden="false" customHeight="false" outlineLevel="0" collapsed="false">
      <c r="A50" s="6"/>
      <c r="B50" s="6"/>
      <c r="C50" s="6"/>
      <c r="D50" s="6"/>
      <c r="E50" s="6"/>
    </row>
    <row r="51" customFormat="false" ht="15" hidden="false" customHeight="false" outlineLevel="0" collapsed="false">
      <c r="A51" s="6"/>
      <c r="B51" s="23" t="s">
        <v>120</v>
      </c>
      <c r="C51" s="24"/>
      <c r="D51" s="24"/>
      <c r="E51" s="24"/>
    </row>
    <row r="52" customFormat="false" ht="15" hidden="false" customHeight="false" outlineLevel="0" collapsed="false">
      <c r="A52" s="6"/>
      <c r="B52" s="25" t="s">
        <v>121</v>
      </c>
      <c r="C52" s="26" t="n">
        <v>5000000</v>
      </c>
      <c r="D52" s="27" t="s">
        <v>67</v>
      </c>
      <c r="E52" s="27" t="s">
        <v>122</v>
      </c>
    </row>
    <row r="53" customFormat="false" ht="15" hidden="false" customHeight="false" outlineLevel="0" collapsed="false">
      <c r="A53" s="6"/>
      <c r="B53" s="25" t="s">
        <v>123</v>
      </c>
      <c r="C53" s="26" t="n">
        <v>20000000</v>
      </c>
      <c r="D53" s="27" t="s">
        <v>67</v>
      </c>
      <c r="E53" s="27" t="s">
        <v>124</v>
      </c>
    </row>
    <row r="54" customFormat="false" ht="15" hidden="false" customHeight="false" outlineLevel="0" collapsed="false">
      <c r="A54" s="6"/>
      <c r="B54" s="6"/>
      <c r="C54" s="6"/>
      <c r="D54" s="6"/>
      <c r="E54" s="6"/>
    </row>
    <row r="55" customFormat="false" ht="15" hidden="false" customHeight="false" outlineLevel="0" collapsed="false">
      <c r="A55" s="6"/>
      <c r="B55" s="23" t="s">
        <v>125</v>
      </c>
      <c r="C55" s="24"/>
      <c r="D55" s="24"/>
      <c r="E55" s="24"/>
    </row>
    <row r="56" customFormat="false" ht="15" hidden="false" customHeight="false" outlineLevel="0" collapsed="false">
      <c r="A56" s="6"/>
      <c r="B56" s="25" t="s">
        <v>126</v>
      </c>
      <c r="C56" s="26" t="n">
        <v>10</v>
      </c>
      <c r="D56" s="27" t="s">
        <v>127</v>
      </c>
      <c r="E56" s="6"/>
    </row>
    <row r="57" customFormat="false" ht="15" hidden="false" customHeight="false" outlineLevel="0" collapsed="false">
      <c r="A57" s="6"/>
      <c r="B57" s="25" t="s">
        <v>128</v>
      </c>
      <c r="C57" s="26" t="n">
        <v>35</v>
      </c>
      <c r="D57" s="27" t="s">
        <v>127</v>
      </c>
      <c r="E57"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5"/>
    <col collapsed="false" customWidth="true" hidden="false" outlineLevel="0" max="7" min="3" style="0" width="15"/>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129</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130</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1" t="s">
        <v>53</v>
      </c>
      <c r="C5" s="29" t="n">
        <f aca="false">Start_Year+0</f>
        <v>2025</v>
      </c>
      <c r="D5" s="29" t="n">
        <f aca="false">Start_Year+1</f>
        <v>2026</v>
      </c>
      <c r="E5" s="29" t="n">
        <f aca="false">Start_Year+2</f>
        <v>2027</v>
      </c>
      <c r="F5" s="29" t="n">
        <f aca="false">Start_Year+3</f>
        <v>2028</v>
      </c>
      <c r="G5" s="29" t="n">
        <f aca="false">Start_Year+4</f>
        <v>2029</v>
      </c>
    </row>
    <row r="6" customFormat="false" ht="15" hidden="false" customHeight="false" outlineLevel="0" collapsed="false">
      <c r="A6" s="6"/>
      <c r="B6" s="6"/>
      <c r="C6" s="6"/>
      <c r="D6" s="6"/>
      <c r="E6" s="6"/>
      <c r="F6" s="6"/>
      <c r="G6" s="6"/>
    </row>
    <row r="7" customFormat="false" ht="15" hidden="false" customHeight="false" outlineLevel="0" collapsed="false">
      <c r="A7" s="6"/>
      <c r="B7" s="23" t="s">
        <v>131</v>
      </c>
      <c r="C7" s="24"/>
      <c r="D7" s="24"/>
      <c r="E7" s="24"/>
      <c r="F7" s="24"/>
      <c r="G7" s="24"/>
    </row>
    <row r="8" customFormat="false" ht="15" hidden="false" customHeight="false" outlineLevel="0" collapsed="false">
      <c r="A8" s="6"/>
      <c r="B8" s="25" t="s">
        <v>132</v>
      </c>
      <c r="C8" s="30" t="n">
        <f aca="false">Starting_Enrolment</f>
        <v>400</v>
      </c>
      <c r="D8" s="30" t="n">
        <f aca="false">C13</f>
        <v>468</v>
      </c>
      <c r="E8" s="30" t="n">
        <f aca="false">D13</f>
        <v>528</v>
      </c>
      <c r="F8" s="30" t="n">
        <f aca="false">E13</f>
        <v>580</v>
      </c>
      <c r="G8" s="30" t="n">
        <f aca="false">F13</f>
        <v>625</v>
      </c>
    </row>
    <row r="9" customFormat="false" ht="15" hidden="false" customHeight="false" outlineLevel="0" collapsed="false">
      <c r="A9" s="6"/>
      <c r="B9" s="31" t="s">
        <v>133</v>
      </c>
      <c r="C9" s="30" t="n">
        <f aca="false">MIN(Annual_Intake,MAX(0,Max_Capacity-C8))</f>
        <v>120</v>
      </c>
      <c r="D9" s="30" t="n">
        <f aca="false">MIN(Annual_Intake,MAX(0,Max_Capacity-D8))</f>
        <v>120</v>
      </c>
      <c r="E9" s="30" t="n">
        <f aca="false">MIN(Annual_Intake,MAX(0,Max_Capacity-E8))</f>
        <v>120</v>
      </c>
      <c r="F9" s="30" t="n">
        <f aca="false">MIN(Annual_Intake,MAX(0,Max_Capacity-F8))</f>
        <v>120</v>
      </c>
      <c r="G9" s="30" t="n">
        <f aca="false">MIN(Annual_Intake,MAX(0,Max_Capacity-G8))</f>
        <v>120</v>
      </c>
    </row>
    <row r="10" customFormat="false" ht="15" hidden="false" customHeight="false" outlineLevel="0" collapsed="false">
      <c r="A10" s="6"/>
      <c r="B10" s="31" t="s">
        <v>134</v>
      </c>
      <c r="C10" s="30" t="n">
        <f aca="false">-ROUND(C8*Graduation_Rate,0)</f>
        <v>-32</v>
      </c>
      <c r="D10" s="30" t="n">
        <f aca="false">-ROUND(D8*Graduation_Rate,0)</f>
        <v>-37</v>
      </c>
      <c r="E10" s="30" t="n">
        <f aca="false">-ROUND(E8*Graduation_Rate,0)</f>
        <v>-42</v>
      </c>
      <c r="F10" s="30" t="n">
        <f aca="false">-ROUND(F8*Graduation_Rate,0)</f>
        <v>-46</v>
      </c>
      <c r="G10" s="30" t="n">
        <f aca="false">-ROUND(G8*Graduation_Rate,0)</f>
        <v>-50</v>
      </c>
    </row>
    <row r="11" customFormat="false" ht="15" hidden="false" customHeight="false" outlineLevel="0" collapsed="false">
      <c r="A11" s="6"/>
      <c r="B11" s="31" t="s">
        <v>135</v>
      </c>
      <c r="C11" s="30" t="n">
        <f aca="false">-ROUND(C8*Attrition_Rate,0)</f>
        <v>-20</v>
      </c>
      <c r="D11" s="30" t="n">
        <f aca="false">-ROUND(D8*Attrition_Rate,0)</f>
        <v>-23</v>
      </c>
      <c r="E11" s="30" t="n">
        <f aca="false">-ROUND(E8*Attrition_Rate,0)</f>
        <v>-26</v>
      </c>
      <c r="F11" s="30" t="n">
        <f aca="false">-ROUND(F8*Attrition_Rate,0)</f>
        <v>-29</v>
      </c>
      <c r="G11" s="30" t="n">
        <f aca="false">-ROUND(G8*Attrition_Rate,0)</f>
        <v>-31</v>
      </c>
    </row>
    <row r="12" customFormat="false" ht="15" hidden="false" customHeight="false" outlineLevel="0" collapsed="false">
      <c r="A12" s="6"/>
      <c r="B12" s="6"/>
      <c r="C12" s="6"/>
      <c r="D12" s="6"/>
      <c r="E12" s="6"/>
      <c r="F12" s="6"/>
      <c r="G12" s="6"/>
    </row>
    <row r="13" customFormat="false" ht="15" hidden="false" customHeight="false" outlineLevel="0" collapsed="false">
      <c r="A13" s="6"/>
      <c r="B13" s="32" t="s">
        <v>136</v>
      </c>
      <c r="C13" s="33" t="n">
        <f aca="false">MIN(C8+C9+C10+C11,Max_Capacity)</f>
        <v>468</v>
      </c>
      <c r="D13" s="33" t="n">
        <f aca="false">MIN(D8+D9+D10+D11,Max_Capacity)</f>
        <v>528</v>
      </c>
      <c r="E13" s="33" t="n">
        <f aca="false">MIN(E8+E9+E10+E11,Max_Capacity)</f>
        <v>580</v>
      </c>
      <c r="F13" s="33" t="n">
        <f aca="false">MIN(F8+F9+F10+F11,Max_Capacity)</f>
        <v>625</v>
      </c>
      <c r="G13" s="33" t="n">
        <f aca="false">MIN(G8+G9+G10+G11,Max_Capacity)</f>
        <v>664</v>
      </c>
    </row>
    <row r="14" customFormat="false" ht="15" hidden="false" customHeight="false" outlineLevel="0" collapsed="false">
      <c r="A14" s="6"/>
      <c r="B14" s="23" t="s">
        <v>137</v>
      </c>
      <c r="C14" s="24"/>
      <c r="D14" s="24"/>
      <c r="E14" s="24"/>
      <c r="F14" s="24"/>
      <c r="G14" s="24"/>
    </row>
    <row r="15" customFormat="false" ht="15" hidden="false" customHeight="false" outlineLevel="0" collapsed="false">
      <c r="A15" s="6"/>
      <c r="B15" s="25" t="s">
        <v>138</v>
      </c>
      <c r="C15" s="30" t="n">
        <f aca="false">Max_Capacity</f>
        <v>1200</v>
      </c>
      <c r="D15" s="30" t="n">
        <f aca="false">Max_Capacity</f>
        <v>1200</v>
      </c>
      <c r="E15" s="30" t="n">
        <f aca="false">Max_Capacity</f>
        <v>1200</v>
      </c>
      <c r="F15" s="30" t="n">
        <f aca="false">Max_Capacity</f>
        <v>1200</v>
      </c>
      <c r="G15" s="30" t="n">
        <f aca="false">Max_Capacity</f>
        <v>1200</v>
      </c>
    </row>
    <row r="16" customFormat="false" ht="15" hidden="false" customHeight="false" outlineLevel="0" collapsed="false">
      <c r="A16" s="6"/>
      <c r="B16" s="25" t="s">
        <v>139</v>
      </c>
      <c r="C16" s="34" t="n">
        <f aca="false">C13/C15</f>
        <v>0.39</v>
      </c>
      <c r="D16" s="34" t="n">
        <f aca="false">D13/D15</f>
        <v>0.44</v>
      </c>
      <c r="E16" s="34" t="n">
        <f aca="false">E13/E15</f>
        <v>0.483333333333333</v>
      </c>
      <c r="F16" s="34" t="n">
        <f aca="false">F13/F15</f>
        <v>0.520833333333333</v>
      </c>
      <c r="G16" s="34" t="n">
        <f aca="false">G13/G15</f>
        <v>0.553333333333333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5"/>
    <col collapsed="false" customWidth="true" hidden="false" outlineLevel="0" max="7" min="3" style="0" width="15"/>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140</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141</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1" t="s">
        <v>53</v>
      </c>
      <c r="C5" s="29" t="n">
        <f aca="false">Start_Year+0</f>
        <v>2025</v>
      </c>
      <c r="D5" s="29" t="n">
        <f aca="false">Start_Year+1</f>
        <v>2026</v>
      </c>
      <c r="E5" s="29" t="n">
        <f aca="false">Start_Year+2</f>
        <v>2027</v>
      </c>
      <c r="F5" s="29" t="n">
        <f aca="false">Start_Year+3</f>
        <v>2028</v>
      </c>
      <c r="G5" s="29" t="n">
        <f aca="false">Start_Year+4</f>
        <v>2029</v>
      </c>
    </row>
    <row r="6" customFormat="false" ht="15" hidden="false" customHeight="false" outlineLevel="0" collapsed="false">
      <c r="A6" s="6"/>
      <c r="B6" s="6"/>
      <c r="C6" s="6"/>
      <c r="D6" s="6"/>
      <c r="E6" s="6"/>
      <c r="F6" s="6"/>
      <c r="G6" s="6"/>
    </row>
    <row r="7" customFormat="false" ht="15" hidden="false" customHeight="false" outlineLevel="0" collapsed="false">
      <c r="A7" s="6"/>
      <c r="B7" s="23" t="s">
        <v>142</v>
      </c>
      <c r="C7" s="24"/>
      <c r="D7" s="24"/>
      <c r="E7" s="24"/>
      <c r="F7" s="24"/>
      <c r="G7" s="24"/>
    </row>
    <row r="8" customFormat="false" ht="15" hidden="false" customHeight="false" outlineLevel="0" collapsed="false">
      <c r="A8" s="6"/>
      <c r="B8" s="25" t="s">
        <v>143</v>
      </c>
      <c r="C8" s="30" t="n">
        <f aca="false">EN_Closing</f>
        <v>468</v>
      </c>
      <c r="D8" s="30" t="n">
        <f aca="false">EN_Closing</f>
        <v>528</v>
      </c>
      <c r="E8" s="30" t="n">
        <f aca="false">EN_Closing</f>
        <v>580</v>
      </c>
      <c r="F8" s="30" t="n">
        <f aca="false">EN_Closing</f>
        <v>625</v>
      </c>
      <c r="G8" s="30" t="n">
        <f aca="false">EN_Closing</f>
        <v>664</v>
      </c>
    </row>
    <row r="9" customFormat="false" ht="15" hidden="false" customHeight="false" outlineLevel="0" collapsed="false">
      <c r="A9" s="6"/>
      <c r="B9" s="25" t="s">
        <v>144</v>
      </c>
      <c r="C9" s="35" t="n">
        <f aca="false">Tuition_Fee*(1+Tuition_Escalation)^0</f>
        <v>18000</v>
      </c>
      <c r="D9" s="35" t="n">
        <f aca="false">Tuition_Fee*(1+Tuition_Escalation)^1</f>
        <v>18720</v>
      </c>
      <c r="E9" s="35" t="n">
        <f aca="false">Tuition_Fee*(1+Tuition_Escalation)^2</f>
        <v>19468.8</v>
      </c>
      <c r="F9" s="35" t="n">
        <f aca="false">Tuition_Fee*(1+Tuition_Escalation)^3</f>
        <v>20247.552</v>
      </c>
      <c r="G9" s="35" t="n">
        <f aca="false">Tuition_Fee*(1+Tuition_Escalation)^4</f>
        <v>21057.45408</v>
      </c>
    </row>
    <row r="10" customFormat="false" ht="15" hidden="false" customHeight="false" outlineLevel="0" collapsed="false">
      <c r="A10" s="6"/>
      <c r="B10" s="25" t="s">
        <v>145</v>
      </c>
      <c r="C10" s="35" t="n">
        <f aca="false">C8*C9</f>
        <v>8424000</v>
      </c>
      <c r="D10" s="35" t="n">
        <f aca="false">D8*D9</f>
        <v>9884160</v>
      </c>
      <c r="E10" s="35" t="n">
        <f aca="false">E8*E9</f>
        <v>11291904</v>
      </c>
      <c r="F10" s="35" t="n">
        <f aca="false">F8*F9</f>
        <v>12654720</v>
      </c>
      <c r="G10" s="35" t="n">
        <f aca="false">G8*G9</f>
        <v>13982149.50912</v>
      </c>
    </row>
    <row r="11" customFormat="false" ht="15" hidden="false" customHeight="false" outlineLevel="0" collapsed="false">
      <c r="A11" s="6"/>
      <c r="B11" s="31" t="s">
        <v>146</v>
      </c>
      <c r="C11" s="35" t="n">
        <f aca="false">-C10*Scholarship_Rate</f>
        <v>-421200</v>
      </c>
      <c r="D11" s="35" t="n">
        <f aca="false">-D10*Scholarship_Rate</f>
        <v>-494208</v>
      </c>
      <c r="E11" s="35" t="n">
        <f aca="false">-E10*Scholarship_Rate</f>
        <v>-564595.2</v>
      </c>
      <c r="F11" s="35" t="n">
        <f aca="false">-F10*Scholarship_Rate</f>
        <v>-632736</v>
      </c>
      <c r="G11" s="35" t="n">
        <f aca="false">-G10*Scholarship_Rate</f>
        <v>-699107.475456</v>
      </c>
    </row>
    <row r="12" customFormat="false" ht="15" hidden="false" customHeight="false" outlineLevel="0" collapsed="false">
      <c r="A12" s="6"/>
      <c r="B12" s="32" t="s">
        <v>147</v>
      </c>
      <c r="C12" s="36" t="n">
        <f aca="false">C10+C11</f>
        <v>8002800</v>
      </c>
      <c r="D12" s="36" t="n">
        <f aca="false">D10+D11</f>
        <v>9389952</v>
      </c>
      <c r="E12" s="36" t="n">
        <f aca="false">E10+E11</f>
        <v>10727308.8</v>
      </c>
      <c r="F12" s="36" t="n">
        <f aca="false">F10+F11</f>
        <v>12021984</v>
      </c>
      <c r="G12" s="36" t="n">
        <f aca="false">G10+G11</f>
        <v>13283042.033664</v>
      </c>
    </row>
    <row r="13" customFormat="false" ht="15" hidden="false" customHeight="false" outlineLevel="0" collapsed="false">
      <c r="A13" s="6"/>
      <c r="B13" s="23" t="s">
        <v>148</v>
      </c>
      <c r="C13" s="24"/>
      <c r="D13" s="24"/>
      <c r="E13" s="24"/>
      <c r="F13" s="24"/>
      <c r="G13" s="24"/>
    </row>
    <row r="14" customFormat="false" ht="15" hidden="false" customHeight="false" outlineLevel="0" collapsed="false">
      <c r="A14" s="6"/>
      <c r="B14" s="25" t="s">
        <v>149</v>
      </c>
      <c r="C14" s="30" t="n">
        <f aca="false">ABS(EN_New_Intake)</f>
        <v>120</v>
      </c>
      <c r="D14" s="30" t="n">
        <f aca="false">ABS(EN_New_Intake)</f>
        <v>120</v>
      </c>
      <c r="E14" s="30" t="n">
        <f aca="false">ABS(EN_New_Intake)</f>
        <v>120</v>
      </c>
      <c r="F14" s="30" t="n">
        <f aca="false">ABS(EN_New_Intake)</f>
        <v>120</v>
      </c>
      <c r="G14" s="30" t="n">
        <f aca="false">ABS(EN_New_Intake)</f>
        <v>120</v>
      </c>
    </row>
    <row r="15" customFormat="false" ht="15" hidden="false" customHeight="false" outlineLevel="0" collapsed="false">
      <c r="A15" s="6"/>
      <c r="B15" s="31" t="s">
        <v>148</v>
      </c>
      <c r="C15" s="35" t="n">
        <f aca="false">C14*Enrolment_Fee_Amt</f>
        <v>240000</v>
      </c>
      <c r="D15" s="35" t="n">
        <f aca="false">D14*Enrolment_Fee_Amt</f>
        <v>240000</v>
      </c>
      <c r="E15" s="35" t="n">
        <f aca="false">E14*Enrolment_Fee_Amt</f>
        <v>240000</v>
      </c>
      <c r="F15" s="35" t="n">
        <f aca="false">F14*Enrolment_Fee_Amt</f>
        <v>240000</v>
      </c>
      <c r="G15" s="35" t="n">
        <f aca="false">G14*Enrolment_Fee_Amt</f>
        <v>240000</v>
      </c>
    </row>
    <row r="16" customFormat="false" ht="15" hidden="false" customHeight="false" outlineLevel="0" collapsed="false">
      <c r="A16" s="6"/>
      <c r="B16" s="23" t="s">
        <v>150</v>
      </c>
      <c r="C16" s="24"/>
      <c r="D16" s="24"/>
      <c r="E16" s="24"/>
      <c r="F16" s="24"/>
      <c r="G16" s="24"/>
    </row>
    <row r="17" customFormat="false" ht="15" hidden="false" customHeight="false" outlineLevel="0" collapsed="false">
      <c r="A17" s="6"/>
      <c r="B17" s="25" t="s">
        <v>151</v>
      </c>
      <c r="C17" s="35" t="n">
        <f aca="false">Ancillary_Rev_Student*(1+Ancillary_Escalation)^0</f>
        <v>1500</v>
      </c>
      <c r="D17" s="35" t="n">
        <f aca="false">Ancillary_Rev_Student*(1+Ancillary_Escalation)^1</f>
        <v>1545</v>
      </c>
      <c r="E17" s="35" t="n">
        <f aca="false">Ancillary_Rev_Student*(1+Ancillary_Escalation)^2</f>
        <v>1591.35</v>
      </c>
      <c r="F17" s="35" t="n">
        <f aca="false">Ancillary_Rev_Student*(1+Ancillary_Escalation)^3</f>
        <v>1639.0905</v>
      </c>
      <c r="G17" s="35" t="n">
        <f aca="false">Ancillary_Rev_Student*(1+Ancillary_Escalation)^4</f>
        <v>1688.263215</v>
      </c>
    </row>
    <row r="18" customFormat="false" ht="15" hidden="false" customHeight="false" outlineLevel="0" collapsed="false">
      <c r="A18" s="6"/>
      <c r="B18" s="31" t="s">
        <v>150</v>
      </c>
      <c r="C18" s="35" t="n">
        <f aca="false">C8*C17</f>
        <v>702000</v>
      </c>
      <c r="D18" s="35" t="n">
        <f aca="false">D8*D17</f>
        <v>815760</v>
      </c>
      <c r="E18" s="35" t="n">
        <f aca="false">E8*E17</f>
        <v>922983</v>
      </c>
      <c r="F18" s="35" t="n">
        <f aca="false">F8*F17</f>
        <v>1024431.5625</v>
      </c>
      <c r="G18" s="35" t="n">
        <f aca="false">G8*G17</f>
        <v>1121006.77476</v>
      </c>
    </row>
    <row r="19" customFormat="false" ht="15" hidden="false" customHeight="false" outlineLevel="0" collapsed="false">
      <c r="A19" s="6"/>
      <c r="B19" s="6"/>
      <c r="C19" s="6"/>
      <c r="D19" s="6"/>
      <c r="E19" s="6"/>
      <c r="F19" s="6"/>
      <c r="G19" s="6"/>
    </row>
    <row r="20" customFormat="false" ht="15" hidden="false" customHeight="false" outlineLevel="0" collapsed="false">
      <c r="A20" s="6"/>
      <c r="B20" s="32" t="s">
        <v>152</v>
      </c>
      <c r="C20" s="37" t="n">
        <f aca="false">C12+C15+C18</f>
        <v>8944800</v>
      </c>
      <c r="D20" s="37" t="n">
        <f aca="false">D12+D15+D18</f>
        <v>10445712</v>
      </c>
      <c r="E20" s="37" t="n">
        <f aca="false">E12+E15+E18</f>
        <v>11890291.8</v>
      </c>
      <c r="F20" s="37" t="n">
        <f aca="false">F12+F15+F18</f>
        <v>13286415.5625</v>
      </c>
      <c r="G20" s="37" t="n">
        <f aca="false">G12+G15+G18</f>
        <v>14644048.808424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5"/>
    <col collapsed="false" customWidth="true" hidden="false" outlineLevel="0" max="7" min="3" style="0" width="15"/>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153</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154</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1" t="s">
        <v>53</v>
      </c>
      <c r="C5" s="29" t="n">
        <f aca="false">Start_Year+0</f>
        <v>2025</v>
      </c>
      <c r="D5" s="29" t="n">
        <f aca="false">Start_Year+1</f>
        <v>2026</v>
      </c>
      <c r="E5" s="29" t="n">
        <f aca="false">Start_Year+2</f>
        <v>2027</v>
      </c>
      <c r="F5" s="29" t="n">
        <f aca="false">Start_Year+3</f>
        <v>2028</v>
      </c>
      <c r="G5" s="29" t="n">
        <f aca="false">Start_Year+4</f>
        <v>2029</v>
      </c>
    </row>
    <row r="6" customFormat="false" ht="15" hidden="false" customHeight="false" outlineLevel="0" collapsed="false">
      <c r="A6" s="6"/>
      <c r="B6" s="6"/>
      <c r="C6" s="6"/>
      <c r="D6" s="6"/>
      <c r="E6" s="6"/>
      <c r="F6" s="6"/>
      <c r="G6" s="6"/>
    </row>
    <row r="7" customFormat="false" ht="15" hidden="false" customHeight="false" outlineLevel="0" collapsed="false">
      <c r="A7" s="6"/>
      <c r="B7" s="23" t="s">
        <v>155</v>
      </c>
      <c r="C7" s="24"/>
      <c r="D7" s="24"/>
      <c r="E7" s="24"/>
      <c r="F7" s="24"/>
      <c r="G7" s="24"/>
    </row>
    <row r="8" customFormat="false" ht="15" hidden="false" customHeight="false" outlineLevel="0" collapsed="false">
      <c r="A8" s="6"/>
      <c r="B8" s="25" t="s">
        <v>143</v>
      </c>
      <c r="C8" s="30" t="n">
        <f aca="false">EN_Closing</f>
        <v>468</v>
      </c>
      <c r="D8" s="30" t="n">
        <f aca="false">EN_Closing</f>
        <v>528</v>
      </c>
      <c r="E8" s="30" t="n">
        <f aca="false">EN_Closing</f>
        <v>580</v>
      </c>
      <c r="F8" s="30" t="n">
        <f aca="false">EN_Closing</f>
        <v>625</v>
      </c>
      <c r="G8" s="30" t="n">
        <f aca="false">EN_Closing</f>
        <v>664</v>
      </c>
    </row>
    <row r="9" customFormat="false" ht="15" hidden="false" customHeight="false" outlineLevel="0" collapsed="false">
      <c r="A9" s="6"/>
      <c r="B9" s="25" t="s">
        <v>80</v>
      </c>
      <c r="C9" s="38" t="n">
        <f aca="false">Student_Teacher_Ratio</f>
        <v>12</v>
      </c>
      <c r="D9" s="38" t="n">
        <f aca="false">Student_Teacher_Ratio</f>
        <v>12</v>
      </c>
      <c r="E9" s="38" t="n">
        <f aca="false">Student_Teacher_Ratio</f>
        <v>12</v>
      </c>
      <c r="F9" s="38" t="n">
        <f aca="false">Student_Teacher_Ratio</f>
        <v>12</v>
      </c>
      <c r="G9" s="38" t="n">
        <f aca="false">Student_Teacher_Ratio</f>
        <v>12</v>
      </c>
    </row>
    <row r="10" customFormat="false" ht="15" hidden="false" customHeight="false" outlineLevel="0" collapsed="false">
      <c r="A10" s="6"/>
      <c r="B10" s="25" t="s">
        <v>156</v>
      </c>
      <c r="C10" s="30" t="n">
        <f aca="false">ROUNDUP(C8/C9,0)</f>
        <v>39</v>
      </c>
      <c r="D10" s="30" t="n">
        <f aca="false">ROUNDUP(D8/D9,0)</f>
        <v>44</v>
      </c>
      <c r="E10" s="30" t="n">
        <f aca="false">ROUNDUP(E8/E9,0)</f>
        <v>49</v>
      </c>
      <c r="F10" s="30" t="n">
        <f aca="false">ROUNDUP(F8/F9,0)</f>
        <v>53</v>
      </c>
      <c r="G10" s="30" t="n">
        <f aca="false">ROUNDUP(G8/G9,0)</f>
        <v>56</v>
      </c>
    </row>
    <row r="11" customFormat="false" ht="15" hidden="false" customHeight="false" outlineLevel="0" collapsed="false">
      <c r="A11" s="6"/>
      <c r="B11" s="23" t="s">
        <v>157</v>
      </c>
      <c r="C11" s="24"/>
      <c r="D11" s="24"/>
      <c r="E11" s="24"/>
      <c r="F11" s="24"/>
      <c r="G11" s="24"/>
    </row>
    <row r="12" customFormat="false" ht="15" hidden="false" customHeight="false" outlineLevel="0" collapsed="false">
      <c r="A12" s="6"/>
      <c r="B12" s="31" t="s">
        <v>158</v>
      </c>
      <c r="C12" s="35" t="n">
        <f aca="false">Avg_Teacher_Salary*(1+Salary_Inflation)^0</f>
        <v>65000</v>
      </c>
      <c r="D12" s="35" t="n">
        <f aca="false">Avg_Teacher_Salary*(1+Salary_Inflation)^1</f>
        <v>67275</v>
      </c>
      <c r="E12" s="35" t="n">
        <f aca="false">Avg_Teacher_Salary*(1+Salary_Inflation)^2</f>
        <v>69629.625</v>
      </c>
      <c r="F12" s="35" t="n">
        <f aca="false">Avg_Teacher_Salary*(1+Salary_Inflation)^3</f>
        <v>72066.661875</v>
      </c>
      <c r="G12" s="35" t="n">
        <f aca="false">Avg_Teacher_Salary*(1+Salary_Inflation)^4</f>
        <v>74588.995040625</v>
      </c>
    </row>
    <row r="13" customFormat="false" ht="15" hidden="false" customHeight="false" outlineLevel="0" collapsed="false">
      <c r="A13" s="6"/>
      <c r="B13" s="32" t="s">
        <v>159</v>
      </c>
      <c r="C13" s="36" t="n">
        <f aca="false">C10*C12</f>
        <v>2535000</v>
      </c>
      <c r="D13" s="36" t="n">
        <f aca="false">D10*D12</f>
        <v>2960100</v>
      </c>
      <c r="E13" s="36" t="n">
        <f aca="false">E10*E12</f>
        <v>3411851.625</v>
      </c>
      <c r="F13" s="36" t="n">
        <f aca="false">F10*F12</f>
        <v>3819533.079375</v>
      </c>
      <c r="G13" s="36" t="n">
        <f aca="false">G10*G12</f>
        <v>4176983.722275</v>
      </c>
    </row>
    <row r="14" customFormat="false" ht="15" hidden="false" customHeight="false" outlineLevel="0" collapsed="false">
      <c r="A14" s="6"/>
      <c r="B14" s="23" t="s">
        <v>88</v>
      </c>
      <c r="C14" s="24"/>
      <c r="D14" s="24"/>
      <c r="E14" s="24"/>
      <c r="F14" s="24"/>
      <c r="G14" s="24"/>
    </row>
    <row r="15" customFormat="false" ht="15" hidden="false" customHeight="false" outlineLevel="0" collapsed="false">
      <c r="A15" s="6"/>
      <c r="B15" s="25" t="s">
        <v>160</v>
      </c>
      <c r="C15" s="35" t="n">
        <f aca="false">REV_Total*Admin_Pct</f>
        <v>1341720</v>
      </c>
      <c r="D15" s="35" t="n">
        <f aca="false">REV_Total*Admin_Pct</f>
        <v>1566856.8</v>
      </c>
      <c r="E15" s="35" t="n">
        <f aca="false">REV_Total*Admin_Pct</f>
        <v>1783543.77</v>
      </c>
      <c r="F15" s="35" t="n">
        <f aca="false">REV_Total*Admin_Pct</f>
        <v>1992962.334375</v>
      </c>
      <c r="G15" s="35" t="n">
        <f aca="false">REV_Total*Admin_Pct</f>
        <v>2196607.3212636</v>
      </c>
    </row>
    <row r="16" customFormat="false" ht="15" hidden="false" customHeight="false" outlineLevel="0" collapsed="false">
      <c r="A16" s="6"/>
      <c r="B16" s="6"/>
      <c r="C16" s="6"/>
      <c r="D16" s="6"/>
      <c r="E16" s="6"/>
      <c r="F16" s="6"/>
      <c r="G16" s="6"/>
    </row>
    <row r="17" customFormat="false" ht="15" hidden="false" customHeight="false" outlineLevel="0" collapsed="false">
      <c r="A17" s="6"/>
      <c r="B17" s="32" t="s">
        <v>161</v>
      </c>
      <c r="C17" s="37" t="n">
        <f aca="false">C13+C15</f>
        <v>3876720</v>
      </c>
      <c r="D17" s="37" t="n">
        <f aca="false">D13+D15</f>
        <v>4526956.8</v>
      </c>
      <c r="E17" s="37" t="n">
        <f aca="false">E13+E15</f>
        <v>5195395.395</v>
      </c>
      <c r="F17" s="37" t="n">
        <f aca="false">F13+F15</f>
        <v>5812495.41375</v>
      </c>
      <c r="G17" s="37" t="n">
        <f aca="false">G13+G15</f>
        <v>6373591.0435386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5"/>
    <col collapsed="false" customWidth="true" hidden="false" outlineLevel="0" max="7" min="3" style="0" width="15"/>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87</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162</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1" t="s">
        <v>53</v>
      </c>
      <c r="C5" s="29" t="n">
        <f aca="false">Start_Year+0</f>
        <v>2025</v>
      </c>
      <c r="D5" s="29" t="n">
        <f aca="false">Start_Year+1</f>
        <v>2026</v>
      </c>
      <c r="E5" s="29" t="n">
        <f aca="false">Start_Year+2</f>
        <v>2027</v>
      </c>
      <c r="F5" s="29" t="n">
        <f aca="false">Start_Year+3</f>
        <v>2028</v>
      </c>
      <c r="G5" s="29" t="n">
        <f aca="false">Start_Year+4</f>
        <v>2029</v>
      </c>
    </row>
    <row r="6" customFormat="false" ht="15" hidden="false" customHeight="false" outlineLevel="0" collapsed="false">
      <c r="A6" s="6"/>
      <c r="B6" s="6"/>
      <c r="C6" s="6"/>
      <c r="D6" s="6"/>
      <c r="E6" s="6"/>
      <c r="F6" s="6"/>
      <c r="G6" s="6"/>
    </row>
    <row r="7" customFormat="false" ht="15" hidden="false" customHeight="false" outlineLevel="0" collapsed="false">
      <c r="A7" s="6"/>
      <c r="B7" s="23" t="s">
        <v>87</v>
      </c>
      <c r="C7" s="24"/>
      <c r="D7" s="24"/>
      <c r="E7" s="24"/>
      <c r="F7" s="24"/>
      <c r="G7" s="24"/>
    </row>
    <row r="8" customFormat="false" ht="15" hidden="false" customHeight="false" outlineLevel="0" collapsed="false">
      <c r="A8" s="6"/>
      <c r="B8" s="25" t="s">
        <v>163</v>
      </c>
      <c r="C8" s="35" t="n">
        <f aca="false">REV_Total</f>
        <v>8944800</v>
      </c>
      <c r="D8" s="35" t="n">
        <f aca="false">REV_Total</f>
        <v>10445712</v>
      </c>
      <c r="E8" s="35" t="n">
        <f aca="false">REV_Total</f>
        <v>11890291.8</v>
      </c>
      <c r="F8" s="35" t="n">
        <f aca="false">REV_Total</f>
        <v>13286415.5625</v>
      </c>
      <c r="G8" s="35" t="n">
        <f aca="false">REV_Total</f>
        <v>14644048.808424</v>
      </c>
    </row>
    <row r="9" customFormat="false" ht="15" hidden="false" customHeight="false" outlineLevel="0" collapsed="false">
      <c r="A9" s="6"/>
      <c r="B9" s="23" t="s">
        <v>164</v>
      </c>
      <c r="C9" s="24"/>
      <c r="D9" s="24"/>
      <c r="E9" s="24"/>
      <c r="F9" s="24"/>
      <c r="G9" s="24"/>
    </row>
    <row r="10" customFormat="false" ht="15" hidden="false" customHeight="false" outlineLevel="0" collapsed="false">
      <c r="A10" s="6"/>
      <c r="B10" s="31" t="s">
        <v>91</v>
      </c>
      <c r="C10" s="35" t="n">
        <f aca="false">C8*Facilities_Pct</f>
        <v>715584</v>
      </c>
      <c r="D10" s="35" t="n">
        <f aca="false">D8*Facilities_Pct</f>
        <v>835656.96</v>
      </c>
      <c r="E10" s="35" t="n">
        <f aca="false">E8*Facilities_Pct</f>
        <v>951223.344</v>
      </c>
      <c r="F10" s="35" t="n">
        <f aca="false">F8*Facilities_Pct</f>
        <v>1062913.245</v>
      </c>
      <c r="G10" s="35" t="n">
        <f aca="false">G8*Facilities_Pct</f>
        <v>1171523.90467392</v>
      </c>
    </row>
    <row r="11" customFormat="false" ht="15" hidden="false" customHeight="false" outlineLevel="0" collapsed="false">
      <c r="A11" s="6"/>
      <c r="B11" s="31" t="s">
        <v>93</v>
      </c>
      <c r="C11" s="35" t="n">
        <f aca="false">C8*Marketing_IT_Pct</f>
        <v>447240</v>
      </c>
      <c r="D11" s="35" t="n">
        <f aca="false">D8*Marketing_IT_Pct</f>
        <v>522285.6</v>
      </c>
      <c r="E11" s="35" t="n">
        <f aca="false">E8*Marketing_IT_Pct</f>
        <v>594514.59</v>
      </c>
      <c r="F11" s="35" t="n">
        <f aca="false">F8*Marketing_IT_Pct</f>
        <v>664320.778125</v>
      </c>
      <c r="G11" s="35" t="n">
        <f aca="false">G8*Marketing_IT_Pct</f>
        <v>732202.4404212</v>
      </c>
    </row>
    <row r="12" customFormat="false" ht="15" hidden="false" customHeight="false" outlineLevel="0" collapsed="false">
      <c r="A12" s="6"/>
      <c r="B12" s="31" t="s">
        <v>95</v>
      </c>
      <c r="C12" s="35" t="n">
        <f aca="false">C8*Insurance_Pct</f>
        <v>134172</v>
      </c>
      <c r="D12" s="35" t="n">
        <f aca="false">D8*Insurance_Pct</f>
        <v>156685.68</v>
      </c>
      <c r="E12" s="35" t="n">
        <f aca="false">E8*Insurance_Pct</f>
        <v>178354.377</v>
      </c>
      <c r="F12" s="35" t="n">
        <f aca="false">F8*Insurance_Pct</f>
        <v>199296.2334375</v>
      </c>
      <c r="G12" s="35" t="n">
        <f aca="false">G8*Insurance_Pct</f>
        <v>219660.73212636</v>
      </c>
    </row>
    <row r="13" customFormat="false" ht="15" hidden="false" customHeight="false" outlineLevel="0" collapsed="false">
      <c r="A13" s="6"/>
      <c r="B13" s="6"/>
      <c r="C13" s="6"/>
      <c r="D13" s="6"/>
      <c r="E13" s="6"/>
      <c r="F13" s="6"/>
      <c r="G13" s="6"/>
    </row>
    <row r="14" customFormat="false" ht="15" hidden="false" customHeight="false" outlineLevel="0" collapsed="false">
      <c r="A14" s="6"/>
      <c r="B14" s="32" t="s">
        <v>165</v>
      </c>
      <c r="C14" s="37" t="n">
        <f aca="false">C10+C11+C12</f>
        <v>1296996</v>
      </c>
      <c r="D14" s="37" t="n">
        <f aca="false">D10+D11+D12</f>
        <v>1514628.24</v>
      </c>
      <c r="E14" s="37" t="n">
        <f aca="false">E10+E11+E12</f>
        <v>1724092.311</v>
      </c>
      <c r="F14" s="37" t="n">
        <f aca="false">F10+F11+F12</f>
        <v>1926530.2565625</v>
      </c>
      <c r="G14" s="37" t="n">
        <f aca="false">G10+G11+G12</f>
        <v>2123387.07722148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5"/>
    <col collapsed="false" customWidth="true" hidden="false" outlineLevel="0" max="7" min="3" style="0" width="15"/>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97</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166</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1" t="s">
        <v>53</v>
      </c>
      <c r="C5" s="29" t="n">
        <f aca="false">Start_Year+0</f>
        <v>2025</v>
      </c>
      <c r="D5" s="29" t="n">
        <f aca="false">Start_Year+1</f>
        <v>2026</v>
      </c>
      <c r="E5" s="29" t="n">
        <f aca="false">Start_Year+2</f>
        <v>2027</v>
      </c>
      <c r="F5" s="29" t="n">
        <f aca="false">Start_Year+3</f>
        <v>2028</v>
      </c>
      <c r="G5" s="29" t="n">
        <f aca="false">Start_Year+4</f>
        <v>2029</v>
      </c>
    </row>
    <row r="6" customFormat="false" ht="15" hidden="false" customHeight="false" outlineLevel="0" collapsed="false">
      <c r="A6" s="6"/>
      <c r="B6" s="6"/>
      <c r="C6" s="6"/>
      <c r="D6" s="6"/>
      <c r="E6" s="6"/>
      <c r="F6" s="6"/>
      <c r="G6" s="6"/>
    </row>
    <row r="7" customFormat="false" ht="15" hidden="false" customHeight="false" outlineLevel="0" collapsed="false">
      <c r="A7" s="6"/>
      <c r="B7" s="23" t="s">
        <v>167</v>
      </c>
      <c r="C7" s="24"/>
      <c r="D7" s="24"/>
      <c r="E7" s="24"/>
      <c r="F7" s="24"/>
      <c r="G7" s="24"/>
    </row>
    <row r="8" customFormat="false" ht="15" hidden="false" customHeight="false" outlineLevel="0" collapsed="false">
      <c r="A8" s="6"/>
      <c r="B8" s="25" t="s">
        <v>98</v>
      </c>
      <c r="C8" s="35" t="n">
        <f aca="false">0</f>
        <v>0</v>
      </c>
      <c r="D8" s="35" t="n">
        <f aca="false">C16</f>
        <v>39241509.6</v>
      </c>
      <c r="E8" s="35" t="n">
        <f aca="false">D16</f>
        <v>38496709.424</v>
      </c>
      <c r="F8" s="35" t="n">
        <f aca="false">E16</f>
        <v>37759575.7666</v>
      </c>
      <c r="G8" s="35" t="n">
        <f aca="false">F16</f>
        <v>37024466.5753875</v>
      </c>
    </row>
    <row r="9" customFormat="false" ht="15" hidden="false" customHeight="false" outlineLevel="0" collapsed="false">
      <c r="A9" s="6"/>
      <c r="B9" s="31" t="s">
        <v>168</v>
      </c>
      <c r="C9" s="35" t="n">
        <f aca="false">Opening_PPE/Building_Life</f>
        <v>1000000</v>
      </c>
      <c r="D9" s="35" t="n">
        <f aca="false">Opening_PPE/Building_Life</f>
        <v>1000000</v>
      </c>
      <c r="E9" s="35" t="n">
        <f aca="false">Opening_PPE/Building_Life</f>
        <v>1000000</v>
      </c>
      <c r="F9" s="35" t="n">
        <f aca="false">Opening_PPE/Building_Life</f>
        <v>1000000</v>
      </c>
      <c r="G9" s="35" t="n">
        <f aca="false">Opening_PPE/Building_Life</f>
        <v>1000000</v>
      </c>
    </row>
    <row r="10" customFormat="false" ht="15" hidden="false" customHeight="false" outlineLevel="0" collapsed="false">
      <c r="A10" s="6"/>
      <c r="B10" s="23" t="s">
        <v>169</v>
      </c>
      <c r="C10" s="24"/>
      <c r="D10" s="24"/>
      <c r="E10" s="24"/>
      <c r="F10" s="24"/>
      <c r="G10" s="24"/>
    </row>
    <row r="11" customFormat="false" ht="15" hidden="false" customHeight="false" outlineLevel="0" collapsed="false">
      <c r="A11" s="6"/>
      <c r="B11" s="25" t="s">
        <v>170</v>
      </c>
      <c r="C11" s="35" t="n">
        <f aca="false">REV_Total*Maint_Capex_Pct</f>
        <v>268344</v>
      </c>
      <c r="D11" s="35" t="n">
        <f aca="false">REV_Total*Maint_Capex_Pct</f>
        <v>313371.36</v>
      </c>
      <c r="E11" s="35" t="n">
        <f aca="false">REV_Total*Maint_Capex_Pct</f>
        <v>356708.754</v>
      </c>
      <c r="F11" s="35" t="n">
        <f aca="false">REV_Total*Maint_Capex_Pct</f>
        <v>398592.466875</v>
      </c>
      <c r="G11" s="35" t="n">
        <f aca="false">REV_Total*Maint_Capex_Pct</f>
        <v>439321.46425272</v>
      </c>
    </row>
    <row r="12" customFormat="false" ht="15" hidden="false" customHeight="false" outlineLevel="0" collapsed="false">
      <c r="A12" s="6"/>
      <c r="B12" s="31" t="s">
        <v>171</v>
      </c>
      <c r="C12" s="35" t="n">
        <f aca="false">C11/Capex_Asset_Life</f>
        <v>26834.4</v>
      </c>
      <c r="D12" s="35" t="n">
        <f aca="false">(C11+D11)/Capex_Asset_Life</f>
        <v>58171.536</v>
      </c>
      <c r="E12" s="35" t="n">
        <f aca="false">(C11+D11+E11)/Capex_Asset_Life</f>
        <v>93842.4114</v>
      </c>
      <c r="F12" s="35" t="n">
        <f aca="false">(C11+D11+E11+F11)/Capex_Asset_Life</f>
        <v>133701.6580875</v>
      </c>
      <c r="G12" s="35" t="n">
        <f aca="false">(C11+D11+E11+F11+G11)/Capex_Asset_Life</f>
        <v>177633.804512772</v>
      </c>
    </row>
    <row r="13" customFormat="false" ht="15" hidden="false" customHeight="false" outlineLevel="0" collapsed="false">
      <c r="A13" s="6"/>
      <c r="B13" s="6"/>
      <c r="C13" s="6"/>
      <c r="D13" s="6"/>
      <c r="E13" s="6"/>
      <c r="F13" s="6"/>
      <c r="G13" s="6"/>
    </row>
    <row r="14" customFormat="false" ht="15" hidden="false" customHeight="false" outlineLevel="0" collapsed="false">
      <c r="A14" s="6"/>
      <c r="B14" s="32" t="s">
        <v>172</v>
      </c>
      <c r="C14" s="36" t="n">
        <f aca="false">C9+C12</f>
        <v>1026834.4</v>
      </c>
      <c r="D14" s="36" t="n">
        <f aca="false">D9+D12</f>
        <v>1058171.536</v>
      </c>
      <c r="E14" s="36" t="n">
        <f aca="false">E9+E12</f>
        <v>1093842.4114</v>
      </c>
      <c r="F14" s="36" t="n">
        <f aca="false">F9+F12</f>
        <v>1133701.6580875</v>
      </c>
      <c r="G14" s="36" t="n">
        <f aca="false">G9+G12</f>
        <v>1177633.80451277</v>
      </c>
    </row>
    <row r="15" customFormat="false" ht="15" hidden="false" customHeight="false" outlineLevel="0" collapsed="false">
      <c r="A15" s="6"/>
      <c r="B15" s="6"/>
      <c r="C15" s="6"/>
      <c r="D15" s="6"/>
      <c r="E15" s="6"/>
      <c r="F15" s="6"/>
      <c r="G15" s="6"/>
    </row>
    <row r="16" customFormat="false" ht="15" hidden="false" customHeight="false" outlineLevel="0" collapsed="false">
      <c r="A16" s="6"/>
      <c r="B16" s="32" t="s">
        <v>173</v>
      </c>
      <c r="C16" s="37" t="n">
        <f aca="false">C8+Opening_PPE+C11-C14</f>
        <v>39241509.6</v>
      </c>
      <c r="D16" s="37" t="n">
        <f aca="false">D8+D11-D14</f>
        <v>38496709.424</v>
      </c>
      <c r="E16" s="37" t="n">
        <f aca="false">E8+E11-E14</f>
        <v>37759575.7666</v>
      </c>
      <c r="F16" s="37" t="n">
        <f aca="false">F8+F11-F14</f>
        <v>37024466.5753875</v>
      </c>
      <c r="G16" s="37" t="n">
        <f aca="false">G8+G11-G14</f>
        <v>36286154.2351275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5"/>
    <col collapsed="false" customWidth="true" hidden="false" outlineLevel="0" max="7" min="3" style="0" width="15"/>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174</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175</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1" t="s">
        <v>53</v>
      </c>
      <c r="C5" s="29" t="n">
        <f aca="false">Start_Year+0</f>
        <v>2025</v>
      </c>
      <c r="D5" s="29" t="n">
        <f aca="false">Start_Year+1</f>
        <v>2026</v>
      </c>
      <c r="E5" s="29" t="n">
        <f aca="false">Start_Year+2</f>
        <v>2027</v>
      </c>
      <c r="F5" s="29" t="n">
        <f aca="false">Start_Year+3</f>
        <v>2028</v>
      </c>
      <c r="G5" s="29" t="n">
        <f aca="false">Start_Year+4</f>
        <v>2029</v>
      </c>
    </row>
    <row r="6" customFormat="false" ht="15" hidden="false" customHeight="false" outlineLevel="0" collapsed="false">
      <c r="A6" s="6"/>
      <c r="B6" s="6"/>
      <c r="C6" s="6"/>
      <c r="D6" s="6"/>
      <c r="E6" s="6"/>
      <c r="F6" s="6"/>
      <c r="G6" s="6"/>
    </row>
    <row r="7" customFormat="false" ht="15" hidden="false" customHeight="false" outlineLevel="0" collapsed="false">
      <c r="A7" s="6"/>
      <c r="B7" s="23" t="s">
        <v>108</v>
      </c>
      <c r="C7" s="24"/>
      <c r="D7" s="24"/>
      <c r="E7" s="24"/>
      <c r="F7" s="24"/>
      <c r="G7" s="24"/>
    </row>
    <row r="8" customFormat="false" ht="15" hidden="false" customHeight="false" outlineLevel="0" collapsed="false">
      <c r="A8" s="6"/>
      <c r="B8" s="25" t="s">
        <v>176</v>
      </c>
      <c r="C8" s="35" t="n">
        <f aca="false">0</f>
        <v>0</v>
      </c>
      <c r="D8" s="35" t="n">
        <f aca="false">C11</f>
        <v>23750000</v>
      </c>
      <c r="E8" s="35" t="n">
        <f aca="false">D11</f>
        <v>22500000</v>
      </c>
      <c r="F8" s="35" t="n">
        <f aca="false">E11</f>
        <v>21250000</v>
      </c>
      <c r="G8" s="35" t="n">
        <f aca="false">F11</f>
        <v>20000000</v>
      </c>
    </row>
    <row r="9" customFormat="false" ht="15" hidden="false" customHeight="false" outlineLevel="0" collapsed="false">
      <c r="A9" s="6"/>
      <c r="B9" s="31" t="s">
        <v>177</v>
      </c>
      <c r="C9" s="35" t="n">
        <f aca="false">Term_Loan_Amt</f>
        <v>25000000</v>
      </c>
      <c r="D9" s="35" t="n">
        <f aca="false">0</f>
        <v>0</v>
      </c>
      <c r="E9" s="35" t="n">
        <f aca="false">0</f>
        <v>0</v>
      </c>
      <c r="F9" s="35" t="n">
        <f aca="false">0</f>
        <v>0</v>
      </c>
      <c r="G9" s="35" t="n">
        <f aca="false">0</f>
        <v>0</v>
      </c>
    </row>
    <row r="10" customFormat="false" ht="15" hidden="false" customHeight="false" outlineLevel="0" collapsed="false">
      <c r="A10" s="6"/>
      <c r="B10" s="31" t="s">
        <v>178</v>
      </c>
      <c r="C10" s="35" t="n">
        <f aca="false">-Term_Loan_Amt/Loan_Tenor</f>
        <v>-1250000</v>
      </c>
      <c r="D10" s="35" t="n">
        <f aca="false">-Term_Loan_Amt/Loan_Tenor</f>
        <v>-1250000</v>
      </c>
      <c r="E10" s="35" t="n">
        <f aca="false">-Term_Loan_Amt/Loan_Tenor</f>
        <v>-1250000</v>
      </c>
      <c r="F10" s="35" t="n">
        <f aca="false">-Term_Loan_Amt/Loan_Tenor</f>
        <v>-1250000</v>
      </c>
      <c r="G10" s="35" t="n">
        <f aca="false">-Term_Loan_Amt/Loan_Tenor</f>
        <v>-1250000</v>
      </c>
    </row>
    <row r="11" customFormat="false" ht="15" hidden="false" customHeight="false" outlineLevel="0" collapsed="false">
      <c r="A11" s="6"/>
      <c r="B11" s="32" t="s">
        <v>179</v>
      </c>
      <c r="C11" s="36" t="n">
        <f aca="false">MAX(0,C8+C9+C10)</f>
        <v>23750000</v>
      </c>
      <c r="D11" s="36" t="n">
        <f aca="false">MAX(0,D8+D9+D10)</f>
        <v>22500000</v>
      </c>
      <c r="E11" s="36" t="n">
        <f aca="false">MAX(0,E8+E9+E10)</f>
        <v>21250000</v>
      </c>
      <c r="F11" s="36" t="n">
        <f aca="false">MAX(0,F8+F9+F10)</f>
        <v>20000000</v>
      </c>
      <c r="G11" s="36" t="n">
        <f aca="false">MAX(0,G8+G9+G10)</f>
        <v>18750000</v>
      </c>
    </row>
    <row r="12" customFormat="false" ht="15" hidden="false" customHeight="false" outlineLevel="0" collapsed="false">
      <c r="A12" s="6"/>
      <c r="B12" s="23" t="s">
        <v>180</v>
      </c>
      <c r="C12" s="24"/>
      <c r="D12" s="24"/>
      <c r="E12" s="24"/>
      <c r="F12" s="24"/>
      <c r="G12" s="24"/>
    </row>
    <row r="13" customFormat="false" ht="15" hidden="false" customHeight="false" outlineLevel="0" collapsed="false">
      <c r="A13" s="6"/>
      <c r="B13" s="25" t="s">
        <v>181</v>
      </c>
      <c r="C13" s="35" t="n">
        <f aca="false">(C8+C9)*Interest_Rate</f>
        <v>1875000</v>
      </c>
      <c r="D13" s="35" t="n">
        <f aca="false">(D8+D9)*Interest_Rate</f>
        <v>1781250</v>
      </c>
      <c r="E13" s="35" t="n">
        <f aca="false">(E8+E9)*Interest_Rate</f>
        <v>1687500</v>
      </c>
      <c r="F13" s="35" t="n">
        <f aca="false">(F8+F9)*Interest_Rate</f>
        <v>1593750</v>
      </c>
      <c r="G13" s="35" t="n">
        <f aca="false">(G8+G9)*Interest_Rate</f>
        <v>1500000</v>
      </c>
    </row>
    <row r="14" customFormat="false" ht="15" hidden="false" customHeight="false" outlineLevel="0" collapsed="false">
      <c r="A14" s="6"/>
      <c r="B14" s="23" t="s">
        <v>182</v>
      </c>
      <c r="C14" s="24"/>
      <c r="D14" s="24"/>
      <c r="E14" s="24"/>
      <c r="F14" s="24"/>
      <c r="G14" s="24"/>
    </row>
    <row r="15" customFormat="false" ht="15" hidden="false" customHeight="false" outlineLevel="0" collapsed="false">
      <c r="A15" s="6"/>
      <c r="B15" s="25" t="s">
        <v>183</v>
      </c>
      <c r="C15" s="39" t="n">
        <f aca="false">IF(ABS(C10)+C13=0,0,(IS_EBITDA-CD_Maint_Capex)/(C13+ABS(C10)))</f>
        <v>1.1208768</v>
      </c>
      <c r="D15" s="39" t="n">
        <f aca="false">IF(ABS(D10)+D13=0,0,(IS_EBITDA-CD_Maint_Capex)/(D13+ABS(D10)))</f>
        <v>1.34952762061856</v>
      </c>
      <c r="E15" s="39" t="n">
        <f aca="false">IF(ABS(E10)+E13=0,0,(IS_EBITDA-CD_Maint_Capex)/(E13+ABS(E10)))</f>
        <v>1.57075586042553</v>
      </c>
      <c r="F15" s="39" t="n">
        <f aca="false">IF(ABS(F10)+F13=0,0,(IS_EBITDA-CD_Maint_Capex)/(F13+ABS(F10)))</f>
        <v>1.81056612758242</v>
      </c>
      <c r="G15" s="39" t="n">
        <f aca="false">IF(ABS(G10)+G13=0,0,(IS_EBITDA-CD_Maint_Capex)/(G13+ABS(G10)))</f>
        <v>2.07554517214953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4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5"/>
    <col collapsed="false" customWidth="true" hidden="false" outlineLevel="0" max="7" min="3" style="0" width="15"/>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184</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22</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1" t="s">
        <v>53</v>
      </c>
      <c r="C5" s="29" t="n">
        <f aca="false">Start_Year+0</f>
        <v>2025</v>
      </c>
      <c r="D5" s="29" t="n">
        <f aca="false">Start_Year+1</f>
        <v>2026</v>
      </c>
      <c r="E5" s="29" t="n">
        <f aca="false">Start_Year+2</f>
        <v>2027</v>
      </c>
      <c r="F5" s="29" t="n">
        <f aca="false">Start_Year+3</f>
        <v>2028</v>
      </c>
      <c r="G5" s="29" t="n">
        <f aca="false">Start_Year+4</f>
        <v>2029</v>
      </c>
    </row>
    <row r="6" customFormat="false" ht="15" hidden="false" customHeight="false" outlineLevel="0" collapsed="false">
      <c r="A6" s="6"/>
      <c r="B6" s="6"/>
      <c r="C6" s="6"/>
      <c r="D6" s="6"/>
      <c r="E6" s="6"/>
      <c r="F6" s="6"/>
      <c r="G6" s="6"/>
    </row>
    <row r="7" customFormat="false" ht="15" hidden="false" customHeight="false" outlineLevel="0" collapsed="false">
      <c r="A7" s="6"/>
      <c r="B7" s="23" t="s">
        <v>11</v>
      </c>
      <c r="C7" s="24"/>
      <c r="D7" s="24"/>
      <c r="E7" s="24"/>
      <c r="F7" s="24"/>
      <c r="G7" s="24"/>
    </row>
    <row r="8" customFormat="false" ht="15" hidden="false" customHeight="false" outlineLevel="0" collapsed="false">
      <c r="A8" s="6"/>
      <c r="B8" s="31" t="s">
        <v>147</v>
      </c>
      <c r="C8" s="35" t="n">
        <f aca="false">REV_Net_Tuition</f>
        <v>8002800</v>
      </c>
      <c r="D8" s="35" t="n">
        <f aca="false">REV_Net_Tuition</f>
        <v>9389952</v>
      </c>
      <c r="E8" s="35" t="n">
        <f aca="false">REV_Net_Tuition</f>
        <v>10727308.8</v>
      </c>
      <c r="F8" s="35" t="n">
        <f aca="false">REV_Net_Tuition</f>
        <v>12021984</v>
      </c>
      <c r="G8" s="35" t="n">
        <f aca="false">REV_Net_Tuition</f>
        <v>13283042.033664</v>
      </c>
    </row>
    <row r="9" customFormat="false" ht="15" hidden="false" customHeight="false" outlineLevel="0" collapsed="false">
      <c r="A9" s="6"/>
      <c r="B9" s="31" t="s">
        <v>148</v>
      </c>
      <c r="C9" s="35" t="n">
        <f aca="false">REV_Enrolment_Fees</f>
        <v>240000</v>
      </c>
      <c r="D9" s="35" t="n">
        <f aca="false">REV_Enrolment_Fees</f>
        <v>240000</v>
      </c>
      <c r="E9" s="35" t="n">
        <f aca="false">REV_Enrolment_Fees</f>
        <v>240000</v>
      </c>
      <c r="F9" s="35" t="n">
        <f aca="false">REV_Enrolment_Fees</f>
        <v>240000</v>
      </c>
      <c r="G9" s="35" t="n">
        <f aca="false">REV_Enrolment_Fees</f>
        <v>240000</v>
      </c>
    </row>
    <row r="10" customFormat="false" ht="15" hidden="false" customHeight="false" outlineLevel="0" collapsed="false">
      <c r="A10" s="6"/>
      <c r="B10" s="31" t="s">
        <v>150</v>
      </c>
      <c r="C10" s="35" t="n">
        <f aca="false">REV_Ancillary</f>
        <v>702000</v>
      </c>
      <c r="D10" s="35" t="n">
        <f aca="false">REV_Ancillary</f>
        <v>815760</v>
      </c>
      <c r="E10" s="35" t="n">
        <f aca="false">REV_Ancillary</f>
        <v>922983</v>
      </c>
      <c r="F10" s="35" t="n">
        <f aca="false">REV_Ancillary</f>
        <v>1024431.5625</v>
      </c>
      <c r="G10" s="35" t="n">
        <f aca="false">REV_Ancillary</f>
        <v>1121006.77476</v>
      </c>
    </row>
    <row r="11" customFormat="false" ht="15" hidden="false" customHeight="false" outlineLevel="0" collapsed="false">
      <c r="A11" s="6"/>
      <c r="B11" s="32" t="s">
        <v>163</v>
      </c>
      <c r="C11" s="36" t="n">
        <f aca="false">REV_Total</f>
        <v>8944800</v>
      </c>
      <c r="D11" s="36" t="n">
        <f aca="false">REV_Total</f>
        <v>10445712</v>
      </c>
      <c r="E11" s="36" t="n">
        <f aca="false">REV_Total</f>
        <v>11890291.8</v>
      </c>
      <c r="F11" s="36" t="n">
        <f aca="false">REV_Total</f>
        <v>13286415.5625</v>
      </c>
      <c r="G11" s="36" t="n">
        <f aca="false">REV_Total</f>
        <v>14644048.808424</v>
      </c>
    </row>
    <row r="12" customFormat="false" ht="15" hidden="false" customHeight="false" outlineLevel="0" collapsed="false">
      <c r="A12" s="6"/>
      <c r="B12" s="6"/>
      <c r="C12" s="6"/>
      <c r="D12" s="6"/>
      <c r="E12" s="6"/>
      <c r="F12" s="6"/>
      <c r="G12" s="6"/>
    </row>
    <row r="13" customFormat="false" ht="15" hidden="false" customHeight="false" outlineLevel="0" collapsed="false">
      <c r="A13" s="6"/>
      <c r="B13" s="23" t="s">
        <v>185</v>
      </c>
      <c r="C13" s="24"/>
      <c r="D13" s="24"/>
      <c r="E13" s="24"/>
      <c r="F13" s="24"/>
      <c r="G13" s="24"/>
    </row>
    <row r="14" customFormat="false" ht="15" hidden="false" customHeight="false" outlineLevel="0" collapsed="false">
      <c r="A14" s="6"/>
      <c r="B14" s="31" t="s">
        <v>157</v>
      </c>
      <c r="C14" s="35" t="n">
        <f aca="false">-SC_Teaching</f>
        <v>-2535000</v>
      </c>
      <c r="D14" s="35" t="n">
        <f aca="false">-SC_Teaching</f>
        <v>-2960100</v>
      </c>
      <c r="E14" s="35" t="n">
        <f aca="false">-SC_Teaching</f>
        <v>-3411851.625</v>
      </c>
      <c r="F14" s="35" t="n">
        <f aca="false">-SC_Teaching</f>
        <v>-3819533.079375</v>
      </c>
      <c r="G14" s="35" t="n">
        <f aca="false">-SC_Teaching</f>
        <v>-4176983.722275</v>
      </c>
    </row>
    <row r="15" customFormat="false" ht="15" hidden="false" customHeight="false" outlineLevel="0" collapsed="false">
      <c r="A15" s="6"/>
      <c r="B15" s="31" t="s">
        <v>88</v>
      </c>
      <c r="C15" s="35" t="n">
        <f aca="false">-SC_Admin</f>
        <v>-1341720</v>
      </c>
      <c r="D15" s="35" t="n">
        <f aca="false">-SC_Admin</f>
        <v>-1566856.8</v>
      </c>
      <c r="E15" s="35" t="n">
        <f aca="false">-SC_Admin</f>
        <v>-1783543.77</v>
      </c>
      <c r="F15" s="35" t="n">
        <f aca="false">-SC_Admin</f>
        <v>-1992962.334375</v>
      </c>
      <c r="G15" s="35" t="n">
        <f aca="false">-SC_Admin</f>
        <v>-2196607.3212636</v>
      </c>
    </row>
    <row r="16" customFormat="false" ht="15" hidden="false" customHeight="false" outlineLevel="0" collapsed="false">
      <c r="A16" s="6"/>
      <c r="B16" s="32" t="s">
        <v>186</v>
      </c>
      <c r="C16" s="36" t="n">
        <f aca="false">C14+C15</f>
        <v>-3876720</v>
      </c>
      <c r="D16" s="36" t="n">
        <f aca="false">D14+D15</f>
        <v>-4526956.8</v>
      </c>
      <c r="E16" s="36" t="n">
        <f aca="false">E14+E15</f>
        <v>-5195395.395</v>
      </c>
      <c r="F16" s="36" t="n">
        <f aca="false">F14+F15</f>
        <v>-5812495.41375</v>
      </c>
      <c r="G16" s="36" t="n">
        <f aca="false">G14+G15</f>
        <v>-6373591.0435386</v>
      </c>
    </row>
    <row r="17" customFormat="false" ht="15" hidden="false" customHeight="false" outlineLevel="0" collapsed="false">
      <c r="A17" s="6"/>
      <c r="B17" s="6"/>
      <c r="C17" s="6"/>
      <c r="D17" s="6"/>
      <c r="E17" s="6"/>
      <c r="F17" s="6"/>
      <c r="G17" s="6"/>
    </row>
    <row r="18" customFormat="false" ht="15" hidden="false" customHeight="false" outlineLevel="0" collapsed="false">
      <c r="A18" s="6"/>
      <c r="B18" s="32" t="s">
        <v>187</v>
      </c>
      <c r="C18" s="36" t="n">
        <f aca="false">C11+C16</f>
        <v>5068080</v>
      </c>
      <c r="D18" s="36" t="n">
        <f aca="false">D11+D16</f>
        <v>5918755.2</v>
      </c>
      <c r="E18" s="36" t="n">
        <f aca="false">E11+E16</f>
        <v>6694896.405</v>
      </c>
      <c r="F18" s="36" t="n">
        <f aca="false">F11+F16</f>
        <v>7473920.14875</v>
      </c>
      <c r="G18" s="36" t="n">
        <f aca="false">G11+G16</f>
        <v>8270457.7648854</v>
      </c>
    </row>
    <row r="19" customFormat="false" ht="15" hidden="false" customHeight="false" outlineLevel="0" collapsed="false">
      <c r="A19" s="6"/>
      <c r="B19" s="25" t="s">
        <v>188</v>
      </c>
      <c r="C19" s="40" t="n">
        <f aca="false">IF(C11=0,0,C18/C11)</f>
        <v>0.566595116715857</v>
      </c>
      <c r="D19" s="40" t="n">
        <f aca="false">IF(D11=0,0,D18/D11)</f>
        <v>0.566620561623755</v>
      </c>
      <c r="E19" s="40" t="n">
        <f aca="false">IF(E11=0,0,E18/E11)</f>
        <v>0.563055685899988</v>
      </c>
      <c r="F19" s="40" t="n">
        <f aca="false">IF(F11=0,0,F18/F11)</f>
        <v>0.562523437084463</v>
      </c>
      <c r="G19" s="40" t="n">
        <f aca="false">IF(G11=0,0,G18/G11)</f>
        <v>0.564765788005829</v>
      </c>
    </row>
    <row r="20" customFormat="false" ht="15" hidden="false" customHeight="false" outlineLevel="0" collapsed="false">
      <c r="A20" s="6"/>
      <c r="B20" s="6"/>
      <c r="C20" s="6"/>
      <c r="D20" s="6"/>
      <c r="E20" s="6"/>
      <c r="F20" s="6"/>
      <c r="G20" s="6"/>
    </row>
    <row r="21" customFormat="false" ht="15" hidden="false" customHeight="false" outlineLevel="0" collapsed="false">
      <c r="A21" s="6"/>
      <c r="B21" s="23" t="s">
        <v>87</v>
      </c>
      <c r="C21" s="24"/>
      <c r="D21" s="24"/>
      <c r="E21" s="24"/>
      <c r="F21" s="24"/>
      <c r="G21" s="24"/>
    </row>
    <row r="22" customFormat="false" ht="15" hidden="false" customHeight="false" outlineLevel="0" collapsed="false">
      <c r="A22" s="6"/>
      <c r="B22" s="31" t="s">
        <v>91</v>
      </c>
      <c r="C22" s="35" t="n">
        <f aca="false">-OX_Facilities</f>
        <v>-715584</v>
      </c>
      <c r="D22" s="35" t="n">
        <f aca="false">-OX_Facilities</f>
        <v>-835656.96</v>
      </c>
      <c r="E22" s="35" t="n">
        <f aca="false">-OX_Facilities</f>
        <v>-951223.344</v>
      </c>
      <c r="F22" s="35" t="n">
        <f aca="false">-OX_Facilities</f>
        <v>-1062913.245</v>
      </c>
      <c r="G22" s="35" t="n">
        <f aca="false">-OX_Facilities</f>
        <v>-1171523.90467392</v>
      </c>
    </row>
    <row r="23" customFormat="false" ht="15" hidden="false" customHeight="false" outlineLevel="0" collapsed="false">
      <c r="A23" s="6"/>
      <c r="B23" s="31" t="s">
        <v>93</v>
      </c>
      <c r="C23" s="35" t="n">
        <f aca="false">-OX_Marketing</f>
        <v>-447240</v>
      </c>
      <c r="D23" s="35" t="n">
        <f aca="false">-OX_Marketing</f>
        <v>-522285.6</v>
      </c>
      <c r="E23" s="35" t="n">
        <f aca="false">-OX_Marketing</f>
        <v>-594514.59</v>
      </c>
      <c r="F23" s="35" t="n">
        <f aca="false">-OX_Marketing</f>
        <v>-664320.778125</v>
      </c>
      <c r="G23" s="35" t="n">
        <f aca="false">-OX_Marketing</f>
        <v>-732202.4404212</v>
      </c>
    </row>
    <row r="24" customFormat="false" ht="15" hidden="false" customHeight="false" outlineLevel="0" collapsed="false">
      <c r="A24" s="6"/>
      <c r="B24" s="31" t="s">
        <v>95</v>
      </c>
      <c r="C24" s="35" t="n">
        <f aca="false">-OX_Insurance</f>
        <v>-134172</v>
      </c>
      <c r="D24" s="35" t="n">
        <f aca="false">-OX_Insurance</f>
        <v>-156685.68</v>
      </c>
      <c r="E24" s="35" t="n">
        <f aca="false">-OX_Insurance</f>
        <v>-178354.377</v>
      </c>
      <c r="F24" s="35" t="n">
        <f aca="false">-OX_Insurance</f>
        <v>-199296.2334375</v>
      </c>
      <c r="G24" s="35" t="n">
        <f aca="false">-OX_Insurance</f>
        <v>-219660.73212636</v>
      </c>
    </row>
    <row r="25" customFormat="false" ht="15" hidden="false" customHeight="false" outlineLevel="0" collapsed="false">
      <c r="A25" s="6"/>
      <c r="B25" s="32" t="s">
        <v>189</v>
      </c>
      <c r="C25" s="36" t="n">
        <f aca="false">C22+C23+C24</f>
        <v>-1296996</v>
      </c>
      <c r="D25" s="36" t="n">
        <f aca="false">D22+D23+D24</f>
        <v>-1514628.24</v>
      </c>
      <c r="E25" s="36" t="n">
        <f aca="false">E22+E23+E24</f>
        <v>-1724092.311</v>
      </c>
      <c r="F25" s="36" t="n">
        <f aca="false">F22+F23+F24</f>
        <v>-1926530.2565625</v>
      </c>
      <c r="G25" s="36" t="n">
        <f aca="false">G22+G23+G24</f>
        <v>-2123387.07722148</v>
      </c>
    </row>
    <row r="26" customFormat="false" ht="15" hidden="false" customHeight="false" outlineLevel="0" collapsed="false">
      <c r="A26" s="6"/>
      <c r="B26" s="6"/>
      <c r="C26" s="6"/>
      <c r="D26" s="6"/>
      <c r="E26" s="6"/>
      <c r="F26" s="6"/>
      <c r="G26" s="6"/>
    </row>
    <row r="27" customFormat="false" ht="15" hidden="false" customHeight="false" outlineLevel="0" collapsed="false">
      <c r="A27" s="6"/>
      <c r="B27" s="32" t="s">
        <v>190</v>
      </c>
      <c r="C27" s="36" t="n">
        <f aca="false">C18+C25</f>
        <v>3771084</v>
      </c>
      <c r="D27" s="36" t="n">
        <f aca="false">D18+D25</f>
        <v>4404126.96</v>
      </c>
      <c r="E27" s="36" t="n">
        <f aca="false">E18+E25</f>
        <v>4970804.094</v>
      </c>
      <c r="F27" s="36" t="n">
        <f aca="false">F18+F25</f>
        <v>5547389.8921875</v>
      </c>
      <c r="G27" s="36" t="n">
        <f aca="false">G18+G25</f>
        <v>6147070.68766392</v>
      </c>
    </row>
    <row r="28" customFormat="false" ht="15" hidden="false" customHeight="false" outlineLevel="0" collapsed="false">
      <c r="A28" s="6"/>
      <c r="B28" s="25" t="s">
        <v>191</v>
      </c>
      <c r="C28" s="40" t="n">
        <f aca="false">IF(C11=0,0,C27/C11)</f>
        <v>0.421595116715857</v>
      </c>
      <c r="D28" s="40" t="n">
        <f aca="false">IF(D11=0,0,D27/D11)</f>
        <v>0.421620561623755</v>
      </c>
      <c r="E28" s="40" t="n">
        <f aca="false">IF(E11=0,0,E27/E11)</f>
        <v>0.418055685899988</v>
      </c>
      <c r="F28" s="40" t="n">
        <f aca="false">IF(F11=0,0,F27/F11)</f>
        <v>0.417523437084463</v>
      </c>
      <c r="G28" s="40" t="n">
        <f aca="false">IF(G11=0,0,G27/G11)</f>
        <v>0.419765788005829</v>
      </c>
    </row>
    <row r="29" customFormat="false" ht="15" hidden="false" customHeight="false" outlineLevel="0" collapsed="false">
      <c r="A29" s="6"/>
      <c r="B29" s="6"/>
      <c r="C29" s="6"/>
      <c r="D29" s="6"/>
      <c r="E29" s="6"/>
      <c r="F29" s="6"/>
      <c r="G29" s="6"/>
    </row>
    <row r="30" customFormat="false" ht="15" hidden="false" customHeight="false" outlineLevel="0" collapsed="false">
      <c r="A30" s="6"/>
      <c r="B30" s="31" t="s">
        <v>192</v>
      </c>
      <c r="C30" s="35" t="n">
        <f aca="false">-CD_Total_Depr</f>
        <v>-1026834.4</v>
      </c>
      <c r="D30" s="35" t="n">
        <f aca="false">-CD_Total_Depr</f>
        <v>-1058171.536</v>
      </c>
      <c r="E30" s="35" t="n">
        <f aca="false">-CD_Total_Depr</f>
        <v>-1093842.4114</v>
      </c>
      <c r="F30" s="35" t="n">
        <f aca="false">-CD_Total_Depr</f>
        <v>-1133701.6580875</v>
      </c>
      <c r="G30" s="35" t="n">
        <f aca="false">-CD_Total_Depr</f>
        <v>-1177633.80451277</v>
      </c>
    </row>
    <row r="31" customFormat="false" ht="15" hidden="false" customHeight="false" outlineLevel="0" collapsed="false">
      <c r="A31" s="6"/>
      <c r="B31" s="32" t="s">
        <v>193</v>
      </c>
      <c r="C31" s="36" t="n">
        <f aca="false">C27+C30</f>
        <v>2744249.6</v>
      </c>
      <c r="D31" s="36" t="n">
        <f aca="false">D27+D30</f>
        <v>3345955.424</v>
      </c>
      <c r="E31" s="36" t="n">
        <f aca="false">E27+E30</f>
        <v>3876961.6826</v>
      </c>
      <c r="F31" s="36" t="n">
        <f aca="false">F27+F30</f>
        <v>4413688.2341</v>
      </c>
      <c r="G31" s="36" t="n">
        <f aca="false">G27+G30</f>
        <v>4969436.88315115</v>
      </c>
    </row>
    <row r="32" customFormat="false" ht="15" hidden="false" customHeight="false" outlineLevel="0" collapsed="false">
      <c r="A32" s="6"/>
      <c r="B32" s="6"/>
      <c r="C32" s="6"/>
      <c r="D32" s="6"/>
      <c r="E32" s="6"/>
      <c r="F32" s="6"/>
      <c r="G32" s="6"/>
    </row>
    <row r="33" customFormat="false" ht="15" hidden="false" customHeight="false" outlineLevel="0" collapsed="false">
      <c r="A33" s="6"/>
      <c r="B33" s="31" t="s">
        <v>181</v>
      </c>
      <c r="C33" s="35" t="n">
        <f aca="false">-DS_Interest</f>
        <v>-1875000</v>
      </c>
      <c r="D33" s="35" t="n">
        <f aca="false">-DS_Interest</f>
        <v>-1781250</v>
      </c>
      <c r="E33" s="35" t="n">
        <f aca="false">-DS_Interest</f>
        <v>-1687500</v>
      </c>
      <c r="F33" s="35" t="n">
        <f aca="false">-DS_Interest</f>
        <v>-1593750</v>
      </c>
      <c r="G33" s="35" t="n">
        <f aca="false">-DS_Interest</f>
        <v>-1500000</v>
      </c>
    </row>
    <row r="34" customFormat="false" ht="15" hidden="false" customHeight="false" outlineLevel="0" collapsed="false">
      <c r="A34" s="6"/>
      <c r="B34" s="6"/>
      <c r="C34" s="6"/>
      <c r="D34" s="6"/>
      <c r="E34" s="6"/>
      <c r="F34" s="6"/>
      <c r="G34" s="6"/>
    </row>
    <row r="35" customFormat="false" ht="15" hidden="false" customHeight="false" outlineLevel="0" collapsed="false">
      <c r="A35" s="6"/>
      <c r="B35" s="32" t="s">
        <v>194</v>
      </c>
      <c r="C35" s="35" t="n">
        <f aca="false">C31+C33</f>
        <v>869249.6</v>
      </c>
      <c r="D35" s="35" t="n">
        <f aca="false">D31+D33</f>
        <v>1564705.424</v>
      </c>
      <c r="E35" s="35" t="n">
        <f aca="false">E31+E33</f>
        <v>2189461.6826</v>
      </c>
      <c r="F35" s="35" t="n">
        <f aca="false">F31+F33</f>
        <v>2819938.2341</v>
      </c>
      <c r="G35" s="35" t="n">
        <f aca="false">G31+G33</f>
        <v>3469436.88315115</v>
      </c>
    </row>
    <row r="36" customFormat="false" ht="15" hidden="false" customHeight="false" outlineLevel="0" collapsed="false">
      <c r="A36" s="6"/>
      <c r="B36" s="31" t="s">
        <v>195</v>
      </c>
      <c r="C36" s="35" t="n">
        <f aca="false">-MAX(0,C35)*Tax_Rate</f>
        <v>-217312.4</v>
      </c>
      <c r="D36" s="35" t="n">
        <f aca="false">-MAX(0,D35)*Tax_Rate</f>
        <v>-391176.356</v>
      </c>
      <c r="E36" s="35" t="n">
        <f aca="false">-MAX(0,E35)*Tax_Rate</f>
        <v>-547365.420650001</v>
      </c>
      <c r="F36" s="35" t="n">
        <f aca="false">-MAX(0,F35)*Tax_Rate</f>
        <v>-704984.558525001</v>
      </c>
      <c r="G36" s="35" t="n">
        <f aca="false">-MAX(0,G35)*Tax_Rate</f>
        <v>-867359.220787788</v>
      </c>
    </row>
    <row r="37" customFormat="false" ht="15" hidden="false" customHeight="false" outlineLevel="0" collapsed="false">
      <c r="A37" s="6"/>
      <c r="B37" s="6"/>
      <c r="C37" s="6"/>
      <c r="D37" s="6"/>
      <c r="E37" s="6"/>
      <c r="F37" s="6"/>
      <c r="G37" s="6"/>
    </row>
    <row r="38" customFormat="false" ht="15" hidden="false" customHeight="false" outlineLevel="0" collapsed="false">
      <c r="A38" s="6"/>
      <c r="B38" s="32" t="s">
        <v>196</v>
      </c>
      <c r="C38" s="37" t="n">
        <f aca="false">C35+C36</f>
        <v>651937.2</v>
      </c>
      <c r="D38" s="37" t="n">
        <f aca="false">D35+D36</f>
        <v>1173529.068</v>
      </c>
      <c r="E38" s="37" t="n">
        <f aca="false">E35+E36</f>
        <v>1642096.26195</v>
      </c>
      <c r="F38" s="37" t="n">
        <f aca="false">F35+F36</f>
        <v>2114953.675575</v>
      </c>
      <c r="G38" s="37" t="n">
        <f aca="false">G35+G36</f>
        <v>2602077.66236336</v>
      </c>
    </row>
    <row r="39" customFormat="false" ht="15" hidden="false" customHeight="false" outlineLevel="0" collapsed="false">
      <c r="A39" s="6"/>
      <c r="B39" s="25" t="s">
        <v>197</v>
      </c>
      <c r="C39" s="40" t="n">
        <f aca="false">IF(C11=0,0,C38/C11)</f>
        <v>0.0728844915481621</v>
      </c>
      <c r="D39" s="40" t="n">
        <f aca="false">IF(D11=0,0,D38/D11)</f>
        <v>0.11234553164016</v>
      </c>
      <c r="E39" s="40" t="n">
        <f aca="false">IF(E11=0,0,E38/E11)</f>
        <v>0.138103949808028</v>
      </c>
      <c r="F39" s="40" t="n">
        <f aca="false">IF(F11=0,0,F38/F11)</f>
        <v>0.159181659314068</v>
      </c>
      <c r="G39" s="40" t="n">
        <f aca="false">IF(G11=0,0,G38/G11)</f>
        <v>0.177688404102185</v>
      </c>
    </row>
    <row r="40" customFormat="false" ht="15" hidden="false" customHeight="false" outlineLevel="0" collapsed="false">
      <c r="A40" s="6"/>
      <c r="B40" s="6"/>
      <c r="C40" s="6"/>
      <c r="D40" s="6"/>
      <c r="E40" s="6"/>
      <c r="F40" s="6"/>
      <c r="G40" s="6"/>
    </row>
    <row r="41" customFormat="false" ht="15" hidden="false" customHeight="false" outlineLevel="0" collapsed="false">
      <c r="A41" s="6"/>
      <c r="B41" s="31" t="s">
        <v>198</v>
      </c>
      <c r="C41" s="35" t="n">
        <f aca="false">-MAX(0,C38)*Dividend_Payout</f>
        <v>-260774.88</v>
      </c>
      <c r="D41" s="35" t="n">
        <f aca="false">-MAX(0,D38)*Dividend_Payout</f>
        <v>-469411.6272</v>
      </c>
      <c r="E41" s="35" t="n">
        <f aca="false">-MAX(0,E38)*Dividend_Payout</f>
        <v>-656838.504780001</v>
      </c>
      <c r="F41" s="35" t="n">
        <f aca="false">-MAX(0,F38)*Dividend_Payout</f>
        <v>-845981.470230001</v>
      </c>
      <c r="G41" s="35" t="n">
        <f aca="false">-MAX(0,G38)*Dividend_Payout</f>
        <v>-1040831.06494535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2026-05-15T18:53:36Z</dcterms:created>
  <dc:creator>openpyxl</dc:creator>
  <dc:description/>
  <dc:language>en-GB</dc:language>
  <cp:lastModifiedBy/>
  <dcterms:modified xsi:type="dcterms:W3CDTF">2026-05-15T18:53:37Z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