
<file path=[Content_Types].xml><?xml version="1.0" encoding="utf-8"?>
<Types xmlns="http://schemas.openxmlformats.org/package/2006/content-types">
  <Default Extension="fntdata" ContentType="application/x-fontdata"/>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7.xml" ContentType="application/vnd.openxmlformats-officedocument.spreadsheetml.worksheet+xml"/>
  <Override PartName="/xl/worksheets/sheet10.xml" ContentType="application/vnd.openxmlformats-officedocument.spreadsheetml.worksheet+xml"/>
  <Override PartName="/xl/worksheets/sheet8.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worksheets/sheet9.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fileVersion appName="Calc" lowestEdited="4"/>
  <workbookPr backupFile="false" showObjects="all" date1904="false"/>
  <workbookProtection/>
  <bookViews>
    <workbookView showHorizontalScroll="true" showVerticalScroll="true" showSheetTabs="true" xWindow="0" yWindow="0" windowWidth="16384" windowHeight="8192" tabRatio="600" firstSheet="0" activeTab="0"/>
  </bookViews>
  <sheets>
    <sheet name="Cover" sheetId="1" state="visible" r:id="rId3"/>
    <sheet name="Assumptions" sheetId="2" state="visible" r:id="rId4"/>
    <sheet name="Disclaimer" sheetId="3" state="visible" r:id="rId5"/>
    <sheet name="Construction" sheetId="4" state="visible" r:id="rId6"/>
    <sheet name="Revenue" sheetId="5" state="visible" r:id="rId7"/>
    <sheet name="Opex" sheetId="6" state="visible" r:id="rId8"/>
    <sheet name="Debt_Schedule" sheetId="7" state="visible" r:id="rId9"/>
    <sheet name="Waterfall" sheetId="8" state="visible" r:id="rId10"/>
    <sheet name="Returns" sheetId="9" state="visible" r:id="rId11"/>
    <sheet name="Checks" sheetId="10" state="visible" r:id="rId12"/>
  </sheets>
  <definedNames>
    <definedName function="false" hidden="false" name="AADT_Heavy" vbProcedure="false">Assumptions!$C$16</definedName>
    <definedName function="false" hidden="false" name="AADT_Light" vbProcedure="false">Assumptions!$C$15</definedName>
    <definedName function="false" hidden="false" name="Base_Rate" vbProcedure="false">Assumptions!$C$41</definedName>
    <definedName function="false" hidden="false" name="Base_Year" vbProcedure="false">Assumptions!$C$6</definedName>
    <definedName function="false" hidden="false" name="Collection_Efficiency" vbProcedure="false">Assumptions!$C$25</definedName>
    <definedName function="false" hidden="false" name="Commitment_Fee" vbProcedure="false">Assumptions!$C$46</definedName>
    <definedName function="false" hidden="false" name="Concession_Years" vbProcedure="false">Assumptions!$C$8</definedName>
    <definedName function="false" hidden="false" name="Construction_Years" vbProcedure="false">Assumptions!$C$7</definedName>
    <definedName function="false" hidden="false" name="Contingency_Pct" vbProcedure="false">Assumptions!$C$30</definedName>
    <definedName function="false" hidden="false" name="Con_Check" vbProcedure="false">Construction!$C$24:$AA$24</definedName>
    <definedName function="false" hidden="false" name="Con_Equity" vbProcedure="false">Construction!$C$21:$AA$21</definedName>
    <definedName function="false" hidden="false" name="Con_IDC" vbProcedure="false">Construction!$C$15:$AA$15</definedName>
    <definedName function="false" hidden="false" name="Con_Senior_Debt" vbProcedure="false">Construction!$C$20:$AA$20</definedName>
    <definedName function="false" hidden="false" name="Con_Total_Hard" vbProcedure="false">Construction!$C$12:$AA$12</definedName>
    <definedName function="false" hidden="false" name="Con_Total_Project" vbProcedure="false">Construction!$C$17:$AA$17</definedName>
    <definedName function="false" hidden="false" name="Con_Total_Sources" vbProcedure="false">Construction!$C$22:$AA$22</definedName>
    <definedName function="false" hidden="false" name="CPI_Rate" vbProcedure="false">Assumptions!$C$11</definedName>
    <definedName function="false" hidden="false" name="Debt_Closing" vbProcedure="false">Debt_Schedule!$C$12:$AA$12</definedName>
    <definedName function="false" hidden="false" name="Debt_Drawdown" vbProcedure="false">Debt_Schedule!$C$10:$AA$10</definedName>
    <definedName function="false" hidden="false" name="Debt_DSCR" vbProcedure="false">Debt_Schedule!$C$27:$AA$27</definedName>
    <definedName function="false" hidden="false" name="Debt_DSRA_Movement" vbProcedure="false">Debt_Schedule!$C$23:$AA$23</definedName>
    <definedName function="false" hidden="false" name="Debt_Interest" vbProcedure="false">Debt_Schedule!$C$15:$AA$15</definedName>
    <definedName function="false" hidden="false" name="Debt_Margin" vbProcedure="false">Assumptions!$C$42</definedName>
    <definedName function="false" hidden="false" name="Debt_Opening" vbProcedure="false">Debt_Schedule!$C$9:$AA$9</definedName>
    <definedName function="false" hidden="false" name="Debt_Repayment" vbProcedure="false">Debt_Schedule!$C$11:$AA$11</definedName>
    <definedName function="false" hidden="false" name="Debt_Tenor" vbProcedure="false">Assumptions!$C$10</definedName>
    <definedName function="false" hidden="false" name="Debt_Total_DS" vbProcedure="false">Debt_Schedule!$C$18:$AA$18</definedName>
    <definedName function="false" hidden="false" name="Dev_Costs" vbProcedure="false">Assumptions!$C$29</definedName>
    <definedName function="false" hidden="false" name="DSRA_Months" vbProcedure="false">Assumptions!$C$45</definedName>
    <definedName function="false" hidden="false" name="EPC_Cost" vbProcedure="false">Assumptions!$C$28</definedName>
    <definedName function="false" hidden="false" name="Equity_Discount" vbProcedure="false">Assumptions!$C$49</definedName>
    <definedName function="false" hidden="false" name="Gearing" vbProcedure="false">Assumptions!$C$40</definedName>
    <definedName function="false" hidden="false" name="Heavy_Multiplier" vbProcedure="false">Assumptions!$C$24</definedName>
    <definedName function="false" hidden="false" name="Lifecycle_Pct" vbProcedure="false">Assumptions!$C$37</definedName>
    <definedName function="false" hidden="false" name="Light_Toll" vbProcedure="false">Assumptions!$C$23</definedName>
    <definedName function="false" hidden="false" name="Lockup_DSCR" vbProcedure="false">Assumptions!$C$44</definedName>
    <definedName function="false" hidden="false" name="OM_Per_Km" vbProcedure="false">Assumptions!$C$34</definedName>
    <definedName function="false" hidden="false" name="Operations_Years" vbProcedure="false">Assumptions!$C$9</definedName>
    <definedName function="false" hidden="false" name="Ox_Depreciation" vbProcedure="false">Opex!$C$24:$AA$24</definedName>
    <definedName function="false" hidden="false" name="Ox_EBITDA" vbProcedure="false">Opex!$C$16:$AA$16</definedName>
    <definedName function="false" hidden="false" name="Ox_Lifecycle" vbProcedure="false">Opex!$C$20:$AA$20</definedName>
    <definedName function="false" hidden="false" name="Ox_Tax" vbProcedure="false">Opex!$C$29:$AA$29</definedName>
    <definedName function="false" hidden="false" name="Ox_Total_Opex" vbProcedure="false">Opex!$C$12:$AA$12</definedName>
    <definedName function="false" hidden="false" name="Ramp_Y1" vbProcedure="false">Assumptions!$C$18</definedName>
    <definedName function="false" hidden="false" name="Ramp_Y2" vbProcedure="false">Assumptions!$C$19</definedName>
    <definedName function="false" hidden="false" name="Ramp_Y3" vbProcedure="false">Assumptions!$C$20</definedName>
    <definedName function="false" hidden="false" name="Rev_Gross" vbProcedure="false">Revenue!$C$24:$AA$24</definedName>
    <definedName function="false" hidden="false" name="Rev_Net" vbProcedure="false">Revenue!$C$26:$AA$26</definedName>
    <definedName function="false" hidden="false" name="Rev_Ops_Flag" vbProcedure="false">Revenue!$C$7:$AA$7</definedName>
    <definedName function="false" hidden="false" name="Rev_Traffic_Total" vbProcedure="false">Revenue!$C$15:$AA$15</definedName>
    <definedName function="false" hidden="false" name="Road_Length_Km" vbProcedure="false">Assumptions!$C$33</definedName>
    <definedName function="false" hidden="false" name="R_Equity_IRR" vbProcedure="false">Returns!$C$22:$AA$22</definedName>
    <definedName function="false" hidden="false" name="R_Project_IRR" vbProcedure="false">Returns!$C$14:$AA$14</definedName>
    <definedName function="false" hidden="false" name="SPV_Cost" vbProcedure="false">Assumptions!$C$36</definedName>
    <definedName function="false" hidden="false" name="Target_DSCR" vbProcedure="false">Assumptions!$C$43</definedName>
    <definedName function="false" hidden="false" name="Tax_Rate" vbProcedure="false">Assumptions!$C$12</definedName>
    <definedName function="false" hidden="false" name="Toll_Coll_Pct" vbProcedure="false">Assumptions!$C$35</definedName>
    <definedName function="false" hidden="false" name="Traffic_Growth" vbProcedure="false">Assumptions!$C$17</definedName>
    <definedName function="false" hidden="false" name="W_CFADS" vbProcedure="false">Waterfall!$C$12:$AA$12</definedName>
    <definedName function="false" hidden="false" name="W_Closing_Cash" vbProcedure="false">Waterfall!$C$30:$AA$30</definedName>
    <definedName function="false" hidden="false" name="W_Distribution" vbProcedure="false">Waterfall!$C$25:$AA$25</definedName>
    <definedName function="false" hidden="false" name="W_Net_CF" vbProcedure="false">Waterfall!$C$29:$AA$29</definedName>
    <definedName function="false" hidden="false" name="W_Total_DS" vbProcedure="false">Waterfall!$C$17:$AA$17</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<sst xmlns="http://schemas.openxmlformats.org/spreadsheetml/2006/main" count="286" uniqueCount="234">
  <si>
    <t xml:space="preserve">Project Finance</t>
  </si>
  <si>
    <t xml:space="preserve">FINAMODEL.com</t>
  </si>
  <si>
    <t xml:space="preserve">Toll Road Concession</t>
  </si>
  <si>
    <t xml:space="preserve">Sculpted Debt Model</t>
  </si>
  <si>
    <t xml:space="preserve">Model Version</t>
  </si>
  <si>
    <t xml:space="preserve">1.0</t>
  </si>
  <si>
    <t xml:space="preserve">Date</t>
  </si>
  <si>
    <t xml:space="preserve">April 2026</t>
  </si>
  <si>
    <t xml:space="preserve">Sheet Index</t>
  </si>
  <si>
    <t xml:space="preserve">Cover</t>
  </si>
  <si>
    <t xml:space="preserve">Title and navigation</t>
  </si>
  <si>
    <t xml:space="preserve">Assumptions</t>
  </si>
  <si>
    <t xml:space="preserve">All model inputs</t>
  </si>
  <si>
    <t xml:space="preserve">Construction</t>
  </si>
  <si>
    <t xml:space="preserve">EPC costs, IDC, Sources &amp; Uses</t>
  </si>
  <si>
    <t xml:space="preserve">Revenue</t>
  </si>
  <si>
    <t xml:space="preserve">Traffic and toll revenue</t>
  </si>
  <si>
    <t xml:space="preserve">Opex</t>
  </si>
  <si>
    <t xml:space="preserve">Operating costs and EBITDA</t>
  </si>
  <si>
    <t xml:space="preserve">Debt_Schedule</t>
  </si>
  <si>
    <t xml:space="preserve">Sculpted repayment and DSRA</t>
  </si>
  <si>
    <t xml:space="preserve">Waterfall</t>
  </si>
  <si>
    <t xml:space="preserve">Cash flow priority of payments</t>
  </si>
  <si>
    <t xml:space="preserve">Returns</t>
  </si>
  <si>
    <t xml:space="preserve">Project and equity IRR, DSCR</t>
  </si>
  <si>
    <t xml:space="preserve">Checks</t>
  </si>
  <si>
    <t xml:space="preserve">Validation checks</t>
  </si>
  <si>
    <t xml:space="preserve">About this model</t>
  </si>
  <si>
    <t xml:space="preserve">Design project debt repayment profiles that maintain target debt service coverage ratios (typically 1.25â1.30x) across changing project cash flows, from construction through mature operations. This template sculpts annual principal repayment as CFADS (cash flow available for debt service) grows, ensuring lenders maintain consistent coverage while equity receives maximum distributions after debt service. The model handles interest-only construction and early operations periods, then transitions to amortising debt during the stable cash generation phase.
The workbook includes a construction phase with capex phasing (S-curve), interest during construction accruals, a revenue model (toll revenue, PPA revenue, or concession availability payments depending on project type), an opex schedule, and a debt schedule sheet that calculates sculpted principal as MAX(0, CFADS/DSCR_Target â Interest_Expense). DSRA (debt service reserve account) is pre-funded at commercial operations date and monitored throughout. The waterfall prioritizes debt service, covenant calculations (DSCR, leverage), and equity lock-up mechanics (when DSCR drops below 1.15x, equity distributions are suspended). Project IRR and equity IRR are calculated from separate cash flow streams, showing leverage amplification.
Target users are project sponsors, infrastructure funds, pension funds, and project finance lenders evaluating greenfield projects, concessions, and infrastructure assets valued at $500M to $5B+.</t>
  </si>
  <si>
    <t xml:space="preserve">About Finamodel</t>
  </si>
  <si>
    <t xml:space="preserve">A free, open library of institutional-quality financial models covering every industry — banking, real estate, energy, SaaS, biotech, infrastructure, and dozens more. Every cell is editable, every formula is transparent, and every template is built to be forked, adapted, and rebuilt for your own use case. MIT-licensed — use them commercially, share them, modify them, no attribution required.</t>
  </si>
  <si>
    <t xml:space="preserve">Thanks for downloading my templates! Feel free to check out other free templates on my site.</t>
  </si>
  <si>
    <t xml:space="preserve">— Alex Tapio, Founder of Finamodel.com</t>
  </si>
  <si>
    <t xml:space="preserve">Model Inputs</t>
  </si>
  <si>
    <t xml:space="preserve">Parameter</t>
  </si>
  <si>
    <t xml:space="preserve">Value</t>
  </si>
  <si>
    <t xml:space="preserve">Unit</t>
  </si>
  <si>
    <t xml:space="preserve">Notes</t>
  </si>
  <si>
    <t xml:space="preserve">Macro Assumptions</t>
  </si>
  <si>
    <t xml:space="preserve">Base Year</t>
  </si>
  <si>
    <t xml:space="preserve">Year</t>
  </si>
  <si>
    <t xml:space="preserve">Year 1 of the model</t>
  </si>
  <si>
    <t xml:space="preserve">Construction Period</t>
  </si>
  <si>
    <t xml:space="preserve">Years</t>
  </si>
  <si>
    <t xml:space="preserve">EPC construction timeline</t>
  </si>
  <si>
    <t xml:space="preserve">Concession Length</t>
  </si>
  <si>
    <t xml:space="preserve">Total concession from Year 1</t>
  </si>
  <si>
    <t xml:space="preserve">Operations Period</t>
  </si>
  <si>
    <t xml:space="preserve">Concession - Construction</t>
  </si>
  <si>
    <t xml:space="preserve">Debt Tenor</t>
  </si>
  <si>
    <t xml:space="preserve">From operations start</t>
  </si>
  <si>
    <t xml:space="preserve">Inflation (CPI)</t>
  </si>
  <si>
    <t xml:space="preserve">%</t>
  </si>
  <si>
    <t xml:space="preserve">Annual escalation rate</t>
  </si>
  <si>
    <t xml:space="preserve">Corporate Tax Rate</t>
  </si>
  <si>
    <t xml:space="preserve">Applied to taxable income</t>
  </si>
  <si>
    <t xml:space="preserve">Traffic Assumptions</t>
  </si>
  <si>
    <t xml:space="preserve">Base AADT (Light)</t>
  </si>
  <si>
    <t xml:space="preserve">Veh/Day</t>
  </si>
  <si>
    <t xml:space="preserve">Stabilised light vehicle traffic</t>
  </si>
  <si>
    <t xml:space="preserve">Base AADT (Heavy)</t>
  </si>
  <si>
    <t xml:space="preserve">Stabilised heavy vehicle traffic</t>
  </si>
  <si>
    <t xml:space="preserve">Traffic Growth Rate</t>
  </si>
  <si>
    <t xml:space="preserve">Annual growth above inflation</t>
  </si>
  <si>
    <t xml:space="preserve">Ramp-Up Year 1</t>
  </si>
  <si>
    <t xml:space="preserve">% of base AADT in first ops year</t>
  </si>
  <si>
    <t xml:space="preserve">Ramp-Up Year 2</t>
  </si>
  <si>
    <t xml:space="preserve">% of base AADT in second ops year</t>
  </si>
  <si>
    <t xml:space="preserve">Ramp-Up Year 3+</t>
  </si>
  <si>
    <t xml:space="preserve">Full stabilised traffic</t>
  </si>
  <si>
    <t xml:space="preserve">Toll Assumptions</t>
  </si>
  <si>
    <t xml:space="preserve">Light Vehicle Toll</t>
  </si>
  <si>
    <t xml:space="preserve">$</t>
  </si>
  <si>
    <t xml:space="preserve">Base toll rate (Year 1 ops)</t>
  </si>
  <si>
    <t xml:space="preserve">Heavy Vehicle Multiplier</t>
  </si>
  <si>
    <t xml:space="preserve">x</t>
  </si>
  <si>
    <t xml:space="preserve">Heavy toll = Light x Multiplier</t>
  </si>
  <si>
    <t xml:space="preserve">Collection Efficiency</t>
  </si>
  <si>
    <t xml:space="preserve">4% leakage/bad debt</t>
  </si>
  <si>
    <t xml:space="preserve">Construction Costs</t>
  </si>
  <si>
    <t xml:space="preserve">EPC Contract Cost</t>
  </si>
  <si>
    <t xml:space="preserve">Total engineering &amp; construction</t>
  </si>
  <si>
    <t xml:space="preserve">Development Costs</t>
  </si>
  <si>
    <t xml:space="preserve">Design, legal, advisory</t>
  </si>
  <si>
    <t xml:space="preserve">Contingency</t>
  </si>
  <si>
    <t xml:space="preserve">% of EPC cost</t>
  </si>
  <si>
    <t xml:space="preserve">Operating Costs</t>
  </si>
  <si>
    <t xml:space="preserve">Road Length</t>
  </si>
  <si>
    <t xml:space="preserve">km</t>
  </si>
  <si>
    <t xml:space="preserve">Toll road length for O&amp;M scaling</t>
  </si>
  <si>
    <t xml:space="preserve">Routine O&amp;M per km</t>
  </si>
  <si>
    <t xml:space="preserve">$/km/yr</t>
  </si>
  <si>
    <t xml:space="preserve">Maintenance, incident response</t>
  </si>
  <si>
    <t xml:space="preserve">Toll Collection Cost</t>
  </si>
  <si>
    <t xml:space="preserve">% of gross revenue</t>
  </si>
  <si>
    <t xml:space="preserve">SPV Management</t>
  </si>
  <si>
    <t xml:space="preserve">$/year</t>
  </si>
  <si>
    <t xml:space="preserve">Fixed annual management cost</t>
  </si>
  <si>
    <t xml:space="preserve">Lifecycle Capex</t>
  </si>
  <si>
    <t xml:space="preserve">% of revenue for resurfacing</t>
  </si>
  <si>
    <t xml:space="preserve">Financing</t>
  </si>
  <si>
    <t xml:space="preserve">Gearing (Debt/Capital)</t>
  </si>
  <si>
    <t xml:space="preserve">Standard PF leverage</t>
  </si>
  <si>
    <t xml:space="preserve">Base Interest Rate</t>
  </si>
  <si>
    <t xml:space="preserve">Long-term swap rate</t>
  </si>
  <si>
    <t xml:space="preserve">Debt Margin</t>
  </si>
  <si>
    <t xml:space="preserve">Spread over base rate</t>
  </si>
  <si>
    <t xml:space="preserve">Target DSCR</t>
  </si>
  <si>
    <t xml:space="preserve">Sculpting target for lenders</t>
  </si>
  <si>
    <t xml:space="preserve">Lock-Up DSCR</t>
  </si>
  <si>
    <t xml:space="preserve">No distributions below this</t>
  </si>
  <si>
    <t xml:space="preserve">DSRA Coverage</t>
  </si>
  <si>
    <t xml:space="preserve">Months</t>
  </si>
  <si>
    <t xml:space="preserve">Months of debt service</t>
  </si>
  <si>
    <t xml:space="preserve">Commitment Fee</t>
  </si>
  <si>
    <t xml:space="preserve">On undrawn facility</t>
  </si>
  <si>
    <t xml:space="preserve">Equity Discount Rate</t>
  </si>
  <si>
    <t xml:space="preserve">Hurdle rate for NPV</t>
  </si>
  <si>
    <t xml:space="preserve">Disclaimer, Copyright &amp; License</t>
  </si>
  <si>
    <t xml:space="preserve">Disclaimer</t>
  </si>
  <si>
    <t xml:space="preserve">This financial model ("the Model") is provided by Finamodel for illustrative and educational purposes only. It is a template — not a finished analysis, valuation, recommendation, or solicitation to buy, sell, or hold any security, asset, or financial instrument.</t>
  </si>
  <si>
    <t xml:space="preserve">No investment advice</t>
  </si>
  <si>
    <t xml:space="preserve">Nothing in the Model constitutes investment, legal, tax, accounting, or other professional advice. You should consult qualified advisors before making any financial decision. Outputs depend entirely on user-supplied assumptions; small changes to inputs can produce materially different results.</t>
  </si>
  <si>
    <t xml:space="preserve">No warranty</t>
  </si>
  <si>
    <t xml:space="preserve">The Model is provided "AS IS," without warranty of any kind, express or implied, including but not limited to warranties of merchantability, fitness for a particular purpose, accuracy, completeness, or non-infringement. Formulas, methodologies, and benchmarks may contain errors, omissions, or simplifications. Users are solely responsible for verifying every calculation before relying on it.</t>
  </si>
  <si>
    <t xml:space="preserve">Limitation of liability</t>
  </si>
  <si>
    <t xml:space="preserve">To the maximum extent permitted by law, Finamodel and its contributors shall not be liable for any direct, indirect, incidental, consequential, special, or exemplary damages — including lost profits, lost opportunities, or investment losses — arising from use of, or inability to use, the Model.</t>
  </si>
  <si>
    <t xml:space="preserve">Forward-looking statements</t>
  </si>
  <si>
    <t xml:space="preserve">Any projections, forecasts, or scenarios are hypothetical, based on assumptions that may not materialize, and do not represent guaranteed outcomes.</t>
  </si>
  <si>
    <t xml:space="preserve">Third-party data</t>
  </si>
  <si>
    <t xml:space="preserve">Where the Model references market data, comparables, or macro indicators, such data is sourced from third parties believed to be reliable but is not independently verified.</t>
  </si>
  <si>
    <t xml:space="preserve">Copyright © 2026 Finamodel. All rights reserved.</t>
  </si>
  <si>
    <t xml:space="preserve">License — MIT</t>
  </si>
  <si>
    <t xml:space="preserve">Permission is hereby granted, free of charge, to any person obtaining a copy of this Model and associated documentation files (the "Software"), to deal in the Software without restriction, including without limitation the rights to use, copy, modify, merge, publish, distribute, sublicense, and/or sell copies of the Software, and to permit persons to whom the Software is furnished to do so, subject to the following conditions:
The above copyright notice and this permission notice shall be included in all copies or substantial portions of the Software.
THE SOFTWARE IS PROVIDED "AS IS", WITHOUT WARRANTY OF ANY KIND, EXPRESS OR IMPLIED, INCLUDING BUT NOT LIMITED TO THE WARRANTIES OF MERCHANTABILITY, FITNESS FOR A PARTICULAR PURPOSE AND NONINFRINGEMENT. IN NO EVENT SHALL THE AUTHORS OR COPYRIGHT HOLDERS BE LIABLE FOR ANY CLAIM, DAMAGES OR OTHER LIABILITY, WHETHER IN AN ACTION OF CONTRACT, TORT OR OTHERWISE, ARISING FROM, OUT OF OR IN CONNECTION WITH THE SOFTWARE OR THE USE OR OTHER DEALINGS IN THE SOFTWARE.</t>
  </si>
  <si>
    <t xml:space="preserve">Finamodel — github.com/alextapio/finamodel</t>
  </si>
  <si>
    <t xml:space="preserve">Sources &amp; Uses</t>
  </si>
  <si>
    <t xml:space="preserve">EPC Costs</t>
  </si>
  <si>
    <t xml:space="preserve">TOTAL HARD COSTS</t>
  </si>
  <si>
    <t xml:space="preserve">Interest During Construction</t>
  </si>
  <si>
    <t xml:space="preserve">IDC</t>
  </si>
  <si>
    <t xml:space="preserve">TOTAL PROJECT COST</t>
  </si>
  <si>
    <t xml:space="preserve">Sources of Funds</t>
  </si>
  <si>
    <t xml:space="preserve">Senior Debt Drawdown</t>
  </si>
  <si>
    <t xml:space="preserve">Equity Injection</t>
  </si>
  <si>
    <t xml:space="preserve">TOTAL SOURCES</t>
  </si>
  <si>
    <t xml:space="preserve">Sources - Uses Check</t>
  </si>
  <si>
    <t xml:space="preserve">Traffic &amp; Tolls</t>
  </si>
  <si>
    <t xml:space="preserve">Operations Flag</t>
  </si>
  <si>
    <t xml:space="preserve">Traffic</t>
  </si>
  <si>
    <t xml:space="preserve">AADT Light (Base)</t>
  </si>
  <si>
    <t xml:space="preserve">AADT Heavy (Base)</t>
  </si>
  <si>
    <t xml:space="preserve">Ramp-Up Factor</t>
  </si>
  <si>
    <t xml:space="preserve">Annual Light Traffic</t>
  </si>
  <si>
    <t xml:space="preserve">Annual Heavy Traffic</t>
  </si>
  <si>
    <t xml:space="preserve">TOTAL TRAFFIC</t>
  </si>
  <si>
    <t xml:space="preserve">Toll Rates</t>
  </si>
  <si>
    <t xml:space="preserve">Light Toll Rate</t>
  </si>
  <si>
    <t xml:space="preserve">Heavy Toll Rate</t>
  </si>
  <si>
    <t xml:space="preserve">Light Vehicle Revenue</t>
  </si>
  <si>
    <t xml:space="preserve">Heavy Vehicle Revenue</t>
  </si>
  <si>
    <t xml:space="preserve">Gross Revenue</t>
  </si>
  <si>
    <t xml:space="preserve">Collection Loss</t>
  </si>
  <si>
    <t xml:space="preserve">NET REVENUE</t>
  </si>
  <si>
    <t xml:space="preserve">Operating Expenses</t>
  </si>
  <si>
    <t xml:space="preserve">Routine O&amp;M</t>
  </si>
  <si>
    <t xml:space="preserve">Toll Collection</t>
  </si>
  <si>
    <t xml:space="preserve">TOTAL OPEX</t>
  </si>
  <si>
    <t xml:space="preserve">EBITDA</t>
  </si>
  <si>
    <t xml:space="preserve">Net Revenue</t>
  </si>
  <si>
    <t xml:space="preserve">EBITDA Margin</t>
  </si>
  <si>
    <t xml:space="preserve">Tax Calculation</t>
  </si>
  <si>
    <t xml:space="preserve">Depreciation</t>
  </si>
  <si>
    <t xml:space="preserve">Interest Expense</t>
  </si>
  <si>
    <t xml:space="preserve">EBT</t>
  </si>
  <si>
    <t xml:space="preserve">Tax Loss B/F</t>
  </si>
  <si>
    <t xml:space="preserve">Taxable Income</t>
  </si>
  <si>
    <t xml:space="preserve">Tax Payable</t>
  </si>
  <si>
    <t xml:space="preserve">Tax Loss C/F</t>
  </si>
  <si>
    <t xml:space="preserve">Debt Schedule</t>
  </si>
  <si>
    <t xml:space="preserve">Sculpted Repayment</t>
  </si>
  <si>
    <t xml:space="preserve">Debt Balance</t>
  </si>
  <si>
    <t xml:space="preserve">Opening Balance</t>
  </si>
  <si>
    <t xml:space="preserve">Drawdown</t>
  </si>
  <si>
    <t xml:space="preserve">Closing Balance</t>
  </si>
  <si>
    <t xml:space="preserve">Interest</t>
  </si>
  <si>
    <t xml:space="preserve">Debt Service</t>
  </si>
  <si>
    <t xml:space="preserve">Total Debt Service</t>
  </si>
  <si>
    <t xml:space="preserve">DSRA</t>
  </si>
  <si>
    <t xml:space="preserve">DSRA Target</t>
  </si>
  <si>
    <t xml:space="preserve">DSRA Opening</t>
  </si>
  <si>
    <t xml:space="preserve">DSRA Movement</t>
  </si>
  <si>
    <t xml:space="preserve">DSRA Closing</t>
  </si>
  <si>
    <t xml:space="preserve">Coverage Metrics</t>
  </si>
  <si>
    <t xml:space="preserve">DSCR</t>
  </si>
  <si>
    <t xml:space="preserve">Cash Waterfall</t>
  </si>
  <si>
    <t xml:space="preserve">Priority of Payments</t>
  </si>
  <si>
    <t xml:space="preserve">CFADS</t>
  </si>
  <si>
    <t xml:space="preserve">Tax</t>
  </si>
  <si>
    <t xml:space="preserve">Principal Repayment</t>
  </si>
  <si>
    <t xml:space="preserve">Reserve Accounts</t>
  </si>
  <si>
    <t xml:space="preserve">Equity Distributions</t>
  </si>
  <si>
    <t xml:space="preserve">Pre-Distribution CF</t>
  </si>
  <si>
    <t xml:space="preserve">Distribution Allowed</t>
  </si>
  <si>
    <t xml:space="preserve">DISTRIBUTION</t>
  </si>
  <si>
    <t xml:space="preserve">Cash Balance</t>
  </si>
  <si>
    <t xml:space="preserve">Opening Cash</t>
  </si>
  <si>
    <t xml:space="preserve">Net Cash Flow</t>
  </si>
  <si>
    <t xml:space="preserve">Closing Cash</t>
  </si>
  <si>
    <t xml:space="preserve">IRR &amp; Metrics</t>
  </si>
  <si>
    <t xml:space="preserve">Unlevered (Project) Returns</t>
  </si>
  <si>
    <t xml:space="preserve">Investment</t>
  </si>
  <si>
    <t xml:space="preserve">Cumulative</t>
  </si>
  <si>
    <t xml:space="preserve">Project IRR</t>
  </si>
  <si>
    <t xml:space="preserve">Levered (Equity) Returns</t>
  </si>
  <si>
    <t xml:space="preserve">Equity Invested</t>
  </si>
  <si>
    <t xml:space="preserve">Distributions</t>
  </si>
  <si>
    <t xml:space="preserve">Equity IRR</t>
  </si>
  <si>
    <t xml:space="preserve">Key Metrics</t>
  </si>
  <si>
    <t xml:space="preserve">Minimum DSCR</t>
  </si>
  <si>
    <t xml:space="preserve">Average DSCR</t>
  </si>
  <si>
    <t xml:space="preserve">Equity Multiple</t>
  </si>
  <si>
    <t xml:space="preserve">Equity NPV</t>
  </si>
  <si>
    <t xml:space="preserve">Validation</t>
  </si>
  <si>
    <t xml:space="preserve">Check</t>
  </si>
  <si>
    <t xml:space="preserve">Result</t>
  </si>
  <si>
    <t xml:space="preserve">Detail</t>
  </si>
  <si>
    <t xml:space="preserve">Sources = Uses</t>
  </si>
  <si>
    <t xml:space="preserve">Min DSCR &gt;= 1.20x</t>
  </si>
  <si>
    <t xml:space="preserve">Debt Zero at Maturity</t>
  </si>
  <si>
    <t xml:space="preserve">Cash Never Negative</t>
  </si>
  <si>
    <t xml:space="preserve">Lock-Up Respected</t>
  </si>
  <si>
    <t xml:space="preserve">Project IRR &gt; 0</t>
  </si>
  <si>
    <t xml:space="preserve">Equity IRR &gt; Project IRR</t>
  </si>
  <si>
    <t xml:space="preserve">EBITDA Margin 70-85%</t>
  </si>
</sst>
</file>

<file path=xl/styles.xml><?xml version="1.0" encoding="utf-8"?>
<styleSheet xmlns="http://schemas.openxmlformats.org/spreadsheetml/2006/main">
  <numFmts count="6">
    <numFmt numFmtId="164" formatCode="General"/>
    <numFmt numFmtId="165" formatCode="#,##0.00"/>
    <numFmt numFmtId="166" formatCode="0.00%"/>
    <numFmt numFmtId="167" formatCode="\$#,##0.00"/>
    <numFmt numFmtId="168" formatCode="0.00\x"/>
    <numFmt numFmtId="169" formatCode="0"/>
  </numFmts>
  <fonts count="29">
    <font>
      <sz val="11"/>
      <name val="Arial"/>
      <family val="0"/>
      <charset val="1"/>
    </font>
    <font>
      <sz val="10"/>
      <name val="Arial"/>
      <family val="0"/>
    </font>
    <font>
      <sz val="10"/>
      <name val="Arial"/>
      <family val="0"/>
    </font>
    <font>
      <sz val="10"/>
      <name val="Arial"/>
      <family val="0"/>
    </font>
    <font>
      <sz val="11"/>
      <color theme="0"/>
      <name val="Arial"/>
      <family val="0"/>
      <charset val="1"/>
    </font>
    <font>
      <b val="true"/>
      <sz val="24"/>
      <color theme="0"/>
      <name val="Arial"/>
      <family val="0"/>
      <charset val="1"/>
    </font>
    <font>
      <b val="true"/>
      <sz val="11"/>
      <color theme="0"/>
      <name val="Arial"/>
      <family val="0"/>
      <charset val="1"/>
    </font>
    <font>
      <b val="true"/>
      <sz val="18"/>
      <color theme="0"/>
      <name val="Arial"/>
      <family val="0"/>
      <charset val="1"/>
    </font>
    <font>
      <sz val="11"/>
      <color theme="1"/>
      <name val="Arial"/>
      <family val="0"/>
      <charset val="1"/>
    </font>
    <font>
      <i val="true"/>
      <sz val="11"/>
      <color rgb="FF808080"/>
      <name val="Arial"/>
      <family val="0"/>
      <charset val="1"/>
    </font>
    <font>
      <b val="true"/>
      <sz val="10"/>
      <name val="Arial"/>
      <family val="0"/>
      <charset val="1"/>
    </font>
    <font>
      <sz val="10"/>
      <name val="Arial"/>
      <family val="0"/>
      <charset val="1"/>
    </font>
    <font>
      <b val="true"/>
      <sz val="14"/>
      <color theme="3"/>
      <name val="Arial"/>
      <family val="0"/>
      <charset val="1"/>
    </font>
    <font>
      <b val="true"/>
      <sz val="11"/>
      <color rgb="FF1F4E79"/>
      <name val="Arial"/>
      <family val="0"/>
      <charset val="1"/>
    </font>
    <font>
      <sz val="11"/>
      <color rgb="FF262626"/>
      <name val="Arial"/>
      <family val="0"/>
      <charset val="1"/>
    </font>
    <font>
      <i val="true"/>
      <sz val="11"/>
      <color rgb="FF595959"/>
      <name val="Arial"/>
      <family val="0"/>
      <charset val="1"/>
    </font>
    <font>
      <b val="true"/>
      <i val="true"/>
      <sz val="11"/>
      <color rgb="FF1F4E79"/>
      <name val="Arial"/>
      <family val="0"/>
      <charset val="1"/>
    </font>
    <font>
      <i val="true"/>
      <sz val="11"/>
      <color theme="0"/>
      <name val="Arial"/>
      <family val="0"/>
      <charset val="1"/>
    </font>
    <font>
      <b val="true"/>
      <sz val="10"/>
      <color theme="0"/>
      <name val="Arial"/>
      <family val="0"/>
      <charset val="1"/>
    </font>
    <font>
      <b val="true"/>
      <sz val="11"/>
      <color theme="3"/>
      <name val="Arial"/>
      <family val="0"/>
      <charset val="1"/>
    </font>
    <font>
      <sz val="10"/>
      <color theme="3"/>
      <name val="Arial"/>
      <family val="0"/>
      <charset val="1"/>
    </font>
    <font>
      <i val="true"/>
      <sz val="10"/>
      <color rgb="FF808080"/>
      <name val="Arial"/>
      <family val="0"/>
      <charset val="1"/>
    </font>
    <font>
      <b val="true"/>
      <sz val="18"/>
      <color rgb="FF1F4E79"/>
      <name val="Arial"/>
      <family val="0"/>
      <charset val="1"/>
    </font>
    <font>
      <b val="true"/>
      <sz val="11"/>
      <color rgb="FFFFFFFF"/>
      <name val="Arial"/>
      <family val="0"/>
      <charset val="1"/>
    </font>
    <font>
      <sz val="10"/>
      <color rgb="FF262626"/>
      <name val="Arial"/>
      <family val="0"/>
      <charset val="1"/>
    </font>
    <font>
      <b val="true"/>
      <sz val="10"/>
      <color rgb="FF1F4E79"/>
      <name val="Arial"/>
      <family val="0"/>
      <charset val="1"/>
    </font>
    <font>
      <sz val="9"/>
      <color rgb="FF404040"/>
      <name val="Arial"/>
      <family val="0"/>
      <charset val="1"/>
    </font>
    <font>
      <b val="true"/>
      <sz val="10"/>
      <color rgb="FFFFFFFF"/>
      <name val="Arial"/>
      <family val="0"/>
      <charset val="1"/>
    </font>
    <font>
      <sz val="10"/>
      <color rgb="FF000000"/>
      <name val="Arial"/>
      <family val="0"/>
      <charset val="1"/>
    </font>
  </fonts>
  <fills count="8">
    <fill>
      <patternFill patternType="none"/>
    </fill>
    <fill>
      <patternFill patternType="gray125"/>
    </fill>
    <fill>
      <patternFill patternType="solid">
        <fgColor theme="3"/>
        <bgColor rgb="FF1F4E79"/>
      </patternFill>
    </fill>
    <fill>
      <patternFill patternType="solid">
        <fgColor rgb="FFD6E4F0"/>
        <bgColor rgb="FFC6D9F1"/>
      </patternFill>
    </fill>
    <fill>
      <patternFill patternType="solid">
        <fgColor theme="3" tint="0.8"/>
        <bgColor rgb="FFD6E4F0"/>
      </patternFill>
    </fill>
    <fill>
      <patternFill patternType="solid">
        <fgColor rgb="FFEBF1FA"/>
        <bgColor rgb="FFF2F2F2"/>
      </patternFill>
    </fill>
    <fill>
      <patternFill patternType="solid">
        <fgColor rgb="FF1F4E79"/>
        <bgColor rgb="FF1F497D"/>
      </patternFill>
    </fill>
    <fill>
      <patternFill patternType="solid">
        <fgColor rgb="FFF2F2F2"/>
        <bgColor rgb="FFEBF1FA"/>
      </patternFill>
    </fill>
  </fills>
  <borders count="4">
    <border diagonalUp="false" diagonalDown="false">
      <left/>
      <right/>
      <top/>
      <bottom/>
      <diagonal/>
    </border>
    <border diagonalUp="false" diagonalDown="false">
      <left/>
      <right/>
      <top/>
      <bottom style="thin">
        <color rgb="FF1F4E79"/>
      </bottom>
      <diagonal/>
    </border>
    <border diagonalUp="false" diagonalDown="false">
      <left/>
      <right/>
      <top style="thin"/>
      <bottom/>
      <diagonal/>
    </border>
    <border diagonalUp="false" diagonalDown="false">
      <left/>
      <right/>
      <top style="double"/>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57">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0" xfId="0" applyFont="true" applyBorder="false" applyAlignment="false" applyProtection="false">
      <alignment horizontal="general" vertical="bottom" textRotation="0" wrapText="false" indent="0" shrinkToFit="false"/>
      <protection locked="true" hidden="false"/>
    </xf>
    <xf numFmtId="164" fontId="5" fillId="2" borderId="0" xfId="0" applyFont="true" applyBorder="false" applyAlignment="true" applyProtection="false">
      <alignment horizontal="left" vertical="center" textRotation="0" wrapText="false" indent="0" shrinkToFit="false"/>
      <protection locked="true" hidden="false"/>
    </xf>
    <xf numFmtId="164" fontId="6" fillId="2" borderId="0" xfId="0" applyFont="true" applyBorder="false" applyAlignment="true" applyProtection="false">
      <alignment horizontal="left" vertical="center" textRotation="0" wrapText="false" indent="0" shrinkToFit="false"/>
      <protection locked="true" hidden="false"/>
    </xf>
    <xf numFmtId="164" fontId="7" fillId="2" borderId="0" xfId="0" applyFont="true" applyBorder="false" applyAlignment="true" applyProtection="false">
      <alignment horizontal="left" vertical="center" textRotation="0" wrapText="false" indent="0" shrinkToFit="false"/>
      <protection locked="true" hidden="false"/>
    </xf>
    <xf numFmtId="164" fontId="8" fillId="0" borderId="0" xfId="0" applyFont="true" applyBorder="false" applyAlignment="false" applyProtection="false">
      <alignment horizontal="general" vertical="bottom" textRotation="0" wrapText="false" indent="0" shrinkToFit="false"/>
      <protection locked="true" hidden="false"/>
    </xf>
    <xf numFmtId="164" fontId="9" fillId="0" borderId="0" xfId="0" applyFont="true" applyBorder="false" applyAlignment="true" applyProtection="false">
      <alignment horizontal="left" vertical="center" textRotation="0" wrapText="false" indent="0" shrinkToFit="false"/>
      <protection locked="true" hidden="false"/>
    </xf>
    <xf numFmtId="164" fontId="10" fillId="0" borderId="0" xfId="0" applyFont="true" applyBorder="false" applyAlignment="true" applyProtection="false">
      <alignment horizontal="left" vertical="center" textRotation="0" wrapText="false" indent="0" shrinkToFit="false"/>
      <protection locked="true" hidden="false"/>
    </xf>
    <xf numFmtId="164" fontId="11" fillId="0" borderId="0" xfId="0" applyFont="true" applyBorder="false" applyAlignment="true" applyProtection="false">
      <alignment horizontal="left" vertical="center" textRotation="0" wrapText="false" indent="0" shrinkToFit="false"/>
      <protection locked="true" hidden="false"/>
    </xf>
    <xf numFmtId="164" fontId="12" fillId="0" borderId="0" xfId="0" applyFont="true" applyBorder="false" applyAlignment="true" applyProtection="false">
      <alignment horizontal="left" vertical="center" textRotation="0" wrapText="false" indent="0" shrinkToFit="false"/>
      <protection locked="true" hidden="false"/>
    </xf>
    <xf numFmtId="164" fontId="13" fillId="3" borderId="0" xfId="0" applyFont="true" applyBorder="false" applyAlignment="true" applyProtection="false">
      <alignment horizontal="left" vertical="center" textRotation="0" wrapText="false" indent="0" shrinkToFit="false"/>
      <protection locked="true" hidden="false"/>
    </xf>
    <xf numFmtId="164" fontId="8" fillId="3" borderId="0" xfId="0" applyFont="true" applyBorder="false" applyAlignment="false" applyProtection="false">
      <alignment horizontal="general" vertical="bottom" textRotation="0" wrapText="false" indent="0" shrinkToFit="false"/>
      <protection locked="true" hidden="false"/>
    </xf>
    <xf numFmtId="164" fontId="14" fillId="0" borderId="0" xfId="0" applyFont="true" applyBorder="true" applyAlignment="true" applyProtection="false">
      <alignment horizontal="left" vertical="top" textRotation="0" wrapText="true" indent="0" shrinkToFit="false"/>
      <protection locked="true" hidden="false"/>
    </xf>
    <xf numFmtId="164" fontId="15" fillId="0" borderId="0" xfId="0" applyFont="true" applyBorder="true" applyAlignment="true" applyProtection="false">
      <alignment horizontal="left" vertical="center" textRotation="0" wrapText="false" indent="0" shrinkToFit="false"/>
      <protection locked="true" hidden="false"/>
    </xf>
    <xf numFmtId="164" fontId="16" fillId="0" borderId="0" xfId="0" applyFont="true" applyBorder="false" applyAlignment="true" applyProtection="false">
      <alignment horizontal="left" vertical="center" textRotation="0" wrapText="false" indent="0" shrinkToFit="false"/>
      <protection locked="true" hidden="false"/>
    </xf>
    <xf numFmtId="164" fontId="17" fillId="2" borderId="0" xfId="0" applyFont="true" applyBorder="false" applyAlignment="true" applyProtection="false">
      <alignment horizontal="left" vertical="center" textRotation="0" wrapText="false" indent="0" shrinkToFit="false"/>
      <protection locked="true" hidden="false"/>
    </xf>
    <xf numFmtId="164" fontId="18" fillId="2" borderId="0" xfId="0" applyFont="true" applyBorder="false" applyAlignment="true" applyProtection="false">
      <alignment horizontal="left" vertical="center" textRotation="0" wrapText="false" indent="0" shrinkToFit="false"/>
      <protection locked="true" hidden="false"/>
    </xf>
    <xf numFmtId="164" fontId="18" fillId="2" borderId="0" xfId="0" applyFont="true" applyBorder="false" applyAlignment="true" applyProtection="false">
      <alignment horizontal="center" vertical="center" textRotation="0" wrapText="false" indent="0" shrinkToFit="false"/>
      <protection locked="true" hidden="false"/>
    </xf>
    <xf numFmtId="164" fontId="19" fillId="4" borderId="0" xfId="0" applyFont="true" applyBorder="false" applyAlignment="true" applyProtection="false">
      <alignment horizontal="left" vertical="center" textRotation="0" wrapText="false" indent="0" shrinkToFit="false"/>
      <protection locked="true" hidden="false"/>
    </xf>
    <xf numFmtId="164" fontId="8" fillId="4" borderId="0" xfId="0" applyFont="true" applyBorder="false" applyAlignment="false" applyProtection="false">
      <alignment horizontal="general" vertical="bottom" textRotation="0" wrapText="false" indent="0" shrinkToFit="false"/>
      <protection locked="true" hidden="false"/>
    </xf>
    <xf numFmtId="165" fontId="20" fillId="5" borderId="0" xfId="0" applyFont="true" applyBorder="false" applyAlignment="true" applyProtection="false">
      <alignment horizontal="right" vertical="center" textRotation="0" wrapText="false" indent="0" shrinkToFit="false"/>
      <protection locked="true" hidden="false"/>
    </xf>
    <xf numFmtId="164" fontId="21" fillId="0" borderId="0" xfId="0" applyFont="true" applyBorder="false" applyAlignment="true" applyProtection="false">
      <alignment horizontal="center" vertical="center" textRotation="0" wrapText="false" indent="0" shrinkToFit="false"/>
      <protection locked="true" hidden="false"/>
    </xf>
    <xf numFmtId="164" fontId="21" fillId="0" borderId="0" xfId="0" applyFont="true" applyBorder="false" applyAlignment="true" applyProtection="false">
      <alignment horizontal="left" vertical="center" textRotation="0" wrapText="false" indent="0" shrinkToFit="false"/>
      <protection locked="true" hidden="false"/>
    </xf>
    <xf numFmtId="166" fontId="20" fillId="5" borderId="0" xfId="0" applyFont="true" applyBorder="false" applyAlignment="true" applyProtection="false">
      <alignment horizontal="right" vertical="center" textRotation="0" wrapText="false" indent="0" shrinkToFit="false"/>
      <protection locked="true" hidden="false"/>
    </xf>
    <xf numFmtId="167" fontId="20" fillId="5" borderId="0" xfId="0" applyFont="true" applyBorder="false" applyAlignment="true" applyProtection="false">
      <alignment horizontal="right" vertical="center" textRotation="0" wrapText="false" indent="0" shrinkToFit="false"/>
      <protection locked="true" hidden="false"/>
    </xf>
    <xf numFmtId="168" fontId="20" fillId="5" borderId="0" xfId="0" applyFont="true" applyBorder="false" applyAlignment="true" applyProtection="false">
      <alignment horizontal="right" vertical="center" textRotation="0" wrapText="false" indent="0" shrinkToFit="false"/>
      <protection locked="true" hidden="false"/>
    </xf>
    <xf numFmtId="164" fontId="22" fillId="0" borderId="0" xfId="0" applyFont="true" applyBorder="false" applyAlignment="true" applyProtection="false">
      <alignment horizontal="left" vertical="center" textRotation="0" wrapText="false" indent="0" shrinkToFit="false"/>
      <protection locked="true" hidden="false"/>
    </xf>
    <xf numFmtId="164" fontId="8" fillId="0" borderId="1" xfId="0" applyFont="true" applyBorder="true" applyAlignment="false" applyProtection="false">
      <alignment horizontal="general" vertical="bottom" textRotation="0" wrapText="false" indent="0" shrinkToFit="false"/>
      <protection locked="true" hidden="false"/>
    </xf>
    <xf numFmtId="164" fontId="23" fillId="6" borderId="0" xfId="0" applyFont="true" applyBorder="false" applyAlignment="true" applyProtection="false">
      <alignment horizontal="left" vertical="center" textRotation="0" wrapText="false" indent="1" shrinkToFit="false"/>
      <protection locked="true" hidden="false"/>
    </xf>
    <xf numFmtId="164" fontId="24" fillId="0" borderId="0" xfId="0" applyFont="true" applyBorder="false" applyAlignment="true" applyProtection="false">
      <alignment horizontal="left" vertical="top" textRotation="0" wrapText="true" indent="1" shrinkToFit="false"/>
      <protection locked="true" hidden="false"/>
    </xf>
    <xf numFmtId="164" fontId="25" fillId="0" borderId="0" xfId="0" applyFont="true" applyBorder="false" applyAlignment="true" applyProtection="false">
      <alignment horizontal="left" vertical="center" textRotation="0" wrapText="false" indent="1" shrinkToFit="false"/>
      <protection locked="true" hidden="false"/>
    </xf>
    <xf numFmtId="164" fontId="13" fillId="0" borderId="0" xfId="0" applyFont="true" applyBorder="false" applyAlignment="true" applyProtection="false">
      <alignment horizontal="left" vertical="center" textRotation="0" wrapText="false" indent="1" shrinkToFit="false"/>
      <protection locked="true" hidden="false"/>
    </xf>
    <xf numFmtId="164" fontId="26" fillId="7" borderId="0" xfId="0" applyFont="true" applyBorder="false" applyAlignment="true" applyProtection="false">
      <alignment horizontal="left" vertical="top" textRotation="0" wrapText="true" indent="1" shrinkToFit="false"/>
      <protection locked="true" hidden="false"/>
    </xf>
    <xf numFmtId="164" fontId="21" fillId="0" borderId="0" xfId="0" applyFont="true" applyBorder="false" applyAlignment="true" applyProtection="false">
      <alignment horizontal="left" vertical="center" textRotation="0" wrapText="false" indent="1" shrinkToFit="false"/>
      <protection locked="true" hidden="false"/>
    </xf>
    <xf numFmtId="169" fontId="27" fillId="6" borderId="0" xfId="0" applyFont="true" applyBorder="false" applyAlignment="true" applyProtection="false">
      <alignment horizontal="center" vertical="center" textRotation="0" wrapText="false" indent="0" shrinkToFit="false"/>
      <protection locked="true" hidden="false"/>
    </xf>
    <xf numFmtId="169" fontId="21" fillId="0" borderId="0" xfId="0" applyFont="true" applyBorder="false" applyAlignment="true" applyProtection="false">
      <alignment horizontal="center" vertical="center" textRotation="0" wrapText="false" indent="0" shrinkToFit="false"/>
      <protection locked="true" hidden="false"/>
    </xf>
    <xf numFmtId="164" fontId="11" fillId="0" borderId="0" xfId="0" applyFont="true" applyBorder="false" applyAlignment="true" applyProtection="false">
      <alignment horizontal="left" vertical="center" textRotation="0" wrapText="false" indent="1" shrinkToFit="false"/>
      <protection locked="true" hidden="false"/>
    </xf>
    <xf numFmtId="167" fontId="28" fillId="0" borderId="0" xfId="0" applyFont="true" applyBorder="false" applyAlignment="true" applyProtection="false">
      <alignment horizontal="right" vertical="center" textRotation="0" wrapText="false" indent="0" shrinkToFit="false"/>
      <protection locked="true" hidden="false"/>
    </xf>
    <xf numFmtId="164" fontId="10" fillId="0" borderId="2" xfId="0" applyFont="true" applyBorder="true" applyAlignment="true" applyProtection="false">
      <alignment horizontal="left" vertical="center" textRotation="0" wrapText="false" indent="0" shrinkToFit="false"/>
      <protection locked="true" hidden="false"/>
    </xf>
    <xf numFmtId="167" fontId="10" fillId="0" borderId="2" xfId="0" applyFont="true" applyBorder="true" applyAlignment="true" applyProtection="false">
      <alignment horizontal="right" vertical="center" textRotation="0" wrapText="false" indent="0" shrinkToFit="false"/>
      <protection locked="true" hidden="false"/>
    </xf>
    <xf numFmtId="164" fontId="10" fillId="0" borderId="3" xfId="0" applyFont="true" applyBorder="true" applyAlignment="true" applyProtection="false">
      <alignment horizontal="left" vertical="center" textRotation="0" wrapText="false" indent="0" shrinkToFit="false"/>
      <protection locked="true" hidden="false"/>
    </xf>
    <xf numFmtId="167" fontId="10" fillId="0" borderId="3" xfId="0" applyFont="true" applyBorder="true" applyAlignment="true" applyProtection="false">
      <alignment horizontal="right" vertical="center" textRotation="0" wrapText="false" indent="0" shrinkToFit="false"/>
      <protection locked="true" hidden="false"/>
    </xf>
    <xf numFmtId="167" fontId="10" fillId="0" borderId="0" xfId="0" applyFont="true" applyBorder="false" applyAlignment="true" applyProtection="false">
      <alignment horizontal="right" vertical="center" textRotation="0" wrapText="false" indent="0" shrinkToFit="false"/>
      <protection locked="true" hidden="false"/>
    </xf>
    <xf numFmtId="169" fontId="28" fillId="0" borderId="0" xfId="0" applyFont="true" applyBorder="false" applyAlignment="true" applyProtection="false">
      <alignment horizontal="right" vertical="center" textRotation="0" wrapText="false" indent="0" shrinkToFit="false"/>
      <protection locked="true" hidden="false"/>
    </xf>
    <xf numFmtId="165" fontId="28" fillId="0" borderId="0" xfId="0" applyFont="true" applyBorder="false" applyAlignment="true" applyProtection="false">
      <alignment horizontal="right" vertical="center" textRotation="0" wrapText="false" indent="0" shrinkToFit="false"/>
      <protection locked="true" hidden="false"/>
    </xf>
    <xf numFmtId="166" fontId="28" fillId="0" borderId="0" xfId="0" applyFont="true" applyBorder="false" applyAlignment="true" applyProtection="false">
      <alignment horizontal="right" vertical="center" textRotation="0" wrapText="false" indent="0" shrinkToFit="false"/>
      <protection locked="true" hidden="false"/>
    </xf>
    <xf numFmtId="165" fontId="10" fillId="0" borderId="2" xfId="0" applyFont="true" applyBorder="true" applyAlignment="true" applyProtection="false">
      <alignment horizontal="right" vertical="center" textRotation="0" wrapText="false" indent="0" shrinkToFit="false"/>
      <protection locked="true" hidden="false"/>
    </xf>
    <xf numFmtId="164" fontId="10" fillId="0" borderId="2" xfId="0" applyFont="true" applyBorder="true" applyAlignment="true" applyProtection="false">
      <alignment horizontal="left" vertical="center" textRotation="0" wrapText="false" indent="1" shrinkToFit="false"/>
      <protection locked="true" hidden="false"/>
    </xf>
    <xf numFmtId="168" fontId="28" fillId="0" borderId="0" xfId="0" applyFont="true" applyBorder="false" applyAlignment="true" applyProtection="false">
      <alignment horizontal="right" vertical="center" textRotation="0" wrapText="false" indent="0" shrinkToFit="false"/>
      <protection locked="true" hidden="false"/>
    </xf>
    <xf numFmtId="166" fontId="10" fillId="0" borderId="0" xfId="0" applyFont="true" applyBorder="false" applyAlignment="true" applyProtection="false">
      <alignment horizontal="right" vertical="center" textRotation="0" wrapText="false" indent="0" shrinkToFit="false"/>
      <protection locked="true" hidden="false"/>
    </xf>
    <xf numFmtId="168" fontId="10" fillId="0" borderId="0" xfId="0" applyFont="true" applyBorder="false" applyAlignment="true" applyProtection="false">
      <alignment horizontal="right" vertical="center" textRotation="0" wrapText="false" indent="0" shrinkToFit="false"/>
      <protection locked="true" hidden="false"/>
    </xf>
    <xf numFmtId="164" fontId="27" fillId="6" borderId="0" xfId="0" applyFont="true" applyBorder="false" applyAlignment="true" applyProtection="false">
      <alignment horizontal="left" vertical="center" textRotation="0" wrapText="false" indent="0" shrinkToFit="false"/>
      <protection locked="true" hidden="false"/>
    </xf>
    <xf numFmtId="164" fontId="27" fillId="6" borderId="0" xfId="0" applyFont="true" applyBorder="false" applyAlignment="true" applyProtection="false">
      <alignment horizontal="center" vertical="center" textRotation="0" wrapText="false" indent="0" shrinkToFit="false"/>
      <protection locked="true" hidden="false"/>
    </xf>
    <xf numFmtId="164" fontId="10" fillId="0" borderId="0" xfId="0" applyFont="true" applyBorder="false" applyAlignment="true" applyProtection="false">
      <alignment horizontal="center" vertical="center" textRotation="0" wrapText="false" indent="0" shrinkToFit="false"/>
      <protection locked="true" hidden="false"/>
    </xf>
    <xf numFmtId="167" fontId="11" fillId="0" borderId="0" xfId="0" applyFont="true" applyBorder="false" applyAlignment="true" applyProtection="false">
      <alignment horizontal="right" vertical="center" textRotation="0" wrapText="false" indent="0" shrinkToFit="false"/>
      <protection locked="true" hidden="false"/>
    </xf>
    <xf numFmtId="168" fontId="11" fillId="0" borderId="0" xfId="0" applyFont="true" applyBorder="false" applyAlignment="true" applyProtection="false">
      <alignment horizontal="right" vertical="center" textRotation="0" wrapText="false" indent="0" shrinkToFit="false"/>
      <protection locked="true" hidden="false"/>
    </xf>
    <xf numFmtId="166" fontId="11" fillId="0" borderId="0" xfId="0" applyFont="true" applyBorder="false" applyAlignment="true" applyProtection="false">
      <alignment horizontal="right" vertical="center"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5B9BD5"/>
      <rgbColor rgb="FF993366"/>
      <rgbColor rgb="FFF2F2F2"/>
      <rgbColor rgb="FFEBF1FA"/>
      <rgbColor rgb="FF660066"/>
      <rgbColor rgb="FFFF8080"/>
      <rgbColor rgb="FF0066CC"/>
      <rgbColor rgb="FFC6D9F1"/>
      <rgbColor rgb="FF000080"/>
      <rgbColor rgb="FFFF00FF"/>
      <rgbColor rgb="FFFFFF00"/>
      <rgbColor rgb="FF00FFFF"/>
      <rgbColor rgb="FF800080"/>
      <rgbColor rgb="FF800000"/>
      <rgbColor rgb="FF008080"/>
      <rgbColor rgb="FF0000FF"/>
      <rgbColor rgb="FF00CCFF"/>
      <rgbColor rgb="FFD6E4F0"/>
      <rgbColor rgb="FFCCFFCC"/>
      <rgbColor rgb="FFFFFF99"/>
      <rgbColor rgb="FF99CCFF"/>
      <rgbColor rgb="FFFF99CC"/>
      <rgbColor rgb="FFCC99FF"/>
      <rgbColor rgb="FFFFCC99"/>
      <rgbColor rgb="FF3366FF"/>
      <rgbColor rgb="FF33CCCC"/>
      <rgbColor rgb="FF99CC00"/>
      <rgbColor rgb="FFFFCC00"/>
      <rgbColor rgb="FFFF9900"/>
      <rgbColor rgb="FFED7D31"/>
      <rgbColor rgb="FF595959"/>
      <rgbColor rgb="FFA5A5A5"/>
      <rgbColor rgb="FF1F4E79"/>
      <rgbColor rgb="FF70AD47"/>
      <rgbColor rgb="FF003300"/>
      <rgbColor rgb="FF404040"/>
      <rgbColor rgb="FF993300"/>
      <rgbColor rgb="FF993366"/>
      <rgbColor rgb="FF1F497D"/>
      <rgbColor rgb="FF262626"/>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worksheet" Target="worksheets/sheet9.xml"/><Relationship Id="rId12" Type="http://schemas.openxmlformats.org/officeDocument/2006/relationships/worksheet" Target="worksheets/sheet10.xml"/><Relationship Id="rId13"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www.finamodel.com/" TargetMode="Externa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1F4E79"/>
    <pageSetUpPr fitToPage="false"/>
  </sheetPr>
  <dimension ref="A1:AD28"/>
  <sheetViews>
    <sheetView showFormulas="false" showGridLines="fals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22"/>
    <col collapsed="false" customWidth="true" hidden="false" outlineLevel="0" max="3" min="3" style="0" width="40"/>
  </cols>
  <sheetData>
    <row r="1" customFormat="false" ht="15" hidden="false" customHeight="false" outlineLevel="0" collapsed="false">
      <c r="A1" s="1"/>
      <c r="B1" s="1"/>
      <c r="C1" s="1"/>
      <c r="D1" s="1"/>
      <c r="E1" s="1"/>
      <c r="F1" s="1"/>
      <c r="G1" s="1"/>
      <c r="H1" s="1"/>
      <c r="I1" s="1"/>
      <c r="J1" s="1"/>
      <c r="K1" s="1"/>
      <c r="L1" s="1"/>
      <c r="M1" s="1"/>
      <c r="N1" s="1"/>
      <c r="O1" s="1"/>
      <c r="P1" s="1"/>
      <c r="Q1" s="1"/>
      <c r="R1" s="1"/>
      <c r="S1" s="1"/>
      <c r="T1" s="1"/>
      <c r="U1" s="1"/>
      <c r="V1" s="1"/>
      <c r="W1" s="1"/>
      <c r="X1" s="1"/>
      <c r="Y1" s="1"/>
      <c r="Z1" s="1"/>
      <c r="AA1" s="1"/>
      <c r="AB1" s="1"/>
      <c r="AC1" s="1"/>
      <c r="AD1" s="1"/>
    </row>
    <row r="2" customFormat="false" ht="21.75" hidden="false" customHeight="true" outlineLevel="0" collapsed="false">
      <c r="A2" s="1"/>
      <c r="B2" s="2" t="s">
        <v>0</v>
      </c>
      <c r="C2" s="1"/>
      <c r="D2" s="3" t="s">
        <v>1</v>
      </c>
      <c r="E2" s="1"/>
      <c r="F2" s="1"/>
      <c r="G2" s="1"/>
      <c r="H2" s="1"/>
      <c r="I2" s="1"/>
      <c r="J2" s="1"/>
      <c r="K2" s="1"/>
      <c r="L2" s="1"/>
      <c r="M2" s="1"/>
      <c r="N2" s="1"/>
      <c r="O2" s="1"/>
      <c r="P2" s="1"/>
      <c r="Q2" s="1"/>
      <c r="R2" s="1"/>
      <c r="S2" s="1"/>
      <c r="T2" s="1"/>
      <c r="U2" s="1"/>
      <c r="V2" s="1"/>
      <c r="W2" s="1"/>
      <c r="X2" s="1"/>
      <c r="Y2" s="1"/>
      <c r="Z2" s="1"/>
      <c r="AA2" s="1"/>
      <c r="AB2" s="1"/>
      <c r="AC2" s="1"/>
      <c r="AD2" s="1"/>
    </row>
    <row r="3" customFormat="false" ht="22.05" hidden="false" customHeight="false" outlineLevel="0" collapsed="false">
      <c r="A3" s="1"/>
      <c r="B3" s="4" t="s">
        <v>2</v>
      </c>
      <c r="C3" s="1"/>
      <c r="D3" s="1"/>
      <c r="E3" s="1"/>
      <c r="F3" s="1"/>
      <c r="G3" s="1"/>
      <c r="H3" s="1"/>
      <c r="I3" s="1"/>
      <c r="J3" s="1"/>
      <c r="K3" s="1"/>
      <c r="L3" s="1"/>
      <c r="M3" s="1"/>
      <c r="N3" s="1"/>
      <c r="O3" s="1"/>
      <c r="P3" s="1"/>
      <c r="Q3" s="1"/>
      <c r="R3" s="1"/>
      <c r="S3" s="1"/>
      <c r="T3" s="1"/>
      <c r="U3" s="1"/>
      <c r="V3" s="1"/>
      <c r="W3" s="1"/>
      <c r="X3" s="1"/>
      <c r="Y3" s="1"/>
      <c r="Z3" s="1"/>
      <c r="AA3" s="1"/>
      <c r="AB3" s="1"/>
      <c r="AC3" s="1"/>
      <c r="AD3" s="1"/>
    </row>
    <row r="4" customFormat="false" ht="15" hidden="false" customHeight="false" outlineLevel="0" collapsed="false">
      <c r="A4" s="5"/>
      <c r="B4" s="6" t="s">
        <v>3</v>
      </c>
      <c r="C4" s="5"/>
      <c r="D4" s="5"/>
      <c r="E4" s="5"/>
      <c r="F4" s="5"/>
      <c r="G4" s="5"/>
      <c r="H4" s="5"/>
      <c r="I4" s="5"/>
      <c r="J4" s="5"/>
      <c r="K4" s="5"/>
      <c r="L4" s="5"/>
      <c r="M4" s="5"/>
      <c r="N4" s="5"/>
      <c r="O4" s="5"/>
      <c r="P4" s="5"/>
      <c r="Q4" s="5"/>
      <c r="R4" s="5"/>
      <c r="S4" s="5"/>
      <c r="T4" s="5"/>
      <c r="U4" s="5"/>
      <c r="V4" s="5"/>
      <c r="W4" s="5"/>
      <c r="X4" s="5"/>
      <c r="Y4" s="5"/>
      <c r="Z4" s="5"/>
      <c r="AA4" s="5"/>
      <c r="AB4" s="5"/>
      <c r="AC4" s="5"/>
      <c r="AD4" s="5"/>
    </row>
    <row r="5" customFormat="false" ht="15" hidden="false" customHeight="false" outlineLevel="0" collapsed="false">
      <c r="A5" s="5"/>
      <c r="B5" s="5"/>
      <c r="C5" s="5"/>
      <c r="D5" s="5"/>
      <c r="E5" s="5"/>
      <c r="F5" s="5"/>
      <c r="G5" s="5"/>
      <c r="H5" s="5"/>
      <c r="I5" s="5"/>
      <c r="J5" s="5"/>
      <c r="K5" s="5"/>
      <c r="L5" s="5"/>
      <c r="M5" s="5"/>
      <c r="N5" s="5"/>
      <c r="O5" s="5"/>
      <c r="P5" s="5"/>
      <c r="Q5" s="5"/>
      <c r="R5" s="5"/>
      <c r="S5" s="5"/>
      <c r="T5" s="5"/>
      <c r="U5" s="5"/>
      <c r="V5" s="5"/>
      <c r="W5" s="5"/>
      <c r="X5" s="5"/>
      <c r="Y5" s="5"/>
      <c r="Z5" s="5"/>
      <c r="AA5" s="5"/>
      <c r="AB5" s="5"/>
      <c r="AC5" s="5"/>
      <c r="AD5" s="5"/>
    </row>
    <row r="6" customFormat="false" ht="15" hidden="false" customHeight="false" outlineLevel="0" collapsed="false">
      <c r="A6" s="5"/>
      <c r="B6" s="7" t="s">
        <v>4</v>
      </c>
      <c r="C6" s="8" t="s">
        <v>5</v>
      </c>
      <c r="D6" s="5"/>
      <c r="E6" s="5"/>
      <c r="F6" s="5"/>
      <c r="G6" s="5"/>
      <c r="H6" s="5"/>
      <c r="I6" s="5"/>
      <c r="J6" s="5"/>
      <c r="K6" s="5"/>
      <c r="L6" s="5"/>
      <c r="M6" s="5"/>
      <c r="N6" s="5"/>
      <c r="O6" s="5"/>
      <c r="P6" s="5"/>
      <c r="Q6" s="5"/>
      <c r="R6" s="5"/>
      <c r="S6" s="5"/>
      <c r="T6" s="5"/>
      <c r="U6" s="5"/>
      <c r="V6" s="5"/>
      <c r="W6" s="5"/>
      <c r="X6" s="5"/>
      <c r="Y6" s="5"/>
      <c r="Z6" s="5"/>
      <c r="AA6" s="5"/>
      <c r="AB6" s="5"/>
      <c r="AC6" s="5"/>
      <c r="AD6" s="5"/>
    </row>
    <row r="7" customFormat="false" ht="15" hidden="false" customHeight="false" outlineLevel="0" collapsed="false">
      <c r="A7" s="5"/>
      <c r="B7" s="7" t="s">
        <v>6</v>
      </c>
      <c r="C7" s="8" t="s">
        <v>7</v>
      </c>
      <c r="D7" s="5"/>
      <c r="E7" s="5"/>
      <c r="F7" s="5"/>
      <c r="G7" s="5"/>
      <c r="H7" s="5"/>
      <c r="I7" s="5"/>
      <c r="J7" s="5"/>
      <c r="K7" s="5"/>
      <c r="L7" s="5"/>
      <c r="M7" s="5"/>
      <c r="N7" s="5"/>
      <c r="O7" s="5"/>
      <c r="P7" s="5"/>
      <c r="Q7" s="5"/>
      <c r="R7" s="5"/>
      <c r="S7" s="5"/>
      <c r="T7" s="5"/>
      <c r="U7" s="5"/>
      <c r="V7" s="5"/>
      <c r="W7" s="5"/>
      <c r="X7" s="5"/>
      <c r="Y7" s="5"/>
      <c r="Z7" s="5"/>
      <c r="AA7" s="5"/>
      <c r="AB7" s="5"/>
      <c r="AC7" s="5"/>
      <c r="AD7" s="5"/>
    </row>
    <row r="8" customFormat="false" ht="15" hidden="false" customHeight="false" outlineLevel="0" collapsed="false">
      <c r="A8" s="5"/>
      <c r="B8" s="5"/>
      <c r="C8" s="5"/>
      <c r="D8" s="5"/>
      <c r="E8" s="5"/>
      <c r="F8" s="5"/>
      <c r="G8" s="5"/>
      <c r="H8" s="5"/>
      <c r="I8" s="5"/>
      <c r="J8" s="5"/>
      <c r="K8" s="5"/>
      <c r="L8" s="5"/>
      <c r="M8" s="5"/>
      <c r="N8" s="5"/>
      <c r="O8" s="5"/>
      <c r="P8" s="5"/>
      <c r="Q8" s="5"/>
      <c r="R8" s="5"/>
      <c r="S8" s="5"/>
      <c r="T8" s="5"/>
      <c r="U8" s="5"/>
      <c r="V8" s="5"/>
      <c r="W8" s="5"/>
      <c r="X8" s="5"/>
      <c r="Y8" s="5"/>
      <c r="Z8" s="5"/>
      <c r="AA8" s="5"/>
      <c r="AB8" s="5"/>
      <c r="AC8" s="5"/>
      <c r="AD8" s="5"/>
    </row>
    <row r="9" customFormat="false" ht="17.35" hidden="false" customHeight="false" outlineLevel="0" collapsed="false">
      <c r="A9" s="5"/>
      <c r="B9" s="9" t="s">
        <v>8</v>
      </c>
      <c r="C9" s="5"/>
      <c r="D9" s="5"/>
      <c r="E9" s="5"/>
      <c r="F9" s="5"/>
      <c r="G9" s="5"/>
      <c r="H9" s="5"/>
      <c r="I9" s="5"/>
      <c r="J9" s="5"/>
      <c r="K9" s="5"/>
      <c r="L9" s="5"/>
      <c r="M9" s="5"/>
      <c r="N9" s="5"/>
      <c r="O9" s="5"/>
      <c r="P9" s="5"/>
      <c r="Q9" s="5"/>
      <c r="R9" s="5"/>
      <c r="S9" s="5"/>
      <c r="T9" s="5"/>
      <c r="U9" s="5"/>
      <c r="V9" s="5"/>
      <c r="W9" s="5"/>
      <c r="X9" s="5"/>
      <c r="Y9" s="5"/>
      <c r="Z9" s="5"/>
      <c r="AA9" s="5"/>
      <c r="AB9" s="5"/>
      <c r="AC9" s="5"/>
      <c r="AD9" s="5"/>
    </row>
    <row r="10" customFormat="false" ht="15" hidden="false" customHeight="false" outlineLevel="0" collapsed="false">
      <c r="A10" s="5"/>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row>
    <row r="11" customFormat="false" ht="15" hidden="false" customHeight="false" outlineLevel="0" collapsed="false">
      <c r="A11" s="5"/>
      <c r="B11" s="7" t="s">
        <v>9</v>
      </c>
      <c r="C11" s="8" t="s">
        <v>10</v>
      </c>
      <c r="D11" s="5"/>
      <c r="E11" s="5"/>
      <c r="F11" s="5"/>
      <c r="G11" s="5"/>
      <c r="H11" s="5"/>
      <c r="I11" s="5"/>
      <c r="J11" s="5"/>
      <c r="K11" s="5"/>
      <c r="L11" s="5"/>
      <c r="M11" s="5"/>
      <c r="N11" s="5"/>
      <c r="O11" s="5"/>
      <c r="P11" s="5"/>
      <c r="Q11" s="5"/>
      <c r="R11" s="5"/>
      <c r="S11" s="5"/>
      <c r="T11" s="5"/>
      <c r="U11" s="5"/>
      <c r="V11" s="5"/>
      <c r="W11" s="5"/>
      <c r="X11" s="5"/>
      <c r="Y11" s="5"/>
      <c r="Z11" s="5"/>
      <c r="AA11" s="5"/>
      <c r="AB11" s="5"/>
      <c r="AC11" s="5"/>
      <c r="AD11" s="5"/>
    </row>
    <row r="12" customFormat="false" ht="15" hidden="false" customHeight="false" outlineLevel="0" collapsed="false">
      <c r="A12" s="5"/>
      <c r="B12" s="7" t="s">
        <v>11</v>
      </c>
      <c r="C12" s="8" t="s">
        <v>12</v>
      </c>
      <c r="D12" s="5"/>
      <c r="E12" s="5"/>
      <c r="F12" s="5"/>
      <c r="G12" s="5"/>
      <c r="H12" s="5"/>
      <c r="I12" s="5"/>
      <c r="J12" s="5"/>
      <c r="K12" s="5"/>
      <c r="L12" s="5"/>
      <c r="M12" s="5"/>
      <c r="N12" s="5"/>
      <c r="O12" s="5"/>
      <c r="P12" s="5"/>
      <c r="Q12" s="5"/>
      <c r="R12" s="5"/>
      <c r="S12" s="5"/>
      <c r="T12" s="5"/>
      <c r="U12" s="5"/>
      <c r="V12" s="5"/>
      <c r="W12" s="5"/>
      <c r="X12" s="5"/>
      <c r="Y12" s="5"/>
      <c r="Z12" s="5"/>
      <c r="AA12" s="5"/>
      <c r="AB12" s="5"/>
      <c r="AC12" s="5"/>
      <c r="AD12" s="5"/>
    </row>
    <row r="13" customFormat="false" ht="15" hidden="false" customHeight="false" outlineLevel="0" collapsed="false">
      <c r="A13" s="5"/>
      <c r="B13" s="7" t="s">
        <v>13</v>
      </c>
      <c r="C13" s="8" t="s">
        <v>14</v>
      </c>
      <c r="D13" s="5"/>
      <c r="E13" s="5"/>
      <c r="F13" s="5"/>
      <c r="G13" s="5"/>
      <c r="H13" s="5"/>
      <c r="I13" s="5"/>
      <c r="J13" s="5"/>
      <c r="K13" s="5"/>
      <c r="L13" s="5"/>
      <c r="M13" s="5"/>
      <c r="N13" s="5"/>
      <c r="O13" s="5"/>
      <c r="P13" s="5"/>
      <c r="Q13" s="5"/>
      <c r="R13" s="5"/>
      <c r="S13" s="5"/>
      <c r="T13" s="5"/>
      <c r="U13" s="5"/>
      <c r="V13" s="5"/>
      <c r="W13" s="5"/>
      <c r="X13" s="5"/>
      <c r="Y13" s="5"/>
      <c r="Z13" s="5"/>
      <c r="AA13" s="5"/>
      <c r="AB13" s="5"/>
      <c r="AC13" s="5"/>
      <c r="AD13" s="5"/>
    </row>
    <row r="14" customFormat="false" ht="15" hidden="false" customHeight="false" outlineLevel="0" collapsed="false">
      <c r="A14" s="5"/>
      <c r="B14" s="7" t="s">
        <v>15</v>
      </c>
      <c r="C14" s="8" t="s">
        <v>16</v>
      </c>
      <c r="D14" s="5"/>
      <c r="E14" s="5"/>
      <c r="F14" s="5"/>
      <c r="G14" s="5"/>
      <c r="H14" s="5"/>
      <c r="I14" s="5"/>
      <c r="J14" s="5"/>
      <c r="K14" s="5"/>
      <c r="L14" s="5"/>
      <c r="M14" s="5"/>
      <c r="N14" s="5"/>
      <c r="O14" s="5"/>
      <c r="P14" s="5"/>
      <c r="Q14" s="5"/>
      <c r="R14" s="5"/>
      <c r="S14" s="5"/>
      <c r="T14" s="5"/>
      <c r="U14" s="5"/>
      <c r="V14" s="5"/>
      <c r="W14" s="5"/>
      <c r="X14" s="5"/>
      <c r="Y14" s="5"/>
      <c r="Z14" s="5"/>
      <c r="AA14" s="5"/>
      <c r="AB14" s="5"/>
      <c r="AC14" s="5"/>
      <c r="AD14" s="5"/>
    </row>
    <row r="15" customFormat="false" ht="15" hidden="false" customHeight="false" outlineLevel="0" collapsed="false">
      <c r="A15" s="5"/>
      <c r="B15" s="7" t="s">
        <v>17</v>
      </c>
      <c r="C15" s="8" t="s">
        <v>18</v>
      </c>
      <c r="D15" s="5"/>
      <c r="E15" s="5"/>
      <c r="F15" s="5"/>
      <c r="G15" s="5"/>
      <c r="H15" s="5"/>
      <c r="I15" s="5"/>
      <c r="J15" s="5"/>
      <c r="K15" s="5"/>
      <c r="L15" s="5"/>
      <c r="M15" s="5"/>
      <c r="N15" s="5"/>
      <c r="O15" s="5"/>
      <c r="P15" s="5"/>
      <c r="Q15" s="5"/>
      <c r="R15" s="5"/>
      <c r="S15" s="5"/>
      <c r="T15" s="5"/>
      <c r="U15" s="5"/>
      <c r="V15" s="5"/>
      <c r="W15" s="5"/>
      <c r="X15" s="5"/>
      <c r="Y15" s="5"/>
      <c r="Z15" s="5"/>
      <c r="AA15" s="5"/>
      <c r="AB15" s="5"/>
      <c r="AC15" s="5"/>
      <c r="AD15" s="5"/>
    </row>
    <row r="16" customFormat="false" ht="15" hidden="false" customHeight="false" outlineLevel="0" collapsed="false">
      <c r="A16" s="5"/>
      <c r="B16" s="7" t="s">
        <v>19</v>
      </c>
      <c r="C16" s="8" t="s">
        <v>20</v>
      </c>
      <c r="D16" s="5"/>
      <c r="E16" s="5"/>
      <c r="F16" s="5"/>
      <c r="G16" s="5"/>
      <c r="H16" s="5"/>
      <c r="I16" s="5"/>
      <c r="J16" s="5"/>
      <c r="K16" s="5"/>
      <c r="L16" s="5"/>
      <c r="M16" s="5"/>
      <c r="N16" s="5"/>
      <c r="O16" s="5"/>
      <c r="P16" s="5"/>
      <c r="Q16" s="5"/>
      <c r="R16" s="5"/>
      <c r="S16" s="5"/>
      <c r="T16" s="5"/>
      <c r="U16" s="5"/>
      <c r="V16" s="5"/>
      <c r="W16" s="5"/>
      <c r="X16" s="5"/>
      <c r="Y16" s="5"/>
      <c r="Z16" s="5"/>
      <c r="AA16" s="5"/>
      <c r="AB16" s="5"/>
      <c r="AC16" s="5"/>
      <c r="AD16" s="5"/>
    </row>
    <row r="17" customFormat="false" ht="15" hidden="false" customHeight="false" outlineLevel="0" collapsed="false">
      <c r="A17" s="5"/>
      <c r="B17" s="7" t="s">
        <v>21</v>
      </c>
      <c r="C17" s="8" t="s">
        <v>22</v>
      </c>
      <c r="D17" s="5"/>
      <c r="E17" s="5"/>
      <c r="F17" s="5"/>
      <c r="G17" s="5"/>
      <c r="H17" s="5"/>
      <c r="I17" s="5"/>
      <c r="J17" s="5"/>
      <c r="K17" s="5"/>
      <c r="L17" s="5"/>
      <c r="M17" s="5"/>
      <c r="N17" s="5"/>
      <c r="O17" s="5"/>
      <c r="P17" s="5"/>
      <c r="Q17" s="5"/>
      <c r="R17" s="5"/>
      <c r="S17" s="5"/>
      <c r="T17" s="5"/>
      <c r="U17" s="5"/>
      <c r="V17" s="5"/>
      <c r="W17" s="5"/>
      <c r="X17" s="5"/>
      <c r="Y17" s="5"/>
      <c r="Z17" s="5"/>
      <c r="AA17" s="5"/>
      <c r="AB17" s="5"/>
      <c r="AC17" s="5"/>
      <c r="AD17" s="5"/>
    </row>
    <row r="18" customFormat="false" ht="15" hidden="false" customHeight="false" outlineLevel="0" collapsed="false">
      <c r="A18" s="5"/>
      <c r="B18" s="7" t="s">
        <v>23</v>
      </c>
      <c r="C18" s="8" t="s">
        <v>24</v>
      </c>
      <c r="D18" s="5"/>
      <c r="E18" s="5"/>
      <c r="F18" s="5"/>
      <c r="G18" s="5"/>
      <c r="H18" s="5"/>
      <c r="I18" s="5"/>
      <c r="J18" s="5"/>
      <c r="K18" s="5"/>
      <c r="L18" s="5"/>
      <c r="M18" s="5"/>
      <c r="N18" s="5"/>
      <c r="O18" s="5"/>
      <c r="P18" s="5"/>
      <c r="Q18" s="5"/>
      <c r="R18" s="5"/>
      <c r="S18" s="5"/>
      <c r="T18" s="5"/>
      <c r="U18" s="5"/>
      <c r="V18" s="5"/>
      <c r="W18" s="5"/>
      <c r="X18" s="5"/>
      <c r="Y18" s="5"/>
      <c r="Z18" s="5"/>
      <c r="AA18" s="5"/>
      <c r="AB18" s="5"/>
      <c r="AC18" s="5"/>
      <c r="AD18" s="5"/>
    </row>
    <row r="19" customFormat="false" ht="15" hidden="false" customHeight="false" outlineLevel="0" collapsed="false">
      <c r="A19" s="5"/>
      <c r="B19" s="7" t="s">
        <v>25</v>
      </c>
      <c r="C19" s="8" t="s">
        <v>26</v>
      </c>
      <c r="D19" s="5"/>
      <c r="E19" s="5"/>
      <c r="F19" s="5"/>
      <c r="G19" s="5"/>
      <c r="H19" s="5"/>
      <c r="I19" s="5"/>
      <c r="J19" s="5"/>
      <c r="K19" s="5"/>
      <c r="L19" s="5"/>
      <c r="M19" s="5"/>
      <c r="N19" s="5"/>
      <c r="O19" s="5"/>
      <c r="P19" s="5"/>
      <c r="Q19" s="5"/>
      <c r="R19" s="5"/>
      <c r="S19" s="5"/>
      <c r="T19" s="5"/>
      <c r="U19" s="5"/>
      <c r="V19" s="5"/>
      <c r="W19" s="5"/>
      <c r="X19" s="5"/>
      <c r="Y19" s="5"/>
      <c r="Z19" s="5"/>
      <c r="AA19" s="5"/>
      <c r="AB19" s="5"/>
      <c r="AC19" s="5"/>
      <c r="AD19" s="5"/>
    </row>
    <row r="20" customFormat="false" ht="15" hidden="false" customHeight="false" outlineLevel="0" collapsed="false">
      <c r="A20" s="5"/>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row>
    <row r="21" customFormat="false" ht="15" hidden="false" customHeight="false" outlineLevel="0" collapsed="false">
      <c r="A21" s="5"/>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row>
    <row r="22" customFormat="false" ht="19.5" hidden="false" customHeight="true" outlineLevel="0" collapsed="false">
      <c r="A22" s="5"/>
      <c r="B22" s="10" t="s">
        <v>27</v>
      </c>
      <c r="C22" s="11"/>
      <c r="D22" s="11"/>
      <c r="E22" s="11"/>
      <c r="F22" s="11"/>
      <c r="G22" s="11"/>
      <c r="H22" s="5"/>
      <c r="I22" s="5"/>
      <c r="J22" s="5"/>
      <c r="K22" s="5"/>
      <c r="L22" s="5"/>
      <c r="M22" s="5"/>
      <c r="N22" s="5"/>
      <c r="O22" s="5"/>
      <c r="P22" s="5"/>
      <c r="Q22" s="5"/>
      <c r="R22" s="5"/>
      <c r="S22" s="5"/>
      <c r="T22" s="5"/>
      <c r="U22" s="5"/>
      <c r="V22" s="5"/>
      <c r="W22" s="5"/>
      <c r="X22" s="5"/>
      <c r="Y22" s="5"/>
      <c r="Z22" s="5"/>
      <c r="AA22" s="5"/>
      <c r="AB22" s="5"/>
      <c r="AC22" s="5"/>
      <c r="AD22" s="5"/>
    </row>
    <row r="23" customFormat="false" ht="220.5" hidden="false" customHeight="true" outlineLevel="0" collapsed="false">
      <c r="A23" s="5"/>
      <c r="B23" s="12" t="s">
        <v>28</v>
      </c>
      <c r="C23" s="12"/>
      <c r="D23" s="12"/>
      <c r="E23" s="12"/>
      <c r="F23" s="12"/>
      <c r="G23" s="12"/>
      <c r="H23" s="5"/>
      <c r="I23" s="5"/>
      <c r="J23" s="5"/>
      <c r="K23" s="5"/>
      <c r="L23" s="5"/>
      <c r="M23" s="5"/>
      <c r="N23" s="5"/>
      <c r="O23" s="5"/>
      <c r="P23" s="5"/>
      <c r="Q23" s="5"/>
      <c r="R23" s="5"/>
      <c r="S23" s="5"/>
      <c r="T23" s="5"/>
      <c r="U23" s="5"/>
      <c r="V23" s="5"/>
      <c r="W23" s="5"/>
      <c r="X23" s="5"/>
      <c r="Y23" s="5"/>
      <c r="Z23" s="5"/>
      <c r="AA23" s="5"/>
      <c r="AB23" s="5"/>
      <c r="AC23" s="5"/>
      <c r="AD23" s="5"/>
    </row>
    <row r="24" customFormat="false" ht="15" hidden="false" customHeight="false" outlineLevel="0" collapsed="false">
      <c r="A24" s="5"/>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row>
    <row r="25" customFormat="false" ht="19.5" hidden="false" customHeight="true" outlineLevel="0" collapsed="false">
      <c r="A25" s="5"/>
      <c r="B25" s="10" t="s">
        <v>29</v>
      </c>
      <c r="C25" s="11"/>
      <c r="D25" s="11"/>
      <c r="E25" s="11"/>
      <c r="F25" s="11"/>
      <c r="G25" s="11"/>
      <c r="H25" s="5"/>
      <c r="I25" s="5"/>
      <c r="J25" s="5"/>
      <c r="K25" s="5"/>
      <c r="L25" s="5"/>
      <c r="M25" s="5"/>
      <c r="N25" s="5"/>
      <c r="O25" s="5"/>
      <c r="P25" s="5"/>
      <c r="Q25" s="5"/>
      <c r="R25" s="5"/>
      <c r="S25" s="5"/>
      <c r="T25" s="5"/>
      <c r="U25" s="5"/>
      <c r="V25" s="5"/>
      <c r="W25" s="5"/>
      <c r="X25" s="5"/>
      <c r="Y25" s="5"/>
      <c r="Z25" s="5"/>
      <c r="AA25" s="5"/>
      <c r="AB25" s="5"/>
      <c r="AC25" s="5"/>
      <c r="AD25" s="5"/>
    </row>
    <row r="26" customFormat="false" ht="57" hidden="false" customHeight="true" outlineLevel="0" collapsed="false">
      <c r="A26" s="5"/>
      <c r="B26" s="12" t="s">
        <v>30</v>
      </c>
      <c r="C26" s="12"/>
      <c r="D26" s="12"/>
      <c r="E26" s="12"/>
      <c r="F26" s="12"/>
      <c r="G26" s="12"/>
      <c r="H26" s="5"/>
      <c r="I26" s="5"/>
      <c r="J26" s="5"/>
      <c r="K26" s="5"/>
      <c r="L26" s="5"/>
      <c r="M26" s="5"/>
      <c r="N26" s="5"/>
      <c r="O26" s="5"/>
      <c r="P26" s="5"/>
      <c r="Q26" s="5"/>
      <c r="R26" s="5"/>
      <c r="S26" s="5"/>
      <c r="T26" s="5"/>
      <c r="U26" s="5"/>
      <c r="V26" s="5"/>
      <c r="W26" s="5"/>
      <c r="X26" s="5"/>
      <c r="Y26" s="5"/>
      <c r="Z26" s="5"/>
      <c r="AA26" s="5"/>
      <c r="AB26" s="5"/>
      <c r="AC26" s="5"/>
      <c r="AD26" s="5"/>
    </row>
    <row r="27" customFormat="false" ht="15" hidden="false" customHeight="false" outlineLevel="0" collapsed="false">
      <c r="A27" s="5"/>
      <c r="B27" s="13" t="s">
        <v>31</v>
      </c>
      <c r="C27" s="13"/>
      <c r="D27" s="13"/>
      <c r="E27" s="13"/>
      <c r="F27" s="13"/>
      <c r="G27" s="13"/>
      <c r="H27" s="5"/>
      <c r="I27" s="5"/>
      <c r="J27" s="5"/>
      <c r="K27" s="5"/>
      <c r="L27" s="5"/>
      <c r="M27" s="5"/>
      <c r="N27" s="5"/>
      <c r="O27" s="5"/>
      <c r="P27" s="5"/>
      <c r="Q27" s="5"/>
      <c r="R27" s="5"/>
      <c r="S27" s="5"/>
      <c r="T27" s="5"/>
      <c r="U27" s="5"/>
      <c r="V27" s="5"/>
      <c r="W27" s="5"/>
      <c r="X27" s="5"/>
      <c r="Y27" s="5"/>
      <c r="Z27" s="5"/>
      <c r="AA27" s="5"/>
      <c r="AB27" s="5"/>
      <c r="AC27" s="5"/>
      <c r="AD27" s="5"/>
    </row>
    <row r="28" customFormat="false" ht="15" hidden="false" customHeight="false" outlineLevel="0" collapsed="false">
      <c r="A28" s="5"/>
      <c r="B28" s="14" t="s">
        <v>32</v>
      </c>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row>
  </sheetData>
  <mergeCells count="3">
    <mergeCell ref="B23:G23"/>
    <mergeCell ref="B26:G26"/>
    <mergeCell ref="B27:G27"/>
  </mergeCells>
  <hyperlinks>
    <hyperlink ref="D2" r:id="rId1" display="FINAMODEL.com"/>
  </hyperlink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FF0000"/>
    <pageSetUpPr fitToPage="false"/>
  </sheetPr>
  <dimension ref="A1:D13"/>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5"/>
    <col collapsed="false" customWidth="true" hidden="false" outlineLevel="0" max="3" min="3" style="0" width="15"/>
    <col collapsed="false" customWidth="true" hidden="false" outlineLevel="0" max="4" min="4" style="0" width="50"/>
  </cols>
  <sheetData>
    <row r="1" customFormat="false" ht="15" hidden="false" customHeight="false" outlineLevel="0" collapsed="false">
      <c r="A1" s="5"/>
      <c r="B1" s="5"/>
      <c r="C1" s="5"/>
      <c r="D1" s="5"/>
    </row>
    <row r="2" customFormat="false" ht="22.05" hidden="false" customHeight="false" outlineLevel="0" collapsed="false">
      <c r="A2" s="5"/>
      <c r="B2" s="26" t="s">
        <v>25</v>
      </c>
      <c r="C2" s="5"/>
      <c r="D2" s="5"/>
    </row>
    <row r="3" customFormat="false" ht="15" hidden="false" customHeight="false" outlineLevel="0" collapsed="false">
      <c r="A3" s="5"/>
      <c r="B3" s="6" t="s">
        <v>222</v>
      </c>
      <c r="C3" s="5"/>
      <c r="D3" s="5"/>
    </row>
    <row r="4" customFormat="false" ht="15" hidden="false" customHeight="false" outlineLevel="0" collapsed="false">
      <c r="A4" s="5"/>
      <c r="B4" s="51" t="s">
        <v>223</v>
      </c>
      <c r="C4" s="52" t="s">
        <v>224</v>
      </c>
      <c r="D4" s="51" t="s">
        <v>225</v>
      </c>
    </row>
    <row r="5" customFormat="false" ht="15" hidden="false" customHeight="false" outlineLevel="0" collapsed="false">
      <c r="A5" s="5"/>
      <c r="B5" s="5"/>
      <c r="C5" s="5"/>
      <c r="D5" s="5"/>
    </row>
    <row r="6" customFormat="false" ht="15" hidden="false" customHeight="false" outlineLevel="0" collapsed="false">
      <c r="A6" s="5"/>
      <c r="B6" s="8" t="s">
        <v>226</v>
      </c>
      <c r="C6" s="53" t="str">
        <f aca="false">IF(ROUND(SUM(Construction!C24:AA24),0)=0,"PASS","FAIL")</f>
        <v>PASS</v>
      </c>
      <c r="D6" s="54" t="n">
        <f aca="false">SUM(Construction!C24:AA24)</f>
        <v>0</v>
      </c>
    </row>
    <row r="7" customFormat="false" ht="15" hidden="false" customHeight="false" outlineLevel="0" collapsed="false">
      <c r="A7" s="5"/>
      <c r="B7" s="8" t="s">
        <v>227</v>
      </c>
      <c r="C7" s="53" t="str">
        <f aca="false">IF(Returns!C25&gt;=1.2,"PASS","FAIL")</f>
        <v>FAIL</v>
      </c>
      <c r="D7" s="55" t="n">
        <f aca="false">Returns!C25</f>
        <v>0</v>
      </c>
    </row>
    <row r="8" customFormat="false" ht="15" hidden="false" customHeight="false" outlineLevel="0" collapsed="false">
      <c r="A8" s="5"/>
      <c r="B8" s="8" t="s">
        <v>228</v>
      </c>
      <c r="C8" s="53" t="str">
        <f aca="false">IF(ROUND(INDEX(Debt_Schedule!C12:AA12,1,Construction_Years+Debt_Tenor),0)&lt;=0,"PASS","FAIL")</f>
        <v>FAIL</v>
      </c>
      <c r="D8" s="54" t="n">
        <f aca="false">INDEX(Debt_Schedule!C12:AA12,1,Construction_Years+Debt_Tenor)</f>
        <v>731686523.973999</v>
      </c>
    </row>
    <row r="9" customFormat="false" ht="15" hidden="false" customHeight="false" outlineLevel="0" collapsed="false">
      <c r="A9" s="5"/>
      <c r="B9" s="8" t="s">
        <v>229</v>
      </c>
      <c r="C9" s="53" t="str">
        <f aca="false">IF(MIN(Waterfall!C30:AA30)&gt;=0,"PASS","FAIL")</f>
        <v>FAIL</v>
      </c>
      <c r="D9" s="54" t="n">
        <f aca="false">MIN(Waterfall!C30:AA30)</f>
        <v>-235260577.264132</v>
      </c>
    </row>
    <row r="10" customFormat="false" ht="15" hidden="false" customHeight="false" outlineLevel="0" collapsed="false">
      <c r="A10" s="5"/>
      <c r="B10" s="8" t="s">
        <v>230</v>
      </c>
      <c r="C10" s="53" t="str">
        <f aca="false">IF(SUMPRODUCT((Debt_Schedule!C27:AA27&gt;0)*(Debt_Schedule!C27:AA27&lt;Lockup_DSCR)*(Waterfall!C25:AA25&gt;0))=0,"PASS","FAIL")</f>
        <v>PASS</v>
      </c>
      <c r="D10" s="5"/>
    </row>
    <row r="11" customFormat="false" ht="15" hidden="false" customHeight="false" outlineLevel="0" collapsed="false">
      <c r="A11" s="5"/>
      <c r="B11" s="8" t="s">
        <v>231</v>
      </c>
      <c r="C11" s="53" t="str">
        <f aca="false">IF(Returns!C14&gt;0,"PASS","FAIL")</f>
        <v>FAIL</v>
      </c>
      <c r="D11" s="56" t="n">
        <f aca="false">Returns!C14</f>
        <v>-0.0239060733737557</v>
      </c>
    </row>
    <row r="12" customFormat="false" ht="15" hidden="false" customHeight="false" outlineLevel="0" collapsed="false">
      <c r="A12" s="5"/>
      <c r="B12" s="8" t="s">
        <v>232</v>
      </c>
      <c r="C12" s="53" t="str">
        <f aca="false">IF(Returns!C22&gt;Returns!C14,"PASS","FAIL")</f>
        <v>PASS</v>
      </c>
      <c r="D12" s="5"/>
    </row>
    <row r="13" customFormat="false" ht="15" hidden="false" customHeight="false" outlineLevel="0" collapsed="false">
      <c r="A13" s="5"/>
      <c r="B13" s="8" t="s">
        <v>233</v>
      </c>
      <c r="C13" s="53" t="str">
        <f aca="false">IF(AND(INDEX(Opex!C17:AA17,1,6)&gt;=0.7,INDEX(Opex!C17:AA17,1,6)&lt;=0.85),"PASS","FAIL")</f>
        <v>FAIL</v>
      </c>
      <c r="D13" s="56" t="n">
        <f aca="false">INDEX(Opex!C17:AA17,1,6)</f>
        <v>0.646203373642311</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5B9BD5"/>
    <pageSetUpPr fitToPage="false"/>
  </sheetPr>
  <dimension ref="A1:AD49"/>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0"/>
    <col collapsed="false" customWidth="true" hidden="false" outlineLevel="0" max="3" min="3" style="0" width="18"/>
    <col collapsed="false" customWidth="true" hidden="false" outlineLevel="0" max="4" min="4" style="0" width="14"/>
    <col collapsed="false" customWidth="true" hidden="false" outlineLevel="0" max="5" min="5" style="0" width="45"/>
  </cols>
  <sheetData>
    <row r="1" customFormat="false" ht="15" hidden="false" customHeight="false" outlineLevel="0" collapsed="false">
      <c r="A1" s="1"/>
      <c r="B1" s="1"/>
      <c r="C1" s="1"/>
      <c r="D1" s="1"/>
      <c r="E1" s="1"/>
      <c r="F1" s="1"/>
      <c r="G1" s="1"/>
      <c r="H1" s="1"/>
      <c r="I1" s="1"/>
      <c r="J1" s="1"/>
      <c r="K1" s="1"/>
      <c r="L1" s="1"/>
      <c r="M1" s="1"/>
      <c r="N1" s="1"/>
      <c r="O1" s="1"/>
      <c r="P1" s="1"/>
      <c r="Q1" s="1"/>
      <c r="R1" s="1"/>
      <c r="S1" s="1"/>
      <c r="T1" s="1"/>
      <c r="U1" s="1"/>
      <c r="V1" s="1"/>
      <c r="W1" s="1"/>
      <c r="X1" s="1"/>
      <c r="Y1" s="1"/>
      <c r="Z1" s="1"/>
      <c r="AA1" s="1"/>
      <c r="AB1" s="1"/>
      <c r="AC1" s="1"/>
      <c r="AD1" s="1"/>
    </row>
    <row r="2" customFormat="false" ht="21.75" hidden="false" customHeight="true" outlineLevel="0" collapsed="false">
      <c r="A2" s="1"/>
      <c r="B2" s="4" t="s">
        <v>11</v>
      </c>
      <c r="C2" s="1"/>
      <c r="D2" s="1"/>
      <c r="E2" s="1"/>
      <c r="F2" s="1"/>
      <c r="G2" s="1"/>
      <c r="H2" s="1"/>
      <c r="I2" s="1"/>
      <c r="J2" s="1"/>
      <c r="K2" s="1"/>
      <c r="L2" s="1"/>
      <c r="M2" s="1"/>
      <c r="N2" s="1"/>
      <c r="O2" s="1"/>
      <c r="P2" s="1"/>
      <c r="Q2" s="1"/>
      <c r="R2" s="1"/>
      <c r="S2" s="1"/>
      <c r="T2" s="1"/>
      <c r="U2" s="1"/>
      <c r="V2" s="1"/>
      <c r="W2" s="1"/>
      <c r="X2" s="1"/>
      <c r="Y2" s="1"/>
      <c r="Z2" s="1"/>
      <c r="AA2" s="1"/>
      <c r="AB2" s="1"/>
      <c r="AC2" s="1"/>
      <c r="AD2" s="1"/>
    </row>
    <row r="3" customFormat="false" ht="15" hidden="false" customHeight="false" outlineLevel="0" collapsed="false">
      <c r="A3" s="1"/>
      <c r="B3" s="15" t="s">
        <v>33</v>
      </c>
      <c r="C3" s="1"/>
      <c r="D3" s="1"/>
      <c r="E3" s="1"/>
      <c r="F3" s="1"/>
      <c r="G3" s="1"/>
      <c r="H3" s="1"/>
      <c r="I3" s="1"/>
      <c r="J3" s="1"/>
      <c r="K3" s="1"/>
      <c r="L3" s="1"/>
      <c r="M3" s="1"/>
      <c r="N3" s="1"/>
      <c r="O3" s="1"/>
      <c r="P3" s="1"/>
      <c r="Q3" s="1"/>
      <c r="R3" s="1"/>
      <c r="S3" s="1"/>
      <c r="T3" s="1"/>
      <c r="U3" s="1"/>
      <c r="V3" s="1"/>
      <c r="W3" s="1"/>
      <c r="X3" s="1"/>
      <c r="Y3" s="1"/>
      <c r="Z3" s="1"/>
      <c r="AA3" s="1"/>
      <c r="AB3" s="1"/>
      <c r="AC3" s="1"/>
      <c r="AD3" s="1"/>
    </row>
    <row r="4" customFormat="false" ht="15" hidden="false" customHeight="false" outlineLevel="0" collapsed="false">
      <c r="A4" s="5"/>
      <c r="B4" s="16" t="s">
        <v>34</v>
      </c>
      <c r="C4" s="17" t="s">
        <v>35</v>
      </c>
      <c r="D4" s="17" t="s">
        <v>36</v>
      </c>
      <c r="E4" s="16" t="s">
        <v>37</v>
      </c>
      <c r="F4" s="5"/>
      <c r="G4" s="5"/>
      <c r="H4" s="5"/>
      <c r="I4" s="5"/>
      <c r="J4" s="5"/>
      <c r="K4" s="5"/>
      <c r="L4" s="5"/>
      <c r="M4" s="5"/>
      <c r="N4" s="5"/>
      <c r="O4" s="5"/>
      <c r="P4" s="5"/>
      <c r="Q4" s="5"/>
      <c r="R4" s="5"/>
      <c r="S4" s="5"/>
      <c r="T4" s="5"/>
      <c r="U4" s="5"/>
      <c r="V4" s="5"/>
      <c r="W4" s="5"/>
      <c r="X4" s="5"/>
      <c r="Y4" s="5"/>
      <c r="Z4" s="5"/>
      <c r="AA4" s="5"/>
      <c r="AB4" s="5"/>
      <c r="AC4" s="5"/>
      <c r="AD4" s="5"/>
    </row>
    <row r="5" customFormat="false" ht="15" hidden="false" customHeight="false" outlineLevel="0" collapsed="false">
      <c r="A5" s="5"/>
      <c r="B5" s="18" t="s">
        <v>38</v>
      </c>
      <c r="C5" s="19"/>
      <c r="D5" s="19"/>
      <c r="E5" s="19"/>
      <c r="F5" s="5"/>
      <c r="G5" s="5"/>
      <c r="H5" s="5"/>
      <c r="I5" s="5"/>
      <c r="J5" s="5"/>
      <c r="K5" s="5"/>
      <c r="L5" s="5"/>
      <c r="M5" s="5"/>
      <c r="N5" s="5"/>
      <c r="O5" s="5"/>
      <c r="P5" s="5"/>
      <c r="Q5" s="5"/>
      <c r="R5" s="5"/>
      <c r="S5" s="5"/>
      <c r="T5" s="5"/>
      <c r="U5" s="5"/>
      <c r="V5" s="5"/>
      <c r="W5" s="5"/>
      <c r="X5" s="5"/>
      <c r="Y5" s="5"/>
      <c r="Z5" s="5"/>
      <c r="AA5" s="5"/>
      <c r="AB5" s="5"/>
      <c r="AC5" s="5"/>
      <c r="AD5" s="5"/>
    </row>
    <row r="6" customFormat="false" ht="15" hidden="false" customHeight="false" outlineLevel="0" collapsed="false">
      <c r="A6" s="5"/>
      <c r="B6" s="8" t="s">
        <v>39</v>
      </c>
      <c r="C6" s="20" t="n">
        <v>2026</v>
      </c>
      <c r="D6" s="21" t="s">
        <v>40</v>
      </c>
      <c r="E6" s="22" t="s">
        <v>41</v>
      </c>
      <c r="F6" s="5"/>
      <c r="G6" s="5"/>
      <c r="H6" s="5"/>
      <c r="I6" s="5"/>
      <c r="J6" s="5"/>
      <c r="K6" s="5"/>
      <c r="L6" s="5"/>
      <c r="M6" s="5"/>
      <c r="N6" s="5"/>
      <c r="O6" s="5"/>
      <c r="P6" s="5"/>
      <c r="Q6" s="5"/>
      <c r="R6" s="5"/>
      <c r="S6" s="5"/>
      <c r="T6" s="5"/>
      <c r="U6" s="5"/>
      <c r="V6" s="5"/>
      <c r="W6" s="5"/>
      <c r="X6" s="5"/>
      <c r="Y6" s="5"/>
      <c r="Z6" s="5"/>
      <c r="AA6" s="5"/>
      <c r="AB6" s="5"/>
      <c r="AC6" s="5"/>
      <c r="AD6" s="5"/>
    </row>
    <row r="7" customFormat="false" ht="15" hidden="false" customHeight="false" outlineLevel="0" collapsed="false">
      <c r="A7" s="5"/>
      <c r="B7" s="8" t="s">
        <v>42</v>
      </c>
      <c r="C7" s="20" t="n">
        <v>3</v>
      </c>
      <c r="D7" s="21" t="s">
        <v>43</v>
      </c>
      <c r="E7" s="22" t="s">
        <v>44</v>
      </c>
      <c r="F7" s="5"/>
      <c r="G7" s="5"/>
      <c r="H7" s="5"/>
      <c r="I7" s="5"/>
      <c r="J7" s="5"/>
      <c r="K7" s="5"/>
      <c r="L7" s="5"/>
      <c r="M7" s="5"/>
      <c r="N7" s="5"/>
      <c r="O7" s="5"/>
      <c r="P7" s="5"/>
      <c r="Q7" s="5"/>
      <c r="R7" s="5"/>
      <c r="S7" s="5"/>
      <c r="T7" s="5"/>
      <c r="U7" s="5"/>
      <c r="V7" s="5"/>
      <c r="W7" s="5"/>
      <c r="X7" s="5"/>
      <c r="Y7" s="5"/>
      <c r="Z7" s="5"/>
      <c r="AA7" s="5"/>
      <c r="AB7" s="5"/>
      <c r="AC7" s="5"/>
      <c r="AD7" s="5"/>
    </row>
    <row r="8" customFormat="false" ht="15" hidden="false" customHeight="false" outlineLevel="0" collapsed="false">
      <c r="A8" s="5"/>
      <c r="B8" s="8" t="s">
        <v>45</v>
      </c>
      <c r="C8" s="20" t="n">
        <v>40</v>
      </c>
      <c r="D8" s="21" t="s">
        <v>43</v>
      </c>
      <c r="E8" s="22" t="s">
        <v>46</v>
      </c>
      <c r="F8" s="5"/>
      <c r="G8" s="5"/>
      <c r="H8" s="5"/>
      <c r="I8" s="5"/>
      <c r="J8" s="5"/>
      <c r="K8" s="5"/>
      <c r="L8" s="5"/>
      <c r="M8" s="5"/>
      <c r="N8" s="5"/>
      <c r="O8" s="5"/>
      <c r="P8" s="5"/>
      <c r="Q8" s="5"/>
      <c r="R8" s="5"/>
      <c r="S8" s="5"/>
      <c r="T8" s="5"/>
      <c r="U8" s="5"/>
      <c r="V8" s="5"/>
      <c r="W8" s="5"/>
      <c r="X8" s="5"/>
      <c r="Y8" s="5"/>
      <c r="Z8" s="5"/>
      <c r="AA8" s="5"/>
      <c r="AB8" s="5"/>
      <c r="AC8" s="5"/>
      <c r="AD8" s="5"/>
    </row>
    <row r="9" customFormat="false" ht="15" hidden="false" customHeight="false" outlineLevel="0" collapsed="false">
      <c r="A9" s="5"/>
      <c r="B9" s="8" t="s">
        <v>47</v>
      </c>
      <c r="C9" s="20" t="n">
        <v>37</v>
      </c>
      <c r="D9" s="21" t="s">
        <v>43</v>
      </c>
      <c r="E9" s="22" t="s">
        <v>48</v>
      </c>
      <c r="F9" s="5"/>
      <c r="G9" s="5"/>
      <c r="H9" s="5"/>
      <c r="I9" s="5"/>
      <c r="J9" s="5"/>
      <c r="K9" s="5"/>
      <c r="L9" s="5"/>
      <c r="M9" s="5"/>
      <c r="N9" s="5"/>
      <c r="O9" s="5"/>
      <c r="P9" s="5"/>
      <c r="Q9" s="5"/>
      <c r="R9" s="5"/>
      <c r="S9" s="5"/>
      <c r="T9" s="5"/>
      <c r="U9" s="5"/>
      <c r="V9" s="5"/>
      <c r="W9" s="5"/>
      <c r="X9" s="5"/>
      <c r="Y9" s="5"/>
      <c r="Z9" s="5"/>
      <c r="AA9" s="5"/>
      <c r="AB9" s="5"/>
      <c r="AC9" s="5"/>
      <c r="AD9" s="5"/>
    </row>
    <row r="10" customFormat="false" ht="15" hidden="false" customHeight="false" outlineLevel="0" collapsed="false">
      <c r="A10" s="5"/>
      <c r="B10" s="8" t="s">
        <v>49</v>
      </c>
      <c r="C10" s="20" t="n">
        <v>20</v>
      </c>
      <c r="D10" s="21" t="s">
        <v>43</v>
      </c>
      <c r="E10" s="22" t="s">
        <v>50</v>
      </c>
      <c r="F10" s="5"/>
      <c r="G10" s="5"/>
      <c r="H10" s="5"/>
      <c r="I10" s="5"/>
      <c r="J10" s="5"/>
      <c r="K10" s="5"/>
      <c r="L10" s="5"/>
      <c r="M10" s="5"/>
      <c r="N10" s="5"/>
      <c r="O10" s="5"/>
      <c r="P10" s="5"/>
      <c r="Q10" s="5"/>
      <c r="R10" s="5"/>
      <c r="S10" s="5"/>
      <c r="T10" s="5"/>
      <c r="U10" s="5"/>
      <c r="V10" s="5"/>
      <c r="W10" s="5"/>
      <c r="X10" s="5"/>
      <c r="Y10" s="5"/>
      <c r="Z10" s="5"/>
      <c r="AA10" s="5"/>
      <c r="AB10" s="5"/>
      <c r="AC10" s="5"/>
      <c r="AD10" s="5"/>
    </row>
    <row r="11" customFormat="false" ht="15" hidden="false" customHeight="false" outlineLevel="0" collapsed="false">
      <c r="A11" s="5"/>
      <c r="B11" s="8" t="s">
        <v>51</v>
      </c>
      <c r="C11" s="23" t="n">
        <v>0.025</v>
      </c>
      <c r="D11" s="21" t="s">
        <v>52</v>
      </c>
      <c r="E11" s="22" t="s">
        <v>53</v>
      </c>
      <c r="F11" s="5"/>
      <c r="G11" s="5"/>
      <c r="H11" s="5"/>
      <c r="I11" s="5"/>
      <c r="J11" s="5"/>
      <c r="K11" s="5"/>
      <c r="L11" s="5"/>
      <c r="M11" s="5"/>
      <c r="N11" s="5"/>
      <c r="O11" s="5"/>
      <c r="P11" s="5"/>
      <c r="Q11" s="5"/>
      <c r="R11" s="5"/>
      <c r="S11" s="5"/>
      <c r="T11" s="5"/>
      <c r="U11" s="5"/>
      <c r="V11" s="5"/>
      <c r="W11" s="5"/>
      <c r="X11" s="5"/>
      <c r="Y11" s="5"/>
      <c r="Z11" s="5"/>
      <c r="AA11" s="5"/>
      <c r="AB11" s="5"/>
      <c r="AC11" s="5"/>
      <c r="AD11" s="5"/>
    </row>
    <row r="12" customFormat="false" ht="15" hidden="false" customHeight="false" outlineLevel="0" collapsed="false">
      <c r="A12" s="5"/>
      <c r="B12" s="8" t="s">
        <v>54</v>
      </c>
      <c r="C12" s="23" t="n">
        <v>0.25</v>
      </c>
      <c r="D12" s="21" t="s">
        <v>52</v>
      </c>
      <c r="E12" s="22" t="s">
        <v>55</v>
      </c>
      <c r="F12" s="5"/>
      <c r="G12" s="5"/>
      <c r="H12" s="5"/>
      <c r="I12" s="5"/>
      <c r="J12" s="5"/>
      <c r="K12" s="5"/>
      <c r="L12" s="5"/>
      <c r="M12" s="5"/>
      <c r="N12" s="5"/>
      <c r="O12" s="5"/>
      <c r="P12" s="5"/>
      <c r="Q12" s="5"/>
      <c r="R12" s="5"/>
      <c r="S12" s="5"/>
      <c r="T12" s="5"/>
      <c r="U12" s="5"/>
      <c r="V12" s="5"/>
      <c r="W12" s="5"/>
      <c r="X12" s="5"/>
      <c r="Y12" s="5"/>
      <c r="Z12" s="5"/>
      <c r="AA12" s="5"/>
      <c r="AB12" s="5"/>
      <c r="AC12" s="5"/>
      <c r="AD12" s="5"/>
    </row>
    <row r="13" customFormat="false" ht="15" hidden="false" customHeight="false" outlineLevel="0" collapsed="false">
      <c r="A13" s="5"/>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row>
    <row r="14" customFormat="false" ht="15" hidden="false" customHeight="false" outlineLevel="0" collapsed="false">
      <c r="A14" s="5"/>
      <c r="B14" s="18" t="s">
        <v>56</v>
      </c>
      <c r="C14" s="19"/>
      <c r="D14" s="19"/>
      <c r="E14" s="19"/>
      <c r="F14" s="5"/>
      <c r="G14" s="5"/>
      <c r="H14" s="5"/>
      <c r="I14" s="5"/>
      <c r="J14" s="5"/>
      <c r="K14" s="5"/>
      <c r="L14" s="5"/>
      <c r="M14" s="5"/>
      <c r="N14" s="5"/>
      <c r="O14" s="5"/>
      <c r="P14" s="5"/>
      <c r="Q14" s="5"/>
      <c r="R14" s="5"/>
      <c r="S14" s="5"/>
      <c r="T14" s="5"/>
      <c r="U14" s="5"/>
      <c r="V14" s="5"/>
      <c r="W14" s="5"/>
      <c r="X14" s="5"/>
      <c r="Y14" s="5"/>
      <c r="Z14" s="5"/>
      <c r="AA14" s="5"/>
      <c r="AB14" s="5"/>
      <c r="AC14" s="5"/>
      <c r="AD14" s="5"/>
    </row>
    <row r="15" customFormat="false" ht="15" hidden="false" customHeight="false" outlineLevel="0" collapsed="false">
      <c r="A15" s="5"/>
      <c r="B15" s="8" t="s">
        <v>57</v>
      </c>
      <c r="C15" s="20" t="n">
        <v>25000</v>
      </c>
      <c r="D15" s="21" t="s">
        <v>58</v>
      </c>
      <c r="E15" s="22" t="s">
        <v>59</v>
      </c>
      <c r="F15" s="5"/>
      <c r="G15" s="5"/>
      <c r="H15" s="5"/>
      <c r="I15" s="5"/>
      <c r="J15" s="5"/>
      <c r="K15" s="5"/>
      <c r="L15" s="5"/>
      <c r="M15" s="5"/>
      <c r="N15" s="5"/>
      <c r="O15" s="5"/>
      <c r="P15" s="5"/>
      <c r="Q15" s="5"/>
      <c r="R15" s="5"/>
      <c r="S15" s="5"/>
      <c r="T15" s="5"/>
      <c r="U15" s="5"/>
      <c r="V15" s="5"/>
      <c r="W15" s="5"/>
      <c r="X15" s="5"/>
      <c r="Y15" s="5"/>
      <c r="Z15" s="5"/>
      <c r="AA15" s="5"/>
      <c r="AB15" s="5"/>
      <c r="AC15" s="5"/>
      <c r="AD15" s="5"/>
    </row>
    <row r="16" customFormat="false" ht="15" hidden="false" customHeight="false" outlineLevel="0" collapsed="false">
      <c r="A16" s="5"/>
      <c r="B16" s="8" t="s">
        <v>60</v>
      </c>
      <c r="C16" s="20" t="n">
        <v>3500</v>
      </c>
      <c r="D16" s="21" t="s">
        <v>58</v>
      </c>
      <c r="E16" s="22" t="s">
        <v>61</v>
      </c>
      <c r="F16" s="5"/>
      <c r="G16" s="5"/>
      <c r="H16" s="5"/>
      <c r="I16" s="5"/>
      <c r="J16" s="5"/>
      <c r="K16" s="5"/>
      <c r="L16" s="5"/>
      <c r="M16" s="5"/>
      <c r="N16" s="5"/>
      <c r="O16" s="5"/>
      <c r="P16" s="5"/>
      <c r="Q16" s="5"/>
      <c r="R16" s="5"/>
      <c r="S16" s="5"/>
      <c r="T16" s="5"/>
      <c r="U16" s="5"/>
      <c r="V16" s="5"/>
      <c r="W16" s="5"/>
      <c r="X16" s="5"/>
      <c r="Y16" s="5"/>
      <c r="Z16" s="5"/>
      <c r="AA16" s="5"/>
      <c r="AB16" s="5"/>
      <c r="AC16" s="5"/>
      <c r="AD16" s="5"/>
    </row>
    <row r="17" customFormat="false" ht="15" hidden="false" customHeight="false" outlineLevel="0" collapsed="false">
      <c r="A17" s="5"/>
      <c r="B17" s="8" t="s">
        <v>62</v>
      </c>
      <c r="C17" s="23" t="n">
        <v>0.015</v>
      </c>
      <c r="D17" s="21" t="s">
        <v>52</v>
      </c>
      <c r="E17" s="22" t="s">
        <v>63</v>
      </c>
      <c r="F17" s="5"/>
      <c r="G17" s="5"/>
      <c r="H17" s="5"/>
      <c r="I17" s="5"/>
      <c r="J17" s="5"/>
      <c r="K17" s="5"/>
      <c r="L17" s="5"/>
      <c r="M17" s="5"/>
      <c r="N17" s="5"/>
      <c r="O17" s="5"/>
      <c r="P17" s="5"/>
      <c r="Q17" s="5"/>
      <c r="R17" s="5"/>
      <c r="S17" s="5"/>
      <c r="T17" s="5"/>
      <c r="U17" s="5"/>
      <c r="V17" s="5"/>
      <c r="W17" s="5"/>
      <c r="X17" s="5"/>
      <c r="Y17" s="5"/>
      <c r="Z17" s="5"/>
      <c r="AA17" s="5"/>
      <c r="AB17" s="5"/>
      <c r="AC17" s="5"/>
      <c r="AD17" s="5"/>
    </row>
    <row r="18" customFormat="false" ht="15" hidden="false" customHeight="false" outlineLevel="0" collapsed="false">
      <c r="A18" s="5"/>
      <c r="B18" s="8" t="s">
        <v>64</v>
      </c>
      <c r="C18" s="23" t="n">
        <v>0.65</v>
      </c>
      <c r="D18" s="21" t="s">
        <v>52</v>
      </c>
      <c r="E18" s="22" t="s">
        <v>65</v>
      </c>
      <c r="F18" s="5"/>
      <c r="G18" s="5"/>
      <c r="H18" s="5"/>
      <c r="I18" s="5"/>
      <c r="J18" s="5"/>
      <c r="K18" s="5"/>
      <c r="L18" s="5"/>
      <c r="M18" s="5"/>
      <c r="N18" s="5"/>
      <c r="O18" s="5"/>
      <c r="P18" s="5"/>
      <c r="Q18" s="5"/>
      <c r="R18" s="5"/>
      <c r="S18" s="5"/>
      <c r="T18" s="5"/>
      <c r="U18" s="5"/>
      <c r="V18" s="5"/>
      <c r="W18" s="5"/>
      <c r="X18" s="5"/>
      <c r="Y18" s="5"/>
      <c r="Z18" s="5"/>
      <c r="AA18" s="5"/>
      <c r="AB18" s="5"/>
      <c r="AC18" s="5"/>
      <c r="AD18" s="5"/>
    </row>
    <row r="19" customFormat="false" ht="15" hidden="false" customHeight="false" outlineLevel="0" collapsed="false">
      <c r="A19" s="5"/>
      <c r="B19" s="8" t="s">
        <v>66</v>
      </c>
      <c r="C19" s="23" t="n">
        <v>0.85</v>
      </c>
      <c r="D19" s="21" t="s">
        <v>52</v>
      </c>
      <c r="E19" s="22" t="s">
        <v>67</v>
      </c>
      <c r="F19" s="5"/>
      <c r="G19" s="5"/>
      <c r="H19" s="5"/>
      <c r="I19" s="5"/>
      <c r="J19" s="5"/>
      <c r="K19" s="5"/>
      <c r="L19" s="5"/>
      <c r="M19" s="5"/>
      <c r="N19" s="5"/>
      <c r="O19" s="5"/>
      <c r="P19" s="5"/>
      <c r="Q19" s="5"/>
      <c r="R19" s="5"/>
      <c r="S19" s="5"/>
      <c r="T19" s="5"/>
      <c r="U19" s="5"/>
      <c r="V19" s="5"/>
      <c r="W19" s="5"/>
      <c r="X19" s="5"/>
      <c r="Y19" s="5"/>
      <c r="Z19" s="5"/>
      <c r="AA19" s="5"/>
      <c r="AB19" s="5"/>
      <c r="AC19" s="5"/>
      <c r="AD19" s="5"/>
    </row>
    <row r="20" customFormat="false" ht="15" hidden="false" customHeight="false" outlineLevel="0" collapsed="false">
      <c r="A20" s="5"/>
      <c r="B20" s="8" t="s">
        <v>68</v>
      </c>
      <c r="C20" s="20" t="n">
        <v>1</v>
      </c>
      <c r="D20" s="21" t="s">
        <v>52</v>
      </c>
      <c r="E20" s="22" t="s">
        <v>69</v>
      </c>
      <c r="F20" s="5"/>
      <c r="G20" s="5"/>
      <c r="H20" s="5"/>
      <c r="I20" s="5"/>
      <c r="J20" s="5"/>
      <c r="K20" s="5"/>
      <c r="L20" s="5"/>
      <c r="M20" s="5"/>
      <c r="N20" s="5"/>
      <c r="O20" s="5"/>
      <c r="P20" s="5"/>
      <c r="Q20" s="5"/>
      <c r="R20" s="5"/>
      <c r="S20" s="5"/>
      <c r="T20" s="5"/>
      <c r="U20" s="5"/>
      <c r="V20" s="5"/>
      <c r="W20" s="5"/>
      <c r="X20" s="5"/>
      <c r="Y20" s="5"/>
      <c r="Z20" s="5"/>
      <c r="AA20" s="5"/>
      <c r="AB20" s="5"/>
      <c r="AC20" s="5"/>
      <c r="AD20" s="5"/>
    </row>
    <row r="21" customFormat="false" ht="15" hidden="false" customHeight="false" outlineLevel="0" collapsed="false">
      <c r="A21" s="5"/>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row>
    <row r="22" customFormat="false" ht="15" hidden="false" customHeight="false" outlineLevel="0" collapsed="false">
      <c r="A22" s="5"/>
      <c r="B22" s="18" t="s">
        <v>70</v>
      </c>
      <c r="C22" s="19"/>
      <c r="D22" s="19"/>
      <c r="E22" s="19"/>
      <c r="F22" s="5"/>
      <c r="G22" s="5"/>
      <c r="H22" s="5"/>
      <c r="I22" s="5"/>
      <c r="J22" s="5"/>
      <c r="K22" s="5"/>
      <c r="L22" s="5"/>
      <c r="M22" s="5"/>
      <c r="N22" s="5"/>
      <c r="O22" s="5"/>
      <c r="P22" s="5"/>
      <c r="Q22" s="5"/>
      <c r="R22" s="5"/>
      <c r="S22" s="5"/>
      <c r="T22" s="5"/>
      <c r="U22" s="5"/>
      <c r="V22" s="5"/>
      <c r="W22" s="5"/>
      <c r="X22" s="5"/>
      <c r="Y22" s="5"/>
      <c r="Z22" s="5"/>
      <c r="AA22" s="5"/>
      <c r="AB22" s="5"/>
      <c r="AC22" s="5"/>
      <c r="AD22" s="5"/>
    </row>
    <row r="23" customFormat="false" ht="15" hidden="false" customHeight="false" outlineLevel="0" collapsed="false">
      <c r="A23" s="5"/>
      <c r="B23" s="8" t="s">
        <v>71</v>
      </c>
      <c r="C23" s="24" t="n">
        <v>2.5</v>
      </c>
      <c r="D23" s="21" t="s">
        <v>72</v>
      </c>
      <c r="E23" s="22" t="s">
        <v>73</v>
      </c>
      <c r="F23" s="5"/>
      <c r="G23" s="5"/>
      <c r="H23" s="5"/>
      <c r="I23" s="5"/>
      <c r="J23" s="5"/>
      <c r="K23" s="5"/>
      <c r="L23" s="5"/>
      <c r="M23" s="5"/>
      <c r="N23" s="5"/>
      <c r="O23" s="5"/>
      <c r="P23" s="5"/>
      <c r="Q23" s="5"/>
      <c r="R23" s="5"/>
      <c r="S23" s="5"/>
      <c r="T23" s="5"/>
      <c r="U23" s="5"/>
      <c r="V23" s="5"/>
      <c r="W23" s="5"/>
      <c r="X23" s="5"/>
      <c r="Y23" s="5"/>
      <c r="Z23" s="5"/>
      <c r="AA23" s="5"/>
      <c r="AB23" s="5"/>
      <c r="AC23" s="5"/>
      <c r="AD23" s="5"/>
    </row>
    <row r="24" customFormat="false" ht="15" hidden="false" customHeight="false" outlineLevel="0" collapsed="false">
      <c r="A24" s="5"/>
      <c r="B24" s="8" t="s">
        <v>74</v>
      </c>
      <c r="C24" s="25" t="n">
        <v>3</v>
      </c>
      <c r="D24" s="21" t="s">
        <v>75</v>
      </c>
      <c r="E24" s="22" t="s">
        <v>76</v>
      </c>
      <c r="F24" s="5"/>
      <c r="G24" s="5"/>
      <c r="H24" s="5"/>
      <c r="I24" s="5"/>
      <c r="J24" s="5"/>
      <c r="K24" s="5"/>
      <c r="L24" s="5"/>
      <c r="M24" s="5"/>
      <c r="N24" s="5"/>
      <c r="O24" s="5"/>
      <c r="P24" s="5"/>
      <c r="Q24" s="5"/>
      <c r="R24" s="5"/>
      <c r="S24" s="5"/>
      <c r="T24" s="5"/>
      <c r="U24" s="5"/>
      <c r="V24" s="5"/>
      <c r="W24" s="5"/>
      <c r="X24" s="5"/>
      <c r="Y24" s="5"/>
      <c r="Z24" s="5"/>
      <c r="AA24" s="5"/>
      <c r="AB24" s="5"/>
      <c r="AC24" s="5"/>
      <c r="AD24" s="5"/>
    </row>
    <row r="25" customFormat="false" ht="15" hidden="false" customHeight="false" outlineLevel="0" collapsed="false">
      <c r="A25" s="5"/>
      <c r="B25" s="8" t="s">
        <v>77</v>
      </c>
      <c r="C25" s="23" t="n">
        <v>0.96</v>
      </c>
      <c r="D25" s="21" t="s">
        <v>52</v>
      </c>
      <c r="E25" s="22" t="s">
        <v>78</v>
      </c>
      <c r="F25" s="5"/>
      <c r="G25" s="5"/>
      <c r="H25" s="5"/>
      <c r="I25" s="5"/>
      <c r="J25" s="5"/>
      <c r="K25" s="5"/>
      <c r="L25" s="5"/>
      <c r="M25" s="5"/>
      <c r="N25" s="5"/>
      <c r="O25" s="5"/>
      <c r="P25" s="5"/>
      <c r="Q25" s="5"/>
      <c r="R25" s="5"/>
      <c r="S25" s="5"/>
      <c r="T25" s="5"/>
      <c r="U25" s="5"/>
      <c r="V25" s="5"/>
      <c r="W25" s="5"/>
      <c r="X25" s="5"/>
      <c r="Y25" s="5"/>
      <c r="Z25" s="5"/>
      <c r="AA25" s="5"/>
      <c r="AB25" s="5"/>
      <c r="AC25" s="5"/>
      <c r="AD25" s="5"/>
    </row>
    <row r="26" customFormat="false" ht="15" hidden="false" customHeight="false" outlineLevel="0" collapsed="false">
      <c r="A26" s="5"/>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row>
    <row r="27" customFormat="false" ht="15" hidden="false" customHeight="false" outlineLevel="0" collapsed="false">
      <c r="A27" s="5"/>
      <c r="B27" s="18" t="s">
        <v>79</v>
      </c>
      <c r="C27" s="19"/>
      <c r="D27" s="19"/>
      <c r="E27" s="19"/>
      <c r="F27" s="5"/>
      <c r="G27" s="5"/>
      <c r="H27" s="5"/>
      <c r="I27" s="5"/>
      <c r="J27" s="5"/>
      <c r="K27" s="5"/>
      <c r="L27" s="5"/>
      <c r="M27" s="5"/>
      <c r="N27" s="5"/>
      <c r="O27" s="5"/>
      <c r="P27" s="5"/>
      <c r="Q27" s="5"/>
      <c r="R27" s="5"/>
      <c r="S27" s="5"/>
      <c r="T27" s="5"/>
      <c r="U27" s="5"/>
      <c r="V27" s="5"/>
      <c r="W27" s="5"/>
      <c r="X27" s="5"/>
      <c r="Y27" s="5"/>
      <c r="Z27" s="5"/>
      <c r="AA27" s="5"/>
      <c r="AB27" s="5"/>
      <c r="AC27" s="5"/>
      <c r="AD27" s="5"/>
    </row>
    <row r="28" customFormat="false" ht="15" hidden="false" customHeight="false" outlineLevel="0" collapsed="false">
      <c r="A28" s="5"/>
      <c r="B28" s="8" t="s">
        <v>80</v>
      </c>
      <c r="C28" s="24" t="n">
        <v>850000000</v>
      </c>
      <c r="D28" s="21" t="s">
        <v>72</v>
      </c>
      <c r="E28" s="22" t="s">
        <v>81</v>
      </c>
      <c r="F28" s="5"/>
      <c r="G28" s="5"/>
      <c r="H28" s="5"/>
      <c r="I28" s="5"/>
      <c r="J28" s="5"/>
      <c r="K28" s="5"/>
      <c r="L28" s="5"/>
      <c r="M28" s="5"/>
      <c r="N28" s="5"/>
      <c r="O28" s="5"/>
      <c r="P28" s="5"/>
      <c r="Q28" s="5"/>
      <c r="R28" s="5"/>
      <c r="S28" s="5"/>
      <c r="T28" s="5"/>
      <c r="U28" s="5"/>
      <c r="V28" s="5"/>
      <c r="W28" s="5"/>
      <c r="X28" s="5"/>
      <c r="Y28" s="5"/>
      <c r="Z28" s="5"/>
      <c r="AA28" s="5"/>
      <c r="AB28" s="5"/>
      <c r="AC28" s="5"/>
      <c r="AD28" s="5"/>
    </row>
    <row r="29" customFormat="false" ht="15" hidden="false" customHeight="false" outlineLevel="0" collapsed="false">
      <c r="A29" s="5"/>
      <c r="B29" s="8" t="s">
        <v>82</v>
      </c>
      <c r="C29" s="24" t="n">
        <v>25000000</v>
      </c>
      <c r="D29" s="21" t="s">
        <v>72</v>
      </c>
      <c r="E29" s="22" t="s">
        <v>83</v>
      </c>
      <c r="F29" s="5"/>
      <c r="G29" s="5"/>
      <c r="H29" s="5"/>
      <c r="I29" s="5"/>
      <c r="J29" s="5"/>
      <c r="K29" s="5"/>
      <c r="L29" s="5"/>
      <c r="M29" s="5"/>
      <c r="N29" s="5"/>
      <c r="O29" s="5"/>
      <c r="P29" s="5"/>
      <c r="Q29" s="5"/>
      <c r="R29" s="5"/>
      <c r="S29" s="5"/>
      <c r="T29" s="5"/>
      <c r="U29" s="5"/>
      <c r="V29" s="5"/>
      <c r="W29" s="5"/>
      <c r="X29" s="5"/>
      <c r="Y29" s="5"/>
      <c r="Z29" s="5"/>
      <c r="AA29" s="5"/>
      <c r="AB29" s="5"/>
      <c r="AC29" s="5"/>
      <c r="AD29" s="5"/>
    </row>
    <row r="30" customFormat="false" ht="15" hidden="false" customHeight="false" outlineLevel="0" collapsed="false">
      <c r="A30" s="5"/>
      <c r="B30" s="8" t="s">
        <v>84</v>
      </c>
      <c r="C30" s="23" t="n">
        <v>0.05</v>
      </c>
      <c r="D30" s="21" t="s">
        <v>52</v>
      </c>
      <c r="E30" s="22" t="s">
        <v>85</v>
      </c>
      <c r="F30" s="5"/>
      <c r="G30" s="5"/>
      <c r="H30" s="5"/>
      <c r="I30" s="5"/>
      <c r="J30" s="5"/>
      <c r="K30" s="5"/>
      <c r="L30" s="5"/>
      <c r="M30" s="5"/>
      <c r="N30" s="5"/>
      <c r="O30" s="5"/>
      <c r="P30" s="5"/>
      <c r="Q30" s="5"/>
      <c r="R30" s="5"/>
      <c r="S30" s="5"/>
      <c r="T30" s="5"/>
      <c r="U30" s="5"/>
      <c r="V30" s="5"/>
      <c r="W30" s="5"/>
      <c r="X30" s="5"/>
      <c r="Y30" s="5"/>
      <c r="Z30" s="5"/>
      <c r="AA30" s="5"/>
      <c r="AB30" s="5"/>
      <c r="AC30" s="5"/>
      <c r="AD30" s="5"/>
    </row>
    <row r="31" customFormat="false" ht="15" hidden="false" customHeight="false" outlineLevel="0" collapsed="false">
      <c r="A31" s="5"/>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row>
    <row r="32" customFormat="false" ht="15" hidden="false" customHeight="false" outlineLevel="0" collapsed="false">
      <c r="A32" s="5"/>
      <c r="B32" s="18" t="s">
        <v>86</v>
      </c>
      <c r="C32" s="19"/>
      <c r="D32" s="19"/>
      <c r="E32" s="19"/>
      <c r="F32" s="5"/>
      <c r="G32" s="5"/>
      <c r="H32" s="5"/>
      <c r="I32" s="5"/>
      <c r="J32" s="5"/>
      <c r="K32" s="5"/>
      <c r="L32" s="5"/>
      <c r="M32" s="5"/>
      <c r="N32" s="5"/>
      <c r="O32" s="5"/>
      <c r="P32" s="5"/>
      <c r="Q32" s="5"/>
      <c r="R32" s="5"/>
      <c r="S32" s="5"/>
      <c r="T32" s="5"/>
      <c r="U32" s="5"/>
      <c r="V32" s="5"/>
      <c r="W32" s="5"/>
      <c r="X32" s="5"/>
      <c r="Y32" s="5"/>
      <c r="Z32" s="5"/>
      <c r="AA32" s="5"/>
      <c r="AB32" s="5"/>
      <c r="AC32" s="5"/>
      <c r="AD32" s="5"/>
    </row>
    <row r="33" customFormat="false" ht="15" hidden="false" customHeight="false" outlineLevel="0" collapsed="false">
      <c r="A33" s="5"/>
      <c r="B33" s="8" t="s">
        <v>87</v>
      </c>
      <c r="C33" s="20" t="n">
        <v>50</v>
      </c>
      <c r="D33" s="21" t="s">
        <v>88</v>
      </c>
      <c r="E33" s="22" t="s">
        <v>89</v>
      </c>
      <c r="F33" s="5"/>
      <c r="G33" s="5"/>
      <c r="H33" s="5"/>
      <c r="I33" s="5"/>
      <c r="J33" s="5"/>
      <c r="K33" s="5"/>
      <c r="L33" s="5"/>
      <c r="M33" s="5"/>
      <c r="N33" s="5"/>
      <c r="O33" s="5"/>
      <c r="P33" s="5"/>
      <c r="Q33" s="5"/>
      <c r="R33" s="5"/>
      <c r="S33" s="5"/>
      <c r="T33" s="5"/>
      <c r="U33" s="5"/>
      <c r="V33" s="5"/>
      <c r="W33" s="5"/>
      <c r="X33" s="5"/>
      <c r="Y33" s="5"/>
      <c r="Z33" s="5"/>
      <c r="AA33" s="5"/>
      <c r="AB33" s="5"/>
      <c r="AC33" s="5"/>
      <c r="AD33" s="5"/>
    </row>
    <row r="34" customFormat="false" ht="15" hidden="false" customHeight="false" outlineLevel="0" collapsed="false">
      <c r="A34" s="5"/>
      <c r="B34" s="8" t="s">
        <v>90</v>
      </c>
      <c r="C34" s="24" t="n">
        <v>150000</v>
      </c>
      <c r="D34" s="21" t="s">
        <v>91</v>
      </c>
      <c r="E34" s="22" t="s">
        <v>92</v>
      </c>
      <c r="F34" s="5"/>
      <c r="G34" s="5"/>
      <c r="H34" s="5"/>
      <c r="I34" s="5"/>
      <c r="J34" s="5"/>
      <c r="K34" s="5"/>
      <c r="L34" s="5"/>
      <c r="M34" s="5"/>
      <c r="N34" s="5"/>
      <c r="O34" s="5"/>
      <c r="P34" s="5"/>
      <c r="Q34" s="5"/>
      <c r="R34" s="5"/>
      <c r="S34" s="5"/>
      <c r="T34" s="5"/>
      <c r="U34" s="5"/>
      <c r="V34" s="5"/>
      <c r="W34" s="5"/>
      <c r="X34" s="5"/>
      <c r="Y34" s="5"/>
      <c r="Z34" s="5"/>
      <c r="AA34" s="5"/>
      <c r="AB34" s="5"/>
      <c r="AC34" s="5"/>
      <c r="AD34" s="5"/>
    </row>
    <row r="35" customFormat="false" ht="15" hidden="false" customHeight="false" outlineLevel="0" collapsed="false">
      <c r="A35" s="5"/>
      <c r="B35" s="8" t="s">
        <v>93</v>
      </c>
      <c r="C35" s="23" t="n">
        <v>0.04</v>
      </c>
      <c r="D35" s="21" t="s">
        <v>52</v>
      </c>
      <c r="E35" s="22" t="s">
        <v>94</v>
      </c>
      <c r="F35" s="5"/>
      <c r="G35" s="5"/>
      <c r="H35" s="5"/>
      <c r="I35" s="5"/>
      <c r="J35" s="5"/>
      <c r="K35" s="5"/>
      <c r="L35" s="5"/>
      <c r="M35" s="5"/>
      <c r="N35" s="5"/>
      <c r="O35" s="5"/>
      <c r="P35" s="5"/>
      <c r="Q35" s="5"/>
      <c r="R35" s="5"/>
      <c r="S35" s="5"/>
      <c r="T35" s="5"/>
      <c r="U35" s="5"/>
      <c r="V35" s="5"/>
      <c r="W35" s="5"/>
      <c r="X35" s="5"/>
      <c r="Y35" s="5"/>
      <c r="Z35" s="5"/>
      <c r="AA35" s="5"/>
      <c r="AB35" s="5"/>
      <c r="AC35" s="5"/>
      <c r="AD35" s="5"/>
    </row>
    <row r="36" customFormat="false" ht="15" hidden="false" customHeight="false" outlineLevel="0" collapsed="false">
      <c r="A36" s="5"/>
      <c r="B36" s="8" t="s">
        <v>95</v>
      </c>
      <c r="C36" s="24" t="n">
        <v>2500000</v>
      </c>
      <c r="D36" s="21" t="s">
        <v>96</v>
      </c>
      <c r="E36" s="22" t="s">
        <v>97</v>
      </c>
      <c r="F36" s="5"/>
      <c r="G36" s="5"/>
      <c r="H36" s="5"/>
      <c r="I36" s="5"/>
      <c r="J36" s="5"/>
      <c r="K36" s="5"/>
      <c r="L36" s="5"/>
      <c r="M36" s="5"/>
      <c r="N36" s="5"/>
      <c r="O36" s="5"/>
      <c r="P36" s="5"/>
      <c r="Q36" s="5"/>
      <c r="R36" s="5"/>
      <c r="S36" s="5"/>
      <c r="T36" s="5"/>
      <c r="U36" s="5"/>
      <c r="V36" s="5"/>
      <c r="W36" s="5"/>
      <c r="X36" s="5"/>
      <c r="Y36" s="5"/>
      <c r="Z36" s="5"/>
      <c r="AA36" s="5"/>
      <c r="AB36" s="5"/>
      <c r="AC36" s="5"/>
      <c r="AD36" s="5"/>
    </row>
    <row r="37" customFormat="false" ht="15" hidden="false" customHeight="false" outlineLevel="0" collapsed="false">
      <c r="A37" s="5"/>
      <c r="B37" s="8" t="s">
        <v>98</v>
      </c>
      <c r="C37" s="23" t="n">
        <v>0.04</v>
      </c>
      <c r="D37" s="21" t="s">
        <v>52</v>
      </c>
      <c r="E37" s="22" t="s">
        <v>99</v>
      </c>
      <c r="F37" s="5"/>
      <c r="G37" s="5"/>
      <c r="H37" s="5"/>
      <c r="I37" s="5"/>
      <c r="J37" s="5"/>
      <c r="K37" s="5"/>
      <c r="L37" s="5"/>
      <c r="M37" s="5"/>
      <c r="N37" s="5"/>
      <c r="O37" s="5"/>
      <c r="P37" s="5"/>
      <c r="Q37" s="5"/>
      <c r="R37" s="5"/>
      <c r="S37" s="5"/>
      <c r="T37" s="5"/>
      <c r="U37" s="5"/>
      <c r="V37" s="5"/>
      <c r="W37" s="5"/>
      <c r="X37" s="5"/>
      <c r="Y37" s="5"/>
      <c r="Z37" s="5"/>
      <c r="AA37" s="5"/>
      <c r="AB37" s="5"/>
      <c r="AC37" s="5"/>
      <c r="AD37" s="5"/>
    </row>
    <row r="38" customFormat="false" ht="15" hidden="false" customHeight="false" outlineLevel="0" collapsed="false">
      <c r="A38" s="5"/>
      <c r="B38" s="5"/>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row>
    <row r="39" customFormat="false" ht="15" hidden="false" customHeight="false" outlineLevel="0" collapsed="false">
      <c r="A39" s="5"/>
      <c r="B39" s="18" t="s">
        <v>100</v>
      </c>
      <c r="C39" s="19"/>
      <c r="D39" s="19"/>
      <c r="E39" s="19"/>
      <c r="F39" s="5"/>
      <c r="G39" s="5"/>
      <c r="H39" s="5"/>
      <c r="I39" s="5"/>
      <c r="J39" s="5"/>
      <c r="K39" s="5"/>
      <c r="L39" s="5"/>
      <c r="M39" s="5"/>
      <c r="N39" s="5"/>
      <c r="O39" s="5"/>
      <c r="P39" s="5"/>
      <c r="Q39" s="5"/>
      <c r="R39" s="5"/>
      <c r="S39" s="5"/>
      <c r="T39" s="5"/>
      <c r="U39" s="5"/>
      <c r="V39" s="5"/>
      <c r="W39" s="5"/>
      <c r="X39" s="5"/>
      <c r="Y39" s="5"/>
      <c r="Z39" s="5"/>
      <c r="AA39" s="5"/>
      <c r="AB39" s="5"/>
      <c r="AC39" s="5"/>
      <c r="AD39" s="5"/>
    </row>
    <row r="40" customFormat="false" ht="15" hidden="false" customHeight="false" outlineLevel="0" collapsed="false">
      <c r="A40" s="5"/>
      <c r="B40" s="8" t="s">
        <v>101</v>
      </c>
      <c r="C40" s="23" t="n">
        <v>0.75</v>
      </c>
      <c r="D40" s="21" t="s">
        <v>52</v>
      </c>
      <c r="E40" s="22" t="s">
        <v>102</v>
      </c>
      <c r="F40" s="5"/>
      <c r="G40" s="5"/>
      <c r="H40" s="5"/>
      <c r="I40" s="5"/>
      <c r="J40" s="5"/>
      <c r="K40" s="5"/>
      <c r="L40" s="5"/>
      <c r="M40" s="5"/>
      <c r="N40" s="5"/>
      <c r="O40" s="5"/>
      <c r="P40" s="5"/>
      <c r="Q40" s="5"/>
      <c r="R40" s="5"/>
      <c r="S40" s="5"/>
      <c r="T40" s="5"/>
      <c r="U40" s="5"/>
      <c r="V40" s="5"/>
      <c r="W40" s="5"/>
      <c r="X40" s="5"/>
      <c r="Y40" s="5"/>
      <c r="Z40" s="5"/>
      <c r="AA40" s="5"/>
      <c r="AB40" s="5"/>
      <c r="AC40" s="5"/>
      <c r="AD40" s="5"/>
    </row>
    <row r="41" customFormat="false" ht="15" hidden="false" customHeight="false" outlineLevel="0" collapsed="false">
      <c r="A41" s="5"/>
      <c r="B41" s="8" t="s">
        <v>103</v>
      </c>
      <c r="C41" s="23" t="n">
        <v>0.04</v>
      </c>
      <c r="D41" s="21" t="s">
        <v>52</v>
      </c>
      <c r="E41" s="22" t="s">
        <v>104</v>
      </c>
      <c r="F41" s="5"/>
      <c r="G41" s="5"/>
      <c r="H41" s="5"/>
      <c r="I41" s="5"/>
      <c r="J41" s="5"/>
      <c r="K41" s="5"/>
      <c r="L41" s="5"/>
      <c r="M41" s="5"/>
      <c r="N41" s="5"/>
      <c r="O41" s="5"/>
      <c r="P41" s="5"/>
      <c r="Q41" s="5"/>
      <c r="R41" s="5"/>
      <c r="S41" s="5"/>
      <c r="T41" s="5"/>
      <c r="U41" s="5"/>
      <c r="V41" s="5"/>
      <c r="W41" s="5"/>
      <c r="X41" s="5"/>
      <c r="Y41" s="5"/>
      <c r="Z41" s="5"/>
      <c r="AA41" s="5"/>
      <c r="AB41" s="5"/>
      <c r="AC41" s="5"/>
      <c r="AD41" s="5"/>
    </row>
    <row r="42" customFormat="false" ht="15" hidden="false" customHeight="false" outlineLevel="0" collapsed="false">
      <c r="A42" s="5"/>
      <c r="B42" s="8" t="s">
        <v>105</v>
      </c>
      <c r="C42" s="23" t="n">
        <v>0.015</v>
      </c>
      <c r="D42" s="21" t="s">
        <v>52</v>
      </c>
      <c r="E42" s="22" t="s">
        <v>106</v>
      </c>
      <c r="F42" s="5"/>
      <c r="G42" s="5"/>
      <c r="H42" s="5"/>
      <c r="I42" s="5"/>
      <c r="J42" s="5"/>
      <c r="K42" s="5"/>
      <c r="L42" s="5"/>
      <c r="M42" s="5"/>
      <c r="N42" s="5"/>
      <c r="O42" s="5"/>
      <c r="P42" s="5"/>
      <c r="Q42" s="5"/>
      <c r="R42" s="5"/>
      <c r="S42" s="5"/>
      <c r="T42" s="5"/>
      <c r="U42" s="5"/>
      <c r="V42" s="5"/>
      <c r="W42" s="5"/>
      <c r="X42" s="5"/>
      <c r="Y42" s="5"/>
      <c r="Z42" s="5"/>
      <c r="AA42" s="5"/>
      <c r="AB42" s="5"/>
      <c r="AC42" s="5"/>
      <c r="AD42" s="5"/>
    </row>
    <row r="43" customFormat="false" ht="15" hidden="false" customHeight="false" outlineLevel="0" collapsed="false">
      <c r="A43" s="5"/>
      <c r="B43" s="8" t="s">
        <v>107</v>
      </c>
      <c r="C43" s="25" t="n">
        <v>1.3</v>
      </c>
      <c r="D43" s="21" t="s">
        <v>75</v>
      </c>
      <c r="E43" s="22" t="s">
        <v>108</v>
      </c>
      <c r="F43" s="5"/>
      <c r="G43" s="5"/>
      <c r="H43" s="5"/>
      <c r="I43" s="5"/>
      <c r="J43" s="5"/>
      <c r="K43" s="5"/>
      <c r="L43" s="5"/>
      <c r="M43" s="5"/>
      <c r="N43" s="5"/>
      <c r="O43" s="5"/>
      <c r="P43" s="5"/>
      <c r="Q43" s="5"/>
      <c r="R43" s="5"/>
      <c r="S43" s="5"/>
      <c r="T43" s="5"/>
      <c r="U43" s="5"/>
      <c r="V43" s="5"/>
      <c r="W43" s="5"/>
      <c r="X43" s="5"/>
      <c r="Y43" s="5"/>
      <c r="Z43" s="5"/>
      <c r="AA43" s="5"/>
      <c r="AB43" s="5"/>
      <c r="AC43" s="5"/>
      <c r="AD43" s="5"/>
    </row>
    <row r="44" customFormat="false" ht="15" hidden="false" customHeight="false" outlineLevel="0" collapsed="false">
      <c r="A44" s="5"/>
      <c r="B44" s="8" t="s">
        <v>109</v>
      </c>
      <c r="C44" s="25" t="n">
        <v>1.15</v>
      </c>
      <c r="D44" s="21" t="s">
        <v>75</v>
      </c>
      <c r="E44" s="22" t="s">
        <v>110</v>
      </c>
      <c r="F44" s="5"/>
      <c r="G44" s="5"/>
      <c r="H44" s="5"/>
      <c r="I44" s="5"/>
      <c r="J44" s="5"/>
      <c r="K44" s="5"/>
      <c r="L44" s="5"/>
      <c r="M44" s="5"/>
      <c r="N44" s="5"/>
      <c r="O44" s="5"/>
      <c r="P44" s="5"/>
      <c r="Q44" s="5"/>
      <c r="R44" s="5"/>
      <c r="S44" s="5"/>
      <c r="T44" s="5"/>
      <c r="U44" s="5"/>
      <c r="V44" s="5"/>
      <c r="W44" s="5"/>
      <c r="X44" s="5"/>
      <c r="Y44" s="5"/>
      <c r="Z44" s="5"/>
      <c r="AA44" s="5"/>
      <c r="AB44" s="5"/>
      <c r="AC44" s="5"/>
      <c r="AD44" s="5"/>
    </row>
    <row r="45" customFormat="false" ht="15" hidden="false" customHeight="false" outlineLevel="0" collapsed="false">
      <c r="A45" s="5"/>
      <c r="B45" s="8" t="s">
        <v>111</v>
      </c>
      <c r="C45" s="20" t="n">
        <v>6</v>
      </c>
      <c r="D45" s="21" t="s">
        <v>112</v>
      </c>
      <c r="E45" s="22" t="s">
        <v>113</v>
      </c>
      <c r="F45" s="5"/>
      <c r="G45" s="5"/>
      <c r="H45" s="5"/>
      <c r="I45" s="5"/>
      <c r="J45" s="5"/>
      <c r="K45" s="5"/>
      <c r="L45" s="5"/>
      <c r="M45" s="5"/>
      <c r="N45" s="5"/>
      <c r="O45" s="5"/>
      <c r="P45" s="5"/>
      <c r="Q45" s="5"/>
      <c r="R45" s="5"/>
      <c r="S45" s="5"/>
      <c r="T45" s="5"/>
      <c r="U45" s="5"/>
      <c r="V45" s="5"/>
      <c r="W45" s="5"/>
      <c r="X45" s="5"/>
      <c r="Y45" s="5"/>
      <c r="Z45" s="5"/>
      <c r="AA45" s="5"/>
      <c r="AB45" s="5"/>
      <c r="AC45" s="5"/>
      <c r="AD45" s="5"/>
    </row>
    <row r="46" customFormat="false" ht="15" hidden="false" customHeight="false" outlineLevel="0" collapsed="false">
      <c r="A46" s="5"/>
      <c r="B46" s="8" t="s">
        <v>114</v>
      </c>
      <c r="C46" s="23" t="n">
        <v>0.005</v>
      </c>
      <c r="D46" s="21" t="s">
        <v>52</v>
      </c>
      <c r="E46" s="22" t="s">
        <v>115</v>
      </c>
      <c r="F46" s="5"/>
      <c r="G46" s="5"/>
      <c r="H46" s="5"/>
      <c r="I46" s="5"/>
      <c r="J46" s="5"/>
      <c r="K46" s="5"/>
      <c r="L46" s="5"/>
      <c r="M46" s="5"/>
      <c r="N46" s="5"/>
      <c r="O46" s="5"/>
      <c r="P46" s="5"/>
      <c r="Q46" s="5"/>
      <c r="R46" s="5"/>
      <c r="S46" s="5"/>
      <c r="T46" s="5"/>
      <c r="U46" s="5"/>
      <c r="V46" s="5"/>
      <c r="W46" s="5"/>
      <c r="X46" s="5"/>
      <c r="Y46" s="5"/>
      <c r="Z46" s="5"/>
      <c r="AA46" s="5"/>
      <c r="AB46" s="5"/>
      <c r="AC46" s="5"/>
      <c r="AD46" s="5"/>
    </row>
    <row r="47" customFormat="false" ht="15" hidden="false" customHeight="false" outlineLevel="0" collapsed="false">
      <c r="A47" s="5"/>
      <c r="B47" s="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row>
    <row r="48" customFormat="false" ht="15" hidden="false" customHeight="false" outlineLevel="0" collapsed="false">
      <c r="A48" s="5"/>
      <c r="B48" s="18" t="s">
        <v>23</v>
      </c>
      <c r="C48" s="19"/>
      <c r="D48" s="19"/>
      <c r="E48" s="19"/>
      <c r="F48" s="5"/>
      <c r="G48" s="5"/>
      <c r="H48" s="5"/>
      <c r="I48" s="5"/>
      <c r="J48" s="5"/>
      <c r="K48" s="5"/>
      <c r="L48" s="5"/>
      <c r="M48" s="5"/>
      <c r="N48" s="5"/>
      <c r="O48" s="5"/>
      <c r="P48" s="5"/>
      <c r="Q48" s="5"/>
      <c r="R48" s="5"/>
      <c r="S48" s="5"/>
      <c r="T48" s="5"/>
      <c r="U48" s="5"/>
      <c r="V48" s="5"/>
      <c r="W48" s="5"/>
      <c r="X48" s="5"/>
      <c r="Y48" s="5"/>
      <c r="Z48" s="5"/>
      <c r="AA48" s="5"/>
      <c r="AB48" s="5"/>
      <c r="AC48" s="5"/>
      <c r="AD48" s="5"/>
    </row>
    <row r="49" customFormat="false" ht="15" hidden="false" customHeight="false" outlineLevel="0" collapsed="false">
      <c r="A49" s="5"/>
      <c r="B49" s="8" t="s">
        <v>116</v>
      </c>
      <c r="C49" s="23" t="n">
        <v>0.09</v>
      </c>
      <c r="D49" s="21" t="s">
        <v>52</v>
      </c>
      <c r="E49" s="22" t="s">
        <v>117</v>
      </c>
      <c r="F49" s="5"/>
      <c r="G49" s="5"/>
      <c r="H49" s="5"/>
      <c r="I49" s="5"/>
      <c r="J49" s="5"/>
      <c r="K49" s="5"/>
      <c r="L49" s="5"/>
      <c r="M49" s="5"/>
      <c r="N49" s="5"/>
      <c r="O49" s="5"/>
      <c r="P49" s="5"/>
      <c r="Q49" s="5"/>
      <c r="R49" s="5"/>
      <c r="S49" s="5"/>
      <c r="T49" s="5"/>
      <c r="U49" s="5"/>
      <c r="V49" s="5"/>
      <c r="W49" s="5"/>
      <c r="X49" s="5"/>
      <c r="Y49" s="5"/>
      <c r="Z49" s="5"/>
      <c r="AA49" s="5"/>
      <c r="AB49" s="5"/>
      <c r="AC49" s="5"/>
      <c r="AD49" s="5"/>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28"/>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2"/>
    <col collapsed="false" customWidth="true" hidden="false" outlineLevel="0" max="2" min="2" style="0" width="90"/>
    <col collapsed="false" customWidth="true" hidden="false" outlineLevel="0" max="3" min="3" style="0" width="2"/>
  </cols>
  <sheetData>
    <row r="1" customFormat="false" ht="15" hidden="false" customHeight="false" outlineLevel="0" collapsed="false">
      <c r="A1" s="5"/>
      <c r="B1" s="5"/>
    </row>
    <row r="2" customFormat="false" ht="31.5" hidden="false" customHeight="true" outlineLevel="0" collapsed="false">
      <c r="A2" s="5"/>
      <c r="B2" s="26" t="s">
        <v>118</v>
      </c>
    </row>
    <row r="3" customFormat="false" ht="3.75" hidden="false" customHeight="true" outlineLevel="0" collapsed="false">
      <c r="A3" s="5"/>
      <c r="B3" s="27"/>
    </row>
    <row r="4" customFormat="false" ht="15" hidden="false" customHeight="false" outlineLevel="0" collapsed="false">
      <c r="A4" s="5"/>
      <c r="B4" s="5"/>
    </row>
    <row r="5" customFormat="false" ht="19.5" hidden="false" customHeight="true" outlineLevel="0" collapsed="false">
      <c r="A5" s="5"/>
      <c r="B5" s="28" t="s">
        <v>119</v>
      </c>
    </row>
    <row r="6" customFormat="false" ht="48" hidden="false" customHeight="true" outlineLevel="0" collapsed="false">
      <c r="A6" s="5"/>
      <c r="B6" s="29" t="s">
        <v>120</v>
      </c>
    </row>
    <row r="7" customFormat="false" ht="15" hidden="false" customHeight="false" outlineLevel="0" collapsed="false">
      <c r="A7" s="5"/>
      <c r="B7" s="5"/>
    </row>
    <row r="8" customFormat="false" ht="19.5" hidden="false" customHeight="true" outlineLevel="0" collapsed="false">
      <c r="A8" s="5"/>
      <c r="B8" s="28" t="s">
        <v>121</v>
      </c>
    </row>
    <row r="9" customFormat="false" ht="61.5" hidden="false" customHeight="true" outlineLevel="0" collapsed="false">
      <c r="A9" s="5"/>
      <c r="B9" s="29" t="s">
        <v>122</v>
      </c>
    </row>
    <row r="10" customFormat="false" ht="15" hidden="false" customHeight="false" outlineLevel="0" collapsed="false">
      <c r="A10" s="5"/>
      <c r="B10" s="5"/>
    </row>
    <row r="11" customFormat="false" ht="19.5" hidden="false" customHeight="true" outlineLevel="0" collapsed="false">
      <c r="A11" s="5"/>
      <c r="B11" s="28" t="s">
        <v>123</v>
      </c>
    </row>
    <row r="12" customFormat="false" ht="75.75" hidden="false" customHeight="true" outlineLevel="0" collapsed="false">
      <c r="A12" s="5"/>
      <c r="B12" s="29" t="s">
        <v>124</v>
      </c>
    </row>
    <row r="13" customFormat="false" ht="15" hidden="false" customHeight="false" outlineLevel="0" collapsed="false">
      <c r="A13" s="5"/>
      <c r="B13" s="5"/>
    </row>
    <row r="14" customFormat="false" ht="19.5" hidden="false" customHeight="true" outlineLevel="0" collapsed="false">
      <c r="A14" s="5"/>
      <c r="B14" s="28" t="s">
        <v>125</v>
      </c>
    </row>
    <row r="15" customFormat="false" ht="61.5" hidden="false" customHeight="true" outlineLevel="0" collapsed="false">
      <c r="A15" s="5"/>
      <c r="B15" s="29" t="s">
        <v>126</v>
      </c>
    </row>
    <row r="16" customFormat="false" ht="15" hidden="false" customHeight="false" outlineLevel="0" collapsed="false">
      <c r="A16" s="5"/>
      <c r="B16" s="5"/>
    </row>
    <row r="17" customFormat="false" ht="19.5" hidden="false" customHeight="true" outlineLevel="0" collapsed="false">
      <c r="A17" s="5"/>
      <c r="B17" s="28" t="s">
        <v>127</v>
      </c>
    </row>
    <row r="18" customFormat="false" ht="33.75" hidden="false" customHeight="true" outlineLevel="0" collapsed="false">
      <c r="A18" s="5"/>
      <c r="B18" s="29" t="s">
        <v>128</v>
      </c>
    </row>
    <row r="19" customFormat="false" ht="15" hidden="false" customHeight="false" outlineLevel="0" collapsed="false">
      <c r="A19" s="5"/>
      <c r="B19" s="5"/>
    </row>
    <row r="20" customFormat="false" ht="19.5" hidden="false" customHeight="true" outlineLevel="0" collapsed="false">
      <c r="A20" s="5"/>
      <c r="B20" s="28" t="s">
        <v>129</v>
      </c>
    </row>
    <row r="21" customFormat="false" ht="33.75" hidden="false" customHeight="true" outlineLevel="0" collapsed="false">
      <c r="A21" s="5"/>
      <c r="B21" s="29" t="s">
        <v>130</v>
      </c>
    </row>
    <row r="22" customFormat="false" ht="15" hidden="false" customHeight="false" outlineLevel="0" collapsed="false">
      <c r="A22" s="5"/>
      <c r="B22" s="5"/>
    </row>
    <row r="23" customFormat="false" ht="21.75" hidden="false" customHeight="true" outlineLevel="0" collapsed="false">
      <c r="A23" s="5"/>
      <c r="B23" s="30" t="s">
        <v>131</v>
      </c>
    </row>
    <row r="24" customFormat="false" ht="15" hidden="false" customHeight="false" outlineLevel="0" collapsed="false">
      <c r="A24" s="5"/>
      <c r="B24" s="5"/>
    </row>
    <row r="25" customFormat="false" ht="18" hidden="false" customHeight="true" outlineLevel="0" collapsed="false">
      <c r="A25" s="5"/>
      <c r="B25" s="31" t="s">
        <v>132</v>
      </c>
    </row>
    <row r="26" customFormat="false" ht="201.75" hidden="false" customHeight="true" outlineLevel="0" collapsed="false">
      <c r="A26" s="5"/>
      <c r="B26" s="32" t="s">
        <v>133</v>
      </c>
    </row>
    <row r="27" customFormat="false" ht="15" hidden="false" customHeight="false" outlineLevel="0" collapsed="false">
      <c r="A27" s="5"/>
      <c r="B27" s="5"/>
    </row>
    <row r="28" customFormat="false" ht="18" hidden="false" customHeight="true" outlineLevel="0" collapsed="false">
      <c r="A28" s="5"/>
      <c r="B28" s="33" t="s">
        <v>134</v>
      </c>
    </row>
  </sheetData>
  <printOptions headings="false" gridLines="false" gridLinesSet="true" horizontalCentered="true" verticalCentered="false"/>
  <pageMargins left="0.4" right="0.4" top="1" bottom="1"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ED7D31"/>
    <pageSetUpPr fitToPage="false"/>
  </sheetPr>
  <dimension ref="A1:AA24"/>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2"/>
    <col collapsed="false" customWidth="true" hidden="false" outlineLevel="0" max="27" min="3" style="0" width="14"/>
  </cols>
  <sheetData>
    <row r="1" customFormat="false" ht="15" hidden="false" customHeight="false" outlineLevel="0" collapsed="false">
      <c r="A1" s="5"/>
      <c r="B1" s="5"/>
      <c r="C1" s="5"/>
      <c r="D1" s="5"/>
      <c r="E1" s="5"/>
      <c r="F1" s="5"/>
      <c r="G1" s="5"/>
      <c r="H1" s="5"/>
      <c r="I1" s="5"/>
      <c r="J1" s="5"/>
      <c r="K1" s="5"/>
      <c r="L1" s="5"/>
      <c r="M1" s="5"/>
      <c r="N1" s="5"/>
      <c r="O1" s="5"/>
      <c r="P1" s="5"/>
      <c r="Q1" s="5"/>
      <c r="R1" s="5"/>
      <c r="S1" s="5"/>
      <c r="T1" s="5"/>
      <c r="U1" s="5"/>
      <c r="V1" s="5"/>
      <c r="W1" s="5"/>
      <c r="X1" s="5"/>
      <c r="Y1" s="5"/>
      <c r="Z1" s="5"/>
      <c r="AA1" s="5"/>
    </row>
    <row r="2" customFormat="false" ht="22.05" hidden="false" customHeight="false" outlineLevel="0" collapsed="false">
      <c r="A2" s="5"/>
      <c r="B2" s="26" t="s">
        <v>13</v>
      </c>
      <c r="C2" s="5"/>
      <c r="D2" s="5"/>
      <c r="E2" s="5"/>
      <c r="F2" s="5"/>
      <c r="G2" s="5"/>
      <c r="H2" s="5"/>
      <c r="I2" s="5"/>
      <c r="J2" s="5"/>
      <c r="K2" s="5"/>
      <c r="L2" s="5"/>
      <c r="M2" s="5"/>
      <c r="N2" s="5"/>
      <c r="O2" s="5"/>
      <c r="P2" s="5"/>
      <c r="Q2" s="5"/>
      <c r="R2" s="5"/>
      <c r="S2" s="5"/>
      <c r="T2" s="5"/>
      <c r="U2" s="5"/>
      <c r="V2" s="5"/>
      <c r="W2" s="5"/>
      <c r="X2" s="5"/>
      <c r="Y2" s="5"/>
      <c r="Z2" s="5"/>
      <c r="AA2" s="5"/>
    </row>
    <row r="3" customFormat="false" ht="15" hidden="false" customHeight="false" outlineLevel="0" collapsed="false">
      <c r="A3" s="5"/>
      <c r="B3" s="6" t="s">
        <v>135</v>
      </c>
      <c r="C3" s="5"/>
      <c r="D3" s="5"/>
      <c r="E3" s="5"/>
      <c r="F3" s="5"/>
      <c r="G3" s="5"/>
      <c r="H3" s="5"/>
      <c r="I3" s="5"/>
      <c r="J3" s="5"/>
      <c r="K3" s="5"/>
      <c r="L3" s="5"/>
      <c r="M3" s="5"/>
      <c r="N3" s="5"/>
      <c r="O3" s="5"/>
      <c r="P3" s="5"/>
      <c r="Q3" s="5"/>
      <c r="R3" s="5"/>
      <c r="S3" s="5"/>
      <c r="T3" s="5"/>
      <c r="U3" s="5"/>
      <c r="V3" s="5"/>
      <c r="W3" s="5"/>
      <c r="X3" s="5"/>
      <c r="Y3" s="5"/>
      <c r="Z3" s="5"/>
      <c r="AA3" s="5"/>
    </row>
    <row r="4" customFormat="false" ht="15" hidden="false" customHeight="false" outlineLevel="0" collapsed="false">
      <c r="A4" s="5"/>
      <c r="B4" s="5"/>
      <c r="C4" s="5"/>
      <c r="D4" s="5"/>
      <c r="E4" s="5"/>
      <c r="F4" s="5"/>
      <c r="G4" s="5"/>
      <c r="H4" s="5"/>
      <c r="I4" s="5"/>
      <c r="J4" s="5"/>
      <c r="K4" s="5"/>
      <c r="L4" s="5"/>
      <c r="M4" s="5"/>
      <c r="N4" s="5"/>
      <c r="O4" s="5"/>
      <c r="P4" s="5"/>
      <c r="Q4" s="5"/>
      <c r="R4" s="5"/>
      <c r="S4" s="5"/>
      <c r="T4" s="5"/>
      <c r="U4" s="5"/>
      <c r="V4" s="5"/>
      <c r="W4" s="5"/>
      <c r="X4" s="5"/>
      <c r="Y4" s="5"/>
      <c r="Z4" s="5"/>
      <c r="AA4" s="5"/>
    </row>
    <row r="5" customFormat="false" ht="15" hidden="false" customHeight="false" outlineLevel="0" collapsed="false">
      <c r="A5" s="5"/>
      <c r="B5" s="5"/>
      <c r="C5" s="34" t="n">
        <f aca="false">Base_Year+0</f>
        <v>2026</v>
      </c>
      <c r="D5" s="34" t="n">
        <f aca="false">Base_Year+1</f>
        <v>2027</v>
      </c>
      <c r="E5" s="34" t="n">
        <f aca="false">Base_Year+2</f>
        <v>2028</v>
      </c>
      <c r="F5" s="34" t="n">
        <f aca="false">Base_Year+3</f>
        <v>2029</v>
      </c>
      <c r="G5" s="34" t="n">
        <f aca="false">Base_Year+4</f>
        <v>2030</v>
      </c>
      <c r="H5" s="34" t="n">
        <f aca="false">Base_Year+5</f>
        <v>2031</v>
      </c>
      <c r="I5" s="34" t="n">
        <f aca="false">Base_Year+6</f>
        <v>2032</v>
      </c>
      <c r="J5" s="34" t="n">
        <f aca="false">Base_Year+7</f>
        <v>2033</v>
      </c>
      <c r="K5" s="34" t="n">
        <f aca="false">Base_Year+8</f>
        <v>2034</v>
      </c>
      <c r="L5" s="34" t="n">
        <f aca="false">Base_Year+9</f>
        <v>2035</v>
      </c>
      <c r="M5" s="34" t="n">
        <f aca="false">Base_Year+10</f>
        <v>2036</v>
      </c>
      <c r="N5" s="34" t="n">
        <f aca="false">Base_Year+11</f>
        <v>2037</v>
      </c>
      <c r="O5" s="34" t="n">
        <f aca="false">Base_Year+12</f>
        <v>2038</v>
      </c>
      <c r="P5" s="34" t="n">
        <f aca="false">Base_Year+13</f>
        <v>2039</v>
      </c>
      <c r="Q5" s="34" t="n">
        <f aca="false">Base_Year+14</f>
        <v>2040</v>
      </c>
      <c r="R5" s="34" t="n">
        <f aca="false">Base_Year+15</f>
        <v>2041</v>
      </c>
      <c r="S5" s="34" t="n">
        <f aca="false">Base_Year+16</f>
        <v>2042</v>
      </c>
      <c r="T5" s="34" t="n">
        <f aca="false">Base_Year+17</f>
        <v>2043</v>
      </c>
      <c r="U5" s="34" t="n">
        <f aca="false">Base_Year+18</f>
        <v>2044</v>
      </c>
      <c r="V5" s="34" t="n">
        <f aca="false">Base_Year+19</f>
        <v>2045</v>
      </c>
      <c r="W5" s="34" t="n">
        <f aca="false">Base_Year+20</f>
        <v>2046</v>
      </c>
      <c r="X5" s="34" t="n">
        <f aca="false">Base_Year+21</f>
        <v>2047</v>
      </c>
      <c r="Y5" s="34" t="n">
        <f aca="false">Base_Year+22</f>
        <v>2048</v>
      </c>
      <c r="Z5" s="34" t="n">
        <f aca="false">Base_Year+23</f>
        <v>2049</v>
      </c>
      <c r="AA5" s="34" t="n">
        <f aca="false">Base_Year+24</f>
        <v>2050</v>
      </c>
    </row>
    <row r="6" customFormat="false" ht="15" hidden="false" customHeight="false" outlineLevel="0" collapsed="false">
      <c r="A6" s="5"/>
      <c r="B6" s="5"/>
      <c r="C6" s="35" t="n">
        <v>1</v>
      </c>
      <c r="D6" s="35" t="n">
        <v>2</v>
      </c>
      <c r="E6" s="35" t="n">
        <v>3</v>
      </c>
      <c r="F6" s="35" t="n">
        <v>4</v>
      </c>
      <c r="G6" s="35" t="n">
        <v>5</v>
      </c>
      <c r="H6" s="35" t="n">
        <v>6</v>
      </c>
      <c r="I6" s="35" t="n">
        <v>7</v>
      </c>
      <c r="J6" s="35" t="n">
        <v>8</v>
      </c>
      <c r="K6" s="35" t="n">
        <v>9</v>
      </c>
      <c r="L6" s="35" t="n">
        <v>10</v>
      </c>
      <c r="M6" s="35" t="n">
        <v>11</v>
      </c>
      <c r="N6" s="35" t="n">
        <v>12</v>
      </c>
      <c r="O6" s="35" t="n">
        <v>13</v>
      </c>
      <c r="P6" s="35" t="n">
        <v>14</v>
      </c>
      <c r="Q6" s="35" t="n">
        <v>15</v>
      </c>
      <c r="R6" s="35" t="n">
        <v>16</v>
      </c>
      <c r="S6" s="35" t="n">
        <v>17</v>
      </c>
      <c r="T6" s="35" t="n">
        <v>18</v>
      </c>
      <c r="U6" s="35" t="n">
        <v>19</v>
      </c>
      <c r="V6" s="35" t="n">
        <v>20</v>
      </c>
      <c r="W6" s="35" t="n">
        <v>21</v>
      </c>
      <c r="X6" s="35" t="n">
        <v>22</v>
      </c>
      <c r="Y6" s="35" t="n">
        <v>23</v>
      </c>
      <c r="Z6" s="35" t="n">
        <v>24</v>
      </c>
      <c r="AA6" s="35" t="n">
        <v>25</v>
      </c>
    </row>
    <row r="7" customFormat="false" ht="15" hidden="false" customHeight="false" outlineLevel="0" collapsed="false">
      <c r="A7" s="5"/>
      <c r="B7" s="5"/>
      <c r="C7" s="5"/>
      <c r="D7" s="5"/>
      <c r="E7" s="5"/>
      <c r="F7" s="5"/>
      <c r="G7" s="5"/>
      <c r="H7" s="5"/>
      <c r="I7" s="5"/>
      <c r="J7" s="5"/>
      <c r="K7" s="5"/>
      <c r="L7" s="5"/>
      <c r="M7" s="5"/>
      <c r="N7" s="5"/>
      <c r="O7" s="5"/>
      <c r="P7" s="5"/>
      <c r="Q7" s="5"/>
      <c r="R7" s="5"/>
      <c r="S7" s="5"/>
      <c r="T7" s="5"/>
      <c r="U7" s="5"/>
      <c r="V7" s="5"/>
      <c r="W7" s="5"/>
      <c r="X7" s="5"/>
      <c r="Y7" s="5"/>
      <c r="Z7" s="5"/>
      <c r="AA7" s="5"/>
    </row>
    <row r="8" customFormat="false" ht="15" hidden="false" customHeight="false" outlineLevel="0" collapsed="false">
      <c r="A8" s="5"/>
      <c r="B8" s="10" t="s">
        <v>79</v>
      </c>
      <c r="C8" s="11"/>
      <c r="D8" s="11"/>
      <c r="E8" s="11"/>
      <c r="F8" s="11"/>
      <c r="G8" s="11"/>
      <c r="H8" s="11"/>
      <c r="I8" s="11"/>
      <c r="J8" s="11"/>
      <c r="K8" s="11"/>
      <c r="L8" s="11"/>
      <c r="M8" s="11"/>
      <c r="N8" s="11"/>
      <c r="O8" s="11"/>
      <c r="P8" s="11"/>
      <c r="Q8" s="11"/>
      <c r="R8" s="11"/>
      <c r="S8" s="11"/>
      <c r="T8" s="11"/>
      <c r="U8" s="11"/>
      <c r="V8" s="11"/>
      <c r="W8" s="11"/>
      <c r="X8" s="11"/>
      <c r="Y8" s="11"/>
      <c r="Z8" s="11"/>
      <c r="AA8" s="11"/>
    </row>
    <row r="9" customFormat="false" ht="15" hidden="false" customHeight="false" outlineLevel="0" collapsed="false">
      <c r="A9" s="5"/>
      <c r="B9" s="36" t="s">
        <v>136</v>
      </c>
      <c r="C9" s="37" t="n">
        <f aca="false">IF(C6&lt;=Construction_Years,EPC_Cost/Construction_Years,0)</f>
        <v>283333333.333333</v>
      </c>
      <c r="D9" s="37" t="n">
        <f aca="false">IF(D6&lt;=Construction_Years,EPC_Cost/Construction_Years,0)</f>
        <v>283333333.333333</v>
      </c>
      <c r="E9" s="37" t="n">
        <f aca="false">IF(E6&lt;=Construction_Years,EPC_Cost/Construction_Years,0)</f>
        <v>283333333.333333</v>
      </c>
      <c r="F9" s="37" t="n">
        <f aca="false">IF(F6&lt;=Construction_Years,EPC_Cost/Construction_Years,0)</f>
        <v>0</v>
      </c>
      <c r="G9" s="37" t="n">
        <f aca="false">IF(G6&lt;=Construction_Years,EPC_Cost/Construction_Years,0)</f>
        <v>0</v>
      </c>
      <c r="H9" s="37" t="n">
        <f aca="false">IF(H6&lt;=Construction_Years,EPC_Cost/Construction_Years,0)</f>
        <v>0</v>
      </c>
      <c r="I9" s="37" t="n">
        <f aca="false">IF(I6&lt;=Construction_Years,EPC_Cost/Construction_Years,0)</f>
        <v>0</v>
      </c>
      <c r="J9" s="37" t="n">
        <f aca="false">IF(J6&lt;=Construction_Years,EPC_Cost/Construction_Years,0)</f>
        <v>0</v>
      </c>
      <c r="K9" s="37" t="n">
        <f aca="false">IF(K6&lt;=Construction_Years,EPC_Cost/Construction_Years,0)</f>
        <v>0</v>
      </c>
      <c r="L9" s="37" t="n">
        <f aca="false">IF(L6&lt;=Construction_Years,EPC_Cost/Construction_Years,0)</f>
        <v>0</v>
      </c>
      <c r="M9" s="37" t="n">
        <f aca="false">IF(M6&lt;=Construction_Years,EPC_Cost/Construction_Years,0)</f>
        <v>0</v>
      </c>
      <c r="N9" s="37" t="n">
        <f aca="false">IF(N6&lt;=Construction_Years,EPC_Cost/Construction_Years,0)</f>
        <v>0</v>
      </c>
      <c r="O9" s="37" t="n">
        <f aca="false">IF(O6&lt;=Construction_Years,EPC_Cost/Construction_Years,0)</f>
        <v>0</v>
      </c>
      <c r="P9" s="37" t="n">
        <f aca="false">IF(P6&lt;=Construction_Years,EPC_Cost/Construction_Years,0)</f>
        <v>0</v>
      </c>
      <c r="Q9" s="37" t="n">
        <f aca="false">IF(Q6&lt;=Construction_Years,EPC_Cost/Construction_Years,0)</f>
        <v>0</v>
      </c>
      <c r="R9" s="37" t="n">
        <f aca="false">IF(R6&lt;=Construction_Years,EPC_Cost/Construction_Years,0)</f>
        <v>0</v>
      </c>
      <c r="S9" s="37" t="n">
        <f aca="false">IF(S6&lt;=Construction_Years,EPC_Cost/Construction_Years,0)</f>
        <v>0</v>
      </c>
      <c r="T9" s="37" t="n">
        <f aca="false">IF(T6&lt;=Construction_Years,EPC_Cost/Construction_Years,0)</f>
        <v>0</v>
      </c>
      <c r="U9" s="37" t="n">
        <f aca="false">IF(U6&lt;=Construction_Years,EPC_Cost/Construction_Years,0)</f>
        <v>0</v>
      </c>
      <c r="V9" s="37" t="n">
        <f aca="false">IF(V6&lt;=Construction_Years,EPC_Cost/Construction_Years,0)</f>
        <v>0</v>
      </c>
      <c r="W9" s="37" t="n">
        <f aca="false">IF(W6&lt;=Construction_Years,EPC_Cost/Construction_Years,0)</f>
        <v>0</v>
      </c>
      <c r="X9" s="37" t="n">
        <f aca="false">IF(X6&lt;=Construction_Years,EPC_Cost/Construction_Years,0)</f>
        <v>0</v>
      </c>
      <c r="Y9" s="37" t="n">
        <f aca="false">IF(Y6&lt;=Construction_Years,EPC_Cost/Construction_Years,0)</f>
        <v>0</v>
      </c>
      <c r="Z9" s="37" t="n">
        <f aca="false">IF(Z6&lt;=Construction_Years,EPC_Cost/Construction_Years,0)</f>
        <v>0</v>
      </c>
      <c r="AA9" s="37" t="n">
        <f aca="false">IF(AA6&lt;=Construction_Years,EPC_Cost/Construction_Years,0)</f>
        <v>0</v>
      </c>
    </row>
    <row r="10" customFormat="false" ht="15" hidden="false" customHeight="false" outlineLevel="0" collapsed="false">
      <c r="A10" s="5"/>
      <c r="B10" s="36" t="s">
        <v>82</v>
      </c>
      <c r="C10" s="37" t="n">
        <f aca="false">IF(C6&lt;=Construction_Years,Dev_Costs/Construction_Years,0)</f>
        <v>8333333.33333333</v>
      </c>
      <c r="D10" s="37" t="n">
        <f aca="false">IF(D6&lt;=Construction_Years,Dev_Costs/Construction_Years,0)</f>
        <v>8333333.33333333</v>
      </c>
      <c r="E10" s="37" t="n">
        <f aca="false">IF(E6&lt;=Construction_Years,Dev_Costs/Construction_Years,0)</f>
        <v>8333333.33333333</v>
      </c>
      <c r="F10" s="37" t="n">
        <f aca="false">IF(F6&lt;=Construction_Years,Dev_Costs/Construction_Years,0)</f>
        <v>0</v>
      </c>
      <c r="G10" s="37" t="n">
        <f aca="false">IF(G6&lt;=Construction_Years,Dev_Costs/Construction_Years,0)</f>
        <v>0</v>
      </c>
      <c r="H10" s="37" t="n">
        <f aca="false">IF(H6&lt;=Construction_Years,Dev_Costs/Construction_Years,0)</f>
        <v>0</v>
      </c>
      <c r="I10" s="37" t="n">
        <f aca="false">IF(I6&lt;=Construction_Years,Dev_Costs/Construction_Years,0)</f>
        <v>0</v>
      </c>
      <c r="J10" s="37" t="n">
        <f aca="false">IF(J6&lt;=Construction_Years,Dev_Costs/Construction_Years,0)</f>
        <v>0</v>
      </c>
      <c r="K10" s="37" t="n">
        <f aca="false">IF(K6&lt;=Construction_Years,Dev_Costs/Construction_Years,0)</f>
        <v>0</v>
      </c>
      <c r="L10" s="37" t="n">
        <f aca="false">IF(L6&lt;=Construction_Years,Dev_Costs/Construction_Years,0)</f>
        <v>0</v>
      </c>
      <c r="M10" s="37" t="n">
        <f aca="false">IF(M6&lt;=Construction_Years,Dev_Costs/Construction_Years,0)</f>
        <v>0</v>
      </c>
      <c r="N10" s="37" t="n">
        <f aca="false">IF(N6&lt;=Construction_Years,Dev_Costs/Construction_Years,0)</f>
        <v>0</v>
      </c>
      <c r="O10" s="37" t="n">
        <f aca="false">IF(O6&lt;=Construction_Years,Dev_Costs/Construction_Years,0)</f>
        <v>0</v>
      </c>
      <c r="P10" s="37" t="n">
        <f aca="false">IF(P6&lt;=Construction_Years,Dev_Costs/Construction_Years,0)</f>
        <v>0</v>
      </c>
      <c r="Q10" s="37" t="n">
        <f aca="false">IF(Q6&lt;=Construction_Years,Dev_Costs/Construction_Years,0)</f>
        <v>0</v>
      </c>
      <c r="R10" s="37" t="n">
        <f aca="false">IF(R6&lt;=Construction_Years,Dev_Costs/Construction_Years,0)</f>
        <v>0</v>
      </c>
      <c r="S10" s="37" t="n">
        <f aca="false">IF(S6&lt;=Construction_Years,Dev_Costs/Construction_Years,0)</f>
        <v>0</v>
      </c>
      <c r="T10" s="37" t="n">
        <f aca="false">IF(T6&lt;=Construction_Years,Dev_Costs/Construction_Years,0)</f>
        <v>0</v>
      </c>
      <c r="U10" s="37" t="n">
        <f aca="false">IF(U6&lt;=Construction_Years,Dev_Costs/Construction_Years,0)</f>
        <v>0</v>
      </c>
      <c r="V10" s="37" t="n">
        <f aca="false">IF(V6&lt;=Construction_Years,Dev_Costs/Construction_Years,0)</f>
        <v>0</v>
      </c>
      <c r="W10" s="37" t="n">
        <f aca="false">IF(W6&lt;=Construction_Years,Dev_Costs/Construction_Years,0)</f>
        <v>0</v>
      </c>
      <c r="X10" s="37" t="n">
        <f aca="false">IF(X6&lt;=Construction_Years,Dev_Costs/Construction_Years,0)</f>
        <v>0</v>
      </c>
      <c r="Y10" s="37" t="n">
        <f aca="false">IF(Y6&lt;=Construction_Years,Dev_Costs/Construction_Years,0)</f>
        <v>0</v>
      </c>
      <c r="Z10" s="37" t="n">
        <f aca="false">IF(Z6&lt;=Construction_Years,Dev_Costs/Construction_Years,0)</f>
        <v>0</v>
      </c>
      <c r="AA10" s="37" t="n">
        <f aca="false">IF(AA6&lt;=Construction_Years,Dev_Costs/Construction_Years,0)</f>
        <v>0</v>
      </c>
    </row>
    <row r="11" customFormat="false" ht="15" hidden="false" customHeight="false" outlineLevel="0" collapsed="false">
      <c r="A11" s="5"/>
      <c r="B11" s="36" t="s">
        <v>84</v>
      </c>
      <c r="C11" s="37" t="n">
        <f aca="false">IF(C6&lt;=Construction_Years,EPC_Cost*Contingency_Pct/Construction_Years,0)</f>
        <v>14166666.6666667</v>
      </c>
      <c r="D11" s="37" t="n">
        <f aca="false">IF(D6&lt;=Construction_Years,EPC_Cost*Contingency_Pct/Construction_Years,0)</f>
        <v>14166666.6666667</v>
      </c>
      <c r="E11" s="37" t="n">
        <f aca="false">IF(E6&lt;=Construction_Years,EPC_Cost*Contingency_Pct/Construction_Years,0)</f>
        <v>14166666.6666667</v>
      </c>
      <c r="F11" s="37" t="n">
        <f aca="false">IF(F6&lt;=Construction_Years,EPC_Cost*Contingency_Pct/Construction_Years,0)</f>
        <v>0</v>
      </c>
      <c r="G11" s="37" t="n">
        <f aca="false">IF(G6&lt;=Construction_Years,EPC_Cost*Contingency_Pct/Construction_Years,0)</f>
        <v>0</v>
      </c>
      <c r="H11" s="37" t="n">
        <f aca="false">IF(H6&lt;=Construction_Years,EPC_Cost*Contingency_Pct/Construction_Years,0)</f>
        <v>0</v>
      </c>
      <c r="I11" s="37" t="n">
        <f aca="false">IF(I6&lt;=Construction_Years,EPC_Cost*Contingency_Pct/Construction_Years,0)</f>
        <v>0</v>
      </c>
      <c r="J11" s="37" t="n">
        <f aca="false">IF(J6&lt;=Construction_Years,EPC_Cost*Contingency_Pct/Construction_Years,0)</f>
        <v>0</v>
      </c>
      <c r="K11" s="37" t="n">
        <f aca="false">IF(K6&lt;=Construction_Years,EPC_Cost*Contingency_Pct/Construction_Years,0)</f>
        <v>0</v>
      </c>
      <c r="L11" s="37" t="n">
        <f aca="false">IF(L6&lt;=Construction_Years,EPC_Cost*Contingency_Pct/Construction_Years,0)</f>
        <v>0</v>
      </c>
      <c r="M11" s="37" t="n">
        <f aca="false">IF(M6&lt;=Construction_Years,EPC_Cost*Contingency_Pct/Construction_Years,0)</f>
        <v>0</v>
      </c>
      <c r="N11" s="37" t="n">
        <f aca="false">IF(N6&lt;=Construction_Years,EPC_Cost*Contingency_Pct/Construction_Years,0)</f>
        <v>0</v>
      </c>
      <c r="O11" s="37" t="n">
        <f aca="false">IF(O6&lt;=Construction_Years,EPC_Cost*Contingency_Pct/Construction_Years,0)</f>
        <v>0</v>
      </c>
      <c r="P11" s="37" t="n">
        <f aca="false">IF(P6&lt;=Construction_Years,EPC_Cost*Contingency_Pct/Construction_Years,0)</f>
        <v>0</v>
      </c>
      <c r="Q11" s="37" t="n">
        <f aca="false">IF(Q6&lt;=Construction_Years,EPC_Cost*Contingency_Pct/Construction_Years,0)</f>
        <v>0</v>
      </c>
      <c r="R11" s="37" t="n">
        <f aca="false">IF(R6&lt;=Construction_Years,EPC_Cost*Contingency_Pct/Construction_Years,0)</f>
        <v>0</v>
      </c>
      <c r="S11" s="37" t="n">
        <f aca="false">IF(S6&lt;=Construction_Years,EPC_Cost*Contingency_Pct/Construction_Years,0)</f>
        <v>0</v>
      </c>
      <c r="T11" s="37" t="n">
        <f aca="false">IF(T6&lt;=Construction_Years,EPC_Cost*Contingency_Pct/Construction_Years,0)</f>
        <v>0</v>
      </c>
      <c r="U11" s="37" t="n">
        <f aca="false">IF(U6&lt;=Construction_Years,EPC_Cost*Contingency_Pct/Construction_Years,0)</f>
        <v>0</v>
      </c>
      <c r="V11" s="37" t="n">
        <f aca="false">IF(V6&lt;=Construction_Years,EPC_Cost*Contingency_Pct/Construction_Years,0)</f>
        <v>0</v>
      </c>
      <c r="W11" s="37" t="n">
        <f aca="false">IF(W6&lt;=Construction_Years,EPC_Cost*Contingency_Pct/Construction_Years,0)</f>
        <v>0</v>
      </c>
      <c r="X11" s="37" t="n">
        <f aca="false">IF(X6&lt;=Construction_Years,EPC_Cost*Contingency_Pct/Construction_Years,0)</f>
        <v>0</v>
      </c>
      <c r="Y11" s="37" t="n">
        <f aca="false">IF(Y6&lt;=Construction_Years,EPC_Cost*Contingency_Pct/Construction_Years,0)</f>
        <v>0</v>
      </c>
      <c r="Z11" s="37" t="n">
        <f aca="false">IF(Z6&lt;=Construction_Years,EPC_Cost*Contingency_Pct/Construction_Years,0)</f>
        <v>0</v>
      </c>
      <c r="AA11" s="37" t="n">
        <f aca="false">IF(AA6&lt;=Construction_Years,EPC_Cost*Contingency_Pct/Construction_Years,0)</f>
        <v>0</v>
      </c>
    </row>
    <row r="12" customFormat="false" ht="15" hidden="false" customHeight="false" outlineLevel="0" collapsed="false">
      <c r="A12" s="5"/>
      <c r="B12" s="38" t="s">
        <v>137</v>
      </c>
      <c r="C12" s="39" t="n">
        <f aca="false">C9+C10+C11</f>
        <v>305833333.333333</v>
      </c>
      <c r="D12" s="39" t="n">
        <f aca="false">D9+D10+D11</f>
        <v>305833333.333333</v>
      </c>
      <c r="E12" s="39" t="n">
        <f aca="false">E9+E10+E11</f>
        <v>305833333.333333</v>
      </c>
      <c r="F12" s="39" t="n">
        <f aca="false">F9+F10+F11</f>
        <v>0</v>
      </c>
      <c r="G12" s="39" t="n">
        <f aca="false">G9+G10+G11</f>
        <v>0</v>
      </c>
      <c r="H12" s="39" t="n">
        <f aca="false">H9+H10+H11</f>
        <v>0</v>
      </c>
      <c r="I12" s="39" t="n">
        <f aca="false">I9+I10+I11</f>
        <v>0</v>
      </c>
      <c r="J12" s="39" t="n">
        <f aca="false">J9+J10+J11</f>
        <v>0</v>
      </c>
      <c r="K12" s="39" t="n">
        <f aca="false">K9+K10+K11</f>
        <v>0</v>
      </c>
      <c r="L12" s="39" t="n">
        <f aca="false">L9+L10+L11</f>
        <v>0</v>
      </c>
      <c r="M12" s="39" t="n">
        <f aca="false">M9+M10+M11</f>
        <v>0</v>
      </c>
      <c r="N12" s="39" t="n">
        <f aca="false">N9+N10+N11</f>
        <v>0</v>
      </c>
      <c r="O12" s="39" t="n">
        <f aca="false">O9+O10+O11</f>
        <v>0</v>
      </c>
      <c r="P12" s="39" t="n">
        <f aca="false">P9+P10+P11</f>
        <v>0</v>
      </c>
      <c r="Q12" s="39" t="n">
        <f aca="false">Q9+Q10+Q11</f>
        <v>0</v>
      </c>
      <c r="R12" s="39" t="n">
        <f aca="false">R9+R10+R11</f>
        <v>0</v>
      </c>
      <c r="S12" s="39" t="n">
        <f aca="false">S9+S10+S11</f>
        <v>0</v>
      </c>
      <c r="T12" s="39" t="n">
        <f aca="false">T9+T10+T11</f>
        <v>0</v>
      </c>
      <c r="U12" s="39" t="n">
        <f aca="false">U9+U10+U11</f>
        <v>0</v>
      </c>
      <c r="V12" s="39" t="n">
        <f aca="false">V9+V10+V11</f>
        <v>0</v>
      </c>
      <c r="W12" s="39" t="n">
        <f aca="false">W9+W10+W11</f>
        <v>0</v>
      </c>
      <c r="X12" s="39" t="n">
        <f aca="false">X9+X10+X11</f>
        <v>0</v>
      </c>
      <c r="Y12" s="39" t="n">
        <f aca="false">Y9+Y10+Y11</f>
        <v>0</v>
      </c>
      <c r="Z12" s="39" t="n">
        <f aca="false">Z9+Z10+Z11</f>
        <v>0</v>
      </c>
      <c r="AA12" s="39" t="n">
        <f aca="false">AA9+AA10+AA11</f>
        <v>0</v>
      </c>
    </row>
    <row r="13" customFormat="false" ht="15" hidden="false" customHeight="false" outlineLevel="0" collapsed="false">
      <c r="A13" s="5"/>
      <c r="B13" s="5"/>
      <c r="C13" s="5"/>
      <c r="D13" s="5"/>
      <c r="E13" s="5"/>
      <c r="F13" s="5"/>
      <c r="G13" s="5"/>
      <c r="H13" s="5"/>
      <c r="I13" s="5"/>
      <c r="J13" s="5"/>
      <c r="K13" s="5"/>
      <c r="L13" s="5"/>
      <c r="M13" s="5"/>
      <c r="N13" s="5"/>
      <c r="O13" s="5"/>
      <c r="P13" s="5"/>
      <c r="Q13" s="5"/>
      <c r="R13" s="5"/>
      <c r="S13" s="5"/>
      <c r="T13" s="5"/>
      <c r="U13" s="5"/>
      <c r="V13" s="5"/>
      <c r="W13" s="5"/>
      <c r="X13" s="5"/>
      <c r="Y13" s="5"/>
      <c r="Z13" s="5"/>
      <c r="AA13" s="5"/>
    </row>
    <row r="14" customFormat="false" ht="15" hidden="false" customHeight="false" outlineLevel="0" collapsed="false">
      <c r="A14" s="5"/>
      <c r="B14" s="10" t="s">
        <v>138</v>
      </c>
      <c r="C14" s="11"/>
      <c r="D14" s="11"/>
      <c r="E14" s="11"/>
      <c r="F14" s="11"/>
      <c r="G14" s="11"/>
      <c r="H14" s="11"/>
      <c r="I14" s="11"/>
      <c r="J14" s="11"/>
      <c r="K14" s="11"/>
      <c r="L14" s="11"/>
      <c r="M14" s="11"/>
      <c r="N14" s="11"/>
      <c r="O14" s="11"/>
      <c r="P14" s="11"/>
      <c r="Q14" s="11"/>
      <c r="R14" s="11"/>
      <c r="S14" s="11"/>
      <c r="T14" s="11"/>
      <c r="U14" s="11"/>
      <c r="V14" s="11"/>
      <c r="W14" s="11"/>
      <c r="X14" s="11"/>
      <c r="Y14" s="11"/>
      <c r="Z14" s="11"/>
      <c r="AA14" s="11"/>
    </row>
    <row r="15" customFormat="false" ht="15" hidden="false" customHeight="false" outlineLevel="0" collapsed="false">
      <c r="A15" s="5"/>
      <c r="B15" s="36" t="s">
        <v>139</v>
      </c>
      <c r="C15" s="37" t="n">
        <f aca="false">IF(C6&lt;=Construction_Years,C12*0.5*(Base_Rate+Debt_Margin)*Gearing,0)</f>
        <v>6307812.5</v>
      </c>
      <c r="D15" s="37" t="n">
        <f aca="false">IF(D6&lt;=Construction_Years,(SUM($C$12:C12)+SUM($C$15:C15)+D12*0.5)*(Base_Rate+Debt_Margin)*Gearing,0)</f>
        <v>19183634.765625</v>
      </c>
      <c r="E15" s="37" t="n">
        <f aca="false">IF(E6&lt;=Construction_Years,(SUM($C$12:D12)+SUM($C$15:D15)+E12*0.5)*(Base_Rate+Debt_Margin)*Gearing,0)</f>
        <v>32590584.699707</v>
      </c>
      <c r="F15" s="37" t="n">
        <f aca="false">IF(F6&lt;=Construction_Years,(SUM($C$12:E12)+SUM($C$15:E15)+F12*0.5)*(Base_Rate+Debt_Margin)*Gearing,0)</f>
        <v>0</v>
      </c>
      <c r="G15" s="37" t="n">
        <f aca="false">IF(G6&lt;=Construction_Years,(SUM($C$12:F12)+SUM($C$15:F15)+G12*0.5)*(Base_Rate+Debt_Margin)*Gearing,0)</f>
        <v>0</v>
      </c>
      <c r="H15" s="37" t="n">
        <f aca="false">IF(H6&lt;=Construction_Years,(SUM($C$12:G12)+SUM($C$15:G15)+H12*0.5)*(Base_Rate+Debt_Margin)*Gearing,0)</f>
        <v>0</v>
      </c>
      <c r="I15" s="37" t="n">
        <f aca="false">IF(I6&lt;=Construction_Years,(SUM($C$12:H12)+SUM($C$15:H15)+I12*0.5)*(Base_Rate+Debt_Margin)*Gearing,0)</f>
        <v>0</v>
      </c>
      <c r="J15" s="37" t="n">
        <f aca="false">IF(J6&lt;=Construction_Years,(SUM($C$12:I12)+SUM($C$15:I15)+J12*0.5)*(Base_Rate+Debt_Margin)*Gearing,0)</f>
        <v>0</v>
      </c>
      <c r="K15" s="37" t="n">
        <f aca="false">IF(K6&lt;=Construction_Years,(SUM($C$12:J12)+SUM($C$15:J15)+K12*0.5)*(Base_Rate+Debt_Margin)*Gearing,0)</f>
        <v>0</v>
      </c>
      <c r="L15" s="37" t="n">
        <f aca="false">IF(L6&lt;=Construction_Years,(SUM($C$12:K12)+SUM($C$15:K15)+L12*0.5)*(Base_Rate+Debt_Margin)*Gearing,0)</f>
        <v>0</v>
      </c>
      <c r="M15" s="37" t="n">
        <f aca="false">IF(M6&lt;=Construction_Years,(SUM($C$12:L12)+SUM($C$15:L15)+M12*0.5)*(Base_Rate+Debt_Margin)*Gearing,0)</f>
        <v>0</v>
      </c>
      <c r="N15" s="37" t="n">
        <f aca="false">IF(N6&lt;=Construction_Years,(SUM($C$12:M12)+SUM($C$15:M15)+N12*0.5)*(Base_Rate+Debt_Margin)*Gearing,0)</f>
        <v>0</v>
      </c>
      <c r="O15" s="37" t="n">
        <f aca="false">IF(O6&lt;=Construction_Years,(SUM($C$12:N12)+SUM($C$15:N15)+O12*0.5)*(Base_Rate+Debt_Margin)*Gearing,0)</f>
        <v>0</v>
      </c>
      <c r="P15" s="37" t="n">
        <f aca="false">IF(P6&lt;=Construction_Years,(SUM($C$12:O12)+SUM($C$15:O15)+P12*0.5)*(Base_Rate+Debt_Margin)*Gearing,0)</f>
        <v>0</v>
      </c>
      <c r="Q15" s="37" t="n">
        <f aca="false">IF(Q6&lt;=Construction_Years,(SUM($C$12:P12)+SUM($C$15:P15)+Q12*0.5)*(Base_Rate+Debt_Margin)*Gearing,0)</f>
        <v>0</v>
      </c>
      <c r="R15" s="37" t="n">
        <f aca="false">IF(R6&lt;=Construction_Years,(SUM($C$12:Q12)+SUM($C$15:Q15)+R12*0.5)*(Base_Rate+Debt_Margin)*Gearing,0)</f>
        <v>0</v>
      </c>
      <c r="S15" s="37" t="n">
        <f aca="false">IF(S6&lt;=Construction_Years,(SUM($C$12:R12)+SUM($C$15:R15)+S12*0.5)*(Base_Rate+Debt_Margin)*Gearing,0)</f>
        <v>0</v>
      </c>
      <c r="T15" s="37" t="n">
        <f aca="false">IF(T6&lt;=Construction_Years,(SUM($C$12:S12)+SUM($C$15:S15)+T12*0.5)*(Base_Rate+Debt_Margin)*Gearing,0)</f>
        <v>0</v>
      </c>
      <c r="U15" s="37" t="n">
        <f aca="false">IF(U6&lt;=Construction_Years,(SUM($C$12:T12)+SUM($C$15:T15)+U12*0.5)*(Base_Rate+Debt_Margin)*Gearing,0)</f>
        <v>0</v>
      </c>
      <c r="V15" s="37" t="n">
        <f aca="false">IF(V6&lt;=Construction_Years,(SUM($C$12:U12)+SUM($C$15:U15)+V12*0.5)*(Base_Rate+Debt_Margin)*Gearing,0)</f>
        <v>0</v>
      </c>
      <c r="W15" s="37" t="n">
        <f aca="false">IF(W6&lt;=Construction_Years,(SUM($C$12:V12)+SUM($C$15:V15)+W12*0.5)*(Base_Rate+Debt_Margin)*Gearing,0)</f>
        <v>0</v>
      </c>
      <c r="X15" s="37" t="n">
        <f aca="false">IF(X6&lt;=Construction_Years,(SUM($C$12:W12)+SUM($C$15:W15)+X12*0.5)*(Base_Rate+Debt_Margin)*Gearing,0)</f>
        <v>0</v>
      </c>
      <c r="Y15" s="37" t="n">
        <f aca="false">IF(Y6&lt;=Construction_Years,(SUM($C$12:X12)+SUM($C$15:X15)+Y12*0.5)*(Base_Rate+Debt_Margin)*Gearing,0)</f>
        <v>0</v>
      </c>
      <c r="Z15" s="37" t="n">
        <f aca="false">IF(Z6&lt;=Construction_Years,(SUM($C$12:Y12)+SUM($C$15:Y15)+Z12*0.5)*(Base_Rate+Debt_Margin)*Gearing,0)</f>
        <v>0</v>
      </c>
      <c r="AA15" s="37" t="n">
        <f aca="false">IF(AA6&lt;=Construction_Years,(SUM($C$12:Z12)+SUM($C$15:Z15)+AA12*0.5)*(Base_Rate+Debt_Margin)*Gearing,0)</f>
        <v>0</v>
      </c>
    </row>
    <row r="16" customFormat="false" ht="15" hidden="false" customHeight="false" outlineLevel="0" collapsed="false">
      <c r="A16" s="5"/>
      <c r="B16" s="5"/>
      <c r="C16" s="5"/>
      <c r="D16" s="5"/>
      <c r="E16" s="5"/>
      <c r="F16" s="5"/>
      <c r="G16" s="5"/>
      <c r="H16" s="5"/>
      <c r="I16" s="5"/>
      <c r="J16" s="5"/>
      <c r="K16" s="5"/>
      <c r="L16" s="5"/>
      <c r="M16" s="5"/>
      <c r="N16" s="5"/>
      <c r="O16" s="5"/>
      <c r="P16" s="5"/>
      <c r="Q16" s="5"/>
      <c r="R16" s="5"/>
      <c r="S16" s="5"/>
      <c r="T16" s="5"/>
      <c r="U16" s="5"/>
      <c r="V16" s="5"/>
      <c r="W16" s="5"/>
      <c r="X16" s="5"/>
      <c r="Y16" s="5"/>
      <c r="Z16" s="5"/>
      <c r="AA16" s="5"/>
    </row>
    <row r="17" customFormat="false" ht="15" hidden="false" customHeight="false" outlineLevel="0" collapsed="false">
      <c r="A17" s="5"/>
      <c r="B17" s="40" t="s">
        <v>140</v>
      </c>
      <c r="C17" s="41" t="n">
        <f aca="false">C12+C15</f>
        <v>312141145.833333</v>
      </c>
      <c r="D17" s="41" t="n">
        <f aca="false">D12+D15</f>
        <v>325016968.098958</v>
      </c>
      <c r="E17" s="41" t="n">
        <f aca="false">E12+E15</f>
        <v>338423918.03304</v>
      </c>
      <c r="F17" s="41" t="n">
        <f aca="false">F12+F15</f>
        <v>0</v>
      </c>
      <c r="G17" s="41" t="n">
        <f aca="false">G12+G15</f>
        <v>0</v>
      </c>
      <c r="H17" s="41" t="n">
        <f aca="false">H12+H15</f>
        <v>0</v>
      </c>
      <c r="I17" s="41" t="n">
        <f aca="false">I12+I15</f>
        <v>0</v>
      </c>
      <c r="J17" s="41" t="n">
        <f aca="false">J12+J15</f>
        <v>0</v>
      </c>
      <c r="K17" s="41" t="n">
        <f aca="false">K12+K15</f>
        <v>0</v>
      </c>
      <c r="L17" s="41" t="n">
        <f aca="false">L12+L15</f>
        <v>0</v>
      </c>
      <c r="M17" s="41" t="n">
        <f aca="false">M12+M15</f>
        <v>0</v>
      </c>
      <c r="N17" s="41" t="n">
        <f aca="false">N12+N15</f>
        <v>0</v>
      </c>
      <c r="O17" s="41" t="n">
        <f aca="false">O12+O15</f>
        <v>0</v>
      </c>
      <c r="P17" s="41" t="n">
        <f aca="false">P12+P15</f>
        <v>0</v>
      </c>
      <c r="Q17" s="41" t="n">
        <f aca="false">Q12+Q15</f>
        <v>0</v>
      </c>
      <c r="R17" s="41" t="n">
        <f aca="false">R12+R15</f>
        <v>0</v>
      </c>
      <c r="S17" s="41" t="n">
        <f aca="false">S12+S15</f>
        <v>0</v>
      </c>
      <c r="T17" s="41" t="n">
        <f aca="false">T12+T15</f>
        <v>0</v>
      </c>
      <c r="U17" s="41" t="n">
        <f aca="false">U12+U15</f>
        <v>0</v>
      </c>
      <c r="V17" s="41" t="n">
        <f aca="false">V12+V15</f>
        <v>0</v>
      </c>
      <c r="W17" s="41" t="n">
        <f aca="false">W12+W15</f>
        <v>0</v>
      </c>
      <c r="X17" s="41" t="n">
        <f aca="false">X12+X15</f>
        <v>0</v>
      </c>
      <c r="Y17" s="41" t="n">
        <f aca="false">Y12+Y15</f>
        <v>0</v>
      </c>
      <c r="Z17" s="41" t="n">
        <f aca="false">Z12+Z15</f>
        <v>0</v>
      </c>
      <c r="AA17" s="41" t="n">
        <f aca="false">AA12+AA15</f>
        <v>0</v>
      </c>
    </row>
    <row r="18" customFormat="false" ht="15" hidden="false" customHeight="false" outlineLevel="0" collapsed="false">
      <c r="A18" s="5"/>
      <c r="B18" s="5"/>
      <c r="C18" s="5"/>
      <c r="D18" s="5"/>
      <c r="E18" s="5"/>
      <c r="F18" s="5"/>
      <c r="G18" s="5"/>
      <c r="H18" s="5"/>
      <c r="I18" s="5"/>
      <c r="J18" s="5"/>
      <c r="K18" s="5"/>
      <c r="L18" s="5"/>
      <c r="M18" s="5"/>
      <c r="N18" s="5"/>
      <c r="O18" s="5"/>
      <c r="P18" s="5"/>
      <c r="Q18" s="5"/>
      <c r="R18" s="5"/>
      <c r="S18" s="5"/>
      <c r="T18" s="5"/>
      <c r="U18" s="5"/>
      <c r="V18" s="5"/>
      <c r="W18" s="5"/>
      <c r="X18" s="5"/>
      <c r="Y18" s="5"/>
      <c r="Z18" s="5"/>
      <c r="AA18" s="5"/>
    </row>
    <row r="19" customFormat="false" ht="15" hidden="false" customHeight="false" outlineLevel="0" collapsed="false">
      <c r="A19" s="5"/>
      <c r="B19" s="10" t="s">
        <v>141</v>
      </c>
      <c r="C19" s="11"/>
      <c r="D19" s="11"/>
      <c r="E19" s="11"/>
      <c r="F19" s="11"/>
      <c r="G19" s="11"/>
      <c r="H19" s="11"/>
      <c r="I19" s="11"/>
      <c r="J19" s="11"/>
      <c r="K19" s="11"/>
      <c r="L19" s="11"/>
      <c r="M19" s="11"/>
      <c r="N19" s="11"/>
      <c r="O19" s="11"/>
      <c r="P19" s="11"/>
      <c r="Q19" s="11"/>
      <c r="R19" s="11"/>
      <c r="S19" s="11"/>
      <c r="T19" s="11"/>
      <c r="U19" s="11"/>
      <c r="V19" s="11"/>
      <c r="W19" s="11"/>
      <c r="X19" s="11"/>
      <c r="Y19" s="11"/>
      <c r="Z19" s="11"/>
      <c r="AA19" s="11"/>
    </row>
    <row r="20" customFormat="false" ht="15" hidden="false" customHeight="false" outlineLevel="0" collapsed="false">
      <c r="A20" s="5"/>
      <c r="B20" s="36" t="s">
        <v>142</v>
      </c>
      <c r="C20" s="37" t="n">
        <f aca="false">C17*Gearing</f>
        <v>234105859.375</v>
      </c>
      <c r="D20" s="37" t="n">
        <f aca="false">D17*Gearing</f>
        <v>243762726.074219</v>
      </c>
      <c r="E20" s="37" t="n">
        <f aca="false">E17*Gearing</f>
        <v>253817938.52478</v>
      </c>
      <c r="F20" s="37" t="n">
        <f aca="false">F17*Gearing</f>
        <v>0</v>
      </c>
      <c r="G20" s="37" t="n">
        <f aca="false">G17*Gearing</f>
        <v>0</v>
      </c>
      <c r="H20" s="37" t="n">
        <f aca="false">H17*Gearing</f>
        <v>0</v>
      </c>
      <c r="I20" s="37" t="n">
        <f aca="false">I17*Gearing</f>
        <v>0</v>
      </c>
      <c r="J20" s="37" t="n">
        <f aca="false">J17*Gearing</f>
        <v>0</v>
      </c>
      <c r="K20" s="37" t="n">
        <f aca="false">K17*Gearing</f>
        <v>0</v>
      </c>
      <c r="L20" s="37" t="n">
        <f aca="false">L17*Gearing</f>
        <v>0</v>
      </c>
      <c r="M20" s="37" t="n">
        <f aca="false">M17*Gearing</f>
        <v>0</v>
      </c>
      <c r="N20" s="37" t="n">
        <f aca="false">N17*Gearing</f>
        <v>0</v>
      </c>
      <c r="O20" s="37" t="n">
        <f aca="false">O17*Gearing</f>
        <v>0</v>
      </c>
      <c r="P20" s="37" t="n">
        <f aca="false">P17*Gearing</f>
        <v>0</v>
      </c>
      <c r="Q20" s="37" t="n">
        <f aca="false">Q17*Gearing</f>
        <v>0</v>
      </c>
      <c r="R20" s="37" t="n">
        <f aca="false">R17*Gearing</f>
        <v>0</v>
      </c>
      <c r="S20" s="37" t="n">
        <f aca="false">S17*Gearing</f>
        <v>0</v>
      </c>
      <c r="T20" s="37" t="n">
        <f aca="false">T17*Gearing</f>
        <v>0</v>
      </c>
      <c r="U20" s="37" t="n">
        <f aca="false">U17*Gearing</f>
        <v>0</v>
      </c>
      <c r="V20" s="37" t="n">
        <f aca="false">V17*Gearing</f>
        <v>0</v>
      </c>
      <c r="W20" s="37" t="n">
        <f aca="false">W17*Gearing</f>
        <v>0</v>
      </c>
      <c r="X20" s="37" t="n">
        <f aca="false">X17*Gearing</f>
        <v>0</v>
      </c>
      <c r="Y20" s="37" t="n">
        <f aca="false">Y17*Gearing</f>
        <v>0</v>
      </c>
      <c r="Z20" s="37" t="n">
        <f aca="false">Z17*Gearing</f>
        <v>0</v>
      </c>
      <c r="AA20" s="37" t="n">
        <f aca="false">AA17*Gearing</f>
        <v>0</v>
      </c>
    </row>
    <row r="21" customFormat="false" ht="15" hidden="false" customHeight="false" outlineLevel="0" collapsed="false">
      <c r="A21" s="5"/>
      <c r="B21" s="36" t="s">
        <v>143</v>
      </c>
      <c r="C21" s="37" t="n">
        <f aca="false">C17*(1-Gearing)</f>
        <v>78035286.4583333</v>
      </c>
      <c r="D21" s="37" t="n">
        <f aca="false">D17*(1-Gearing)</f>
        <v>81254242.0247396</v>
      </c>
      <c r="E21" s="37" t="n">
        <f aca="false">E17*(1-Gearing)</f>
        <v>84605979.5082601</v>
      </c>
      <c r="F21" s="37" t="n">
        <f aca="false">F17*(1-Gearing)</f>
        <v>0</v>
      </c>
      <c r="G21" s="37" t="n">
        <f aca="false">G17*(1-Gearing)</f>
        <v>0</v>
      </c>
      <c r="H21" s="37" t="n">
        <f aca="false">H17*(1-Gearing)</f>
        <v>0</v>
      </c>
      <c r="I21" s="37" t="n">
        <f aca="false">I17*(1-Gearing)</f>
        <v>0</v>
      </c>
      <c r="J21" s="37" t="n">
        <f aca="false">J17*(1-Gearing)</f>
        <v>0</v>
      </c>
      <c r="K21" s="37" t="n">
        <f aca="false">K17*(1-Gearing)</f>
        <v>0</v>
      </c>
      <c r="L21" s="37" t="n">
        <f aca="false">L17*(1-Gearing)</f>
        <v>0</v>
      </c>
      <c r="M21" s="37" t="n">
        <f aca="false">M17*(1-Gearing)</f>
        <v>0</v>
      </c>
      <c r="N21" s="37" t="n">
        <f aca="false">N17*(1-Gearing)</f>
        <v>0</v>
      </c>
      <c r="O21" s="37" t="n">
        <f aca="false">O17*(1-Gearing)</f>
        <v>0</v>
      </c>
      <c r="P21" s="37" t="n">
        <f aca="false">P17*(1-Gearing)</f>
        <v>0</v>
      </c>
      <c r="Q21" s="37" t="n">
        <f aca="false">Q17*(1-Gearing)</f>
        <v>0</v>
      </c>
      <c r="R21" s="37" t="n">
        <f aca="false">R17*(1-Gearing)</f>
        <v>0</v>
      </c>
      <c r="S21" s="37" t="n">
        <f aca="false">S17*(1-Gearing)</f>
        <v>0</v>
      </c>
      <c r="T21" s="37" t="n">
        <f aca="false">T17*(1-Gearing)</f>
        <v>0</v>
      </c>
      <c r="U21" s="37" t="n">
        <f aca="false">U17*(1-Gearing)</f>
        <v>0</v>
      </c>
      <c r="V21" s="37" t="n">
        <f aca="false">V17*(1-Gearing)</f>
        <v>0</v>
      </c>
      <c r="W21" s="37" t="n">
        <f aca="false">W17*(1-Gearing)</f>
        <v>0</v>
      </c>
      <c r="X21" s="37" t="n">
        <f aca="false">X17*(1-Gearing)</f>
        <v>0</v>
      </c>
      <c r="Y21" s="37" t="n">
        <f aca="false">Y17*(1-Gearing)</f>
        <v>0</v>
      </c>
      <c r="Z21" s="37" t="n">
        <f aca="false">Z17*(1-Gearing)</f>
        <v>0</v>
      </c>
      <c r="AA21" s="37" t="n">
        <f aca="false">AA17*(1-Gearing)</f>
        <v>0</v>
      </c>
    </row>
    <row r="22" customFormat="false" ht="15" hidden="false" customHeight="false" outlineLevel="0" collapsed="false">
      <c r="A22" s="5"/>
      <c r="B22" s="38" t="s">
        <v>144</v>
      </c>
      <c r="C22" s="39" t="n">
        <f aca="false">C20+C21</f>
        <v>312141145.833333</v>
      </c>
      <c r="D22" s="39" t="n">
        <f aca="false">D20+D21</f>
        <v>325016968.098958</v>
      </c>
      <c r="E22" s="39" t="n">
        <f aca="false">E20+E21</f>
        <v>338423918.03304</v>
      </c>
      <c r="F22" s="39" t="n">
        <f aca="false">F20+F21</f>
        <v>0</v>
      </c>
      <c r="G22" s="39" t="n">
        <f aca="false">G20+G21</f>
        <v>0</v>
      </c>
      <c r="H22" s="39" t="n">
        <f aca="false">H20+H21</f>
        <v>0</v>
      </c>
      <c r="I22" s="39" t="n">
        <f aca="false">I20+I21</f>
        <v>0</v>
      </c>
      <c r="J22" s="39" t="n">
        <f aca="false">J20+J21</f>
        <v>0</v>
      </c>
      <c r="K22" s="39" t="n">
        <f aca="false">K20+K21</f>
        <v>0</v>
      </c>
      <c r="L22" s="39" t="n">
        <f aca="false">L20+L21</f>
        <v>0</v>
      </c>
      <c r="M22" s="39" t="n">
        <f aca="false">M20+M21</f>
        <v>0</v>
      </c>
      <c r="N22" s="39" t="n">
        <f aca="false">N20+N21</f>
        <v>0</v>
      </c>
      <c r="O22" s="39" t="n">
        <f aca="false">O20+O21</f>
        <v>0</v>
      </c>
      <c r="P22" s="39" t="n">
        <f aca="false">P20+P21</f>
        <v>0</v>
      </c>
      <c r="Q22" s="39" t="n">
        <f aca="false">Q20+Q21</f>
        <v>0</v>
      </c>
      <c r="R22" s="39" t="n">
        <f aca="false">R20+R21</f>
        <v>0</v>
      </c>
      <c r="S22" s="39" t="n">
        <f aca="false">S20+S21</f>
        <v>0</v>
      </c>
      <c r="T22" s="39" t="n">
        <f aca="false">T20+T21</f>
        <v>0</v>
      </c>
      <c r="U22" s="39" t="n">
        <f aca="false">U20+U21</f>
        <v>0</v>
      </c>
      <c r="V22" s="39" t="n">
        <f aca="false">V20+V21</f>
        <v>0</v>
      </c>
      <c r="W22" s="39" t="n">
        <f aca="false">W20+W21</f>
        <v>0</v>
      </c>
      <c r="X22" s="39" t="n">
        <f aca="false">X20+X21</f>
        <v>0</v>
      </c>
      <c r="Y22" s="39" t="n">
        <f aca="false">Y20+Y21</f>
        <v>0</v>
      </c>
      <c r="Z22" s="39" t="n">
        <f aca="false">Z20+Z21</f>
        <v>0</v>
      </c>
      <c r="AA22" s="39" t="n">
        <f aca="false">AA20+AA21</f>
        <v>0</v>
      </c>
    </row>
    <row r="23" customFormat="false" ht="15" hidden="false" customHeight="false" outlineLevel="0" collapsed="false">
      <c r="A23" s="5"/>
      <c r="B23" s="5"/>
      <c r="C23" s="5"/>
      <c r="D23" s="5"/>
      <c r="E23" s="5"/>
      <c r="F23" s="5"/>
      <c r="G23" s="5"/>
      <c r="H23" s="5"/>
      <c r="I23" s="5"/>
      <c r="J23" s="5"/>
      <c r="K23" s="5"/>
      <c r="L23" s="5"/>
      <c r="M23" s="5"/>
      <c r="N23" s="5"/>
      <c r="O23" s="5"/>
      <c r="P23" s="5"/>
      <c r="Q23" s="5"/>
      <c r="R23" s="5"/>
      <c r="S23" s="5"/>
      <c r="T23" s="5"/>
      <c r="U23" s="5"/>
      <c r="V23" s="5"/>
      <c r="W23" s="5"/>
      <c r="X23" s="5"/>
      <c r="Y23" s="5"/>
      <c r="Z23" s="5"/>
      <c r="AA23" s="5"/>
    </row>
    <row r="24" customFormat="false" ht="15" hidden="false" customHeight="false" outlineLevel="0" collapsed="false">
      <c r="A24" s="5"/>
      <c r="B24" s="7" t="s">
        <v>145</v>
      </c>
      <c r="C24" s="42" t="n">
        <f aca="false">C22-C17</f>
        <v>0</v>
      </c>
      <c r="D24" s="42" t="n">
        <f aca="false">D22-D17</f>
        <v>0</v>
      </c>
      <c r="E24" s="42" t="n">
        <f aca="false">E22-E17</f>
        <v>0</v>
      </c>
      <c r="F24" s="42" t="n">
        <f aca="false">F22-F17</f>
        <v>0</v>
      </c>
      <c r="G24" s="42" t="n">
        <f aca="false">G22-G17</f>
        <v>0</v>
      </c>
      <c r="H24" s="42" t="n">
        <f aca="false">H22-H17</f>
        <v>0</v>
      </c>
      <c r="I24" s="42" t="n">
        <f aca="false">I22-I17</f>
        <v>0</v>
      </c>
      <c r="J24" s="42" t="n">
        <f aca="false">J22-J17</f>
        <v>0</v>
      </c>
      <c r="K24" s="42" t="n">
        <f aca="false">K22-K17</f>
        <v>0</v>
      </c>
      <c r="L24" s="42" t="n">
        <f aca="false">L22-L17</f>
        <v>0</v>
      </c>
      <c r="M24" s="42" t="n">
        <f aca="false">M22-M17</f>
        <v>0</v>
      </c>
      <c r="N24" s="42" t="n">
        <f aca="false">N22-N17</f>
        <v>0</v>
      </c>
      <c r="O24" s="42" t="n">
        <f aca="false">O22-O17</f>
        <v>0</v>
      </c>
      <c r="P24" s="42" t="n">
        <f aca="false">P22-P17</f>
        <v>0</v>
      </c>
      <c r="Q24" s="42" t="n">
        <f aca="false">Q22-Q17</f>
        <v>0</v>
      </c>
      <c r="R24" s="42" t="n">
        <f aca="false">R22-R17</f>
        <v>0</v>
      </c>
      <c r="S24" s="42" t="n">
        <f aca="false">S22-S17</f>
        <v>0</v>
      </c>
      <c r="T24" s="42" t="n">
        <f aca="false">T22-T17</f>
        <v>0</v>
      </c>
      <c r="U24" s="42" t="n">
        <f aca="false">U22-U17</f>
        <v>0</v>
      </c>
      <c r="V24" s="42" t="n">
        <f aca="false">V22-V17</f>
        <v>0</v>
      </c>
      <c r="W24" s="42" t="n">
        <f aca="false">W22-W17</f>
        <v>0</v>
      </c>
      <c r="X24" s="42" t="n">
        <f aca="false">X22-X17</f>
        <v>0</v>
      </c>
      <c r="Y24" s="42" t="n">
        <f aca="false">Y22-Y17</f>
        <v>0</v>
      </c>
      <c r="Z24" s="42" t="n">
        <f aca="false">Z22-Z17</f>
        <v>0</v>
      </c>
      <c r="AA24" s="42" t="n">
        <f aca="false">AA22-AA17</f>
        <v>0</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70AD47"/>
    <pageSetUpPr fitToPage="false"/>
  </sheetPr>
  <dimension ref="A1:AA26"/>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2"/>
    <col collapsed="false" customWidth="true" hidden="false" outlineLevel="0" max="27" min="3" style="0" width="14"/>
  </cols>
  <sheetData>
    <row r="1" customFormat="false" ht="15" hidden="false" customHeight="false" outlineLevel="0" collapsed="false">
      <c r="A1" s="5"/>
      <c r="B1" s="5"/>
      <c r="C1" s="5"/>
      <c r="D1" s="5"/>
      <c r="E1" s="5"/>
      <c r="F1" s="5"/>
      <c r="G1" s="5"/>
      <c r="H1" s="5"/>
      <c r="I1" s="5"/>
      <c r="J1" s="5"/>
      <c r="K1" s="5"/>
      <c r="L1" s="5"/>
      <c r="M1" s="5"/>
      <c r="N1" s="5"/>
      <c r="O1" s="5"/>
      <c r="P1" s="5"/>
      <c r="Q1" s="5"/>
      <c r="R1" s="5"/>
      <c r="S1" s="5"/>
      <c r="T1" s="5"/>
      <c r="U1" s="5"/>
      <c r="V1" s="5"/>
      <c r="W1" s="5"/>
      <c r="X1" s="5"/>
      <c r="Y1" s="5"/>
      <c r="Z1" s="5"/>
      <c r="AA1" s="5"/>
    </row>
    <row r="2" customFormat="false" ht="22.05" hidden="false" customHeight="false" outlineLevel="0" collapsed="false">
      <c r="A2" s="5"/>
      <c r="B2" s="26" t="s">
        <v>15</v>
      </c>
      <c r="C2" s="5"/>
      <c r="D2" s="5"/>
      <c r="E2" s="5"/>
      <c r="F2" s="5"/>
      <c r="G2" s="5"/>
      <c r="H2" s="5"/>
      <c r="I2" s="5"/>
      <c r="J2" s="5"/>
      <c r="K2" s="5"/>
      <c r="L2" s="5"/>
      <c r="M2" s="5"/>
      <c r="N2" s="5"/>
      <c r="O2" s="5"/>
      <c r="P2" s="5"/>
      <c r="Q2" s="5"/>
      <c r="R2" s="5"/>
      <c r="S2" s="5"/>
      <c r="T2" s="5"/>
      <c r="U2" s="5"/>
      <c r="V2" s="5"/>
      <c r="W2" s="5"/>
      <c r="X2" s="5"/>
      <c r="Y2" s="5"/>
      <c r="Z2" s="5"/>
      <c r="AA2" s="5"/>
    </row>
    <row r="3" customFormat="false" ht="15" hidden="false" customHeight="false" outlineLevel="0" collapsed="false">
      <c r="A3" s="5"/>
      <c r="B3" s="6" t="s">
        <v>146</v>
      </c>
      <c r="C3" s="5"/>
      <c r="D3" s="5"/>
      <c r="E3" s="5"/>
      <c r="F3" s="5"/>
      <c r="G3" s="5"/>
      <c r="H3" s="5"/>
      <c r="I3" s="5"/>
      <c r="J3" s="5"/>
      <c r="K3" s="5"/>
      <c r="L3" s="5"/>
      <c r="M3" s="5"/>
      <c r="N3" s="5"/>
      <c r="O3" s="5"/>
      <c r="P3" s="5"/>
      <c r="Q3" s="5"/>
      <c r="R3" s="5"/>
      <c r="S3" s="5"/>
      <c r="T3" s="5"/>
      <c r="U3" s="5"/>
      <c r="V3" s="5"/>
      <c r="W3" s="5"/>
      <c r="X3" s="5"/>
      <c r="Y3" s="5"/>
      <c r="Z3" s="5"/>
      <c r="AA3" s="5"/>
    </row>
    <row r="4" customFormat="false" ht="15" hidden="false" customHeight="false" outlineLevel="0" collapsed="false">
      <c r="A4" s="5"/>
      <c r="B4" s="5"/>
      <c r="C4" s="5"/>
      <c r="D4" s="5"/>
      <c r="E4" s="5"/>
      <c r="F4" s="5"/>
      <c r="G4" s="5"/>
      <c r="H4" s="5"/>
      <c r="I4" s="5"/>
      <c r="J4" s="5"/>
      <c r="K4" s="5"/>
      <c r="L4" s="5"/>
      <c r="M4" s="5"/>
      <c r="N4" s="5"/>
      <c r="O4" s="5"/>
      <c r="P4" s="5"/>
      <c r="Q4" s="5"/>
      <c r="R4" s="5"/>
      <c r="S4" s="5"/>
      <c r="T4" s="5"/>
      <c r="U4" s="5"/>
      <c r="V4" s="5"/>
      <c r="W4" s="5"/>
      <c r="X4" s="5"/>
      <c r="Y4" s="5"/>
      <c r="Z4" s="5"/>
      <c r="AA4" s="5"/>
    </row>
    <row r="5" customFormat="false" ht="15" hidden="false" customHeight="false" outlineLevel="0" collapsed="false">
      <c r="A5" s="5"/>
      <c r="B5" s="5"/>
      <c r="C5" s="34" t="n">
        <f aca="false">Base_Year+0</f>
        <v>2026</v>
      </c>
      <c r="D5" s="34" t="n">
        <f aca="false">Base_Year+1</f>
        <v>2027</v>
      </c>
      <c r="E5" s="34" t="n">
        <f aca="false">Base_Year+2</f>
        <v>2028</v>
      </c>
      <c r="F5" s="34" t="n">
        <f aca="false">Base_Year+3</f>
        <v>2029</v>
      </c>
      <c r="G5" s="34" t="n">
        <f aca="false">Base_Year+4</f>
        <v>2030</v>
      </c>
      <c r="H5" s="34" t="n">
        <f aca="false">Base_Year+5</f>
        <v>2031</v>
      </c>
      <c r="I5" s="34" t="n">
        <f aca="false">Base_Year+6</f>
        <v>2032</v>
      </c>
      <c r="J5" s="34" t="n">
        <f aca="false">Base_Year+7</f>
        <v>2033</v>
      </c>
      <c r="K5" s="34" t="n">
        <f aca="false">Base_Year+8</f>
        <v>2034</v>
      </c>
      <c r="L5" s="34" t="n">
        <f aca="false">Base_Year+9</f>
        <v>2035</v>
      </c>
      <c r="M5" s="34" t="n">
        <f aca="false">Base_Year+10</f>
        <v>2036</v>
      </c>
      <c r="N5" s="34" t="n">
        <f aca="false">Base_Year+11</f>
        <v>2037</v>
      </c>
      <c r="O5" s="34" t="n">
        <f aca="false">Base_Year+12</f>
        <v>2038</v>
      </c>
      <c r="P5" s="34" t="n">
        <f aca="false">Base_Year+13</f>
        <v>2039</v>
      </c>
      <c r="Q5" s="34" t="n">
        <f aca="false">Base_Year+14</f>
        <v>2040</v>
      </c>
      <c r="R5" s="34" t="n">
        <f aca="false">Base_Year+15</f>
        <v>2041</v>
      </c>
      <c r="S5" s="34" t="n">
        <f aca="false">Base_Year+16</f>
        <v>2042</v>
      </c>
      <c r="T5" s="34" t="n">
        <f aca="false">Base_Year+17</f>
        <v>2043</v>
      </c>
      <c r="U5" s="34" t="n">
        <f aca="false">Base_Year+18</f>
        <v>2044</v>
      </c>
      <c r="V5" s="34" t="n">
        <f aca="false">Base_Year+19</f>
        <v>2045</v>
      </c>
      <c r="W5" s="34" t="n">
        <f aca="false">Base_Year+20</f>
        <v>2046</v>
      </c>
      <c r="X5" s="34" t="n">
        <f aca="false">Base_Year+21</f>
        <v>2047</v>
      </c>
      <c r="Y5" s="34" t="n">
        <f aca="false">Base_Year+22</f>
        <v>2048</v>
      </c>
      <c r="Z5" s="34" t="n">
        <f aca="false">Base_Year+23</f>
        <v>2049</v>
      </c>
      <c r="AA5" s="34" t="n">
        <f aca="false">Base_Year+24</f>
        <v>2050</v>
      </c>
    </row>
    <row r="6" customFormat="false" ht="15" hidden="false" customHeight="false" outlineLevel="0" collapsed="false">
      <c r="A6" s="5"/>
      <c r="B6" s="5"/>
      <c r="C6" s="35" t="n">
        <v>1</v>
      </c>
      <c r="D6" s="35" t="n">
        <v>2</v>
      </c>
      <c r="E6" s="35" t="n">
        <v>3</v>
      </c>
      <c r="F6" s="35" t="n">
        <v>4</v>
      </c>
      <c r="G6" s="35" t="n">
        <v>5</v>
      </c>
      <c r="H6" s="35" t="n">
        <v>6</v>
      </c>
      <c r="I6" s="35" t="n">
        <v>7</v>
      </c>
      <c r="J6" s="35" t="n">
        <v>8</v>
      </c>
      <c r="K6" s="35" t="n">
        <v>9</v>
      </c>
      <c r="L6" s="35" t="n">
        <v>10</v>
      </c>
      <c r="M6" s="35" t="n">
        <v>11</v>
      </c>
      <c r="N6" s="35" t="n">
        <v>12</v>
      </c>
      <c r="O6" s="35" t="n">
        <v>13</v>
      </c>
      <c r="P6" s="35" t="n">
        <v>14</v>
      </c>
      <c r="Q6" s="35" t="n">
        <v>15</v>
      </c>
      <c r="R6" s="35" t="n">
        <v>16</v>
      </c>
      <c r="S6" s="35" t="n">
        <v>17</v>
      </c>
      <c r="T6" s="35" t="n">
        <v>18</v>
      </c>
      <c r="U6" s="35" t="n">
        <v>19</v>
      </c>
      <c r="V6" s="35" t="n">
        <v>20</v>
      </c>
      <c r="W6" s="35" t="n">
        <v>21</v>
      </c>
      <c r="X6" s="35" t="n">
        <v>22</v>
      </c>
      <c r="Y6" s="35" t="n">
        <v>23</v>
      </c>
      <c r="Z6" s="35" t="n">
        <v>24</v>
      </c>
      <c r="AA6" s="35" t="n">
        <v>25</v>
      </c>
    </row>
    <row r="7" customFormat="false" ht="15" hidden="false" customHeight="false" outlineLevel="0" collapsed="false">
      <c r="A7" s="5"/>
      <c r="B7" s="8" t="s">
        <v>147</v>
      </c>
      <c r="C7" s="43" t="n">
        <f aca="false">IF(AND(C6&gt;Construction_Years,C6&lt;=Concession_Years),1,0)</f>
        <v>0</v>
      </c>
      <c r="D7" s="43" t="n">
        <f aca="false">IF(AND(D6&gt;Construction_Years,D6&lt;=Concession_Years),1,0)</f>
        <v>0</v>
      </c>
      <c r="E7" s="43" t="n">
        <f aca="false">IF(AND(E6&gt;Construction_Years,E6&lt;=Concession_Years),1,0)</f>
        <v>0</v>
      </c>
      <c r="F7" s="43" t="n">
        <f aca="false">IF(AND(F6&gt;Construction_Years,F6&lt;=Concession_Years),1,0)</f>
        <v>1</v>
      </c>
      <c r="G7" s="43" t="n">
        <f aca="false">IF(AND(G6&gt;Construction_Years,G6&lt;=Concession_Years),1,0)</f>
        <v>1</v>
      </c>
      <c r="H7" s="43" t="n">
        <f aca="false">IF(AND(H6&gt;Construction_Years,H6&lt;=Concession_Years),1,0)</f>
        <v>1</v>
      </c>
      <c r="I7" s="43" t="n">
        <f aca="false">IF(AND(I6&gt;Construction_Years,I6&lt;=Concession_Years),1,0)</f>
        <v>1</v>
      </c>
      <c r="J7" s="43" t="n">
        <f aca="false">IF(AND(J6&gt;Construction_Years,J6&lt;=Concession_Years),1,0)</f>
        <v>1</v>
      </c>
      <c r="K7" s="43" t="n">
        <f aca="false">IF(AND(K6&gt;Construction_Years,K6&lt;=Concession_Years),1,0)</f>
        <v>1</v>
      </c>
      <c r="L7" s="43" t="n">
        <f aca="false">IF(AND(L6&gt;Construction_Years,L6&lt;=Concession_Years),1,0)</f>
        <v>1</v>
      </c>
      <c r="M7" s="43" t="n">
        <f aca="false">IF(AND(M6&gt;Construction_Years,M6&lt;=Concession_Years),1,0)</f>
        <v>1</v>
      </c>
      <c r="N7" s="43" t="n">
        <f aca="false">IF(AND(N6&gt;Construction_Years,N6&lt;=Concession_Years),1,0)</f>
        <v>1</v>
      </c>
      <c r="O7" s="43" t="n">
        <f aca="false">IF(AND(O6&gt;Construction_Years,O6&lt;=Concession_Years),1,0)</f>
        <v>1</v>
      </c>
      <c r="P7" s="43" t="n">
        <f aca="false">IF(AND(P6&gt;Construction_Years,P6&lt;=Concession_Years),1,0)</f>
        <v>1</v>
      </c>
      <c r="Q7" s="43" t="n">
        <f aca="false">IF(AND(Q6&gt;Construction_Years,Q6&lt;=Concession_Years),1,0)</f>
        <v>1</v>
      </c>
      <c r="R7" s="43" t="n">
        <f aca="false">IF(AND(R6&gt;Construction_Years,R6&lt;=Concession_Years),1,0)</f>
        <v>1</v>
      </c>
      <c r="S7" s="43" t="n">
        <f aca="false">IF(AND(S6&gt;Construction_Years,S6&lt;=Concession_Years),1,0)</f>
        <v>1</v>
      </c>
      <c r="T7" s="43" t="n">
        <f aca="false">IF(AND(T6&gt;Construction_Years,T6&lt;=Concession_Years),1,0)</f>
        <v>1</v>
      </c>
      <c r="U7" s="43" t="n">
        <f aca="false">IF(AND(U6&gt;Construction_Years,U6&lt;=Concession_Years),1,0)</f>
        <v>1</v>
      </c>
      <c r="V7" s="43" t="n">
        <f aca="false">IF(AND(V6&gt;Construction_Years,V6&lt;=Concession_Years),1,0)</f>
        <v>1</v>
      </c>
      <c r="W7" s="43" t="n">
        <f aca="false">IF(AND(W6&gt;Construction_Years,W6&lt;=Concession_Years),1,0)</f>
        <v>1</v>
      </c>
      <c r="X7" s="43" t="n">
        <f aca="false">IF(AND(X6&gt;Construction_Years,X6&lt;=Concession_Years),1,0)</f>
        <v>1</v>
      </c>
      <c r="Y7" s="43" t="n">
        <f aca="false">IF(AND(Y6&gt;Construction_Years,Y6&lt;=Concession_Years),1,0)</f>
        <v>1</v>
      </c>
      <c r="Z7" s="43" t="n">
        <f aca="false">IF(AND(Z6&gt;Construction_Years,Z6&lt;=Concession_Years),1,0)</f>
        <v>1</v>
      </c>
      <c r="AA7" s="43" t="n">
        <f aca="false">IF(AND(AA6&gt;Construction_Years,AA6&lt;=Concession_Years),1,0)</f>
        <v>1</v>
      </c>
    </row>
    <row r="8" customFormat="false" ht="15" hidden="false" customHeight="false" outlineLevel="0" collapsed="false">
      <c r="A8" s="5"/>
      <c r="B8" s="5"/>
      <c r="C8" s="5"/>
      <c r="D8" s="5"/>
      <c r="E8" s="5"/>
      <c r="F8" s="5"/>
      <c r="G8" s="5"/>
      <c r="H8" s="5"/>
      <c r="I8" s="5"/>
      <c r="J8" s="5"/>
      <c r="K8" s="5"/>
      <c r="L8" s="5"/>
      <c r="M8" s="5"/>
      <c r="N8" s="5"/>
      <c r="O8" s="5"/>
      <c r="P8" s="5"/>
      <c r="Q8" s="5"/>
      <c r="R8" s="5"/>
      <c r="S8" s="5"/>
      <c r="T8" s="5"/>
      <c r="U8" s="5"/>
      <c r="V8" s="5"/>
      <c r="W8" s="5"/>
      <c r="X8" s="5"/>
      <c r="Y8" s="5"/>
      <c r="Z8" s="5"/>
      <c r="AA8" s="5"/>
    </row>
    <row r="9" customFormat="false" ht="15" hidden="false" customHeight="false" outlineLevel="0" collapsed="false">
      <c r="A9" s="5"/>
      <c r="B9" s="10" t="s">
        <v>148</v>
      </c>
      <c r="C9" s="11"/>
      <c r="D9" s="11"/>
      <c r="E9" s="11"/>
      <c r="F9" s="11"/>
      <c r="G9" s="11"/>
      <c r="H9" s="11"/>
      <c r="I9" s="11"/>
      <c r="J9" s="11"/>
      <c r="K9" s="11"/>
      <c r="L9" s="11"/>
      <c r="M9" s="11"/>
      <c r="N9" s="11"/>
      <c r="O9" s="11"/>
      <c r="P9" s="11"/>
      <c r="Q9" s="11"/>
      <c r="R9" s="11"/>
      <c r="S9" s="11"/>
      <c r="T9" s="11"/>
      <c r="U9" s="11"/>
      <c r="V9" s="11"/>
      <c r="W9" s="11"/>
      <c r="X9" s="11"/>
      <c r="Y9" s="11"/>
      <c r="Z9" s="11"/>
      <c r="AA9" s="11"/>
    </row>
    <row r="10" customFormat="false" ht="15" hidden="false" customHeight="false" outlineLevel="0" collapsed="false">
      <c r="A10" s="5"/>
      <c r="B10" s="36" t="s">
        <v>149</v>
      </c>
      <c r="C10" s="44" t="n">
        <f aca="false">IF(C7=0,0,AADT_Light*(1+Traffic_Growth)^(C6-Construction_Years-1))</f>
        <v>0</v>
      </c>
      <c r="D10" s="44" t="n">
        <f aca="false">IF(D7=0,0,AADT_Light*(1+Traffic_Growth)^(D6-Construction_Years-1))</f>
        <v>0</v>
      </c>
      <c r="E10" s="44" t="n">
        <f aca="false">IF(E7=0,0,AADT_Light*(1+Traffic_Growth)^(E6-Construction_Years-1))</f>
        <v>0</v>
      </c>
      <c r="F10" s="44" t="n">
        <f aca="false">IF(F7=0,0,AADT_Light*(1+Traffic_Growth)^(F6-Construction_Years-1))</f>
        <v>25000</v>
      </c>
      <c r="G10" s="44" t="n">
        <f aca="false">IF(G7=0,0,AADT_Light*(1+Traffic_Growth)^(G6-Construction_Years-1))</f>
        <v>25375</v>
      </c>
      <c r="H10" s="44" t="n">
        <f aca="false">IF(H7=0,0,AADT_Light*(1+Traffic_Growth)^(H6-Construction_Years-1))</f>
        <v>25755.625</v>
      </c>
      <c r="I10" s="44" t="n">
        <f aca="false">IF(I7=0,0,AADT_Light*(1+Traffic_Growth)^(I6-Construction_Years-1))</f>
        <v>26141.959375</v>
      </c>
      <c r="J10" s="44" t="n">
        <f aca="false">IF(J7=0,0,AADT_Light*(1+Traffic_Growth)^(J6-Construction_Years-1))</f>
        <v>26534.088765625</v>
      </c>
      <c r="K10" s="44" t="n">
        <f aca="false">IF(K7=0,0,AADT_Light*(1+Traffic_Growth)^(K6-Construction_Years-1))</f>
        <v>26932.1000971094</v>
      </c>
      <c r="L10" s="44" t="n">
        <f aca="false">IF(L7=0,0,AADT_Light*(1+Traffic_Growth)^(L6-Construction_Years-1))</f>
        <v>27336.081598566</v>
      </c>
      <c r="M10" s="44" t="n">
        <f aca="false">IF(M7=0,0,AADT_Light*(1+Traffic_Growth)^(M6-Construction_Years-1))</f>
        <v>27746.1228225445</v>
      </c>
      <c r="N10" s="44" t="n">
        <f aca="false">IF(N7=0,0,AADT_Light*(1+Traffic_Growth)^(N6-Construction_Years-1))</f>
        <v>28162.3146648827</v>
      </c>
      <c r="O10" s="44" t="n">
        <f aca="false">IF(O7=0,0,AADT_Light*(1+Traffic_Growth)^(O6-Construction_Years-1))</f>
        <v>28584.7493848559</v>
      </c>
      <c r="P10" s="44" t="n">
        <f aca="false">IF(P7=0,0,AADT_Light*(1+Traffic_Growth)^(P6-Construction_Years-1))</f>
        <v>29013.5206256287</v>
      </c>
      <c r="Q10" s="44" t="n">
        <f aca="false">IF(Q7=0,0,AADT_Light*(1+Traffic_Growth)^(Q6-Construction_Years-1))</f>
        <v>29448.7234350132</v>
      </c>
      <c r="R10" s="44" t="n">
        <f aca="false">IF(R7=0,0,AADT_Light*(1+Traffic_Growth)^(R6-Construction_Years-1))</f>
        <v>29890.4542865384</v>
      </c>
      <c r="S10" s="44" t="n">
        <f aca="false">IF(S7=0,0,AADT_Light*(1+Traffic_Growth)^(S6-Construction_Years-1))</f>
        <v>30338.8111008364</v>
      </c>
      <c r="T10" s="44" t="n">
        <f aca="false">IF(T7=0,0,AADT_Light*(1+Traffic_Growth)^(T6-Construction_Years-1))</f>
        <v>30793.893267349</v>
      </c>
      <c r="U10" s="44" t="n">
        <f aca="false">IF(U7=0,0,AADT_Light*(1+Traffic_Growth)^(U6-Construction_Years-1))</f>
        <v>31255.8016663592</v>
      </c>
      <c r="V10" s="44" t="n">
        <f aca="false">IF(V7=0,0,AADT_Light*(1+Traffic_Growth)^(V6-Construction_Years-1))</f>
        <v>31724.6386913546</v>
      </c>
      <c r="W10" s="44" t="n">
        <f aca="false">IF(W7=0,0,AADT_Light*(1+Traffic_Growth)^(W6-Construction_Years-1))</f>
        <v>32200.5082717249</v>
      </c>
      <c r="X10" s="44" t="n">
        <f aca="false">IF(X7=0,0,AADT_Light*(1+Traffic_Growth)^(X6-Construction_Years-1))</f>
        <v>32683.5158958008</v>
      </c>
      <c r="Y10" s="44" t="n">
        <f aca="false">IF(Y7=0,0,AADT_Light*(1+Traffic_Growth)^(Y6-Construction_Years-1))</f>
        <v>33173.7686342378</v>
      </c>
      <c r="Z10" s="44" t="n">
        <f aca="false">IF(Z7=0,0,AADT_Light*(1+Traffic_Growth)^(Z6-Construction_Years-1))</f>
        <v>33671.3751637513</v>
      </c>
      <c r="AA10" s="44" t="n">
        <f aca="false">IF(AA7=0,0,AADT_Light*(1+Traffic_Growth)^(AA6-Construction_Years-1))</f>
        <v>34176.4457912076</v>
      </c>
    </row>
    <row r="11" customFormat="false" ht="15" hidden="false" customHeight="false" outlineLevel="0" collapsed="false">
      <c r="A11" s="5"/>
      <c r="B11" s="36" t="s">
        <v>150</v>
      </c>
      <c r="C11" s="44" t="n">
        <f aca="false">IF(C7=0,0,AADT_Heavy*(1+Traffic_Growth)^(C6-Construction_Years-1))</f>
        <v>0</v>
      </c>
      <c r="D11" s="44" t="n">
        <f aca="false">IF(D7=0,0,AADT_Heavy*(1+Traffic_Growth)^(D6-Construction_Years-1))</f>
        <v>0</v>
      </c>
      <c r="E11" s="44" t="n">
        <f aca="false">IF(E7=0,0,AADT_Heavy*(1+Traffic_Growth)^(E6-Construction_Years-1))</f>
        <v>0</v>
      </c>
      <c r="F11" s="44" t="n">
        <f aca="false">IF(F7=0,0,AADT_Heavy*(1+Traffic_Growth)^(F6-Construction_Years-1))</f>
        <v>3500</v>
      </c>
      <c r="G11" s="44" t="n">
        <f aca="false">IF(G7=0,0,AADT_Heavy*(1+Traffic_Growth)^(G6-Construction_Years-1))</f>
        <v>3552.5</v>
      </c>
      <c r="H11" s="44" t="n">
        <f aca="false">IF(H7=0,0,AADT_Heavy*(1+Traffic_Growth)^(H6-Construction_Years-1))</f>
        <v>3605.7875</v>
      </c>
      <c r="I11" s="44" t="n">
        <f aca="false">IF(I7=0,0,AADT_Heavy*(1+Traffic_Growth)^(I6-Construction_Years-1))</f>
        <v>3659.8743125</v>
      </c>
      <c r="J11" s="44" t="n">
        <f aca="false">IF(J7=0,0,AADT_Heavy*(1+Traffic_Growth)^(J6-Construction_Years-1))</f>
        <v>3714.7724271875</v>
      </c>
      <c r="K11" s="44" t="n">
        <f aca="false">IF(K7=0,0,AADT_Heavy*(1+Traffic_Growth)^(K6-Construction_Years-1))</f>
        <v>3770.49401359531</v>
      </c>
      <c r="L11" s="44" t="n">
        <f aca="false">IF(L7=0,0,AADT_Heavy*(1+Traffic_Growth)^(L6-Construction_Years-1))</f>
        <v>3827.05142379924</v>
      </c>
      <c r="M11" s="44" t="n">
        <f aca="false">IF(M7=0,0,AADT_Heavy*(1+Traffic_Growth)^(M6-Construction_Years-1))</f>
        <v>3884.45719515623</v>
      </c>
      <c r="N11" s="44" t="n">
        <f aca="false">IF(N7=0,0,AADT_Heavy*(1+Traffic_Growth)^(N6-Construction_Years-1))</f>
        <v>3942.72405308357</v>
      </c>
      <c r="O11" s="44" t="n">
        <f aca="false">IF(O7=0,0,AADT_Heavy*(1+Traffic_Growth)^(O6-Construction_Years-1))</f>
        <v>4001.86491387982</v>
      </c>
      <c r="P11" s="44" t="n">
        <f aca="false">IF(P7=0,0,AADT_Heavy*(1+Traffic_Growth)^(P6-Construction_Years-1))</f>
        <v>4061.89288758802</v>
      </c>
      <c r="Q11" s="44" t="n">
        <f aca="false">IF(Q7=0,0,AADT_Heavy*(1+Traffic_Growth)^(Q6-Construction_Years-1))</f>
        <v>4122.82128090184</v>
      </c>
      <c r="R11" s="44" t="n">
        <f aca="false">IF(R7=0,0,AADT_Heavy*(1+Traffic_Growth)^(R6-Construction_Years-1))</f>
        <v>4184.66360011537</v>
      </c>
      <c r="S11" s="44" t="n">
        <f aca="false">IF(S7=0,0,AADT_Heavy*(1+Traffic_Growth)^(S6-Construction_Years-1))</f>
        <v>4247.4335541171</v>
      </c>
      <c r="T11" s="44" t="n">
        <f aca="false">IF(T7=0,0,AADT_Heavy*(1+Traffic_Growth)^(T6-Construction_Years-1))</f>
        <v>4311.14505742886</v>
      </c>
      <c r="U11" s="44" t="n">
        <f aca="false">IF(U7=0,0,AADT_Heavy*(1+Traffic_Growth)^(U6-Construction_Years-1))</f>
        <v>4375.81223329029</v>
      </c>
      <c r="V11" s="44" t="n">
        <f aca="false">IF(V7=0,0,AADT_Heavy*(1+Traffic_Growth)^(V6-Construction_Years-1))</f>
        <v>4441.44941678964</v>
      </c>
      <c r="W11" s="44" t="n">
        <f aca="false">IF(W7=0,0,AADT_Heavy*(1+Traffic_Growth)^(W6-Construction_Years-1))</f>
        <v>4508.07115804148</v>
      </c>
      <c r="X11" s="44" t="n">
        <f aca="false">IF(X7=0,0,AADT_Heavy*(1+Traffic_Growth)^(X6-Construction_Years-1))</f>
        <v>4575.69222541211</v>
      </c>
      <c r="Y11" s="44" t="n">
        <f aca="false">IF(Y7=0,0,AADT_Heavy*(1+Traffic_Growth)^(Y6-Construction_Years-1))</f>
        <v>4644.32760879329</v>
      </c>
      <c r="Z11" s="44" t="n">
        <f aca="false">IF(Z7=0,0,AADT_Heavy*(1+Traffic_Growth)^(Z6-Construction_Years-1))</f>
        <v>4713.99252292519</v>
      </c>
      <c r="AA11" s="44" t="n">
        <f aca="false">IF(AA7=0,0,AADT_Heavy*(1+Traffic_Growth)^(AA6-Construction_Years-1))</f>
        <v>4784.70241076907</v>
      </c>
    </row>
    <row r="12" customFormat="false" ht="15" hidden="false" customHeight="false" outlineLevel="0" collapsed="false">
      <c r="A12" s="5"/>
      <c r="B12" s="36" t="s">
        <v>151</v>
      </c>
      <c r="C12" s="45" t="n">
        <f aca="false">IF(C7=0,0,IF(C6-Construction_Years=1,Ramp_Y1,IF(C6-Construction_Years=2,Ramp_Y2,Ramp_Y3)))</f>
        <v>0</v>
      </c>
      <c r="D12" s="45" t="n">
        <f aca="false">IF(D7=0,0,IF(D6-Construction_Years=1,Ramp_Y1,IF(D6-Construction_Years=2,Ramp_Y2,Ramp_Y3)))</f>
        <v>0</v>
      </c>
      <c r="E12" s="45" t="n">
        <f aca="false">IF(E7=0,0,IF(E6-Construction_Years=1,Ramp_Y1,IF(E6-Construction_Years=2,Ramp_Y2,Ramp_Y3)))</f>
        <v>0</v>
      </c>
      <c r="F12" s="45" t="n">
        <f aca="false">IF(F7=0,0,IF(F6-Construction_Years=1,Ramp_Y1,IF(F6-Construction_Years=2,Ramp_Y2,Ramp_Y3)))</f>
        <v>0.65</v>
      </c>
      <c r="G12" s="45" t="n">
        <f aca="false">IF(G7=0,0,IF(G6-Construction_Years=1,Ramp_Y1,IF(G6-Construction_Years=2,Ramp_Y2,Ramp_Y3)))</f>
        <v>0.85</v>
      </c>
      <c r="H12" s="45" t="n">
        <f aca="false">IF(H7=0,0,IF(H6-Construction_Years=1,Ramp_Y1,IF(H6-Construction_Years=2,Ramp_Y2,Ramp_Y3)))</f>
        <v>1</v>
      </c>
      <c r="I12" s="45" t="n">
        <f aca="false">IF(I7=0,0,IF(I6-Construction_Years=1,Ramp_Y1,IF(I6-Construction_Years=2,Ramp_Y2,Ramp_Y3)))</f>
        <v>1</v>
      </c>
      <c r="J12" s="45" t="n">
        <f aca="false">IF(J7=0,0,IF(J6-Construction_Years=1,Ramp_Y1,IF(J6-Construction_Years=2,Ramp_Y2,Ramp_Y3)))</f>
        <v>1</v>
      </c>
      <c r="K12" s="45" t="n">
        <f aca="false">IF(K7=0,0,IF(K6-Construction_Years=1,Ramp_Y1,IF(K6-Construction_Years=2,Ramp_Y2,Ramp_Y3)))</f>
        <v>1</v>
      </c>
      <c r="L12" s="45" t="n">
        <f aca="false">IF(L7=0,0,IF(L6-Construction_Years=1,Ramp_Y1,IF(L6-Construction_Years=2,Ramp_Y2,Ramp_Y3)))</f>
        <v>1</v>
      </c>
      <c r="M12" s="45" t="n">
        <f aca="false">IF(M7=0,0,IF(M6-Construction_Years=1,Ramp_Y1,IF(M6-Construction_Years=2,Ramp_Y2,Ramp_Y3)))</f>
        <v>1</v>
      </c>
      <c r="N12" s="45" t="n">
        <f aca="false">IF(N7=0,0,IF(N6-Construction_Years=1,Ramp_Y1,IF(N6-Construction_Years=2,Ramp_Y2,Ramp_Y3)))</f>
        <v>1</v>
      </c>
      <c r="O12" s="45" t="n">
        <f aca="false">IF(O7=0,0,IF(O6-Construction_Years=1,Ramp_Y1,IF(O6-Construction_Years=2,Ramp_Y2,Ramp_Y3)))</f>
        <v>1</v>
      </c>
      <c r="P12" s="45" t="n">
        <f aca="false">IF(P7=0,0,IF(P6-Construction_Years=1,Ramp_Y1,IF(P6-Construction_Years=2,Ramp_Y2,Ramp_Y3)))</f>
        <v>1</v>
      </c>
      <c r="Q12" s="45" t="n">
        <f aca="false">IF(Q7=0,0,IF(Q6-Construction_Years=1,Ramp_Y1,IF(Q6-Construction_Years=2,Ramp_Y2,Ramp_Y3)))</f>
        <v>1</v>
      </c>
      <c r="R12" s="45" t="n">
        <f aca="false">IF(R7=0,0,IF(R6-Construction_Years=1,Ramp_Y1,IF(R6-Construction_Years=2,Ramp_Y2,Ramp_Y3)))</f>
        <v>1</v>
      </c>
      <c r="S12" s="45" t="n">
        <f aca="false">IF(S7=0,0,IF(S6-Construction_Years=1,Ramp_Y1,IF(S6-Construction_Years=2,Ramp_Y2,Ramp_Y3)))</f>
        <v>1</v>
      </c>
      <c r="T12" s="45" t="n">
        <f aca="false">IF(T7=0,0,IF(T6-Construction_Years=1,Ramp_Y1,IF(T6-Construction_Years=2,Ramp_Y2,Ramp_Y3)))</f>
        <v>1</v>
      </c>
      <c r="U12" s="45" t="n">
        <f aca="false">IF(U7=0,0,IF(U6-Construction_Years=1,Ramp_Y1,IF(U6-Construction_Years=2,Ramp_Y2,Ramp_Y3)))</f>
        <v>1</v>
      </c>
      <c r="V12" s="45" t="n">
        <f aca="false">IF(V7=0,0,IF(V6-Construction_Years=1,Ramp_Y1,IF(V6-Construction_Years=2,Ramp_Y2,Ramp_Y3)))</f>
        <v>1</v>
      </c>
      <c r="W12" s="45" t="n">
        <f aca="false">IF(W7=0,0,IF(W6-Construction_Years=1,Ramp_Y1,IF(W6-Construction_Years=2,Ramp_Y2,Ramp_Y3)))</f>
        <v>1</v>
      </c>
      <c r="X12" s="45" t="n">
        <f aca="false">IF(X7=0,0,IF(X6-Construction_Years=1,Ramp_Y1,IF(X6-Construction_Years=2,Ramp_Y2,Ramp_Y3)))</f>
        <v>1</v>
      </c>
      <c r="Y12" s="45" t="n">
        <f aca="false">IF(Y7=0,0,IF(Y6-Construction_Years=1,Ramp_Y1,IF(Y6-Construction_Years=2,Ramp_Y2,Ramp_Y3)))</f>
        <v>1</v>
      </c>
      <c r="Z12" s="45" t="n">
        <f aca="false">IF(Z7=0,0,IF(Z6-Construction_Years=1,Ramp_Y1,IF(Z6-Construction_Years=2,Ramp_Y2,Ramp_Y3)))</f>
        <v>1</v>
      </c>
      <c r="AA12" s="45" t="n">
        <f aca="false">IF(AA7=0,0,IF(AA6-Construction_Years=1,Ramp_Y1,IF(AA6-Construction_Years=2,Ramp_Y2,Ramp_Y3)))</f>
        <v>1</v>
      </c>
    </row>
    <row r="13" customFormat="false" ht="15" hidden="false" customHeight="false" outlineLevel="0" collapsed="false">
      <c r="A13" s="5"/>
      <c r="B13" s="36" t="s">
        <v>152</v>
      </c>
      <c r="C13" s="44" t="n">
        <f aca="false">C10*365*C12</f>
        <v>0</v>
      </c>
      <c r="D13" s="44" t="n">
        <f aca="false">D10*365*D12</f>
        <v>0</v>
      </c>
      <c r="E13" s="44" t="n">
        <f aca="false">E10*365*E12</f>
        <v>0</v>
      </c>
      <c r="F13" s="44" t="n">
        <f aca="false">F10*365*F12</f>
        <v>5931250</v>
      </c>
      <c r="G13" s="44" t="n">
        <f aca="false">G10*365*G12</f>
        <v>7872593.75</v>
      </c>
      <c r="H13" s="44" t="n">
        <f aca="false">H10*365*H12</f>
        <v>9400803.125</v>
      </c>
      <c r="I13" s="44" t="n">
        <f aca="false">I10*365*I12</f>
        <v>9541815.171875</v>
      </c>
      <c r="J13" s="44" t="n">
        <f aca="false">J10*365*J12</f>
        <v>9684942.39945312</v>
      </c>
      <c r="K13" s="44" t="n">
        <f aca="false">K10*365*K12</f>
        <v>9830216.53544492</v>
      </c>
      <c r="L13" s="44" t="n">
        <f aca="false">L10*365*L12</f>
        <v>9977669.78347659</v>
      </c>
      <c r="M13" s="44" t="n">
        <f aca="false">M10*365*M12</f>
        <v>10127334.8302287</v>
      </c>
      <c r="N13" s="44" t="n">
        <f aca="false">N10*365*N12</f>
        <v>10279244.8526822</v>
      </c>
      <c r="O13" s="44" t="n">
        <f aca="false">O10*365*O12</f>
        <v>10433433.5254724</v>
      </c>
      <c r="P13" s="44" t="n">
        <f aca="false">P10*365*P12</f>
        <v>10589935.0283545</v>
      </c>
      <c r="Q13" s="44" t="n">
        <f aca="false">Q10*365*Q12</f>
        <v>10748784.0537798</v>
      </c>
      <c r="R13" s="44" t="n">
        <f aca="false">R10*365*R12</f>
        <v>10910015.8145865</v>
      </c>
      <c r="S13" s="44" t="n">
        <f aca="false">S10*365*S12</f>
        <v>11073666.0518053</v>
      </c>
      <c r="T13" s="44" t="n">
        <f aca="false">T10*365*T12</f>
        <v>11239771.0425824</v>
      </c>
      <c r="U13" s="44" t="n">
        <f aca="false">U10*365*U12</f>
        <v>11408367.6082211</v>
      </c>
      <c r="V13" s="44" t="n">
        <f aca="false">V10*365*V12</f>
        <v>11579493.1223444</v>
      </c>
      <c r="W13" s="44" t="n">
        <f aca="false">W10*365*W12</f>
        <v>11753185.5191796</v>
      </c>
      <c r="X13" s="44" t="n">
        <f aca="false">X10*365*X12</f>
        <v>11929483.3019673</v>
      </c>
      <c r="Y13" s="44" t="n">
        <f aca="false">Y10*365*Y12</f>
        <v>12108425.5514968</v>
      </c>
      <c r="Z13" s="44" t="n">
        <f aca="false">Z10*365*Z12</f>
        <v>12290051.9347692</v>
      </c>
      <c r="AA13" s="44" t="n">
        <f aca="false">AA10*365*AA12</f>
        <v>12474402.7137908</v>
      </c>
    </row>
    <row r="14" customFormat="false" ht="15" hidden="false" customHeight="false" outlineLevel="0" collapsed="false">
      <c r="A14" s="5"/>
      <c r="B14" s="36" t="s">
        <v>153</v>
      </c>
      <c r="C14" s="44" t="n">
        <f aca="false">C11*365*C12</f>
        <v>0</v>
      </c>
      <c r="D14" s="44" t="n">
        <f aca="false">D11*365*D12</f>
        <v>0</v>
      </c>
      <c r="E14" s="44" t="n">
        <f aca="false">E11*365*E12</f>
        <v>0</v>
      </c>
      <c r="F14" s="44" t="n">
        <f aca="false">F11*365*F12</f>
        <v>830375</v>
      </c>
      <c r="G14" s="44" t="n">
        <f aca="false">G11*365*G12</f>
        <v>1102163.125</v>
      </c>
      <c r="H14" s="44" t="n">
        <f aca="false">H11*365*H12</f>
        <v>1316112.4375</v>
      </c>
      <c r="I14" s="44" t="n">
        <f aca="false">I11*365*I12</f>
        <v>1335854.1240625</v>
      </c>
      <c r="J14" s="44" t="n">
        <f aca="false">J11*365*J12</f>
        <v>1355891.93592344</v>
      </c>
      <c r="K14" s="44" t="n">
        <f aca="false">K11*365*K12</f>
        <v>1376230.31496229</v>
      </c>
      <c r="L14" s="44" t="n">
        <f aca="false">L11*365*L12</f>
        <v>1396873.76968672</v>
      </c>
      <c r="M14" s="44" t="n">
        <f aca="false">M11*365*M12</f>
        <v>1417826.87623202</v>
      </c>
      <c r="N14" s="44" t="n">
        <f aca="false">N11*365*N12</f>
        <v>1439094.2793755</v>
      </c>
      <c r="O14" s="44" t="n">
        <f aca="false">O11*365*O12</f>
        <v>1460680.69356614</v>
      </c>
      <c r="P14" s="44" t="n">
        <f aca="false">P11*365*P12</f>
        <v>1482590.90396963</v>
      </c>
      <c r="Q14" s="44" t="n">
        <f aca="false">Q11*365*Q12</f>
        <v>1504829.76752917</v>
      </c>
      <c r="R14" s="44" t="n">
        <f aca="false">R11*365*R12</f>
        <v>1527402.21404211</v>
      </c>
      <c r="S14" s="44" t="n">
        <f aca="false">S11*365*S12</f>
        <v>1550313.24725274</v>
      </c>
      <c r="T14" s="44" t="n">
        <f aca="false">T11*365*T12</f>
        <v>1573567.94596153</v>
      </c>
      <c r="U14" s="44" t="n">
        <f aca="false">U11*365*U12</f>
        <v>1597171.46515096</v>
      </c>
      <c r="V14" s="44" t="n">
        <f aca="false">V11*365*V12</f>
        <v>1621129.03712822</v>
      </c>
      <c r="W14" s="44" t="n">
        <f aca="false">W11*365*W12</f>
        <v>1645445.97268514</v>
      </c>
      <c r="X14" s="44" t="n">
        <f aca="false">X11*365*X12</f>
        <v>1670127.66227542</v>
      </c>
      <c r="Y14" s="44" t="n">
        <f aca="false">Y11*365*Y12</f>
        <v>1695179.57720955</v>
      </c>
      <c r="Z14" s="44" t="n">
        <f aca="false">Z11*365*Z12</f>
        <v>1720607.27086769</v>
      </c>
      <c r="AA14" s="44" t="n">
        <f aca="false">AA11*365*AA12</f>
        <v>1746416.37993071</v>
      </c>
    </row>
    <row r="15" customFormat="false" ht="15" hidden="false" customHeight="false" outlineLevel="0" collapsed="false">
      <c r="A15" s="5"/>
      <c r="B15" s="38" t="s">
        <v>154</v>
      </c>
      <c r="C15" s="46" t="n">
        <f aca="false">C13+C14</f>
        <v>0</v>
      </c>
      <c r="D15" s="46" t="n">
        <f aca="false">D13+D14</f>
        <v>0</v>
      </c>
      <c r="E15" s="46" t="n">
        <f aca="false">E13+E14</f>
        <v>0</v>
      </c>
      <c r="F15" s="46" t="n">
        <f aca="false">F13+F14</f>
        <v>6761625</v>
      </c>
      <c r="G15" s="46" t="n">
        <f aca="false">G13+G14</f>
        <v>8974756.875</v>
      </c>
      <c r="H15" s="46" t="n">
        <f aca="false">H13+H14</f>
        <v>10716915.5625</v>
      </c>
      <c r="I15" s="46" t="n">
        <f aca="false">I13+I14</f>
        <v>10877669.2959375</v>
      </c>
      <c r="J15" s="46" t="n">
        <f aca="false">J13+J14</f>
        <v>11040834.3353766</v>
      </c>
      <c r="K15" s="46" t="n">
        <f aca="false">K13+K14</f>
        <v>11206446.8504072</v>
      </c>
      <c r="L15" s="46" t="n">
        <f aca="false">L13+L14</f>
        <v>11374543.5531633</v>
      </c>
      <c r="M15" s="46" t="n">
        <f aca="false">M13+M14</f>
        <v>11545161.7064608</v>
      </c>
      <c r="N15" s="46" t="n">
        <f aca="false">N13+N14</f>
        <v>11718339.1320577</v>
      </c>
      <c r="O15" s="46" t="n">
        <f aca="false">O13+O14</f>
        <v>11894114.2190385</v>
      </c>
      <c r="P15" s="46" t="n">
        <f aca="false">P13+P14</f>
        <v>12072525.9323241</v>
      </c>
      <c r="Q15" s="46" t="n">
        <f aca="false">Q13+Q14</f>
        <v>12253613.821309</v>
      </c>
      <c r="R15" s="46" t="n">
        <f aca="false">R13+R14</f>
        <v>12437418.0286286</v>
      </c>
      <c r="S15" s="46" t="n">
        <f aca="false">S13+S14</f>
        <v>12623979.299058</v>
      </c>
      <c r="T15" s="46" t="n">
        <f aca="false">T13+T14</f>
        <v>12813338.9885439</v>
      </c>
      <c r="U15" s="46" t="n">
        <f aca="false">U13+U14</f>
        <v>13005539.0733721</v>
      </c>
      <c r="V15" s="46" t="n">
        <f aca="false">V13+V14</f>
        <v>13200622.1594726</v>
      </c>
      <c r="W15" s="46" t="n">
        <f aca="false">W13+W14</f>
        <v>13398631.4918647</v>
      </c>
      <c r="X15" s="46" t="n">
        <f aca="false">X13+X14</f>
        <v>13599610.9642427</v>
      </c>
      <c r="Y15" s="46" t="n">
        <f aca="false">Y13+Y14</f>
        <v>13803605.1287063</v>
      </c>
      <c r="Z15" s="46" t="n">
        <f aca="false">Z13+Z14</f>
        <v>14010659.2056369</v>
      </c>
      <c r="AA15" s="46" t="n">
        <f aca="false">AA13+AA14</f>
        <v>14220819.0937215</v>
      </c>
    </row>
    <row r="16" customFormat="false" ht="15" hidden="false" customHeight="false" outlineLevel="0" collapsed="false">
      <c r="A16" s="5"/>
      <c r="B16" s="5"/>
      <c r="C16" s="5"/>
      <c r="D16" s="5"/>
      <c r="E16" s="5"/>
      <c r="F16" s="5"/>
      <c r="G16" s="5"/>
      <c r="H16" s="5"/>
      <c r="I16" s="5"/>
      <c r="J16" s="5"/>
      <c r="K16" s="5"/>
      <c r="L16" s="5"/>
      <c r="M16" s="5"/>
      <c r="N16" s="5"/>
      <c r="O16" s="5"/>
      <c r="P16" s="5"/>
      <c r="Q16" s="5"/>
      <c r="R16" s="5"/>
      <c r="S16" s="5"/>
      <c r="T16" s="5"/>
      <c r="U16" s="5"/>
      <c r="V16" s="5"/>
      <c r="W16" s="5"/>
      <c r="X16" s="5"/>
      <c r="Y16" s="5"/>
      <c r="Z16" s="5"/>
      <c r="AA16" s="5"/>
    </row>
    <row r="17" customFormat="false" ht="15" hidden="false" customHeight="false" outlineLevel="0" collapsed="false">
      <c r="A17" s="5"/>
      <c r="B17" s="10" t="s">
        <v>155</v>
      </c>
      <c r="C17" s="11"/>
      <c r="D17" s="11"/>
      <c r="E17" s="11"/>
      <c r="F17" s="11"/>
      <c r="G17" s="11"/>
      <c r="H17" s="11"/>
      <c r="I17" s="11"/>
      <c r="J17" s="11"/>
      <c r="K17" s="11"/>
      <c r="L17" s="11"/>
      <c r="M17" s="11"/>
      <c r="N17" s="11"/>
      <c r="O17" s="11"/>
      <c r="P17" s="11"/>
      <c r="Q17" s="11"/>
      <c r="R17" s="11"/>
      <c r="S17" s="11"/>
      <c r="T17" s="11"/>
      <c r="U17" s="11"/>
      <c r="V17" s="11"/>
      <c r="W17" s="11"/>
      <c r="X17" s="11"/>
      <c r="Y17" s="11"/>
      <c r="Z17" s="11"/>
      <c r="AA17" s="11"/>
    </row>
    <row r="18" customFormat="false" ht="15" hidden="false" customHeight="false" outlineLevel="0" collapsed="false">
      <c r="A18" s="5"/>
      <c r="B18" s="36" t="s">
        <v>156</v>
      </c>
      <c r="C18" s="37" t="n">
        <f aca="false">IF(C7=0,0,Light_Toll*(1+CPI_Rate)^(C6-Construction_Years-1))</f>
        <v>0</v>
      </c>
      <c r="D18" s="37" t="n">
        <f aca="false">IF(D7=0,0,Light_Toll*(1+CPI_Rate)^(D6-Construction_Years-1))</f>
        <v>0</v>
      </c>
      <c r="E18" s="37" t="n">
        <f aca="false">IF(E7=0,0,Light_Toll*(1+CPI_Rate)^(E6-Construction_Years-1))</f>
        <v>0</v>
      </c>
      <c r="F18" s="37" t="n">
        <f aca="false">IF(F7=0,0,Light_Toll*(1+CPI_Rate)^(F6-Construction_Years-1))</f>
        <v>2.5</v>
      </c>
      <c r="G18" s="37" t="n">
        <f aca="false">IF(G7=0,0,Light_Toll*(1+CPI_Rate)^(G6-Construction_Years-1))</f>
        <v>2.5625</v>
      </c>
      <c r="H18" s="37" t="n">
        <f aca="false">IF(H7=0,0,Light_Toll*(1+CPI_Rate)^(H6-Construction_Years-1))</f>
        <v>2.6265625</v>
      </c>
      <c r="I18" s="37" t="n">
        <f aca="false">IF(I7=0,0,Light_Toll*(1+CPI_Rate)^(I6-Construction_Years-1))</f>
        <v>2.6922265625</v>
      </c>
      <c r="J18" s="37" t="n">
        <f aca="false">IF(J7=0,0,Light_Toll*(1+CPI_Rate)^(J6-Construction_Years-1))</f>
        <v>2.7595322265625</v>
      </c>
      <c r="K18" s="37" t="n">
        <f aca="false">IF(K7=0,0,Light_Toll*(1+CPI_Rate)^(K6-Construction_Years-1))</f>
        <v>2.82852053222656</v>
      </c>
      <c r="L18" s="37" t="n">
        <f aca="false">IF(L7=0,0,Light_Toll*(1+CPI_Rate)^(L6-Construction_Years-1))</f>
        <v>2.89923354553223</v>
      </c>
      <c r="M18" s="37" t="n">
        <f aca="false">IF(M7=0,0,Light_Toll*(1+CPI_Rate)^(M6-Construction_Years-1))</f>
        <v>2.97171438417053</v>
      </c>
      <c r="N18" s="37" t="n">
        <f aca="false">IF(N7=0,0,Light_Toll*(1+CPI_Rate)^(N6-Construction_Years-1))</f>
        <v>3.04600724377479</v>
      </c>
      <c r="O18" s="37" t="n">
        <f aca="false">IF(O7=0,0,Light_Toll*(1+CPI_Rate)^(O6-Construction_Years-1))</f>
        <v>3.12215742486916</v>
      </c>
      <c r="P18" s="37" t="n">
        <f aca="false">IF(P7=0,0,Light_Toll*(1+CPI_Rate)^(P6-Construction_Years-1))</f>
        <v>3.20021136049089</v>
      </c>
      <c r="Q18" s="37" t="n">
        <f aca="false">IF(Q7=0,0,Light_Toll*(1+CPI_Rate)^(Q6-Construction_Years-1))</f>
        <v>3.28021664450316</v>
      </c>
      <c r="R18" s="37" t="n">
        <f aca="false">IF(R7=0,0,Light_Toll*(1+CPI_Rate)^(R6-Construction_Years-1))</f>
        <v>3.36222206061574</v>
      </c>
      <c r="S18" s="37" t="n">
        <f aca="false">IF(S7=0,0,Light_Toll*(1+CPI_Rate)^(S6-Construction_Years-1))</f>
        <v>3.44627761213114</v>
      </c>
      <c r="T18" s="37" t="n">
        <f aca="false">IF(T7=0,0,Light_Toll*(1+CPI_Rate)^(T6-Construction_Years-1))</f>
        <v>3.53243455243441</v>
      </c>
      <c r="U18" s="37" t="n">
        <f aca="false">IF(U7=0,0,Light_Toll*(1+CPI_Rate)^(U6-Construction_Years-1))</f>
        <v>3.62074541624527</v>
      </c>
      <c r="V18" s="37" t="n">
        <f aca="false">IF(V7=0,0,Light_Toll*(1+CPI_Rate)^(V6-Construction_Years-1))</f>
        <v>3.71126405165141</v>
      </c>
      <c r="W18" s="37" t="n">
        <f aca="false">IF(W7=0,0,Light_Toll*(1+CPI_Rate)^(W6-Construction_Years-1))</f>
        <v>3.80404565294269</v>
      </c>
      <c r="X18" s="37" t="n">
        <f aca="false">IF(X7=0,0,Light_Toll*(1+CPI_Rate)^(X6-Construction_Years-1))</f>
        <v>3.89914679426626</v>
      </c>
      <c r="Y18" s="37" t="n">
        <f aca="false">IF(Y7=0,0,Light_Toll*(1+CPI_Rate)^(Y6-Construction_Years-1))</f>
        <v>3.99662546412291</v>
      </c>
      <c r="Z18" s="37" t="n">
        <f aca="false">IF(Z7=0,0,Light_Toll*(1+CPI_Rate)^(Z6-Construction_Years-1))</f>
        <v>4.09654110072599</v>
      </c>
      <c r="AA18" s="37" t="n">
        <f aca="false">IF(AA7=0,0,Light_Toll*(1+CPI_Rate)^(AA6-Construction_Years-1))</f>
        <v>4.19895462824414</v>
      </c>
    </row>
    <row r="19" customFormat="false" ht="15" hidden="false" customHeight="false" outlineLevel="0" collapsed="false">
      <c r="A19" s="5"/>
      <c r="B19" s="36" t="s">
        <v>157</v>
      </c>
      <c r="C19" s="37" t="n">
        <f aca="false">IF(C7=0,0,Light_Toll*Heavy_Multiplier*(1+CPI_Rate)^(C6-Construction_Years-1))</f>
        <v>0</v>
      </c>
      <c r="D19" s="37" t="n">
        <f aca="false">IF(D7=0,0,Light_Toll*Heavy_Multiplier*(1+CPI_Rate)^(D6-Construction_Years-1))</f>
        <v>0</v>
      </c>
      <c r="E19" s="37" t="n">
        <f aca="false">IF(E7=0,0,Light_Toll*Heavy_Multiplier*(1+CPI_Rate)^(E6-Construction_Years-1))</f>
        <v>0</v>
      </c>
      <c r="F19" s="37" t="n">
        <f aca="false">IF(F7=0,0,Light_Toll*Heavy_Multiplier*(1+CPI_Rate)^(F6-Construction_Years-1))</f>
        <v>7.5</v>
      </c>
      <c r="G19" s="37" t="n">
        <f aca="false">IF(G7=0,0,Light_Toll*Heavy_Multiplier*(1+CPI_Rate)^(G6-Construction_Years-1))</f>
        <v>7.6875</v>
      </c>
      <c r="H19" s="37" t="n">
        <f aca="false">IF(H7=0,0,Light_Toll*Heavy_Multiplier*(1+CPI_Rate)^(H6-Construction_Years-1))</f>
        <v>7.8796875</v>
      </c>
      <c r="I19" s="37" t="n">
        <f aca="false">IF(I7=0,0,Light_Toll*Heavy_Multiplier*(1+CPI_Rate)^(I6-Construction_Years-1))</f>
        <v>8.0766796875</v>
      </c>
      <c r="J19" s="37" t="n">
        <f aca="false">IF(J7=0,0,Light_Toll*Heavy_Multiplier*(1+CPI_Rate)^(J6-Construction_Years-1))</f>
        <v>8.2785966796875</v>
      </c>
      <c r="K19" s="37" t="n">
        <f aca="false">IF(K7=0,0,Light_Toll*Heavy_Multiplier*(1+CPI_Rate)^(K6-Construction_Years-1))</f>
        <v>8.48556159667968</v>
      </c>
      <c r="L19" s="37" t="n">
        <f aca="false">IF(L7=0,0,Light_Toll*Heavy_Multiplier*(1+CPI_Rate)^(L6-Construction_Years-1))</f>
        <v>8.69770063659668</v>
      </c>
      <c r="M19" s="37" t="n">
        <f aca="false">IF(M7=0,0,Light_Toll*Heavy_Multiplier*(1+CPI_Rate)^(M6-Construction_Years-1))</f>
        <v>8.91514315251159</v>
      </c>
      <c r="N19" s="37" t="n">
        <f aca="false">IF(N7=0,0,Light_Toll*Heavy_Multiplier*(1+CPI_Rate)^(N6-Construction_Years-1))</f>
        <v>9.13802173132438</v>
      </c>
      <c r="O19" s="37" t="n">
        <f aca="false">IF(O7=0,0,Light_Toll*Heavy_Multiplier*(1+CPI_Rate)^(O6-Construction_Years-1))</f>
        <v>9.36647227460749</v>
      </c>
      <c r="P19" s="37" t="n">
        <f aca="false">IF(P7=0,0,Light_Toll*Heavy_Multiplier*(1+CPI_Rate)^(P6-Construction_Years-1))</f>
        <v>9.60063408147268</v>
      </c>
      <c r="Q19" s="37" t="n">
        <f aca="false">IF(Q7=0,0,Light_Toll*Heavy_Multiplier*(1+CPI_Rate)^(Q6-Construction_Years-1))</f>
        <v>9.84064993350949</v>
      </c>
      <c r="R19" s="37" t="n">
        <f aca="false">IF(R7=0,0,Light_Toll*Heavy_Multiplier*(1+CPI_Rate)^(R6-Construction_Years-1))</f>
        <v>10.0866661818472</v>
      </c>
      <c r="S19" s="37" t="n">
        <f aca="false">IF(S7=0,0,Light_Toll*Heavy_Multiplier*(1+CPI_Rate)^(S6-Construction_Years-1))</f>
        <v>10.3388328363934</v>
      </c>
      <c r="T19" s="37" t="n">
        <f aca="false">IF(T7=0,0,Light_Toll*Heavy_Multiplier*(1+CPI_Rate)^(T6-Construction_Years-1))</f>
        <v>10.5973036573032</v>
      </c>
      <c r="U19" s="37" t="n">
        <f aca="false">IF(U7=0,0,Light_Toll*Heavy_Multiplier*(1+CPI_Rate)^(U6-Construction_Years-1))</f>
        <v>10.8622362487358</v>
      </c>
      <c r="V19" s="37" t="n">
        <f aca="false">IF(V7=0,0,Light_Toll*Heavy_Multiplier*(1+CPI_Rate)^(V6-Construction_Years-1))</f>
        <v>11.1337921549542</v>
      </c>
      <c r="W19" s="37" t="n">
        <f aca="false">IF(W7=0,0,Light_Toll*Heavy_Multiplier*(1+CPI_Rate)^(W6-Construction_Years-1))</f>
        <v>11.4121369588281</v>
      </c>
      <c r="X19" s="37" t="n">
        <f aca="false">IF(X7=0,0,Light_Toll*Heavy_Multiplier*(1+CPI_Rate)^(X6-Construction_Years-1))</f>
        <v>11.6974403827988</v>
      </c>
      <c r="Y19" s="37" t="n">
        <f aca="false">IF(Y7=0,0,Light_Toll*Heavy_Multiplier*(1+CPI_Rate)^(Y6-Construction_Years-1))</f>
        <v>11.9898763923687</v>
      </c>
      <c r="Z19" s="37" t="n">
        <f aca="false">IF(Z7=0,0,Light_Toll*Heavy_Multiplier*(1+CPI_Rate)^(Z6-Construction_Years-1))</f>
        <v>12.289623302178</v>
      </c>
      <c r="AA19" s="37" t="n">
        <f aca="false">IF(AA7=0,0,Light_Toll*Heavy_Multiplier*(1+CPI_Rate)^(AA6-Construction_Years-1))</f>
        <v>12.5968638847324</v>
      </c>
    </row>
    <row r="20" customFormat="false" ht="15" hidden="false" customHeight="false" outlineLevel="0" collapsed="false">
      <c r="A20" s="5"/>
      <c r="B20" s="5"/>
      <c r="C20" s="5"/>
      <c r="D20" s="5"/>
      <c r="E20" s="5"/>
      <c r="F20" s="5"/>
      <c r="G20" s="5"/>
      <c r="H20" s="5"/>
      <c r="I20" s="5"/>
      <c r="J20" s="5"/>
      <c r="K20" s="5"/>
      <c r="L20" s="5"/>
      <c r="M20" s="5"/>
      <c r="N20" s="5"/>
      <c r="O20" s="5"/>
      <c r="P20" s="5"/>
      <c r="Q20" s="5"/>
      <c r="R20" s="5"/>
      <c r="S20" s="5"/>
      <c r="T20" s="5"/>
      <c r="U20" s="5"/>
      <c r="V20" s="5"/>
      <c r="W20" s="5"/>
      <c r="X20" s="5"/>
      <c r="Y20" s="5"/>
      <c r="Z20" s="5"/>
      <c r="AA20" s="5"/>
    </row>
    <row r="21" customFormat="false" ht="15" hidden="false" customHeight="false" outlineLevel="0" collapsed="false">
      <c r="A21" s="5"/>
      <c r="B21" s="10" t="s">
        <v>15</v>
      </c>
      <c r="C21" s="11"/>
      <c r="D21" s="11"/>
      <c r="E21" s="11"/>
      <c r="F21" s="11"/>
      <c r="G21" s="11"/>
      <c r="H21" s="11"/>
      <c r="I21" s="11"/>
      <c r="J21" s="11"/>
      <c r="K21" s="11"/>
      <c r="L21" s="11"/>
      <c r="M21" s="11"/>
      <c r="N21" s="11"/>
      <c r="O21" s="11"/>
      <c r="P21" s="11"/>
      <c r="Q21" s="11"/>
      <c r="R21" s="11"/>
      <c r="S21" s="11"/>
      <c r="T21" s="11"/>
      <c r="U21" s="11"/>
      <c r="V21" s="11"/>
      <c r="W21" s="11"/>
      <c r="X21" s="11"/>
      <c r="Y21" s="11"/>
      <c r="Z21" s="11"/>
      <c r="AA21" s="11"/>
    </row>
    <row r="22" customFormat="false" ht="15" hidden="false" customHeight="false" outlineLevel="0" collapsed="false">
      <c r="A22" s="5"/>
      <c r="B22" s="36" t="s">
        <v>158</v>
      </c>
      <c r="C22" s="37" t="n">
        <f aca="false">C13*C18</f>
        <v>0</v>
      </c>
      <c r="D22" s="37" t="n">
        <f aca="false">D13*D18</f>
        <v>0</v>
      </c>
      <c r="E22" s="37" t="n">
        <f aca="false">E13*E18</f>
        <v>0</v>
      </c>
      <c r="F22" s="37" t="n">
        <f aca="false">F13*F18</f>
        <v>14828125</v>
      </c>
      <c r="G22" s="37" t="n">
        <f aca="false">G13*G18</f>
        <v>20173521.484375</v>
      </c>
      <c r="H22" s="37" t="n">
        <f aca="false">H13*H18</f>
        <v>24691796.9580078</v>
      </c>
      <c r="I22" s="37" t="n">
        <f aca="false">I13*I18</f>
        <v>25688728.2601874</v>
      </c>
      <c r="J22" s="37" t="n">
        <f aca="false">J13*J18</f>
        <v>26725910.6636924</v>
      </c>
      <c r="K22" s="37" t="n">
        <f aca="false">K13*K18</f>
        <v>27804969.306739</v>
      </c>
      <c r="L22" s="37" t="n">
        <f aca="false">L13*L18</f>
        <v>28927594.9424986</v>
      </c>
      <c r="M22" s="37" t="n">
        <f aca="false">M13*M18</f>
        <v>30095546.588302</v>
      </c>
      <c r="N22" s="37" t="n">
        <f aca="false">N13*N18</f>
        <v>31310654.2818046</v>
      </c>
      <c r="O22" s="37" t="n">
        <f aca="false">O13*O18</f>
        <v>32574821.9484325</v>
      </c>
      <c r="P22" s="37" t="n">
        <f aca="false">P13*P18</f>
        <v>33890030.3846005</v>
      </c>
      <c r="Q22" s="37" t="n">
        <f aca="false">Q13*Q18</f>
        <v>35258340.3613787</v>
      </c>
      <c r="R22" s="37" t="n">
        <f aca="false">R13*R18</f>
        <v>36681895.8534694</v>
      </c>
      <c r="S22" s="37" t="n">
        <f aca="false">S13*S18</f>
        <v>38162927.3985532</v>
      </c>
      <c r="T22" s="37" t="n">
        <f aca="false">T13*T18</f>
        <v>39703755.5922697</v>
      </c>
      <c r="U22" s="37" t="n">
        <f aca="false">U13*U18</f>
        <v>41306794.7243076</v>
      </c>
      <c r="V22" s="37" t="n">
        <f aca="false">V13*V18</f>
        <v>42974556.5613015</v>
      </c>
      <c r="W22" s="37" t="n">
        <f aca="false">W13*W18</f>
        <v>44709654.2824641</v>
      </c>
      <c r="X22" s="37" t="n">
        <f aca="false">X13*X18</f>
        <v>46514806.5741186</v>
      </c>
      <c r="Y22" s="37" t="n">
        <f aca="false">Y13*Y18</f>
        <v>48392841.8895486</v>
      </c>
      <c r="Z22" s="37" t="n">
        <f aca="false">Z13*Z18</f>
        <v>50346702.8808391</v>
      </c>
      <c r="AA22" s="37" t="n">
        <f aca="false">AA13*AA18</f>
        <v>52379451.009653</v>
      </c>
    </row>
    <row r="23" customFormat="false" ht="15" hidden="false" customHeight="false" outlineLevel="0" collapsed="false">
      <c r="A23" s="5"/>
      <c r="B23" s="36" t="s">
        <v>159</v>
      </c>
      <c r="C23" s="37" t="n">
        <f aca="false">C14*C19</f>
        <v>0</v>
      </c>
      <c r="D23" s="37" t="n">
        <f aca="false">D14*D19</f>
        <v>0</v>
      </c>
      <c r="E23" s="37" t="n">
        <f aca="false">E14*E19</f>
        <v>0</v>
      </c>
      <c r="F23" s="37" t="n">
        <f aca="false">F14*F19</f>
        <v>6227812.5</v>
      </c>
      <c r="G23" s="37" t="n">
        <f aca="false">G14*G19</f>
        <v>8472879.0234375</v>
      </c>
      <c r="H23" s="37" t="n">
        <f aca="false">H14*H19</f>
        <v>10370554.7223633</v>
      </c>
      <c r="I23" s="37" t="n">
        <f aca="false">I14*I19</f>
        <v>10789265.8692787</v>
      </c>
      <c r="J23" s="37" t="n">
        <f aca="false">J14*J19</f>
        <v>11224882.4787508</v>
      </c>
      <c r="K23" s="37" t="n">
        <f aca="false">K14*K19</f>
        <v>11678087.1088304</v>
      </c>
      <c r="L23" s="37" t="n">
        <f aca="false">L14*L19</f>
        <v>12149589.8758494</v>
      </c>
      <c r="M23" s="37" t="n">
        <f aca="false">M14*M19</f>
        <v>12640129.5670868</v>
      </c>
      <c r="N23" s="37" t="n">
        <f aca="false">N14*N19</f>
        <v>13150474.7983579</v>
      </c>
      <c r="O23" s="37" t="n">
        <f aca="false">O14*O19</f>
        <v>13681425.2183417</v>
      </c>
      <c r="P23" s="37" t="n">
        <f aca="false">P14*P19</f>
        <v>14233812.7615322</v>
      </c>
      <c r="Q23" s="37" t="n">
        <f aca="false">Q14*Q19</f>
        <v>14808502.9517791</v>
      </c>
      <c r="R23" s="37" t="n">
        <f aca="false">R14*R19</f>
        <v>15406396.2584571</v>
      </c>
      <c r="S23" s="37" t="n">
        <f aca="false">S14*S19</f>
        <v>16028429.5073923</v>
      </c>
      <c r="T23" s="37" t="n">
        <f aca="false">T14*T19</f>
        <v>16675577.3487533</v>
      </c>
      <c r="U23" s="37" t="n">
        <f aca="false">U14*U19</f>
        <v>17348853.7842092</v>
      </c>
      <c r="V23" s="37" t="n">
        <f aca="false">V14*V19</f>
        <v>18049313.7557466</v>
      </c>
      <c r="W23" s="37" t="n">
        <f aca="false">W14*W19</f>
        <v>18778054.7986349</v>
      </c>
      <c r="X23" s="37" t="n">
        <f aca="false">X14*X19</f>
        <v>19536218.7611298</v>
      </c>
      <c r="Y23" s="37" t="n">
        <f aca="false">Y14*Y19</f>
        <v>20324993.5936104</v>
      </c>
      <c r="Z23" s="37" t="n">
        <f aca="false">Z14*Z19</f>
        <v>21145615.2099524</v>
      </c>
      <c r="AA23" s="37" t="n">
        <f aca="false">AA14*AA19</f>
        <v>21999369.4240543</v>
      </c>
    </row>
    <row r="24" customFormat="false" ht="15" hidden="false" customHeight="false" outlineLevel="0" collapsed="false">
      <c r="A24" s="5"/>
      <c r="B24" s="38" t="s">
        <v>160</v>
      </c>
      <c r="C24" s="39" t="n">
        <f aca="false">C22+C23</f>
        <v>0</v>
      </c>
      <c r="D24" s="39" t="n">
        <f aca="false">D22+D23</f>
        <v>0</v>
      </c>
      <c r="E24" s="39" t="n">
        <f aca="false">E22+E23</f>
        <v>0</v>
      </c>
      <c r="F24" s="39" t="n">
        <f aca="false">F22+F23</f>
        <v>21055937.5</v>
      </c>
      <c r="G24" s="39" t="n">
        <f aca="false">G22+G23</f>
        <v>28646400.5078125</v>
      </c>
      <c r="H24" s="39" t="n">
        <f aca="false">H22+H23</f>
        <v>35062351.6803711</v>
      </c>
      <c r="I24" s="39" t="n">
        <f aca="false">I22+I23</f>
        <v>36477994.1294661</v>
      </c>
      <c r="J24" s="39" t="n">
        <f aca="false">J22+J23</f>
        <v>37950793.1424432</v>
      </c>
      <c r="K24" s="39" t="n">
        <f aca="false">K22+K23</f>
        <v>39483056.4155694</v>
      </c>
      <c r="L24" s="39" t="n">
        <f aca="false">L22+L23</f>
        <v>41077184.818348</v>
      </c>
      <c r="M24" s="39" t="n">
        <f aca="false">M22+M23</f>
        <v>42735676.1553888</v>
      </c>
      <c r="N24" s="39" t="n">
        <f aca="false">N22+N23</f>
        <v>44461129.0801626</v>
      </c>
      <c r="O24" s="39" t="n">
        <f aca="false">O22+O23</f>
        <v>46256247.1667742</v>
      </c>
      <c r="P24" s="39" t="n">
        <f aca="false">P22+P23</f>
        <v>48123843.1461327</v>
      </c>
      <c r="Q24" s="39" t="n">
        <f aca="false">Q22+Q23</f>
        <v>50066843.3131577</v>
      </c>
      <c r="R24" s="39" t="n">
        <f aca="false">R22+R23</f>
        <v>52088292.1119265</v>
      </c>
      <c r="S24" s="39" t="n">
        <f aca="false">S22+S23</f>
        <v>54191356.9059455</v>
      </c>
      <c r="T24" s="39" t="n">
        <f aca="false">T22+T23</f>
        <v>56379332.941023</v>
      </c>
      <c r="U24" s="39" t="n">
        <f aca="false">U22+U23</f>
        <v>58655648.5085168</v>
      </c>
      <c r="V24" s="39" t="n">
        <f aca="false">V22+V23</f>
        <v>61023870.3170482</v>
      </c>
      <c r="W24" s="39" t="n">
        <f aca="false">W22+W23</f>
        <v>63487709.081099</v>
      </c>
      <c r="X24" s="39" t="n">
        <f aca="false">X22+X23</f>
        <v>66051025.3352484</v>
      </c>
      <c r="Y24" s="39" t="n">
        <f aca="false">Y22+Y23</f>
        <v>68717835.483159</v>
      </c>
      <c r="Z24" s="39" t="n">
        <f aca="false">Z22+Z23</f>
        <v>71492318.0907915</v>
      </c>
      <c r="AA24" s="39" t="n">
        <f aca="false">AA22+AA23</f>
        <v>74378820.4337072</v>
      </c>
    </row>
    <row r="25" customFormat="false" ht="15" hidden="false" customHeight="false" outlineLevel="0" collapsed="false">
      <c r="A25" s="5"/>
      <c r="B25" s="36" t="s">
        <v>161</v>
      </c>
      <c r="C25" s="37" t="n">
        <f aca="false">C24*(1-Collection_Efficiency)</f>
        <v>0</v>
      </c>
      <c r="D25" s="37" t="n">
        <f aca="false">D24*(1-Collection_Efficiency)</f>
        <v>0</v>
      </c>
      <c r="E25" s="37" t="n">
        <f aca="false">E24*(1-Collection_Efficiency)</f>
        <v>0</v>
      </c>
      <c r="F25" s="37" t="n">
        <f aca="false">F24*(1-Collection_Efficiency)</f>
        <v>842237.500000001</v>
      </c>
      <c r="G25" s="37" t="n">
        <f aca="false">G24*(1-Collection_Efficiency)</f>
        <v>1145856.0203125</v>
      </c>
      <c r="H25" s="37" t="n">
        <f aca="false">H24*(1-Collection_Efficiency)</f>
        <v>1402494.06721484</v>
      </c>
      <c r="I25" s="37" t="n">
        <f aca="false">I24*(1-Collection_Efficiency)</f>
        <v>1459119.76517864</v>
      </c>
      <c r="J25" s="37" t="n">
        <f aca="false">J24*(1-Collection_Efficiency)</f>
        <v>1518031.72569773</v>
      </c>
      <c r="K25" s="37" t="n">
        <f aca="false">K24*(1-Collection_Efficiency)</f>
        <v>1579322.25662278</v>
      </c>
      <c r="L25" s="37" t="n">
        <f aca="false">L24*(1-Collection_Efficiency)</f>
        <v>1643087.39273392</v>
      </c>
      <c r="M25" s="37" t="n">
        <f aca="false">M24*(1-Collection_Efficiency)</f>
        <v>1709427.04621555</v>
      </c>
      <c r="N25" s="37" t="n">
        <f aca="false">N24*(1-Collection_Efficiency)</f>
        <v>1778445.16320651</v>
      </c>
      <c r="O25" s="37" t="n">
        <f aca="false">O24*(1-Collection_Efficiency)</f>
        <v>1850249.88667097</v>
      </c>
      <c r="P25" s="37" t="n">
        <f aca="false">P24*(1-Collection_Efficiency)</f>
        <v>1924953.72584531</v>
      </c>
      <c r="Q25" s="37" t="n">
        <f aca="false">Q24*(1-Collection_Efficiency)</f>
        <v>2002673.73252631</v>
      </c>
      <c r="R25" s="37" t="n">
        <f aca="false">R24*(1-Collection_Efficiency)</f>
        <v>2083531.68447706</v>
      </c>
      <c r="S25" s="37" t="n">
        <f aca="false">S24*(1-Collection_Efficiency)</f>
        <v>2167654.27623782</v>
      </c>
      <c r="T25" s="37" t="n">
        <f aca="false">T24*(1-Collection_Efficiency)</f>
        <v>2255173.31764092</v>
      </c>
      <c r="U25" s="37" t="n">
        <f aca="false">U24*(1-Collection_Efficiency)</f>
        <v>2346225.94034068</v>
      </c>
      <c r="V25" s="37" t="n">
        <f aca="false">V24*(1-Collection_Efficiency)</f>
        <v>2440954.81268193</v>
      </c>
      <c r="W25" s="37" t="n">
        <f aca="false">W24*(1-Collection_Efficiency)</f>
        <v>2539508.36324396</v>
      </c>
      <c r="X25" s="37" t="n">
        <f aca="false">X24*(1-Collection_Efficiency)</f>
        <v>2642041.01340994</v>
      </c>
      <c r="Y25" s="37" t="n">
        <f aca="false">Y24*(1-Collection_Efficiency)</f>
        <v>2748713.41932636</v>
      </c>
      <c r="Z25" s="37" t="n">
        <f aca="false">Z24*(1-Collection_Efficiency)</f>
        <v>2859692.72363166</v>
      </c>
      <c r="AA25" s="37" t="n">
        <f aca="false">AA24*(1-Collection_Efficiency)</f>
        <v>2975152.81734829</v>
      </c>
    </row>
    <row r="26" customFormat="false" ht="15" hidden="false" customHeight="false" outlineLevel="0" collapsed="false">
      <c r="A26" s="5"/>
      <c r="B26" s="40" t="s">
        <v>162</v>
      </c>
      <c r="C26" s="41" t="n">
        <f aca="false">C24-C25</f>
        <v>0</v>
      </c>
      <c r="D26" s="41" t="n">
        <f aca="false">D24-D25</f>
        <v>0</v>
      </c>
      <c r="E26" s="41" t="n">
        <f aca="false">E24-E25</f>
        <v>0</v>
      </c>
      <c r="F26" s="41" t="n">
        <f aca="false">F24-F25</f>
        <v>20213700</v>
      </c>
      <c r="G26" s="41" t="n">
        <f aca="false">G24-G25</f>
        <v>27500544.4875</v>
      </c>
      <c r="H26" s="41" t="n">
        <f aca="false">H24-H25</f>
        <v>33659857.6131562</v>
      </c>
      <c r="I26" s="41" t="n">
        <f aca="false">I24-I25</f>
        <v>35018874.3642874</v>
      </c>
      <c r="J26" s="41" t="n">
        <f aca="false">J24-J25</f>
        <v>36432761.4167455</v>
      </c>
      <c r="K26" s="41" t="n">
        <f aca="false">K24-K25</f>
        <v>37903734.1589466</v>
      </c>
      <c r="L26" s="41" t="n">
        <f aca="false">L24-L25</f>
        <v>39434097.4256141</v>
      </c>
      <c r="M26" s="41" t="n">
        <f aca="false">M24-M25</f>
        <v>41026249.1091732</v>
      </c>
      <c r="N26" s="41" t="n">
        <f aca="false">N24-N25</f>
        <v>42682683.9169561</v>
      </c>
      <c r="O26" s="41" t="n">
        <f aca="false">O24-O25</f>
        <v>44405997.2801032</v>
      </c>
      <c r="P26" s="41" t="n">
        <f aca="false">P24-P25</f>
        <v>46198889.4202873</v>
      </c>
      <c r="Q26" s="41" t="n">
        <f aca="false">Q24-Q25</f>
        <v>48064169.5806314</v>
      </c>
      <c r="R26" s="41" t="n">
        <f aca="false">R24-R25</f>
        <v>50004760.4274494</v>
      </c>
      <c r="S26" s="41" t="n">
        <f aca="false">S24-S25</f>
        <v>52023702.6297077</v>
      </c>
      <c r="T26" s="41" t="n">
        <f aca="false">T24-T25</f>
        <v>54124159.6233821</v>
      </c>
      <c r="U26" s="41" t="n">
        <f aca="false">U24-U25</f>
        <v>56309422.5681762</v>
      </c>
      <c r="V26" s="41" t="n">
        <f aca="false">V24-V25</f>
        <v>58582915.5043663</v>
      </c>
      <c r="W26" s="41" t="n">
        <f aca="false">W24-W25</f>
        <v>60948200.717855</v>
      </c>
      <c r="X26" s="41" t="n">
        <f aca="false">X24-X25</f>
        <v>63408984.3218384</v>
      </c>
      <c r="Y26" s="41" t="n">
        <f aca="false">Y24-Y25</f>
        <v>65969122.0638326</v>
      </c>
      <c r="Z26" s="41" t="n">
        <f aca="false">Z24-Z25</f>
        <v>68632625.3671599</v>
      </c>
      <c r="AA26" s="41" t="n">
        <f aca="false">AA24-AA25</f>
        <v>71403667.6163589</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ED7D31"/>
    <pageSetUpPr fitToPage="false"/>
  </sheetPr>
  <dimension ref="A1:AA30"/>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2"/>
    <col collapsed="false" customWidth="true" hidden="false" outlineLevel="0" max="27" min="3" style="0" width="14"/>
  </cols>
  <sheetData>
    <row r="1" customFormat="false" ht="15" hidden="false" customHeight="false" outlineLevel="0" collapsed="false">
      <c r="A1" s="5"/>
      <c r="B1" s="5"/>
      <c r="C1" s="5"/>
      <c r="D1" s="5"/>
      <c r="E1" s="5"/>
      <c r="F1" s="5"/>
      <c r="G1" s="5"/>
      <c r="H1" s="5"/>
      <c r="I1" s="5"/>
      <c r="J1" s="5"/>
      <c r="K1" s="5"/>
      <c r="L1" s="5"/>
      <c r="M1" s="5"/>
      <c r="N1" s="5"/>
      <c r="O1" s="5"/>
      <c r="P1" s="5"/>
      <c r="Q1" s="5"/>
      <c r="R1" s="5"/>
      <c r="S1" s="5"/>
      <c r="T1" s="5"/>
      <c r="U1" s="5"/>
      <c r="V1" s="5"/>
      <c r="W1" s="5"/>
      <c r="X1" s="5"/>
      <c r="Y1" s="5"/>
      <c r="Z1" s="5"/>
      <c r="AA1" s="5"/>
    </row>
    <row r="2" customFormat="false" ht="22.05" hidden="false" customHeight="false" outlineLevel="0" collapsed="false">
      <c r="A2" s="5"/>
      <c r="B2" s="26" t="s">
        <v>17</v>
      </c>
      <c r="C2" s="5"/>
      <c r="D2" s="5"/>
      <c r="E2" s="5"/>
      <c r="F2" s="5"/>
      <c r="G2" s="5"/>
      <c r="H2" s="5"/>
      <c r="I2" s="5"/>
      <c r="J2" s="5"/>
      <c r="K2" s="5"/>
      <c r="L2" s="5"/>
      <c r="M2" s="5"/>
      <c r="N2" s="5"/>
      <c r="O2" s="5"/>
      <c r="P2" s="5"/>
      <c r="Q2" s="5"/>
      <c r="R2" s="5"/>
      <c r="S2" s="5"/>
      <c r="T2" s="5"/>
      <c r="U2" s="5"/>
      <c r="V2" s="5"/>
      <c r="W2" s="5"/>
      <c r="X2" s="5"/>
      <c r="Y2" s="5"/>
      <c r="Z2" s="5"/>
      <c r="AA2" s="5"/>
    </row>
    <row r="3" customFormat="false" ht="15" hidden="false" customHeight="false" outlineLevel="0" collapsed="false">
      <c r="A3" s="5"/>
      <c r="B3" s="6" t="s">
        <v>86</v>
      </c>
      <c r="C3" s="5"/>
      <c r="D3" s="5"/>
      <c r="E3" s="5"/>
      <c r="F3" s="5"/>
      <c r="G3" s="5"/>
      <c r="H3" s="5"/>
      <c r="I3" s="5"/>
      <c r="J3" s="5"/>
      <c r="K3" s="5"/>
      <c r="L3" s="5"/>
      <c r="M3" s="5"/>
      <c r="N3" s="5"/>
      <c r="O3" s="5"/>
      <c r="P3" s="5"/>
      <c r="Q3" s="5"/>
      <c r="R3" s="5"/>
      <c r="S3" s="5"/>
      <c r="T3" s="5"/>
      <c r="U3" s="5"/>
      <c r="V3" s="5"/>
      <c r="W3" s="5"/>
      <c r="X3" s="5"/>
      <c r="Y3" s="5"/>
      <c r="Z3" s="5"/>
      <c r="AA3" s="5"/>
    </row>
    <row r="4" customFormat="false" ht="15" hidden="false" customHeight="false" outlineLevel="0" collapsed="false">
      <c r="A4" s="5"/>
      <c r="B4" s="5"/>
      <c r="C4" s="5"/>
      <c r="D4" s="5"/>
      <c r="E4" s="5"/>
      <c r="F4" s="5"/>
      <c r="G4" s="5"/>
      <c r="H4" s="5"/>
      <c r="I4" s="5"/>
      <c r="J4" s="5"/>
      <c r="K4" s="5"/>
      <c r="L4" s="5"/>
      <c r="M4" s="5"/>
      <c r="N4" s="5"/>
      <c r="O4" s="5"/>
      <c r="P4" s="5"/>
      <c r="Q4" s="5"/>
      <c r="R4" s="5"/>
      <c r="S4" s="5"/>
      <c r="T4" s="5"/>
      <c r="U4" s="5"/>
      <c r="V4" s="5"/>
      <c r="W4" s="5"/>
      <c r="X4" s="5"/>
      <c r="Y4" s="5"/>
      <c r="Z4" s="5"/>
      <c r="AA4" s="5"/>
    </row>
    <row r="5" customFormat="false" ht="15" hidden="false" customHeight="false" outlineLevel="0" collapsed="false">
      <c r="A5" s="5"/>
      <c r="B5" s="5"/>
      <c r="C5" s="34" t="n">
        <f aca="false">Base_Year+0</f>
        <v>2026</v>
      </c>
      <c r="D5" s="34" t="n">
        <f aca="false">Base_Year+1</f>
        <v>2027</v>
      </c>
      <c r="E5" s="34" t="n">
        <f aca="false">Base_Year+2</f>
        <v>2028</v>
      </c>
      <c r="F5" s="34" t="n">
        <f aca="false">Base_Year+3</f>
        <v>2029</v>
      </c>
      <c r="G5" s="34" t="n">
        <f aca="false">Base_Year+4</f>
        <v>2030</v>
      </c>
      <c r="H5" s="34" t="n">
        <f aca="false">Base_Year+5</f>
        <v>2031</v>
      </c>
      <c r="I5" s="34" t="n">
        <f aca="false">Base_Year+6</f>
        <v>2032</v>
      </c>
      <c r="J5" s="34" t="n">
        <f aca="false">Base_Year+7</f>
        <v>2033</v>
      </c>
      <c r="K5" s="34" t="n">
        <f aca="false">Base_Year+8</f>
        <v>2034</v>
      </c>
      <c r="L5" s="34" t="n">
        <f aca="false">Base_Year+9</f>
        <v>2035</v>
      </c>
      <c r="M5" s="34" t="n">
        <f aca="false">Base_Year+10</f>
        <v>2036</v>
      </c>
      <c r="N5" s="34" t="n">
        <f aca="false">Base_Year+11</f>
        <v>2037</v>
      </c>
      <c r="O5" s="34" t="n">
        <f aca="false">Base_Year+12</f>
        <v>2038</v>
      </c>
      <c r="P5" s="34" t="n">
        <f aca="false">Base_Year+13</f>
        <v>2039</v>
      </c>
      <c r="Q5" s="34" t="n">
        <f aca="false">Base_Year+14</f>
        <v>2040</v>
      </c>
      <c r="R5" s="34" t="n">
        <f aca="false">Base_Year+15</f>
        <v>2041</v>
      </c>
      <c r="S5" s="34" t="n">
        <f aca="false">Base_Year+16</f>
        <v>2042</v>
      </c>
      <c r="T5" s="34" t="n">
        <f aca="false">Base_Year+17</f>
        <v>2043</v>
      </c>
      <c r="U5" s="34" t="n">
        <f aca="false">Base_Year+18</f>
        <v>2044</v>
      </c>
      <c r="V5" s="34" t="n">
        <f aca="false">Base_Year+19</f>
        <v>2045</v>
      </c>
      <c r="W5" s="34" t="n">
        <f aca="false">Base_Year+20</f>
        <v>2046</v>
      </c>
      <c r="X5" s="34" t="n">
        <f aca="false">Base_Year+21</f>
        <v>2047</v>
      </c>
      <c r="Y5" s="34" t="n">
        <f aca="false">Base_Year+22</f>
        <v>2048</v>
      </c>
      <c r="Z5" s="34" t="n">
        <f aca="false">Base_Year+23</f>
        <v>2049</v>
      </c>
      <c r="AA5" s="34" t="n">
        <f aca="false">Base_Year+24</f>
        <v>2050</v>
      </c>
    </row>
    <row r="6" customFormat="false" ht="15" hidden="false" customHeight="false" outlineLevel="0" collapsed="false">
      <c r="A6" s="5"/>
      <c r="B6" s="5"/>
      <c r="C6" s="35" t="n">
        <v>1</v>
      </c>
      <c r="D6" s="35" t="n">
        <v>2</v>
      </c>
      <c r="E6" s="35" t="n">
        <v>3</v>
      </c>
      <c r="F6" s="35" t="n">
        <v>4</v>
      </c>
      <c r="G6" s="35" t="n">
        <v>5</v>
      </c>
      <c r="H6" s="35" t="n">
        <v>6</v>
      </c>
      <c r="I6" s="35" t="n">
        <v>7</v>
      </c>
      <c r="J6" s="35" t="n">
        <v>8</v>
      </c>
      <c r="K6" s="35" t="n">
        <v>9</v>
      </c>
      <c r="L6" s="35" t="n">
        <v>10</v>
      </c>
      <c r="M6" s="35" t="n">
        <v>11</v>
      </c>
      <c r="N6" s="35" t="n">
        <v>12</v>
      </c>
      <c r="O6" s="35" t="n">
        <v>13</v>
      </c>
      <c r="P6" s="35" t="n">
        <v>14</v>
      </c>
      <c r="Q6" s="35" t="n">
        <v>15</v>
      </c>
      <c r="R6" s="35" t="n">
        <v>16</v>
      </c>
      <c r="S6" s="35" t="n">
        <v>17</v>
      </c>
      <c r="T6" s="35" t="n">
        <v>18</v>
      </c>
      <c r="U6" s="35" t="n">
        <v>19</v>
      </c>
      <c r="V6" s="35" t="n">
        <v>20</v>
      </c>
      <c r="W6" s="35" t="n">
        <v>21</v>
      </c>
      <c r="X6" s="35" t="n">
        <v>22</v>
      </c>
      <c r="Y6" s="35" t="n">
        <v>23</v>
      </c>
      <c r="Z6" s="35" t="n">
        <v>24</v>
      </c>
      <c r="AA6" s="35" t="n">
        <v>25</v>
      </c>
    </row>
    <row r="7" customFormat="false" ht="15" hidden="false" customHeight="false" outlineLevel="0" collapsed="false">
      <c r="A7" s="5"/>
      <c r="B7" s="5"/>
      <c r="C7" s="5"/>
      <c r="D7" s="5"/>
      <c r="E7" s="5"/>
      <c r="F7" s="5"/>
      <c r="G7" s="5"/>
      <c r="H7" s="5"/>
      <c r="I7" s="5"/>
      <c r="J7" s="5"/>
      <c r="K7" s="5"/>
      <c r="L7" s="5"/>
      <c r="M7" s="5"/>
      <c r="N7" s="5"/>
      <c r="O7" s="5"/>
      <c r="P7" s="5"/>
      <c r="Q7" s="5"/>
      <c r="R7" s="5"/>
      <c r="S7" s="5"/>
      <c r="T7" s="5"/>
      <c r="U7" s="5"/>
      <c r="V7" s="5"/>
      <c r="W7" s="5"/>
      <c r="X7" s="5"/>
      <c r="Y7" s="5"/>
      <c r="Z7" s="5"/>
      <c r="AA7" s="5"/>
    </row>
    <row r="8" customFormat="false" ht="15" hidden="false" customHeight="false" outlineLevel="0" collapsed="false">
      <c r="A8" s="5"/>
      <c r="B8" s="10" t="s">
        <v>163</v>
      </c>
      <c r="C8" s="11"/>
      <c r="D8" s="11"/>
      <c r="E8" s="11"/>
      <c r="F8" s="11"/>
      <c r="G8" s="11"/>
      <c r="H8" s="11"/>
      <c r="I8" s="11"/>
      <c r="J8" s="11"/>
      <c r="K8" s="11"/>
      <c r="L8" s="11"/>
      <c r="M8" s="11"/>
      <c r="N8" s="11"/>
      <c r="O8" s="11"/>
      <c r="P8" s="11"/>
      <c r="Q8" s="11"/>
      <c r="R8" s="11"/>
      <c r="S8" s="11"/>
      <c r="T8" s="11"/>
      <c r="U8" s="11"/>
      <c r="V8" s="11"/>
      <c r="W8" s="11"/>
      <c r="X8" s="11"/>
      <c r="Y8" s="11"/>
      <c r="Z8" s="11"/>
      <c r="AA8" s="11"/>
    </row>
    <row r="9" customFormat="false" ht="15" hidden="false" customHeight="false" outlineLevel="0" collapsed="false">
      <c r="A9" s="5"/>
      <c r="B9" s="36" t="s">
        <v>164</v>
      </c>
      <c r="C9" s="37" t="n">
        <f aca="false">IF(C6&lt;=Construction_Years,0,Road_Length_Km*OM_Per_Km*(1+CPI_Rate)^(C6-Construction_Years-1))</f>
        <v>0</v>
      </c>
      <c r="D9" s="37" t="n">
        <f aca="false">IF(D6&lt;=Construction_Years,0,Road_Length_Km*OM_Per_Km*(1+CPI_Rate)^(D6-Construction_Years-1))</f>
        <v>0</v>
      </c>
      <c r="E9" s="37" t="n">
        <f aca="false">IF(E6&lt;=Construction_Years,0,Road_Length_Km*OM_Per_Km*(1+CPI_Rate)^(E6-Construction_Years-1))</f>
        <v>0</v>
      </c>
      <c r="F9" s="37" t="n">
        <f aca="false">IF(F6&lt;=Construction_Years,0,Road_Length_Km*OM_Per_Km*(1+CPI_Rate)^(F6-Construction_Years-1))</f>
        <v>7500000</v>
      </c>
      <c r="G9" s="37" t="n">
        <f aca="false">IF(G6&lt;=Construction_Years,0,Road_Length_Km*OM_Per_Km*(1+CPI_Rate)^(G6-Construction_Years-1))</f>
        <v>7687500</v>
      </c>
      <c r="H9" s="37" t="n">
        <f aca="false">IF(H6&lt;=Construction_Years,0,Road_Length_Km*OM_Per_Km*(1+CPI_Rate)^(H6-Construction_Years-1))</f>
        <v>7879687.5</v>
      </c>
      <c r="I9" s="37" t="n">
        <f aca="false">IF(I6&lt;=Construction_Years,0,Road_Length_Km*OM_Per_Km*(1+CPI_Rate)^(I6-Construction_Years-1))</f>
        <v>8076679.6875</v>
      </c>
      <c r="J9" s="37" t="n">
        <f aca="false">IF(J6&lt;=Construction_Years,0,Road_Length_Km*OM_Per_Km*(1+CPI_Rate)^(J6-Construction_Years-1))</f>
        <v>8278596.6796875</v>
      </c>
      <c r="K9" s="37" t="n">
        <f aca="false">IF(K6&lt;=Construction_Years,0,Road_Length_Km*OM_Per_Km*(1+CPI_Rate)^(K6-Construction_Years-1))</f>
        <v>8485561.59667968</v>
      </c>
      <c r="L9" s="37" t="n">
        <f aca="false">IF(L6&lt;=Construction_Years,0,Road_Length_Km*OM_Per_Km*(1+CPI_Rate)^(L6-Construction_Years-1))</f>
        <v>8697700.63659667</v>
      </c>
      <c r="M9" s="37" t="n">
        <f aca="false">IF(M6&lt;=Construction_Years,0,Road_Length_Km*OM_Per_Km*(1+CPI_Rate)^(M6-Construction_Years-1))</f>
        <v>8915143.15251159</v>
      </c>
      <c r="N9" s="37" t="n">
        <f aca="false">IF(N6&lt;=Construction_Years,0,Road_Length_Km*OM_Per_Km*(1+CPI_Rate)^(N6-Construction_Years-1))</f>
        <v>9138021.73132438</v>
      </c>
      <c r="O9" s="37" t="n">
        <f aca="false">IF(O6&lt;=Construction_Years,0,Road_Length_Km*OM_Per_Km*(1+CPI_Rate)^(O6-Construction_Years-1))</f>
        <v>9366472.27460749</v>
      </c>
      <c r="P9" s="37" t="n">
        <f aca="false">IF(P6&lt;=Construction_Years,0,Road_Length_Km*OM_Per_Km*(1+CPI_Rate)^(P6-Construction_Years-1))</f>
        <v>9600634.08147267</v>
      </c>
      <c r="Q9" s="37" t="n">
        <f aca="false">IF(Q6&lt;=Construction_Years,0,Road_Length_Km*OM_Per_Km*(1+CPI_Rate)^(Q6-Construction_Years-1))</f>
        <v>9840649.93350949</v>
      </c>
      <c r="R9" s="37" t="n">
        <f aca="false">IF(R6&lt;=Construction_Years,0,Road_Length_Km*OM_Per_Km*(1+CPI_Rate)^(R6-Construction_Years-1))</f>
        <v>10086666.1818472</v>
      </c>
      <c r="S9" s="37" t="n">
        <f aca="false">IF(S6&lt;=Construction_Years,0,Road_Length_Km*OM_Per_Km*(1+CPI_Rate)^(S6-Construction_Years-1))</f>
        <v>10338832.8363934</v>
      </c>
      <c r="T9" s="37" t="n">
        <f aca="false">IF(T6&lt;=Construction_Years,0,Road_Length_Km*OM_Per_Km*(1+CPI_Rate)^(T6-Construction_Years-1))</f>
        <v>10597303.6573032</v>
      </c>
      <c r="U9" s="37" t="n">
        <f aca="false">IF(U6&lt;=Construction_Years,0,Road_Length_Km*OM_Per_Km*(1+CPI_Rate)^(U6-Construction_Years-1))</f>
        <v>10862236.2487358</v>
      </c>
      <c r="V9" s="37" t="n">
        <f aca="false">IF(V6&lt;=Construction_Years,0,Road_Length_Km*OM_Per_Km*(1+CPI_Rate)^(V6-Construction_Years-1))</f>
        <v>11133792.1549542</v>
      </c>
      <c r="W9" s="37" t="n">
        <f aca="false">IF(W6&lt;=Construction_Years,0,Road_Length_Km*OM_Per_Km*(1+CPI_Rate)^(W6-Construction_Years-1))</f>
        <v>11412136.9588281</v>
      </c>
      <c r="X9" s="37" t="n">
        <f aca="false">IF(X6&lt;=Construction_Years,0,Road_Length_Km*OM_Per_Km*(1+CPI_Rate)^(X6-Construction_Years-1))</f>
        <v>11697440.3827988</v>
      </c>
      <c r="Y9" s="37" t="n">
        <f aca="false">IF(Y6&lt;=Construction_Years,0,Road_Length_Km*OM_Per_Km*(1+CPI_Rate)^(Y6-Construction_Years-1))</f>
        <v>11989876.3923687</v>
      </c>
      <c r="Z9" s="37" t="n">
        <f aca="false">IF(Z6&lt;=Construction_Years,0,Road_Length_Km*OM_Per_Km*(1+CPI_Rate)^(Z6-Construction_Years-1))</f>
        <v>12289623.302178</v>
      </c>
      <c r="AA9" s="37" t="n">
        <f aca="false">IF(AA6&lt;=Construction_Years,0,Road_Length_Km*OM_Per_Km*(1+CPI_Rate)^(AA6-Construction_Years-1))</f>
        <v>12596863.8847324</v>
      </c>
    </row>
    <row r="10" customFormat="false" ht="15" hidden="false" customHeight="false" outlineLevel="0" collapsed="false">
      <c r="A10" s="5"/>
      <c r="B10" s="36" t="s">
        <v>165</v>
      </c>
      <c r="C10" s="37" t="n">
        <f aca="false">Rev_Gross*Toll_Coll_Pct</f>
        <v>0</v>
      </c>
      <c r="D10" s="37" t="n">
        <f aca="false">Rev_Gross*Toll_Coll_Pct</f>
        <v>0</v>
      </c>
      <c r="E10" s="37" t="n">
        <f aca="false">Rev_Gross*Toll_Coll_Pct</f>
        <v>0</v>
      </c>
      <c r="F10" s="37" t="n">
        <f aca="false">Rev_Gross*Toll_Coll_Pct</f>
        <v>842237.5</v>
      </c>
      <c r="G10" s="37" t="n">
        <f aca="false">Rev_Gross*Toll_Coll_Pct</f>
        <v>1145856.0203125</v>
      </c>
      <c r="H10" s="37" t="n">
        <f aca="false">Rev_Gross*Toll_Coll_Pct</f>
        <v>1402494.06721484</v>
      </c>
      <c r="I10" s="37" t="n">
        <f aca="false">Rev_Gross*Toll_Coll_Pct</f>
        <v>1459119.76517864</v>
      </c>
      <c r="J10" s="37" t="n">
        <f aca="false">Rev_Gross*Toll_Coll_Pct</f>
        <v>1518031.72569773</v>
      </c>
      <c r="K10" s="37" t="n">
        <f aca="false">Rev_Gross*Toll_Coll_Pct</f>
        <v>1579322.25662278</v>
      </c>
      <c r="L10" s="37" t="n">
        <f aca="false">Rev_Gross*Toll_Coll_Pct</f>
        <v>1643087.39273392</v>
      </c>
      <c r="M10" s="37" t="n">
        <f aca="false">Rev_Gross*Toll_Coll_Pct</f>
        <v>1709427.04621555</v>
      </c>
      <c r="N10" s="37" t="n">
        <f aca="false">Rev_Gross*Toll_Coll_Pct</f>
        <v>1778445.1632065</v>
      </c>
      <c r="O10" s="37" t="n">
        <f aca="false">Rev_Gross*Toll_Coll_Pct</f>
        <v>1850249.88667097</v>
      </c>
      <c r="P10" s="37" t="n">
        <f aca="false">Rev_Gross*Toll_Coll_Pct</f>
        <v>1924953.72584531</v>
      </c>
      <c r="Q10" s="37" t="n">
        <f aca="false">Rev_Gross*Toll_Coll_Pct</f>
        <v>2002673.73252631</v>
      </c>
      <c r="R10" s="37" t="n">
        <f aca="false">Rev_Gross*Toll_Coll_Pct</f>
        <v>2083531.68447706</v>
      </c>
      <c r="S10" s="37" t="n">
        <f aca="false">Rev_Gross*Toll_Coll_Pct</f>
        <v>2167654.27623782</v>
      </c>
      <c r="T10" s="37" t="n">
        <f aca="false">Rev_Gross*Toll_Coll_Pct</f>
        <v>2255173.31764092</v>
      </c>
      <c r="U10" s="37" t="n">
        <f aca="false">Rev_Gross*Toll_Coll_Pct</f>
        <v>2346225.94034067</v>
      </c>
      <c r="V10" s="37" t="n">
        <f aca="false">Rev_Gross*Toll_Coll_Pct</f>
        <v>2440954.81268193</v>
      </c>
      <c r="W10" s="37" t="n">
        <f aca="false">Rev_Gross*Toll_Coll_Pct</f>
        <v>2539508.36324396</v>
      </c>
      <c r="X10" s="37" t="n">
        <f aca="false">Rev_Gross*Toll_Coll_Pct</f>
        <v>2642041.01340993</v>
      </c>
      <c r="Y10" s="37" t="n">
        <f aca="false">Rev_Gross*Toll_Coll_Pct</f>
        <v>2748713.41932636</v>
      </c>
      <c r="Z10" s="37" t="n">
        <f aca="false">Rev_Gross*Toll_Coll_Pct</f>
        <v>2859692.72363166</v>
      </c>
      <c r="AA10" s="37" t="n">
        <f aca="false">Rev_Gross*Toll_Coll_Pct</f>
        <v>2975152.81734829</v>
      </c>
    </row>
    <row r="11" customFormat="false" ht="15" hidden="false" customHeight="false" outlineLevel="0" collapsed="false">
      <c r="A11" s="5"/>
      <c r="B11" s="36" t="s">
        <v>95</v>
      </c>
      <c r="C11" s="37" t="n">
        <f aca="false">IF(C6&lt;=Construction_Years,0,SPV_Cost*(1+CPI_Rate)^(C6-Construction_Years-1))</f>
        <v>0</v>
      </c>
      <c r="D11" s="37" t="n">
        <f aca="false">IF(D6&lt;=Construction_Years,0,SPV_Cost*(1+CPI_Rate)^(D6-Construction_Years-1))</f>
        <v>0</v>
      </c>
      <c r="E11" s="37" t="n">
        <f aca="false">IF(E6&lt;=Construction_Years,0,SPV_Cost*(1+CPI_Rate)^(E6-Construction_Years-1))</f>
        <v>0</v>
      </c>
      <c r="F11" s="37" t="n">
        <f aca="false">IF(F6&lt;=Construction_Years,0,SPV_Cost*(1+CPI_Rate)^(F6-Construction_Years-1))</f>
        <v>2500000</v>
      </c>
      <c r="G11" s="37" t="n">
        <f aca="false">IF(G6&lt;=Construction_Years,0,SPV_Cost*(1+CPI_Rate)^(G6-Construction_Years-1))</f>
        <v>2562500</v>
      </c>
      <c r="H11" s="37" t="n">
        <f aca="false">IF(H6&lt;=Construction_Years,0,SPV_Cost*(1+CPI_Rate)^(H6-Construction_Years-1))</f>
        <v>2626562.5</v>
      </c>
      <c r="I11" s="37" t="n">
        <f aca="false">IF(I6&lt;=Construction_Years,0,SPV_Cost*(1+CPI_Rate)^(I6-Construction_Years-1))</f>
        <v>2692226.5625</v>
      </c>
      <c r="J11" s="37" t="n">
        <f aca="false">IF(J6&lt;=Construction_Years,0,SPV_Cost*(1+CPI_Rate)^(J6-Construction_Years-1))</f>
        <v>2759532.2265625</v>
      </c>
      <c r="K11" s="37" t="n">
        <f aca="false">IF(K6&lt;=Construction_Years,0,SPV_Cost*(1+CPI_Rate)^(K6-Construction_Years-1))</f>
        <v>2828520.53222656</v>
      </c>
      <c r="L11" s="37" t="n">
        <f aca="false">IF(L6&lt;=Construction_Years,0,SPV_Cost*(1+CPI_Rate)^(L6-Construction_Years-1))</f>
        <v>2899233.54553222</v>
      </c>
      <c r="M11" s="37" t="n">
        <f aca="false">IF(M6&lt;=Construction_Years,0,SPV_Cost*(1+CPI_Rate)^(M6-Construction_Years-1))</f>
        <v>2971714.38417053</v>
      </c>
      <c r="N11" s="37" t="n">
        <f aca="false">IF(N6&lt;=Construction_Years,0,SPV_Cost*(1+CPI_Rate)^(N6-Construction_Years-1))</f>
        <v>3046007.24377479</v>
      </c>
      <c r="O11" s="37" t="n">
        <f aca="false">IF(O6&lt;=Construction_Years,0,SPV_Cost*(1+CPI_Rate)^(O6-Construction_Years-1))</f>
        <v>3122157.42486916</v>
      </c>
      <c r="P11" s="37" t="n">
        <f aca="false">IF(P6&lt;=Construction_Years,0,SPV_Cost*(1+CPI_Rate)^(P6-Construction_Years-1))</f>
        <v>3200211.36049089</v>
      </c>
      <c r="Q11" s="37" t="n">
        <f aca="false">IF(Q6&lt;=Construction_Years,0,SPV_Cost*(1+CPI_Rate)^(Q6-Construction_Years-1))</f>
        <v>3280216.64450316</v>
      </c>
      <c r="R11" s="37" t="n">
        <f aca="false">IF(R6&lt;=Construction_Years,0,SPV_Cost*(1+CPI_Rate)^(R6-Construction_Years-1))</f>
        <v>3362222.06061574</v>
      </c>
      <c r="S11" s="37" t="n">
        <f aca="false">IF(S6&lt;=Construction_Years,0,SPV_Cost*(1+CPI_Rate)^(S6-Construction_Years-1))</f>
        <v>3446277.61213114</v>
      </c>
      <c r="T11" s="37" t="n">
        <f aca="false">IF(T6&lt;=Construction_Years,0,SPV_Cost*(1+CPI_Rate)^(T6-Construction_Years-1))</f>
        <v>3532434.55243441</v>
      </c>
      <c r="U11" s="37" t="n">
        <f aca="false">IF(U6&lt;=Construction_Years,0,SPV_Cost*(1+CPI_Rate)^(U6-Construction_Years-1))</f>
        <v>3620745.41624527</v>
      </c>
      <c r="V11" s="37" t="n">
        <f aca="false">IF(V6&lt;=Construction_Years,0,SPV_Cost*(1+CPI_Rate)^(V6-Construction_Years-1))</f>
        <v>3711264.05165141</v>
      </c>
      <c r="W11" s="37" t="n">
        <f aca="false">IF(W6&lt;=Construction_Years,0,SPV_Cost*(1+CPI_Rate)^(W6-Construction_Years-1))</f>
        <v>3804045.65294269</v>
      </c>
      <c r="X11" s="37" t="n">
        <f aca="false">IF(X6&lt;=Construction_Years,0,SPV_Cost*(1+CPI_Rate)^(X6-Construction_Years-1))</f>
        <v>3899146.79426626</v>
      </c>
      <c r="Y11" s="37" t="n">
        <f aca="false">IF(Y6&lt;=Construction_Years,0,SPV_Cost*(1+CPI_Rate)^(Y6-Construction_Years-1))</f>
        <v>3996625.46412291</v>
      </c>
      <c r="Z11" s="37" t="n">
        <f aca="false">IF(Z6&lt;=Construction_Years,0,SPV_Cost*(1+CPI_Rate)^(Z6-Construction_Years-1))</f>
        <v>4096541.10072599</v>
      </c>
      <c r="AA11" s="37" t="n">
        <f aca="false">IF(AA6&lt;=Construction_Years,0,SPV_Cost*(1+CPI_Rate)^(AA6-Construction_Years-1))</f>
        <v>4198954.62824414</v>
      </c>
    </row>
    <row r="12" customFormat="false" ht="15" hidden="false" customHeight="false" outlineLevel="0" collapsed="false">
      <c r="A12" s="5"/>
      <c r="B12" s="38" t="s">
        <v>166</v>
      </c>
      <c r="C12" s="39" t="n">
        <f aca="false">C9+C10+C11</f>
        <v>0</v>
      </c>
      <c r="D12" s="39" t="n">
        <f aca="false">D9+D10+D11</f>
        <v>0</v>
      </c>
      <c r="E12" s="39" t="n">
        <f aca="false">E9+E10+E11</f>
        <v>0</v>
      </c>
      <c r="F12" s="39" t="n">
        <f aca="false">F9+F10+F11</f>
        <v>10842237.5</v>
      </c>
      <c r="G12" s="39" t="n">
        <f aca="false">G9+G10+G11</f>
        <v>11395856.0203125</v>
      </c>
      <c r="H12" s="39" t="n">
        <f aca="false">H9+H10+H11</f>
        <v>11908744.0672148</v>
      </c>
      <c r="I12" s="39" t="n">
        <f aca="false">I9+I10+I11</f>
        <v>12228026.0151786</v>
      </c>
      <c r="J12" s="39" t="n">
        <f aca="false">J9+J10+J11</f>
        <v>12556160.6319477</v>
      </c>
      <c r="K12" s="39" t="n">
        <f aca="false">K9+K10+K11</f>
        <v>12893404.385529</v>
      </c>
      <c r="L12" s="39" t="n">
        <f aca="false">L9+L10+L11</f>
        <v>13240021.5748628</v>
      </c>
      <c r="M12" s="39" t="n">
        <f aca="false">M9+M10+M11</f>
        <v>13596284.5828977</v>
      </c>
      <c r="N12" s="39" t="n">
        <f aca="false">N9+N10+N11</f>
        <v>13962474.1383057</v>
      </c>
      <c r="O12" s="39" t="n">
        <f aca="false">O9+O10+O11</f>
        <v>14338879.5861476</v>
      </c>
      <c r="P12" s="39" t="n">
        <f aca="false">P9+P10+P11</f>
        <v>14725799.1678089</v>
      </c>
      <c r="Q12" s="39" t="n">
        <f aca="false">Q9+Q10+Q11</f>
        <v>15123540.310539</v>
      </c>
      <c r="R12" s="39" t="n">
        <f aca="false">R9+R10+R11</f>
        <v>15532419.92694</v>
      </c>
      <c r="S12" s="39" t="n">
        <f aca="false">S9+S10+S11</f>
        <v>15952764.7247624</v>
      </c>
      <c r="T12" s="39" t="n">
        <f aca="false">T9+T10+T11</f>
        <v>16384911.5273786</v>
      </c>
      <c r="U12" s="39" t="n">
        <f aca="false">U9+U10+U11</f>
        <v>16829207.6053218</v>
      </c>
      <c r="V12" s="39" t="n">
        <f aca="false">V9+V10+V11</f>
        <v>17286011.0192876</v>
      </c>
      <c r="W12" s="39" t="n">
        <f aca="false">W9+W10+W11</f>
        <v>17755690.9750147</v>
      </c>
      <c r="X12" s="39" t="n">
        <f aca="false">X9+X10+X11</f>
        <v>18238628.190475</v>
      </c>
      <c r="Y12" s="39" t="n">
        <f aca="false">Y9+Y10+Y11</f>
        <v>18735215.275818</v>
      </c>
      <c r="Z12" s="39" t="n">
        <f aca="false">Z9+Z10+Z11</f>
        <v>19245857.1265356</v>
      </c>
      <c r="AA12" s="39" t="n">
        <f aca="false">AA9+AA10+AA11</f>
        <v>19770971.3303248</v>
      </c>
    </row>
    <row r="13" customFormat="false" ht="15" hidden="false" customHeight="false" outlineLevel="0" collapsed="false">
      <c r="A13" s="5"/>
      <c r="B13" s="5"/>
      <c r="C13" s="5"/>
      <c r="D13" s="5"/>
      <c r="E13" s="5"/>
      <c r="F13" s="5"/>
      <c r="G13" s="5"/>
      <c r="H13" s="5"/>
      <c r="I13" s="5"/>
      <c r="J13" s="5"/>
      <c r="K13" s="5"/>
      <c r="L13" s="5"/>
      <c r="M13" s="5"/>
      <c r="N13" s="5"/>
      <c r="O13" s="5"/>
      <c r="P13" s="5"/>
      <c r="Q13" s="5"/>
      <c r="R13" s="5"/>
      <c r="S13" s="5"/>
      <c r="T13" s="5"/>
      <c r="U13" s="5"/>
      <c r="V13" s="5"/>
      <c r="W13" s="5"/>
      <c r="X13" s="5"/>
      <c r="Y13" s="5"/>
      <c r="Z13" s="5"/>
      <c r="AA13" s="5"/>
    </row>
    <row r="14" customFormat="false" ht="15" hidden="false" customHeight="false" outlineLevel="0" collapsed="false">
      <c r="A14" s="5"/>
      <c r="B14" s="10" t="s">
        <v>167</v>
      </c>
      <c r="C14" s="11"/>
      <c r="D14" s="11"/>
      <c r="E14" s="11"/>
      <c r="F14" s="11"/>
      <c r="G14" s="11"/>
      <c r="H14" s="11"/>
      <c r="I14" s="11"/>
      <c r="J14" s="11"/>
      <c r="K14" s="11"/>
      <c r="L14" s="11"/>
      <c r="M14" s="11"/>
      <c r="N14" s="11"/>
      <c r="O14" s="11"/>
      <c r="P14" s="11"/>
      <c r="Q14" s="11"/>
      <c r="R14" s="11"/>
      <c r="S14" s="11"/>
      <c r="T14" s="11"/>
      <c r="U14" s="11"/>
      <c r="V14" s="11"/>
      <c r="W14" s="11"/>
      <c r="X14" s="11"/>
      <c r="Y14" s="11"/>
      <c r="Z14" s="11"/>
      <c r="AA14" s="11"/>
    </row>
    <row r="15" customFormat="false" ht="15" hidden="false" customHeight="false" outlineLevel="0" collapsed="false">
      <c r="A15" s="5"/>
      <c r="B15" s="36" t="s">
        <v>168</v>
      </c>
      <c r="C15" s="37" t="n">
        <f aca="false">Rev_Net</f>
        <v>0</v>
      </c>
      <c r="D15" s="37" t="n">
        <f aca="false">Rev_Net</f>
        <v>0</v>
      </c>
      <c r="E15" s="37" t="n">
        <f aca="false">Rev_Net</f>
        <v>0</v>
      </c>
      <c r="F15" s="37" t="n">
        <f aca="false">Rev_Net</f>
        <v>20213700</v>
      </c>
      <c r="G15" s="37" t="n">
        <f aca="false">Rev_Net</f>
        <v>27500544.4875</v>
      </c>
      <c r="H15" s="37" t="n">
        <f aca="false">Rev_Net</f>
        <v>33659857.6131562</v>
      </c>
      <c r="I15" s="37" t="n">
        <f aca="false">Rev_Net</f>
        <v>35018874.3642874</v>
      </c>
      <c r="J15" s="37" t="n">
        <f aca="false">Rev_Net</f>
        <v>36432761.4167455</v>
      </c>
      <c r="K15" s="37" t="n">
        <f aca="false">Rev_Net</f>
        <v>37903734.1589466</v>
      </c>
      <c r="L15" s="37" t="n">
        <f aca="false">Rev_Net</f>
        <v>39434097.4256141</v>
      </c>
      <c r="M15" s="37" t="n">
        <f aca="false">Rev_Net</f>
        <v>41026249.1091732</v>
      </c>
      <c r="N15" s="37" t="n">
        <f aca="false">Rev_Net</f>
        <v>42682683.9169561</v>
      </c>
      <c r="O15" s="37" t="n">
        <f aca="false">Rev_Net</f>
        <v>44405997.2801032</v>
      </c>
      <c r="P15" s="37" t="n">
        <f aca="false">Rev_Net</f>
        <v>46198889.4202873</v>
      </c>
      <c r="Q15" s="37" t="n">
        <f aca="false">Rev_Net</f>
        <v>48064169.5806314</v>
      </c>
      <c r="R15" s="37" t="n">
        <f aca="false">Rev_Net</f>
        <v>50004760.4274494</v>
      </c>
      <c r="S15" s="37" t="n">
        <f aca="false">Rev_Net</f>
        <v>52023702.6297077</v>
      </c>
      <c r="T15" s="37" t="n">
        <f aca="false">Rev_Net</f>
        <v>54124159.6233821</v>
      </c>
      <c r="U15" s="37" t="n">
        <f aca="false">Rev_Net</f>
        <v>56309422.5681762</v>
      </c>
      <c r="V15" s="37" t="n">
        <f aca="false">Rev_Net</f>
        <v>58582915.5043663</v>
      </c>
      <c r="W15" s="37" t="n">
        <f aca="false">Rev_Net</f>
        <v>60948200.717855</v>
      </c>
      <c r="X15" s="37" t="n">
        <f aca="false">Rev_Net</f>
        <v>63408984.3218384</v>
      </c>
      <c r="Y15" s="37" t="n">
        <f aca="false">Rev_Net</f>
        <v>65969122.0638326</v>
      </c>
      <c r="Z15" s="37" t="n">
        <f aca="false">Rev_Net</f>
        <v>68632625.3671599</v>
      </c>
      <c r="AA15" s="37" t="n">
        <f aca="false">Rev_Net</f>
        <v>71403667.6163589</v>
      </c>
    </row>
    <row r="16" customFormat="false" ht="15" hidden="false" customHeight="false" outlineLevel="0" collapsed="false">
      <c r="A16" s="5"/>
      <c r="B16" s="38" t="s">
        <v>167</v>
      </c>
      <c r="C16" s="39" t="n">
        <f aca="false">C15-C12</f>
        <v>0</v>
      </c>
      <c r="D16" s="39" t="n">
        <f aca="false">D15-D12</f>
        <v>0</v>
      </c>
      <c r="E16" s="39" t="n">
        <f aca="false">E15-E12</f>
        <v>0</v>
      </c>
      <c r="F16" s="39" t="n">
        <f aca="false">F15-F12</f>
        <v>9371462.5</v>
      </c>
      <c r="G16" s="39" t="n">
        <f aca="false">G15-G12</f>
        <v>16104688.4671875</v>
      </c>
      <c r="H16" s="39" t="n">
        <f aca="false">H15-H12</f>
        <v>21751113.5459414</v>
      </c>
      <c r="I16" s="39" t="n">
        <f aca="false">I15-I12</f>
        <v>22790848.3491088</v>
      </c>
      <c r="J16" s="39" t="n">
        <f aca="false">J15-J12</f>
        <v>23876600.7847978</v>
      </c>
      <c r="K16" s="39" t="n">
        <f aca="false">K15-K12</f>
        <v>25010329.7734176</v>
      </c>
      <c r="L16" s="39" t="n">
        <f aca="false">L15-L12</f>
        <v>26194075.8507512</v>
      </c>
      <c r="M16" s="39" t="n">
        <f aca="false">M15-M12</f>
        <v>27429964.5262756</v>
      </c>
      <c r="N16" s="39" t="n">
        <f aca="false">N15-N12</f>
        <v>28720209.7786504</v>
      </c>
      <c r="O16" s="39" t="n">
        <f aca="false">O15-O12</f>
        <v>30067117.6939556</v>
      </c>
      <c r="P16" s="39" t="n">
        <f aca="false">P15-P12</f>
        <v>31473090.2524785</v>
      </c>
      <c r="Q16" s="39" t="n">
        <f aca="false">Q15-Q12</f>
        <v>32940629.2700925</v>
      </c>
      <c r="R16" s="39" t="n">
        <f aca="false">R15-R12</f>
        <v>34472340.5005094</v>
      </c>
      <c r="S16" s="39" t="n">
        <f aca="false">S15-S12</f>
        <v>36070937.9049453</v>
      </c>
      <c r="T16" s="39" t="n">
        <f aca="false">T15-T12</f>
        <v>37739248.0960035</v>
      </c>
      <c r="U16" s="39" t="n">
        <f aca="false">U15-U12</f>
        <v>39480214.9628544</v>
      </c>
      <c r="V16" s="39" t="n">
        <f aca="false">V15-V12</f>
        <v>41296904.4850787</v>
      </c>
      <c r="W16" s="39" t="n">
        <f aca="false">W15-W12</f>
        <v>43192509.7428403</v>
      </c>
      <c r="X16" s="39" t="n">
        <f aca="false">X15-X12</f>
        <v>45170356.1313635</v>
      </c>
      <c r="Y16" s="39" t="n">
        <f aca="false">Y15-Y12</f>
        <v>47233906.7880146</v>
      </c>
      <c r="Z16" s="39" t="n">
        <f aca="false">Z15-Z12</f>
        <v>49386768.2406243</v>
      </c>
      <c r="AA16" s="39" t="n">
        <f aca="false">AA15-AA12</f>
        <v>51632696.2860341</v>
      </c>
    </row>
    <row r="17" customFormat="false" ht="15" hidden="false" customHeight="false" outlineLevel="0" collapsed="false">
      <c r="A17" s="5"/>
      <c r="B17" s="36" t="s">
        <v>169</v>
      </c>
      <c r="C17" s="45" t="n">
        <f aca="false">IFERROR(C16/C15,0)</f>
        <v>0</v>
      </c>
      <c r="D17" s="45" t="n">
        <f aca="false">IFERROR(D16/D15,0)</f>
        <v>0</v>
      </c>
      <c r="E17" s="45" t="n">
        <f aca="false">IFERROR(E16/E15,0)</f>
        <v>0</v>
      </c>
      <c r="F17" s="45" t="n">
        <f aca="false">IFERROR(F16/F15,0)</f>
        <v>0.463619352221513</v>
      </c>
      <c r="G17" s="45" t="n">
        <f aca="false">IFERROR(G16/G15,0)</f>
        <v>0.585613440290525</v>
      </c>
      <c r="H17" s="45" t="n">
        <f aca="false">IFERROR(H16/H15,0)</f>
        <v>0.646203373642311</v>
      </c>
      <c r="I17" s="45" t="n">
        <f aca="false">IFERROR(I16/I15,0)</f>
        <v>0.650816131667302</v>
      </c>
      <c r="J17" s="45" t="n">
        <f aca="false">IFERROR(J16/J15,0)</f>
        <v>0.655360720854484</v>
      </c>
      <c r="K17" s="45" t="n">
        <f aca="false">IFERROR(K16/K15,0)</f>
        <v>0.659838148625108</v>
      </c>
      <c r="L17" s="45" t="n">
        <f aca="false">IFERROR(L16/L15,0)</f>
        <v>0.664249407512422</v>
      </c>
      <c r="M17" s="45" t="n">
        <f aca="false">IFERROR(M16/M15,0)</f>
        <v>0.668595475381696</v>
      </c>
      <c r="N17" s="45" t="n">
        <f aca="false">IFERROR(N16/N15,0)</f>
        <v>0.672877315646991</v>
      </c>
      <c r="O17" s="45" t="n">
        <f aca="false">IFERROR(O16/O15,0)</f>
        <v>0.67709587748472</v>
      </c>
      <c r="P17" s="45" t="n">
        <f aca="false">IFERROR(P16/P15,0)</f>
        <v>0.681252096044059</v>
      </c>
      <c r="Q17" s="45" t="n">
        <f aca="false">IFERROR(Q16/Q15,0)</f>
        <v>0.685346892654246</v>
      </c>
      <c r="R17" s="45" t="n">
        <f aca="false">IFERROR(R16/R15,0)</f>
        <v>0.689381175028813</v>
      </c>
      <c r="S17" s="45" t="n">
        <f aca="false">IFERROR(S16/S15,0)</f>
        <v>0.693355837466811</v>
      </c>
      <c r="T17" s="45" t="n">
        <f aca="false">IFERROR(T16/T15,0)</f>
        <v>0.697271761051045</v>
      </c>
      <c r="U17" s="45" t="n">
        <f aca="false">IFERROR(U16/U15,0)</f>
        <v>0.701129813843395</v>
      </c>
      <c r="V17" s="45" t="n">
        <f aca="false">IFERROR(V16/V15,0)</f>
        <v>0.704930851077236</v>
      </c>
      <c r="W17" s="45" t="n">
        <f aca="false">IFERROR(W16/W15,0)</f>
        <v>0.70867571534703</v>
      </c>
      <c r="X17" s="45" t="n">
        <f aca="false">IFERROR(X16/X15,0)</f>
        <v>0.712365236795104</v>
      </c>
      <c r="Y17" s="45" t="n">
        <f aca="false">IFERROR(Y16/Y15,0)</f>
        <v>0.716000233295669</v>
      </c>
      <c r="Z17" s="45" t="n">
        <f aca="false">IFERROR(Z16/Z15,0)</f>
        <v>0.719581510636127</v>
      </c>
      <c r="AA17" s="45" t="n">
        <f aca="false">IFERROR(AA16/AA15,0)</f>
        <v>0.723109862695692</v>
      </c>
    </row>
    <row r="18" customFormat="false" ht="15" hidden="false" customHeight="false" outlineLevel="0" collapsed="false">
      <c r="A18" s="5"/>
      <c r="B18" s="5"/>
      <c r="C18" s="5"/>
      <c r="D18" s="5"/>
      <c r="E18" s="5"/>
      <c r="F18" s="5"/>
      <c r="G18" s="5"/>
      <c r="H18" s="5"/>
      <c r="I18" s="5"/>
      <c r="J18" s="5"/>
      <c r="K18" s="5"/>
      <c r="L18" s="5"/>
      <c r="M18" s="5"/>
      <c r="N18" s="5"/>
      <c r="O18" s="5"/>
      <c r="P18" s="5"/>
      <c r="Q18" s="5"/>
      <c r="R18" s="5"/>
      <c r="S18" s="5"/>
      <c r="T18" s="5"/>
      <c r="U18" s="5"/>
      <c r="V18" s="5"/>
      <c r="W18" s="5"/>
      <c r="X18" s="5"/>
      <c r="Y18" s="5"/>
      <c r="Z18" s="5"/>
      <c r="AA18" s="5"/>
    </row>
    <row r="19" customFormat="false" ht="15" hidden="false" customHeight="false" outlineLevel="0" collapsed="false">
      <c r="A19" s="5"/>
      <c r="B19" s="10" t="s">
        <v>98</v>
      </c>
      <c r="C19" s="11"/>
      <c r="D19" s="11"/>
      <c r="E19" s="11"/>
      <c r="F19" s="11"/>
      <c r="G19" s="11"/>
      <c r="H19" s="11"/>
      <c r="I19" s="11"/>
      <c r="J19" s="11"/>
      <c r="K19" s="11"/>
      <c r="L19" s="11"/>
      <c r="M19" s="11"/>
      <c r="N19" s="11"/>
      <c r="O19" s="11"/>
      <c r="P19" s="11"/>
      <c r="Q19" s="11"/>
      <c r="R19" s="11"/>
      <c r="S19" s="11"/>
      <c r="T19" s="11"/>
      <c r="U19" s="11"/>
      <c r="V19" s="11"/>
      <c r="W19" s="11"/>
      <c r="X19" s="11"/>
      <c r="Y19" s="11"/>
      <c r="Z19" s="11"/>
      <c r="AA19" s="11"/>
    </row>
    <row r="20" customFormat="false" ht="15" hidden="false" customHeight="false" outlineLevel="0" collapsed="false">
      <c r="A20" s="5"/>
      <c r="B20" s="36" t="s">
        <v>98</v>
      </c>
      <c r="C20" s="37" t="n">
        <f aca="false">IF(C6&lt;=Construction_Years,0,Rev_Net*Lifecycle_Pct)</f>
        <v>0</v>
      </c>
      <c r="D20" s="37" t="n">
        <f aca="false">IF(D6&lt;=Construction_Years,0,Rev_Net*Lifecycle_Pct)</f>
        <v>0</v>
      </c>
      <c r="E20" s="37" t="n">
        <f aca="false">IF(E6&lt;=Construction_Years,0,Rev_Net*Lifecycle_Pct)</f>
        <v>0</v>
      </c>
      <c r="F20" s="37" t="n">
        <f aca="false">IF(F6&lt;=Construction_Years,0,Rev_Net*Lifecycle_Pct)</f>
        <v>808548</v>
      </c>
      <c r="G20" s="37" t="n">
        <f aca="false">IF(G6&lt;=Construction_Years,0,Rev_Net*Lifecycle_Pct)</f>
        <v>1100021.7795</v>
      </c>
      <c r="H20" s="37" t="n">
        <f aca="false">IF(H6&lt;=Construction_Years,0,Rev_Net*Lifecycle_Pct)</f>
        <v>1346394.30452625</v>
      </c>
      <c r="I20" s="37" t="n">
        <f aca="false">IF(I6&lt;=Construction_Years,0,Rev_Net*Lifecycle_Pct)</f>
        <v>1400754.9745715</v>
      </c>
      <c r="J20" s="37" t="n">
        <f aca="false">IF(J6&lt;=Construction_Years,0,Rev_Net*Lifecycle_Pct)</f>
        <v>1457310.45666982</v>
      </c>
      <c r="K20" s="37" t="n">
        <f aca="false">IF(K6&lt;=Construction_Years,0,Rev_Net*Lifecycle_Pct)</f>
        <v>1516149.36635786</v>
      </c>
      <c r="L20" s="37" t="n">
        <f aca="false">IF(L6&lt;=Construction_Years,0,Rev_Net*Lifecycle_Pct)</f>
        <v>1577363.89702456</v>
      </c>
      <c r="M20" s="37" t="n">
        <f aca="false">IF(M6&lt;=Construction_Years,0,Rev_Net*Lifecycle_Pct)</f>
        <v>1641049.96436693</v>
      </c>
      <c r="N20" s="37" t="n">
        <f aca="false">IF(N6&lt;=Construction_Years,0,Rev_Net*Lifecycle_Pct)</f>
        <v>1707307.35667824</v>
      </c>
      <c r="O20" s="37" t="n">
        <f aca="false">IF(O6&lt;=Construction_Years,0,Rev_Net*Lifecycle_Pct)</f>
        <v>1776239.89120413</v>
      </c>
      <c r="P20" s="37" t="n">
        <f aca="false">IF(P6&lt;=Construction_Years,0,Rev_Net*Lifecycle_Pct)</f>
        <v>1847955.57681149</v>
      </c>
      <c r="Q20" s="37" t="n">
        <f aca="false">IF(Q6&lt;=Construction_Years,0,Rev_Net*Lifecycle_Pct)</f>
        <v>1922566.78322526</v>
      </c>
      <c r="R20" s="37" t="n">
        <f aca="false">IF(R6&lt;=Construction_Years,0,Rev_Net*Lifecycle_Pct)</f>
        <v>2000190.41709798</v>
      </c>
      <c r="S20" s="37" t="n">
        <f aca="false">IF(S6&lt;=Construction_Years,0,Rev_Net*Lifecycle_Pct)</f>
        <v>2080948.10518831</v>
      </c>
      <c r="T20" s="37" t="n">
        <f aca="false">IF(T6&lt;=Construction_Years,0,Rev_Net*Lifecycle_Pct)</f>
        <v>2164966.38493528</v>
      </c>
      <c r="U20" s="37" t="n">
        <f aca="false">IF(U6&lt;=Construction_Years,0,Rev_Net*Lifecycle_Pct)</f>
        <v>2252376.90272705</v>
      </c>
      <c r="V20" s="37" t="n">
        <f aca="false">IF(V6&lt;=Construction_Years,0,Rev_Net*Lifecycle_Pct)</f>
        <v>2343316.62017465</v>
      </c>
      <c r="W20" s="37" t="n">
        <f aca="false">IF(W6&lt;=Construction_Years,0,Rev_Net*Lifecycle_Pct)</f>
        <v>2437928.0287142</v>
      </c>
      <c r="X20" s="37" t="n">
        <f aca="false">IF(X6&lt;=Construction_Years,0,Rev_Net*Lifecycle_Pct)</f>
        <v>2536359.37287354</v>
      </c>
      <c r="Y20" s="37" t="n">
        <f aca="false">IF(Y6&lt;=Construction_Years,0,Rev_Net*Lifecycle_Pct)</f>
        <v>2638764.88255331</v>
      </c>
      <c r="Z20" s="37" t="n">
        <f aca="false">IF(Z6&lt;=Construction_Years,0,Rev_Net*Lifecycle_Pct)</f>
        <v>2745305.0146864</v>
      </c>
      <c r="AA20" s="37" t="n">
        <f aca="false">IF(AA6&lt;=Construction_Years,0,Rev_Net*Lifecycle_Pct)</f>
        <v>2856146.70465436</v>
      </c>
    </row>
    <row r="21" customFormat="false" ht="15" hidden="false" customHeight="false" outlineLevel="0" collapsed="false">
      <c r="A21" s="5"/>
      <c r="B21" s="5"/>
      <c r="C21" s="5"/>
      <c r="D21" s="5"/>
      <c r="E21" s="5"/>
      <c r="F21" s="5"/>
      <c r="G21" s="5"/>
      <c r="H21" s="5"/>
      <c r="I21" s="5"/>
      <c r="J21" s="5"/>
      <c r="K21" s="5"/>
      <c r="L21" s="5"/>
      <c r="M21" s="5"/>
      <c r="N21" s="5"/>
      <c r="O21" s="5"/>
      <c r="P21" s="5"/>
      <c r="Q21" s="5"/>
      <c r="R21" s="5"/>
      <c r="S21" s="5"/>
      <c r="T21" s="5"/>
      <c r="U21" s="5"/>
      <c r="V21" s="5"/>
      <c r="W21" s="5"/>
      <c r="X21" s="5"/>
      <c r="Y21" s="5"/>
      <c r="Z21" s="5"/>
      <c r="AA21" s="5"/>
    </row>
    <row r="22" customFormat="false" ht="15" hidden="false" customHeight="false" outlineLevel="0" collapsed="false">
      <c r="A22" s="5"/>
      <c r="B22" s="10" t="s">
        <v>170</v>
      </c>
      <c r="C22" s="11"/>
      <c r="D22" s="11"/>
      <c r="E22" s="11"/>
      <c r="F22" s="11"/>
      <c r="G22" s="11"/>
      <c r="H22" s="11"/>
      <c r="I22" s="11"/>
      <c r="J22" s="11"/>
      <c r="K22" s="11"/>
      <c r="L22" s="11"/>
      <c r="M22" s="11"/>
      <c r="N22" s="11"/>
      <c r="O22" s="11"/>
      <c r="P22" s="11"/>
      <c r="Q22" s="11"/>
      <c r="R22" s="11"/>
      <c r="S22" s="11"/>
      <c r="T22" s="11"/>
      <c r="U22" s="11"/>
      <c r="V22" s="11"/>
      <c r="W22" s="11"/>
      <c r="X22" s="11"/>
      <c r="Y22" s="11"/>
      <c r="Z22" s="11"/>
      <c r="AA22" s="11"/>
    </row>
    <row r="23" customFormat="false" ht="15" hidden="false" customHeight="false" outlineLevel="0" collapsed="false">
      <c r="A23" s="5"/>
      <c r="B23" s="36" t="s">
        <v>167</v>
      </c>
      <c r="C23" s="37" t="n">
        <f aca="false">C16</f>
        <v>0</v>
      </c>
      <c r="D23" s="37" t="n">
        <f aca="false">D16</f>
        <v>0</v>
      </c>
      <c r="E23" s="37" t="n">
        <f aca="false">E16</f>
        <v>0</v>
      </c>
      <c r="F23" s="37" t="n">
        <f aca="false">F16</f>
        <v>9371462.5</v>
      </c>
      <c r="G23" s="37" t="n">
        <f aca="false">G16</f>
        <v>16104688.4671875</v>
      </c>
      <c r="H23" s="37" t="n">
        <f aca="false">H16</f>
        <v>21751113.5459414</v>
      </c>
      <c r="I23" s="37" t="n">
        <f aca="false">I16</f>
        <v>22790848.3491088</v>
      </c>
      <c r="J23" s="37" t="n">
        <f aca="false">J16</f>
        <v>23876600.7847978</v>
      </c>
      <c r="K23" s="37" t="n">
        <f aca="false">K16</f>
        <v>25010329.7734176</v>
      </c>
      <c r="L23" s="37" t="n">
        <f aca="false">L16</f>
        <v>26194075.8507512</v>
      </c>
      <c r="M23" s="37" t="n">
        <f aca="false">M16</f>
        <v>27429964.5262756</v>
      </c>
      <c r="N23" s="37" t="n">
        <f aca="false">N16</f>
        <v>28720209.7786504</v>
      </c>
      <c r="O23" s="37" t="n">
        <f aca="false">O16</f>
        <v>30067117.6939556</v>
      </c>
      <c r="P23" s="37" t="n">
        <f aca="false">P16</f>
        <v>31473090.2524785</v>
      </c>
      <c r="Q23" s="37" t="n">
        <f aca="false">Q16</f>
        <v>32940629.2700925</v>
      </c>
      <c r="R23" s="37" t="n">
        <f aca="false">R16</f>
        <v>34472340.5005094</v>
      </c>
      <c r="S23" s="37" t="n">
        <f aca="false">S16</f>
        <v>36070937.9049453</v>
      </c>
      <c r="T23" s="37" t="n">
        <f aca="false">T16</f>
        <v>37739248.0960035</v>
      </c>
      <c r="U23" s="37" t="n">
        <f aca="false">U16</f>
        <v>39480214.9628544</v>
      </c>
      <c r="V23" s="37" t="n">
        <f aca="false">V16</f>
        <v>41296904.4850787</v>
      </c>
      <c r="W23" s="37" t="n">
        <f aca="false">W16</f>
        <v>43192509.7428403</v>
      </c>
      <c r="X23" s="37" t="n">
        <f aca="false">X16</f>
        <v>45170356.1313635</v>
      </c>
      <c r="Y23" s="37" t="n">
        <f aca="false">Y16</f>
        <v>47233906.7880146</v>
      </c>
      <c r="Z23" s="37" t="n">
        <f aca="false">Z16</f>
        <v>49386768.2406243</v>
      </c>
      <c r="AA23" s="37" t="n">
        <f aca="false">AA16</f>
        <v>51632696.2860341</v>
      </c>
    </row>
    <row r="24" customFormat="false" ht="15" hidden="false" customHeight="false" outlineLevel="0" collapsed="false">
      <c r="A24" s="5"/>
      <c r="B24" s="36" t="s">
        <v>171</v>
      </c>
      <c r="C24" s="37" t="n">
        <f aca="false">IF(C6&lt;=Construction_Years,0,SUM($C$17:AA17)/Operations_Years)</f>
        <v>0</v>
      </c>
      <c r="D24" s="37" t="n">
        <f aca="false">IF(D6&lt;=Construction_Years,0,SUM($C$17:AA17)/Operations_Years)</f>
        <v>0</v>
      </c>
      <c r="E24" s="37" t="n">
        <f aca="false">IF(E6&lt;=Construction_Years,0,SUM($C$17:AA17)/Operations_Years)</f>
        <v>0</v>
      </c>
      <c r="F24" s="37" t="n">
        <f aca="false">IF(F6&lt;=Construction_Years,0,SUM($C$17:AA17)/Operations_Years)</f>
        <v>0.399369465655738</v>
      </c>
      <c r="G24" s="37" t="n">
        <f aca="false">IF(G6&lt;=Construction_Years,0,SUM($C$17:AA17)/Operations_Years)</f>
        <v>0.399369465655738</v>
      </c>
      <c r="H24" s="37" t="n">
        <f aca="false">IF(H6&lt;=Construction_Years,0,SUM($C$17:AA17)/Operations_Years)</f>
        <v>0.399369465655738</v>
      </c>
      <c r="I24" s="37" t="n">
        <f aca="false">IF(I6&lt;=Construction_Years,0,SUM($C$17:AA17)/Operations_Years)</f>
        <v>0.399369465655738</v>
      </c>
      <c r="J24" s="37" t="n">
        <f aca="false">IF(J6&lt;=Construction_Years,0,SUM($C$17:AA17)/Operations_Years)</f>
        <v>0.399369465655738</v>
      </c>
      <c r="K24" s="37" t="n">
        <f aca="false">IF(K6&lt;=Construction_Years,0,SUM($C$17:AA17)/Operations_Years)</f>
        <v>0.399369465655738</v>
      </c>
      <c r="L24" s="37" t="n">
        <f aca="false">IF(L6&lt;=Construction_Years,0,SUM($C$17:AA17)/Operations_Years)</f>
        <v>0.399369465655738</v>
      </c>
      <c r="M24" s="37" t="n">
        <f aca="false">IF(M6&lt;=Construction_Years,0,SUM($C$17:AA17)/Operations_Years)</f>
        <v>0.399369465655738</v>
      </c>
      <c r="N24" s="37" t="n">
        <f aca="false">IF(N6&lt;=Construction_Years,0,SUM($C$17:AA17)/Operations_Years)</f>
        <v>0.399369465655738</v>
      </c>
      <c r="O24" s="37" t="n">
        <f aca="false">IF(O6&lt;=Construction_Years,0,SUM($C$17:AA17)/Operations_Years)</f>
        <v>0.399369465655738</v>
      </c>
      <c r="P24" s="37" t="n">
        <f aca="false">IF(P6&lt;=Construction_Years,0,SUM($C$17:AA17)/Operations_Years)</f>
        <v>0.399369465655738</v>
      </c>
      <c r="Q24" s="37" t="n">
        <f aca="false">IF(Q6&lt;=Construction_Years,0,SUM($C$17:AA17)/Operations_Years)</f>
        <v>0.399369465655738</v>
      </c>
      <c r="R24" s="37" t="n">
        <f aca="false">IF(R6&lt;=Construction_Years,0,SUM($C$17:AA17)/Operations_Years)</f>
        <v>0.399369465655738</v>
      </c>
      <c r="S24" s="37" t="n">
        <f aca="false">IF(S6&lt;=Construction_Years,0,SUM($C$17:AA17)/Operations_Years)</f>
        <v>0.399369465655738</v>
      </c>
      <c r="T24" s="37" t="n">
        <f aca="false">IF(T6&lt;=Construction_Years,0,SUM($C$17:AA17)/Operations_Years)</f>
        <v>0.399369465655738</v>
      </c>
      <c r="U24" s="37" t="n">
        <f aca="false">IF(U6&lt;=Construction_Years,0,SUM($C$17:AA17)/Operations_Years)</f>
        <v>0.399369465655738</v>
      </c>
      <c r="V24" s="37" t="n">
        <f aca="false">IF(V6&lt;=Construction_Years,0,SUM($C$17:AA17)/Operations_Years)</f>
        <v>0.399369465655738</v>
      </c>
      <c r="W24" s="37" t="n">
        <f aca="false">IF(W6&lt;=Construction_Years,0,SUM($C$17:AA17)/Operations_Years)</f>
        <v>0.399369465655738</v>
      </c>
      <c r="X24" s="37" t="n">
        <f aca="false">IF(X6&lt;=Construction_Years,0,SUM($C$17:AA17)/Operations_Years)</f>
        <v>0.399369465655738</v>
      </c>
      <c r="Y24" s="37" t="n">
        <f aca="false">IF(Y6&lt;=Construction_Years,0,SUM($C$17:AA17)/Operations_Years)</f>
        <v>0.399369465655738</v>
      </c>
      <c r="Z24" s="37" t="n">
        <f aca="false">IF(Z6&lt;=Construction_Years,0,SUM($C$17:AA17)/Operations_Years)</f>
        <v>0.399369465655738</v>
      </c>
      <c r="AA24" s="37" t="n">
        <f aca="false">IF(AA6&lt;=Construction_Years,0,SUM($C$17:AA17)/Operations_Years)</f>
        <v>0.399369465655738</v>
      </c>
    </row>
    <row r="25" customFormat="false" ht="15" hidden="false" customHeight="false" outlineLevel="0" collapsed="false">
      <c r="A25" s="5"/>
      <c r="B25" s="36" t="s">
        <v>172</v>
      </c>
      <c r="C25" s="37" t="n">
        <f aca="false">Debt_Interest</f>
        <v>0</v>
      </c>
      <c r="D25" s="37" t="n">
        <f aca="false">Debt_Interest</f>
        <v>12875822.265625</v>
      </c>
      <c r="E25" s="37" t="n">
        <f aca="false">Debt_Interest</f>
        <v>26282772.199707</v>
      </c>
      <c r="F25" s="37" t="n">
        <f aca="false">Debt_Interest</f>
        <v>40242758.8185699</v>
      </c>
      <c r="G25" s="37" t="n">
        <f aca="false">Debt_Interest</f>
        <v>40242758.8185699</v>
      </c>
      <c r="H25" s="37" t="n">
        <f aca="false">Debt_Interest</f>
        <v>40242758.8185699</v>
      </c>
      <c r="I25" s="37" t="n">
        <f aca="false">Debt_Interest</f>
        <v>40242758.8185699</v>
      </c>
      <c r="J25" s="37" t="n">
        <f aca="false">Debt_Interest</f>
        <v>40242758.8185699</v>
      </c>
      <c r="K25" s="37" t="n">
        <f aca="false">Debt_Interest</f>
        <v>40242758.8185699</v>
      </c>
      <c r="L25" s="37" t="n">
        <f aca="false">Debt_Interest</f>
        <v>40242758.8185699</v>
      </c>
      <c r="M25" s="37" t="n">
        <f aca="false">Debt_Interest</f>
        <v>40242758.8185699</v>
      </c>
      <c r="N25" s="37" t="n">
        <f aca="false">Debt_Interest</f>
        <v>40242758.8185699</v>
      </c>
      <c r="O25" s="37" t="n">
        <f aca="false">Debt_Interest</f>
        <v>40242758.8185699</v>
      </c>
      <c r="P25" s="37" t="n">
        <f aca="false">Debt_Interest</f>
        <v>40242758.8185699</v>
      </c>
      <c r="Q25" s="37" t="n">
        <f aca="false">Debt_Interest</f>
        <v>40242758.8185699</v>
      </c>
      <c r="R25" s="37" t="n">
        <f aca="false">Debt_Interest</f>
        <v>40242758.8185699</v>
      </c>
      <c r="S25" s="37" t="n">
        <f aca="false">Debt_Interest</f>
        <v>40242758.8185699</v>
      </c>
      <c r="T25" s="37" t="n">
        <f aca="false">Debt_Interest</f>
        <v>40242758.8185699</v>
      </c>
      <c r="U25" s="37" t="n">
        <f aca="false">Debt_Interest</f>
        <v>40242758.8185699</v>
      </c>
      <c r="V25" s="37" t="n">
        <f aca="false">Debt_Interest</f>
        <v>40242758.8185699</v>
      </c>
      <c r="W25" s="37" t="n">
        <f aca="false">Debt_Interest</f>
        <v>40242758.8185699</v>
      </c>
      <c r="X25" s="37" t="n">
        <f aca="false">Debt_Interest</f>
        <v>40242758.8185699</v>
      </c>
      <c r="Y25" s="37" t="n">
        <f aca="false">Debt_Interest</f>
        <v>40242758.8185699</v>
      </c>
      <c r="Z25" s="37" t="n">
        <f aca="false">Debt_Interest</f>
        <v>40242758.8185699</v>
      </c>
      <c r="AA25" s="37" t="n">
        <f aca="false">Debt_Interest</f>
        <v>40242758.8185699</v>
      </c>
    </row>
    <row r="26" customFormat="false" ht="15" hidden="false" customHeight="false" outlineLevel="0" collapsed="false">
      <c r="A26" s="5"/>
      <c r="B26" s="47" t="s">
        <v>173</v>
      </c>
      <c r="C26" s="39" t="n">
        <f aca="false">C23-C24-C25</f>
        <v>0</v>
      </c>
      <c r="D26" s="39" t="n">
        <f aca="false">D23-D24-D25</f>
        <v>-12875822.265625</v>
      </c>
      <c r="E26" s="39" t="n">
        <f aca="false">E23-E24-E25</f>
        <v>-26282772.199707</v>
      </c>
      <c r="F26" s="39" t="n">
        <f aca="false">F23-F24-F25</f>
        <v>-30871296.7179394</v>
      </c>
      <c r="G26" s="39" t="n">
        <f aca="false">G23-G24-G25</f>
        <v>-24138070.7507519</v>
      </c>
      <c r="H26" s="39" t="n">
        <f aca="false">H23-H24-H25</f>
        <v>-18491645.671998</v>
      </c>
      <c r="I26" s="39" t="n">
        <f aca="false">I23-I24-I25</f>
        <v>-17451910.8688306</v>
      </c>
      <c r="J26" s="39" t="n">
        <f aca="false">J23-J24-J25</f>
        <v>-16366158.4331416</v>
      </c>
      <c r="K26" s="39" t="n">
        <f aca="false">K23-K24-K25</f>
        <v>-15232429.4445218</v>
      </c>
      <c r="L26" s="39" t="n">
        <f aca="false">L23-L24-L25</f>
        <v>-14048683.3671882</v>
      </c>
      <c r="M26" s="39" t="n">
        <f aca="false">M23-M24-M25</f>
        <v>-12812794.6916639</v>
      </c>
      <c r="N26" s="39" t="n">
        <f aca="false">N23-N24-N25</f>
        <v>-11522549.439289</v>
      </c>
      <c r="O26" s="39" t="n">
        <f aca="false">O23-O24-O25</f>
        <v>-10175641.5239838</v>
      </c>
      <c r="P26" s="39" t="n">
        <f aca="false">P23-P24-P25</f>
        <v>-8769668.96546094</v>
      </c>
      <c r="Q26" s="39" t="n">
        <f aca="false">Q23-Q24-Q25</f>
        <v>-7302129.94784694</v>
      </c>
      <c r="R26" s="39" t="n">
        <f aca="false">R23-R24-R25</f>
        <v>-5770418.71743002</v>
      </c>
      <c r="S26" s="39" t="n">
        <f aca="false">S23-S24-S25</f>
        <v>-4171821.31299409</v>
      </c>
      <c r="T26" s="39" t="n">
        <f aca="false">T23-T24-T25</f>
        <v>-2503511.12193587</v>
      </c>
      <c r="U26" s="39" t="n">
        <f aca="false">U23-U24-U25</f>
        <v>-762544.255085014</v>
      </c>
      <c r="V26" s="39" t="n">
        <f aca="false">V23-V24-V25</f>
        <v>1054145.2671393</v>
      </c>
      <c r="W26" s="39" t="n">
        <f aca="false">W23-W24-W25</f>
        <v>2949750.52490091</v>
      </c>
      <c r="X26" s="39" t="n">
        <f aca="false">X23-X24-X25</f>
        <v>4927596.91342405</v>
      </c>
      <c r="Y26" s="39" t="n">
        <f aca="false">Y23-Y24-Y25</f>
        <v>6991147.57007522</v>
      </c>
      <c r="Z26" s="39" t="n">
        <f aca="false">Z23-Z24-Z25</f>
        <v>9144009.02268487</v>
      </c>
      <c r="AA26" s="39" t="n">
        <f aca="false">AA23-AA24-AA25</f>
        <v>11389937.0680947</v>
      </c>
    </row>
    <row r="27" customFormat="false" ht="15" hidden="false" customHeight="false" outlineLevel="0" collapsed="false">
      <c r="A27" s="5"/>
      <c r="B27" s="36" t="s">
        <v>174</v>
      </c>
      <c r="C27" s="37" t="n">
        <f aca="false">IF(C6=1,0,B30)</f>
        <v>0</v>
      </c>
      <c r="D27" s="37" t="n">
        <f aca="false">IF(D6=1,0,C30)</f>
        <v>0</v>
      </c>
      <c r="E27" s="37" t="n">
        <f aca="false">IF(E6=1,0,D30)</f>
        <v>-12875822.265625</v>
      </c>
      <c r="F27" s="37" t="n">
        <f aca="false">IF(F6=1,0,E30)</f>
        <v>-39158594.465332</v>
      </c>
      <c r="G27" s="37" t="n">
        <f aca="false">IF(G6=1,0,F30)</f>
        <v>-70029891.1832714</v>
      </c>
      <c r="H27" s="37" t="n">
        <f aca="false">IF(H6=1,0,G30)</f>
        <v>-94167961.9340234</v>
      </c>
      <c r="I27" s="37" t="n">
        <f aca="false">IF(I6=1,0,H30)</f>
        <v>-112659607.606021</v>
      </c>
      <c r="J27" s="37" t="n">
        <f aca="false">IF(J6=1,0,I30)</f>
        <v>-130111518.474852</v>
      </c>
      <c r="K27" s="37" t="n">
        <f aca="false">IF(K6=1,0,J30)</f>
        <v>-146477676.907994</v>
      </c>
      <c r="L27" s="37" t="n">
        <f aca="false">IF(L6=1,0,K30)</f>
        <v>-161710106.352515</v>
      </c>
      <c r="M27" s="37" t="n">
        <f aca="false">IF(M6=1,0,L30)</f>
        <v>-175758789.719704</v>
      </c>
      <c r="N27" s="37" t="n">
        <f aca="false">IF(N6=1,0,M30)</f>
        <v>-188571584.411367</v>
      </c>
      <c r="O27" s="37" t="n">
        <f aca="false">IF(O6=1,0,N30)</f>
        <v>-200094133.850656</v>
      </c>
      <c r="P27" s="37" t="n">
        <f aca="false">IF(P6=1,0,O30)</f>
        <v>-210269775.37464</v>
      </c>
      <c r="Q27" s="37" t="n">
        <f aca="false">IF(Q6=1,0,P30)</f>
        <v>-219039444.340101</v>
      </c>
      <c r="R27" s="37" t="n">
        <f aca="false">IF(R6=1,0,Q30)</f>
        <v>-226341574.287948</v>
      </c>
      <c r="S27" s="37" t="n">
        <f aca="false">IF(S6=1,0,R30)</f>
        <v>-232111993.005378</v>
      </c>
      <c r="T27" s="37" t="n">
        <f aca="false">IF(T6=1,0,S30)</f>
        <v>-236283814.318372</v>
      </c>
      <c r="U27" s="37" t="n">
        <f aca="false">IF(U6=1,0,T30)</f>
        <v>-238787325.440308</v>
      </c>
      <c r="V27" s="37" t="n">
        <f aca="false">IF(V6=1,0,U30)</f>
        <v>-239549869.695393</v>
      </c>
      <c r="W27" s="37" t="n">
        <f aca="false">IF(W6=1,0,V30)</f>
        <v>-238495724.428254</v>
      </c>
      <c r="X27" s="37" t="n">
        <f aca="false">IF(X6=1,0,W30)</f>
        <v>-235545973.903353</v>
      </c>
      <c r="Y27" s="37" t="n">
        <f aca="false">IF(Y6=1,0,X30)</f>
        <v>-230618376.989929</v>
      </c>
      <c r="Z27" s="37" t="n">
        <f aca="false">IF(Z6=1,0,Y30)</f>
        <v>-223627229.419854</v>
      </c>
      <c r="AA27" s="37" t="n">
        <f aca="false">IF(AA6=1,0,Z30)</f>
        <v>-214483220.397169</v>
      </c>
    </row>
    <row r="28" customFormat="false" ht="15" hidden="false" customHeight="false" outlineLevel="0" collapsed="false">
      <c r="A28" s="5"/>
      <c r="B28" s="36" t="s">
        <v>175</v>
      </c>
      <c r="C28" s="37" t="n">
        <f aca="false">MAX(C26+C27,0)</f>
        <v>0</v>
      </c>
      <c r="D28" s="37" t="n">
        <f aca="false">MAX(D26+D27,0)</f>
        <v>0</v>
      </c>
      <c r="E28" s="37" t="n">
        <f aca="false">MAX(E26+E27,0)</f>
        <v>0</v>
      </c>
      <c r="F28" s="37" t="n">
        <f aca="false">MAX(F26+F27,0)</f>
        <v>0</v>
      </c>
      <c r="G28" s="37" t="n">
        <f aca="false">MAX(G26+G27,0)</f>
        <v>0</v>
      </c>
      <c r="H28" s="37" t="n">
        <f aca="false">MAX(H26+H27,0)</f>
        <v>0</v>
      </c>
      <c r="I28" s="37" t="n">
        <f aca="false">MAX(I26+I27,0)</f>
        <v>0</v>
      </c>
      <c r="J28" s="37" t="n">
        <f aca="false">MAX(J26+J27,0)</f>
        <v>0</v>
      </c>
      <c r="K28" s="37" t="n">
        <f aca="false">MAX(K26+K27,0)</f>
        <v>0</v>
      </c>
      <c r="L28" s="37" t="n">
        <f aca="false">MAX(L26+L27,0)</f>
        <v>0</v>
      </c>
      <c r="M28" s="37" t="n">
        <f aca="false">MAX(M26+M27,0)</f>
        <v>0</v>
      </c>
      <c r="N28" s="37" t="n">
        <f aca="false">MAX(N26+N27,0)</f>
        <v>0</v>
      </c>
      <c r="O28" s="37" t="n">
        <f aca="false">MAX(O26+O27,0)</f>
        <v>0</v>
      </c>
      <c r="P28" s="37" t="n">
        <f aca="false">MAX(P26+P27,0)</f>
        <v>0</v>
      </c>
      <c r="Q28" s="37" t="n">
        <f aca="false">MAX(Q26+Q27,0)</f>
        <v>0</v>
      </c>
      <c r="R28" s="37" t="n">
        <f aca="false">MAX(R26+R27,0)</f>
        <v>0</v>
      </c>
      <c r="S28" s="37" t="n">
        <f aca="false">MAX(S26+S27,0)</f>
        <v>0</v>
      </c>
      <c r="T28" s="37" t="n">
        <f aca="false">MAX(T26+T27,0)</f>
        <v>0</v>
      </c>
      <c r="U28" s="37" t="n">
        <f aca="false">MAX(U26+U27,0)</f>
        <v>0</v>
      </c>
      <c r="V28" s="37" t="n">
        <f aca="false">MAX(V26+V27,0)</f>
        <v>0</v>
      </c>
      <c r="W28" s="37" t="n">
        <f aca="false">MAX(W26+W27,0)</f>
        <v>0</v>
      </c>
      <c r="X28" s="37" t="n">
        <f aca="false">MAX(X26+X27,0)</f>
        <v>0</v>
      </c>
      <c r="Y28" s="37" t="n">
        <f aca="false">MAX(Y26+Y27,0)</f>
        <v>0</v>
      </c>
      <c r="Z28" s="37" t="n">
        <f aca="false">MAX(Z26+Z27,0)</f>
        <v>0</v>
      </c>
      <c r="AA28" s="37" t="n">
        <f aca="false">MAX(AA26+AA27,0)</f>
        <v>0</v>
      </c>
    </row>
    <row r="29" customFormat="false" ht="15" hidden="false" customHeight="false" outlineLevel="0" collapsed="false">
      <c r="A29" s="5"/>
      <c r="B29" s="38" t="s">
        <v>176</v>
      </c>
      <c r="C29" s="39" t="n">
        <f aca="false">C28*Tax_Rate</f>
        <v>0</v>
      </c>
      <c r="D29" s="39" t="n">
        <f aca="false">D28*Tax_Rate</f>
        <v>0</v>
      </c>
      <c r="E29" s="39" t="n">
        <f aca="false">E28*Tax_Rate</f>
        <v>0</v>
      </c>
      <c r="F29" s="39" t="n">
        <f aca="false">F28*Tax_Rate</f>
        <v>0</v>
      </c>
      <c r="G29" s="39" t="n">
        <f aca="false">G28*Tax_Rate</f>
        <v>0</v>
      </c>
      <c r="H29" s="39" t="n">
        <f aca="false">H28*Tax_Rate</f>
        <v>0</v>
      </c>
      <c r="I29" s="39" t="n">
        <f aca="false">I28*Tax_Rate</f>
        <v>0</v>
      </c>
      <c r="J29" s="39" t="n">
        <f aca="false">J28*Tax_Rate</f>
        <v>0</v>
      </c>
      <c r="K29" s="39" t="n">
        <f aca="false">K28*Tax_Rate</f>
        <v>0</v>
      </c>
      <c r="L29" s="39" t="n">
        <f aca="false">L28*Tax_Rate</f>
        <v>0</v>
      </c>
      <c r="M29" s="39" t="n">
        <f aca="false">M28*Tax_Rate</f>
        <v>0</v>
      </c>
      <c r="N29" s="39" t="n">
        <f aca="false">N28*Tax_Rate</f>
        <v>0</v>
      </c>
      <c r="O29" s="39" t="n">
        <f aca="false">O28*Tax_Rate</f>
        <v>0</v>
      </c>
      <c r="P29" s="39" t="n">
        <f aca="false">P28*Tax_Rate</f>
        <v>0</v>
      </c>
      <c r="Q29" s="39" t="n">
        <f aca="false">Q28*Tax_Rate</f>
        <v>0</v>
      </c>
      <c r="R29" s="39" t="n">
        <f aca="false">R28*Tax_Rate</f>
        <v>0</v>
      </c>
      <c r="S29" s="39" t="n">
        <f aca="false">S28*Tax_Rate</f>
        <v>0</v>
      </c>
      <c r="T29" s="39" t="n">
        <f aca="false">T28*Tax_Rate</f>
        <v>0</v>
      </c>
      <c r="U29" s="39" t="n">
        <f aca="false">U28*Tax_Rate</f>
        <v>0</v>
      </c>
      <c r="V29" s="39" t="n">
        <f aca="false">V28*Tax_Rate</f>
        <v>0</v>
      </c>
      <c r="W29" s="39" t="n">
        <f aca="false">W28*Tax_Rate</f>
        <v>0</v>
      </c>
      <c r="X29" s="39" t="n">
        <f aca="false">X28*Tax_Rate</f>
        <v>0</v>
      </c>
      <c r="Y29" s="39" t="n">
        <f aca="false">Y28*Tax_Rate</f>
        <v>0</v>
      </c>
      <c r="Z29" s="39" t="n">
        <f aca="false">Z28*Tax_Rate</f>
        <v>0</v>
      </c>
      <c r="AA29" s="39" t="n">
        <f aca="false">AA28*Tax_Rate</f>
        <v>0</v>
      </c>
    </row>
    <row r="30" customFormat="false" ht="15" hidden="false" customHeight="false" outlineLevel="0" collapsed="false">
      <c r="A30" s="5"/>
      <c r="B30" s="36" t="s">
        <v>177</v>
      </c>
      <c r="C30" s="37" t="n">
        <f aca="false">MIN(C26+C27,0)</f>
        <v>0</v>
      </c>
      <c r="D30" s="37" t="n">
        <f aca="false">MIN(D26+D27,0)</f>
        <v>-12875822.265625</v>
      </c>
      <c r="E30" s="37" t="n">
        <f aca="false">MIN(E26+E27,0)</f>
        <v>-39158594.465332</v>
      </c>
      <c r="F30" s="37" t="n">
        <f aca="false">MIN(F26+F27,0)</f>
        <v>-70029891.1832714</v>
      </c>
      <c r="G30" s="37" t="n">
        <f aca="false">MIN(G26+G27,0)</f>
        <v>-94167961.9340234</v>
      </c>
      <c r="H30" s="37" t="n">
        <f aca="false">MIN(H26+H27,0)</f>
        <v>-112659607.606021</v>
      </c>
      <c r="I30" s="37" t="n">
        <f aca="false">MIN(I26+I27,0)</f>
        <v>-130111518.474852</v>
      </c>
      <c r="J30" s="37" t="n">
        <f aca="false">MIN(J26+J27,0)</f>
        <v>-146477676.907994</v>
      </c>
      <c r="K30" s="37" t="n">
        <f aca="false">MIN(K26+K27,0)</f>
        <v>-161710106.352515</v>
      </c>
      <c r="L30" s="37" t="n">
        <f aca="false">MIN(L26+L27,0)</f>
        <v>-175758789.719704</v>
      </c>
      <c r="M30" s="37" t="n">
        <f aca="false">MIN(M26+M27,0)</f>
        <v>-188571584.411367</v>
      </c>
      <c r="N30" s="37" t="n">
        <f aca="false">MIN(N26+N27,0)</f>
        <v>-200094133.850656</v>
      </c>
      <c r="O30" s="37" t="n">
        <f aca="false">MIN(O26+O27,0)</f>
        <v>-210269775.37464</v>
      </c>
      <c r="P30" s="37" t="n">
        <f aca="false">MIN(P26+P27,0)</f>
        <v>-219039444.340101</v>
      </c>
      <c r="Q30" s="37" t="n">
        <f aca="false">MIN(Q26+Q27,0)</f>
        <v>-226341574.287948</v>
      </c>
      <c r="R30" s="37" t="n">
        <f aca="false">MIN(R26+R27,0)</f>
        <v>-232111993.005378</v>
      </c>
      <c r="S30" s="37" t="n">
        <f aca="false">MIN(S26+S27,0)</f>
        <v>-236283814.318372</v>
      </c>
      <c r="T30" s="37" t="n">
        <f aca="false">MIN(T26+T27,0)</f>
        <v>-238787325.440308</v>
      </c>
      <c r="U30" s="37" t="n">
        <f aca="false">MIN(U26+U27,0)</f>
        <v>-239549869.695393</v>
      </c>
      <c r="V30" s="37" t="n">
        <f aca="false">MIN(V26+V27,0)</f>
        <v>-238495724.428254</v>
      </c>
      <c r="W30" s="37" t="n">
        <f aca="false">MIN(W26+W27,0)</f>
        <v>-235545973.903353</v>
      </c>
      <c r="X30" s="37" t="n">
        <f aca="false">MIN(X26+X27,0)</f>
        <v>-230618376.989929</v>
      </c>
      <c r="Y30" s="37" t="n">
        <f aca="false">MIN(Y26+Y27,0)</f>
        <v>-223627229.419854</v>
      </c>
      <c r="Z30" s="37" t="n">
        <f aca="false">MIN(Z26+Z27,0)</f>
        <v>-214483220.397169</v>
      </c>
      <c r="AA30" s="37" t="n">
        <f aca="false">MIN(AA26+AA27,0)</f>
        <v>-203093283.329074</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FF0000"/>
    <pageSetUpPr fitToPage="false"/>
  </sheetPr>
  <dimension ref="A1:AA27"/>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2"/>
    <col collapsed="false" customWidth="true" hidden="false" outlineLevel="0" max="27" min="3" style="0" width="14"/>
  </cols>
  <sheetData>
    <row r="1" customFormat="false" ht="15" hidden="false" customHeight="false" outlineLevel="0" collapsed="false">
      <c r="A1" s="5"/>
      <c r="B1" s="5"/>
      <c r="C1" s="5"/>
      <c r="D1" s="5"/>
      <c r="E1" s="5"/>
      <c r="F1" s="5"/>
      <c r="G1" s="5"/>
      <c r="H1" s="5"/>
      <c r="I1" s="5"/>
      <c r="J1" s="5"/>
      <c r="K1" s="5"/>
      <c r="L1" s="5"/>
      <c r="M1" s="5"/>
      <c r="N1" s="5"/>
      <c r="O1" s="5"/>
      <c r="P1" s="5"/>
      <c r="Q1" s="5"/>
      <c r="R1" s="5"/>
      <c r="S1" s="5"/>
      <c r="T1" s="5"/>
      <c r="U1" s="5"/>
      <c r="V1" s="5"/>
      <c r="W1" s="5"/>
      <c r="X1" s="5"/>
      <c r="Y1" s="5"/>
      <c r="Z1" s="5"/>
      <c r="AA1" s="5"/>
    </row>
    <row r="2" customFormat="false" ht="22.05" hidden="false" customHeight="false" outlineLevel="0" collapsed="false">
      <c r="A2" s="5"/>
      <c r="B2" s="26" t="s">
        <v>178</v>
      </c>
      <c r="C2" s="5"/>
      <c r="D2" s="5"/>
      <c r="E2" s="5"/>
      <c r="F2" s="5"/>
      <c r="G2" s="5"/>
      <c r="H2" s="5"/>
      <c r="I2" s="5"/>
      <c r="J2" s="5"/>
      <c r="K2" s="5"/>
      <c r="L2" s="5"/>
      <c r="M2" s="5"/>
      <c r="N2" s="5"/>
      <c r="O2" s="5"/>
      <c r="P2" s="5"/>
      <c r="Q2" s="5"/>
      <c r="R2" s="5"/>
      <c r="S2" s="5"/>
      <c r="T2" s="5"/>
      <c r="U2" s="5"/>
      <c r="V2" s="5"/>
      <c r="W2" s="5"/>
      <c r="X2" s="5"/>
      <c r="Y2" s="5"/>
      <c r="Z2" s="5"/>
      <c r="AA2" s="5"/>
    </row>
    <row r="3" customFormat="false" ht="15" hidden="false" customHeight="false" outlineLevel="0" collapsed="false">
      <c r="A3" s="5"/>
      <c r="B3" s="6" t="s">
        <v>179</v>
      </c>
      <c r="C3" s="5"/>
      <c r="D3" s="5"/>
      <c r="E3" s="5"/>
      <c r="F3" s="5"/>
      <c r="G3" s="5"/>
      <c r="H3" s="5"/>
      <c r="I3" s="5"/>
      <c r="J3" s="5"/>
      <c r="K3" s="5"/>
      <c r="L3" s="5"/>
      <c r="M3" s="5"/>
      <c r="N3" s="5"/>
      <c r="O3" s="5"/>
      <c r="P3" s="5"/>
      <c r="Q3" s="5"/>
      <c r="R3" s="5"/>
      <c r="S3" s="5"/>
      <c r="T3" s="5"/>
      <c r="U3" s="5"/>
      <c r="V3" s="5"/>
      <c r="W3" s="5"/>
      <c r="X3" s="5"/>
      <c r="Y3" s="5"/>
      <c r="Z3" s="5"/>
      <c r="AA3" s="5"/>
    </row>
    <row r="4" customFormat="false" ht="15" hidden="false" customHeight="false" outlineLevel="0" collapsed="false">
      <c r="A4" s="5"/>
      <c r="B4" s="5"/>
      <c r="C4" s="5"/>
      <c r="D4" s="5"/>
      <c r="E4" s="5"/>
      <c r="F4" s="5"/>
      <c r="G4" s="5"/>
      <c r="H4" s="5"/>
      <c r="I4" s="5"/>
      <c r="J4" s="5"/>
      <c r="K4" s="5"/>
      <c r="L4" s="5"/>
      <c r="M4" s="5"/>
      <c r="N4" s="5"/>
      <c r="O4" s="5"/>
      <c r="P4" s="5"/>
      <c r="Q4" s="5"/>
      <c r="R4" s="5"/>
      <c r="S4" s="5"/>
      <c r="T4" s="5"/>
      <c r="U4" s="5"/>
      <c r="V4" s="5"/>
      <c r="W4" s="5"/>
      <c r="X4" s="5"/>
      <c r="Y4" s="5"/>
      <c r="Z4" s="5"/>
      <c r="AA4" s="5"/>
    </row>
    <row r="5" customFormat="false" ht="15" hidden="false" customHeight="false" outlineLevel="0" collapsed="false">
      <c r="A5" s="5"/>
      <c r="B5" s="5"/>
      <c r="C5" s="34" t="n">
        <f aca="false">Base_Year+0</f>
        <v>2026</v>
      </c>
      <c r="D5" s="34" t="n">
        <f aca="false">Base_Year+1</f>
        <v>2027</v>
      </c>
      <c r="E5" s="34" t="n">
        <f aca="false">Base_Year+2</f>
        <v>2028</v>
      </c>
      <c r="F5" s="34" t="n">
        <f aca="false">Base_Year+3</f>
        <v>2029</v>
      </c>
      <c r="G5" s="34" t="n">
        <f aca="false">Base_Year+4</f>
        <v>2030</v>
      </c>
      <c r="H5" s="34" t="n">
        <f aca="false">Base_Year+5</f>
        <v>2031</v>
      </c>
      <c r="I5" s="34" t="n">
        <f aca="false">Base_Year+6</f>
        <v>2032</v>
      </c>
      <c r="J5" s="34" t="n">
        <f aca="false">Base_Year+7</f>
        <v>2033</v>
      </c>
      <c r="K5" s="34" t="n">
        <f aca="false">Base_Year+8</f>
        <v>2034</v>
      </c>
      <c r="L5" s="34" t="n">
        <f aca="false">Base_Year+9</f>
        <v>2035</v>
      </c>
      <c r="M5" s="34" t="n">
        <f aca="false">Base_Year+10</f>
        <v>2036</v>
      </c>
      <c r="N5" s="34" t="n">
        <f aca="false">Base_Year+11</f>
        <v>2037</v>
      </c>
      <c r="O5" s="34" t="n">
        <f aca="false">Base_Year+12</f>
        <v>2038</v>
      </c>
      <c r="P5" s="34" t="n">
        <f aca="false">Base_Year+13</f>
        <v>2039</v>
      </c>
      <c r="Q5" s="34" t="n">
        <f aca="false">Base_Year+14</f>
        <v>2040</v>
      </c>
      <c r="R5" s="34" t="n">
        <f aca="false">Base_Year+15</f>
        <v>2041</v>
      </c>
      <c r="S5" s="34" t="n">
        <f aca="false">Base_Year+16</f>
        <v>2042</v>
      </c>
      <c r="T5" s="34" t="n">
        <f aca="false">Base_Year+17</f>
        <v>2043</v>
      </c>
      <c r="U5" s="34" t="n">
        <f aca="false">Base_Year+18</f>
        <v>2044</v>
      </c>
      <c r="V5" s="34" t="n">
        <f aca="false">Base_Year+19</f>
        <v>2045</v>
      </c>
      <c r="W5" s="34" t="n">
        <f aca="false">Base_Year+20</f>
        <v>2046</v>
      </c>
      <c r="X5" s="34" t="n">
        <f aca="false">Base_Year+21</f>
        <v>2047</v>
      </c>
      <c r="Y5" s="34" t="n">
        <f aca="false">Base_Year+22</f>
        <v>2048</v>
      </c>
      <c r="Z5" s="34" t="n">
        <f aca="false">Base_Year+23</f>
        <v>2049</v>
      </c>
      <c r="AA5" s="34" t="n">
        <f aca="false">Base_Year+24</f>
        <v>2050</v>
      </c>
    </row>
    <row r="6" customFormat="false" ht="15" hidden="false" customHeight="false" outlineLevel="0" collapsed="false">
      <c r="A6" s="5"/>
      <c r="B6" s="5"/>
      <c r="C6" s="35" t="n">
        <v>1</v>
      </c>
      <c r="D6" s="35" t="n">
        <v>2</v>
      </c>
      <c r="E6" s="35" t="n">
        <v>3</v>
      </c>
      <c r="F6" s="35" t="n">
        <v>4</v>
      </c>
      <c r="G6" s="35" t="n">
        <v>5</v>
      </c>
      <c r="H6" s="35" t="n">
        <v>6</v>
      </c>
      <c r="I6" s="35" t="n">
        <v>7</v>
      </c>
      <c r="J6" s="35" t="n">
        <v>8</v>
      </c>
      <c r="K6" s="35" t="n">
        <v>9</v>
      </c>
      <c r="L6" s="35" t="n">
        <v>10</v>
      </c>
      <c r="M6" s="35" t="n">
        <v>11</v>
      </c>
      <c r="N6" s="35" t="n">
        <v>12</v>
      </c>
      <c r="O6" s="35" t="n">
        <v>13</v>
      </c>
      <c r="P6" s="35" t="n">
        <v>14</v>
      </c>
      <c r="Q6" s="35" t="n">
        <v>15</v>
      </c>
      <c r="R6" s="35" t="n">
        <v>16</v>
      </c>
      <c r="S6" s="35" t="n">
        <v>17</v>
      </c>
      <c r="T6" s="35" t="n">
        <v>18</v>
      </c>
      <c r="U6" s="35" t="n">
        <v>19</v>
      </c>
      <c r="V6" s="35" t="n">
        <v>20</v>
      </c>
      <c r="W6" s="35" t="n">
        <v>21</v>
      </c>
      <c r="X6" s="35" t="n">
        <v>22</v>
      </c>
      <c r="Y6" s="35" t="n">
        <v>23</v>
      </c>
      <c r="Z6" s="35" t="n">
        <v>24</v>
      </c>
      <c r="AA6" s="35" t="n">
        <v>25</v>
      </c>
    </row>
    <row r="7" customFormat="false" ht="15" hidden="false" customHeight="false" outlineLevel="0" collapsed="false">
      <c r="A7" s="5"/>
      <c r="B7" s="5"/>
      <c r="C7" s="5"/>
      <c r="D7" s="5"/>
      <c r="E7" s="5"/>
      <c r="F7" s="5"/>
      <c r="G7" s="5"/>
      <c r="H7" s="5"/>
      <c r="I7" s="5"/>
      <c r="J7" s="5"/>
      <c r="K7" s="5"/>
      <c r="L7" s="5"/>
      <c r="M7" s="5"/>
      <c r="N7" s="5"/>
      <c r="O7" s="5"/>
      <c r="P7" s="5"/>
      <c r="Q7" s="5"/>
      <c r="R7" s="5"/>
      <c r="S7" s="5"/>
      <c r="T7" s="5"/>
      <c r="U7" s="5"/>
      <c r="V7" s="5"/>
      <c r="W7" s="5"/>
      <c r="X7" s="5"/>
      <c r="Y7" s="5"/>
      <c r="Z7" s="5"/>
      <c r="AA7" s="5"/>
    </row>
    <row r="8" customFormat="false" ht="15" hidden="false" customHeight="false" outlineLevel="0" collapsed="false">
      <c r="A8" s="5"/>
      <c r="B8" s="10" t="s">
        <v>180</v>
      </c>
      <c r="C8" s="11"/>
      <c r="D8" s="11"/>
      <c r="E8" s="11"/>
      <c r="F8" s="11"/>
      <c r="G8" s="11"/>
      <c r="H8" s="11"/>
      <c r="I8" s="11"/>
      <c r="J8" s="11"/>
      <c r="K8" s="11"/>
      <c r="L8" s="11"/>
      <c r="M8" s="11"/>
      <c r="N8" s="11"/>
      <c r="O8" s="11"/>
      <c r="P8" s="11"/>
      <c r="Q8" s="11"/>
      <c r="R8" s="11"/>
      <c r="S8" s="11"/>
      <c r="T8" s="11"/>
      <c r="U8" s="11"/>
      <c r="V8" s="11"/>
      <c r="W8" s="11"/>
      <c r="X8" s="11"/>
      <c r="Y8" s="11"/>
      <c r="Z8" s="11"/>
      <c r="AA8" s="11"/>
    </row>
    <row r="9" customFormat="false" ht="15" hidden="false" customHeight="false" outlineLevel="0" collapsed="false">
      <c r="A9" s="5"/>
      <c r="B9" s="36" t="s">
        <v>181</v>
      </c>
      <c r="C9" s="37" t="n">
        <f aca="false">IF(C6=1,0,B12)</f>
        <v>0</v>
      </c>
      <c r="D9" s="37" t="n">
        <f aca="false">IF(D6=1,0,C12)</f>
        <v>234105859.375</v>
      </c>
      <c r="E9" s="37" t="n">
        <f aca="false">IF(E6=1,0,D12)</f>
        <v>477868585.449219</v>
      </c>
      <c r="F9" s="37" t="n">
        <f aca="false">IF(F6=1,0,E12)</f>
        <v>731686523.973999</v>
      </c>
      <c r="G9" s="37" t="n">
        <f aca="false">IF(G6=1,0,F12)</f>
        <v>731686523.973999</v>
      </c>
      <c r="H9" s="37" t="n">
        <f aca="false">IF(H6=1,0,G12)</f>
        <v>731686523.973999</v>
      </c>
      <c r="I9" s="37" t="n">
        <f aca="false">IF(I6=1,0,H12)</f>
        <v>731686523.973999</v>
      </c>
      <c r="J9" s="37" t="n">
        <f aca="false">IF(J6=1,0,I12)</f>
        <v>731686523.973999</v>
      </c>
      <c r="K9" s="37" t="n">
        <f aca="false">IF(K6=1,0,J12)</f>
        <v>731686523.973999</v>
      </c>
      <c r="L9" s="37" t="n">
        <f aca="false">IF(L6=1,0,K12)</f>
        <v>731686523.973999</v>
      </c>
      <c r="M9" s="37" t="n">
        <f aca="false">IF(M6=1,0,L12)</f>
        <v>731686523.973999</v>
      </c>
      <c r="N9" s="37" t="n">
        <f aca="false">IF(N6=1,0,M12)</f>
        <v>731686523.973999</v>
      </c>
      <c r="O9" s="37" t="n">
        <f aca="false">IF(O6=1,0,N12)</f>
        <v>731686523.973999</v>
      </c>
      <c r="P9" s="37" t="n">
        <f aca="false">IF(P6=1,0,O12)</f>
        <v>731686523.973999</v>
      </c>
      <c r="Q9" s="37" t="n">
        <f aca="false">IF(Q6=1,0,P12)</f>
        <v>731686523.973999</v>
      </c>
      <c r="R9" s="37" t="n">
        <f aca="false">IF(R6=1,0,Q12)</f>
        <v>731686523.973999</v>
      </c>
      <c r="S9" s="37" t="n">
        <f aca="false">IF(S6=1,0,R12)</f>
        <v>731686523.973999</v>
      </c>
      <c r="T9" s="37" t="n">
        <f aca="false">IF(T6=1,0,S12)</f>
        <v>731686523.973999</v>
      </c>
      <c r="U9" s="37" t="n">
        <f aca="false">IF(U6=1,0,T12)</f>
        <v>731686523.973999</v>
      </c>
      <c r="V9" s="37" t="n">
        <f aca="false">IF(V6=1,0,U12)</f>
        <v>731686523.973999</v>
      </c>
      <c r="W9" s="37" t="n">
        <f aca="false">IF(W6=1,0,V12)</f>
        <v>731686523.973999</v>
      </c>
      <c r="X9" s="37" t="n">
        <f aca="false">IF(X6=1,0,W12)</f>
        <v>731686523.973999</v>
      </c>
      <c r="Y9" s="37" t="n">
        <f aca="false">IF(Y6=1,0,X12)</f>
        <v>731686523.973999</v>
      </c>
      <c r="Z9" s="37" t="n">
        <f aca="false">IF(Z6=1,0,Y12)</f>
        <v>731686523.973999</v>
      </c>
      <c r="AA9" s="37" t="n">
        <f aca="false">IF(AA6=1,0,Z12)</f>
        <v>731686523.973999</v>
      </c>
    </row>
    <row r="10" customFormat="false" ht="15" hidden="false" customHeight="false" outlineLevel="0" collapsed="false">
      <c r="A10" s="5"/>
      <c r="B10" s="36" t="s">
        <v>182</v>
      </c>
      <c r="C10" s="37" t="n">
        <f aca="false">Con_Senior_Debt</f>
        <v>234105859.375</v>
      </c>
      <c r="D10" s="37" t="n">
        <f aca="false">Con_Senior_Debt</f>
        <v>243762726.074219</v>
      </c>
      <c r="E10" s="37" t="n">
        <f aca="false">Con_Senior_Debt</f>
        <v>253817938.52478</v>
      </c>
      <c r="F10" s="37" t="n">
        <f aca="false">Con_Senior_Debt</f>
        <v>0</v>
      </c>
      <c r="G10" s="37" t="n">
        <f aca="false">Con_Senior_Debt</f>
        <v>0</v>
      </c>
      <c r="H10" s="37" t="n">
        <f aca="false">Con_Senior_Debt</f>
        <v>0</v>
      </c>
      <c r="I10" s="37" t="n">
        <f aca="false">Con_Senior_Debt</f>
        <v>0</v>
      </c>
      <c r="J10" s="37" t="n">
        <f aca="false">Con_Senior_Debt</f>
        <v>0</v>
      </c>
      <c r="K10" s="37" t="n">
        <f aca="false">Con_Senior_Debt</f>
        <v>0</v>
      </c>
      <c r="L10" s="37" t="n">
        <f aca="false">Con_Senior_Debt</f>
        <v>0</v>
      </c>
      <c r="M10" s="37" t="n">
        <f aca="false">Con_Senior_Debt</f>
        <v>0</v>
      </c>
      <c r="N10" s="37" t="n">
        <f aca="false">Con_Senior_Debt</f>
        <v>0</v>
      </c>
      <c r="O10" s="37" t="n">
        <f aca="false">Con_Senior_Debt</f>
        <v>0</v>
      </c>
      <c r="P10" s="37" t="n">
        <f aca="false">Con_Senior_Debt</f>
        <v>0</v>
      </c>
      <c r="Q10" s="37" t="n">
        <f aca="false">Con_Senior_Debt</f>
        <v>0</v>
      </c>
      <c r="R10" s="37" t="n">
        <f aca="false">Con_Senior_Debt</f>
        <v>0</v>
      </c>
      <c r="S10" s="37" t="n">
        <f aca="false">Con_Senior_Debt</f>
        <v>0</v>
      </c>
      <c r="T10" s="37" t="n">
        <f aca="false">Con_Senior_Debt</f>
        <v>0</v>
      </c>
      <c r="U10" s="37" t="n">
        <f aca="false">Con_Senior_Debt</f>
        <v>0</v>
      </c>
      <c r="V10" s="37" t="n">
        <f aca="false">Con_Senior_Debt</f>
        <v>0</v>
      </c>
      <c r="W10" s="37" t="n">
        <f aca="false">Con_Senior_Debt</f>
        <v>0</v>
      </c>
      <c r="X10" s="37" t="n">
        <f aca="false">Con_Senior_Debt</f>
        <v>0</v>
      </c>
      <c r="Y10" s="37" t="n">
        <f aca="false">Con_Senior_Debt</f>
        <v>0</v>
      </c>
      <c r="Z10" s="37" t="n">
        <f aca="false">Con_Senior_Debt</f>
        <v>0</v>
      </c>
      <c r="AA10" s="37" t="n">
        <f aca="false">Con_Senior_Debt</f>
        <v>0</v>
      </c>
    </row>
    <row r="11" customFormat="false" ht="15" hidden="false" customHeight="false" outlineLevel="0" collapsed="false">
      <c r="A11" s="5"/>
      <c r="B11" s="36" t="s">
        <v>179</v>
      </c>
      <c r="C11" s="37" t="n">
        <f aca="false">IF(C6&lt;=Construction_Years,0,IF(C6&gt;Construction_Years+Debt_Tenor,0,MIN(MAX((Ox_EBITDA-Ox_Lifecycle-Ox_Tax)/Target_DSCR-C15,0),C9)))</f>
        <v>0</v>
      </c>
      <c r="D11" s="37" t="n">
        <f aca="false">IF(D6&lt;=Construction_Years,0,IF(D6&gt;Construction_Years+Debt_Tenor,0,MIN(MAX((Ox_EBITDA-Ox_Lifecycle-Ox_Tax)/Target_DSCR-D15,0),D9)))</f>
        <v>0</v>
      </c>
      <c r="E11" s="37" t="n">
        <f aca="false">IF(E6&lt;=Construction_Years,0,IF(E6&gt;Construction_Years+Debt_Tenor,0,MIN(MAX((Ox_EBITDA-Ox_Lifecycle-Ox_Tax)/Target_DSCR-E15,0),E9)))</f>
        <v>0</v>
      </c>
      <c r="F11" s="37" t="n">
        <f aca="false">IF(F6&lt;=Construction_Years,0,IF(F6&gt;Construction_Years+Debt_Tenor,0,MIN(MAX((Ox_EBITDA-Ox_Lifecycle-Ox_Tax)/Target_DSCR-F15,0),F9)))</f>
        <v>0</v>
      </c>
      <c r="G11" s="37" t="n">
        <f aca="false">IF(G6&lt;=Construction_Years,0,IF(G6&gt;Construction_Years+Debt_Tenor,0,MIN(MAX((Ox_EBITDA-Ox_Lifecycle-Ox_Tax)/Target_DSCR-G15,0),G9)))</f>
        <v>0</v>
      </c>
      <c r="H11" s="37" t="n">
        <f aca="false">IF(H6&lt;=Construction_Years,0,IF(H6&gt;Construction_Years+Debt_Tenor,0,MIN(MAX((Ox_EBITDA-Ox_Lifecycle-Ox_Tax)/Target_DSCR-H15,0),H9)))</f>
        <v>0</v>
      </c>
      <c r="I11" s="37" t="n">
        <f aca="false">IF(I6&lt;=Construction_Years,0,IF(I6&gt;Construction_Years+Debt_Tenor,0,MIN(MAX((Ox_EBITDA-Ox_Lifecycle-Ox_Tax)/Target_DSCR-I15,0),I9)))</f>
        <v>0</v>
      </c>
      <c r="J11" s="37" t="n">
        <f aca="false">IF(J6&lt;=Construction_Years,0,IF(J6&gt;Construction_Years+Debt_Tenor,0,MIN(MAX((Ox_EBITDA-Ox_Lifecycle-Ox_Tax)/Target_DSCR-J15,0),J9)))</f>
        <v>0</v>
      </c>
      <c r="K11" s="37" t="n">
        <f aca="false">IF(K6&lt;=Construction_Years,0,IF(K6&gt;Construction_Years+Debt_Tenor,0,MIN(MAX((Ox_EBITDA-Ox_Lifecycle-Ox_Tax)/Target_DSCR-K15,0),K9)))</f>
        <v>0</v>
      </c>
      <c r="L11" s="37" t="n">
        <f aca="false">IF(L6&lt;=Construction_Years,0,IF(L6&gt;Construction_Years+Debt_Tenor,0,MIN(MAX((Ox_EBITDA-Ox_Lifecycle-Ox_Tax)/Target_DSCR-L15,0),L9)))</f>
        <v>0</v>
      </c>
      <c r="M11" s="37" t="n">
        <f aca="false">IF(M6&lt;=Construction_Years,0,IF(M6&gt;Construction_Years+Debt_Tenor,0,MIN(MAX((Ox_EBITDA-Ox_Lifecycle-Ox_Tax)/Target_DSCR-M15,0),M9)))</f>
        <v>0</v>
      </c>
      <c r="N11" s="37" t="n">
        <f aca="false">IF(N6&lt;=Construction_Years,0,IF(N6&gt;Construction_Years+Debt_Tenor,0,MIN(MAX((Ox_EBITDA-Ox_Lifecycle-Ox_Tax)/Target_DSCR-N15,0),N9)))</f>
        <v>0</v>
      </c>
      <c r="O11" s="37" t="n">
        <f aca="false">IF(O6&lt;=Construction_Years,0,IF(O6&gt;Construction_Years+Debt_Tenor,0,MIN(MAX((Ox_EBITDA-Ox_Lifecycle-Ox_Tax)/Target_DSCR-O15,0),O9)))</f>
        <v>0</v>
      </c>
      <c r="P11" s="37" t="n">
        <f aca="false">IF(P6&lt;=Construction_Years,0,IF(P6&gt;Construction_Years+Debt_Tenor,0,MIN(MAX((Ox_EBITDA-Ox_Lifecycle-Ox_Tax)/Target_DSCR-P15,0),P9)))</f>
        <v>0</v>
      </c>
      <c r="Q11" s="37" t="n">
        <f aca="false">IF(Q6&lt;=Construction_Years,0,IF(Q6&gt;Construction_Years+Debt_Tenor,0,MIN(MAX((Ox_EBITDA-Ox_Lifecycle-Ox_Tax)/Target_DSCR-Q15,0),Q9)))</f>
        <v>0</v>
      </c>
      <c r="R11" s="37" t="n">
        <f aca="false">IF(R6&lt;=Construction_Years,0,IF(R6&gt;Construction_Years+Debt_Tenor,0,MIN(MAX((Ox_EBITDA-Ox_Lifecycle-Ox_Tax)/Target_DSCR-R15,0),R9)))</f>
        <v>0</v>
      </c>
      <c r="S11" s="37" t="n">
        <f aca="false">IF(S6&lt;=Construction_Years,0,IF(S6&gt;Construction_Years+Debt_Tenor,0,MIN(MAX((Ox_EBITDA-Ox_Lifecycle-Ox_Tax)/Target_DSCR-S15,0),S9)))</f>
        <v>0</v>
      </c>
      <c r="T11" s="37" t="n">
        <f aca="false">IF(T6&lt;=Construction_Years,0,IF(T6&gt;Construction_Years+Debt_Tenor,0,MIN(MAX((Ox_EBITDA-Ox_Lifecycle-Ox_Tax)/Target_DSCR-T15,0),T9)))</f>
        <v>0</v>
      </c>
      <c r="U11" s="37" t="n">
        <f aca="false">IF(U6&lt;=Construction_Years,0,IF(U6&gt;Construction_Years+Debt_Tenor,0,MIN(MAX((Ox_EBITDA-Ox_Lifecycle-Ox_Tax)/Target_DSCR-U15,0),U9)))</f>
        <v>0</v>
      </c>
      <c r="V11" s="37" t="n">
        <f aca="false">IF(V6&lt;=Construction_Years,0,IF(V6&gt;Construction_Years+Debt_Tenor,0,MIN(MAX((Ox_EBITDA-Ox_Lifecycle-Ox_Tax)/Target_DSCR-V15,0),V9)))</f>
        <v>0</v>
      </c>
      <c r="W11" s="37" t="n">
        <f aca="false">IF(W6&lt;=Construction_Years,0,IF(W6&gt;Construction_Years+Debt_Tenor,0,MIN(MAX((Ox_EBITDA-Ox_Lifecycle-Ox_Tax)/Target_DSCR-W15,0),W9)))</f>
        <v>0</v>
      </c>
      <c r="X11" s="37" t="n">
        <f aca="false">IF(X6&lt;=Construction_Years,0,IF(X6&gt;Construction_Years+Debt_Tenor,0,MIN(MAX((Ox_EBITDA-Ox_Lifecycle-Ox_Tax)/Target_DSCR-X15,0),X9)))</f>
        <v>0</v>
      </c>
      <c r="Y11" s="37" t="n">
        <f aca="false">IF(Y6&lt;=Construction_Years,0,IF(Y6&gt;Construction_Years+Debt_Tenor,0,MIN(MAX((Ox_EBITDA-Ox_Lifecycle-Ox_Tax)/Target_DSCR-Y15,0),Y9)))</f>
        <v>0</v>
      </c>
      <c r="Z11" s="37" t="n">
        <f aca="false">IF(Z6&lt;=Construction_Years,0,IF(Z6&gt;Construction_Years+Debt_Tenor,0,MIN(MAX((Ox_EBITDA-Ox_Lifecycle-Ox_Tax)/Target_DSCR-Z15,0),Z9)))</f>
        <v>0</v>
      </c>
      <c r="AA11" s="37" t="n">
        <f aca="false">IF(AA6&lt;=Construction_Years,0,IF(AA6&gt;Construction_Years+Debt_Tenor,0,MIN(MAX((Ox_EBITDA-Ox_Lifecycle-Ox_Tax)/Target_DSCR-AA15,0),AA9)))</f>
        <v>0</v>
      </c>
    </row>
    <row r="12" customFormat="false" ht="15" hidden="false" customHeight="false" outlineLevel="0" collapsed="false">
      <c r="A12" s="5"/>
      <c r="B12" s="38" t="s">
        <v>183</v>
      </c>
      <c r="C12" s="39" t="n">
        <f aca="false">C9+C10-C11</f>
        <v>234105859.375</v>
      </c>
      <c r="D12" s="39" t="n">
        <f aca="false">D9+D10-D11</f>
        <v>477868585.449219</v>
      </c>
      <c r="E12" s="39" t="n">
        <f aca="false">E9+E10-E11</f>
        <v>731686523.973999</v>
      </c>
      <c r="F12" s="39" t="n">
        <f aca="false">F9+F10-F11</f>
        <v>731686523.973999</v>
      </c>
      <c r="G12" s="39" t="n">
        <f aca="false">G9+G10-G11</f>
        <v>731686523.973999</v>
      </c>
      <c r="H12" s="39" t="n">
        <f aca="false">H9+H10-H11</f>
        <v>731686523.973999</v>
      </c>
      <c r="I12" s="39" t="n">
        <f aca="false">I9+I10-I11</f>
        <v>731686523.973999</v>
      </c>
      <c r="J12" s="39" t="n">
        <f aca="false">J9+J10-J11</f>
        <v>731686523.973999</v>
      </c>
      <c r="K12" s="39" t="n">
        <f aca="false">K9+K10-K11</f>
        <v>731686523.973999</v>
      </c>
      <c r="L12" s="39" t="n">
        <f aca="false">L9+L10-L11</f>
        <v>731686523.973999</v>
      </c>
      <c r="M12" s="39" t="n">
        <f aca="false">M9+M10-M11</f>
        <v>731686523.973999</v>
      </c>
      <c r="N12" s="39" t="n">
        <f aca="false">N9+N10-N11</f>
        <v>731686523.973999</v>
      </c>
      <c r="O12" s="39" t="n">
        <f aca="false">O9+O10-O11</f>
        <v>731686523.973999</v>
      </c>
      <c r="P12" s="39" t="n">
        <f aca="false">P9+P10-P11</f>
        <v>731686523.973999</v>
      </c>
      <c r="Q12" s="39" t="n">
        <f aca="false">Q9+Q10-Q11</f>
        <v>731686523.973999</v>
      </c>
      <c r="R12" s="39" t="n">
        <f aca="false">R9+R10-R11</f>
        <v>731686523.973999</v>
      </c>
      <c r="S12" s="39" t="n">
        <f aca="false">S9+S10-S11</f>
        <v>731686523.973999</v>
      </c>
      <c r="T12" s="39" t="n">
        <f aca="false">T9+T10-T11</f>
        <v>731686523.973999</v>
      </c>
      <c r="U12" s="39" t="n">
        <f aca="false">U9+U10-U11</f>
        <v>731686523.973999</v>
      </c>
      <c r="V12" s="39" t="n">
        <f aca="false">V9+V10-V11</f>
        <v>731686523.973999</v>
      </c>
      <c r="W12" s="39" t="n">
        <f aca="false">W9+W10-W11</f>
        <v>731686523.973999</v>
      </c>
      <c r="X12" s="39" t="n">
        <f aca="false">X9+X10-X11</f>
        <v>731686523.973999</v>
      </c>
      <c r="Y12" s="39" t="n">
        <f aca="false">Y9+Y10-Y11</f>
        <v>731686523.973999</v>
      </c>
      <c r="Z12" s="39" t="n">
        <f aca="false">Z9+Z10-Z11</f>
        <v>731686523.973999</v>
      </c>
      <c r="AA12" s="39" t="n">
        <f aca="false">AA9+AA10-AA11</f>
        <v>731686523.973999</v>
      </c>
    </row>
    <row r="13" customFormat="false" ht="15" hidden="false" customHeight="false" outlineLevel="0" collapsed="false">
      <c r="A13" s="5"/>
      <c r="B13" s="5"/>
      <c r="C13" s="5"/>
      <c r="D13" s="5"/>
      <c r="E13" s="5"/>
      <c r="F13" s="5"/>
      <c r="G13" s="5"/>
      <c r="H13" s="5"/>
      <c r="I13" s="5"/>
      <c r="J13" s="5"/>
      <c r="K13" s="5"/>
      <c r="L13" s="5"/>
      <c r="M13" s="5"/>
      <c r="N13" s="5"/>
      <c r="O13" s="5"/>
      <c r="P13" s="5"/>
      <c r="Q13" s="5"/>
      <c r="R13" s="5"/>
      <c r="S13" s="5"/>
      <c r="T13" s="5"/>
      <c r="U13" s="5"/>
      <c r="V13" s="5"/>
      <c r="W13" s="5"/>
      <c r="X13" s="5"/>
      <c r="Y13" s="5"/>
      <c r="Z13" s="5"/>
      <c r="AA13" s="5"/>
    </row>
    <row r="14" customFormat="false" ht="15" hidden="false" customHeight="false" outlineLevel="0" collapsed="false">
      <c r="A14" s="5"/>
      <c r="B14" s="10" t="s">
        <v>184</v>
      </c>
      <c r="C14" s="11"/>
      <c r="D14" s="11"/>
      <c r="E14" s="11"/>
      <c r="F14" s="11"/>
      <c r="G14" s="11"/>
      <c r="H14" s="11"/>
      <c r="I14" s="11"/>
      <c r="J14" s="11"/>
      <c r="K14" s="11"/>
      <c r="L14" s="11"/>
      <c r="M14" s="11"/>
      <c r="N14" s="11"/>
      <c r="O14" s="11"/>
      <c r="P14" s="11"/>
      <c r="Q14" s="11"/>
      <c r="R14" s="11"/>
      <c r="S14" s="11"/>
      <c r="T14" s="11"/>
      <c r="U14" s="11"/>
      <c r="V14" s="11"/>
      <c r="W14" s="11"/>
      <c r="X14" s="11"/>
      <c r="Y14" s="11"/>
      <c r="Z14" s="11"/>
      <c r="AA14" s="11"/>
    </row>
    <row r="15" customFormat="false" ht="15" hidden="false" customHeight="false" outlineLevel="0" collapsed="false">
      <c r="A15" s="5"/>
      <c r="B15" s="36" t="s">
        <v>172</v>
      </c>
      <c r="C15" s="37" t="n">
        <f aca="false">C9*(Base_Rate+Debt_Margin)</f>
        <v>0</v>
      </c>
      <c r="D15" s="37" t="n">
        <f aca="false">D9*(Base_Rate+Debt_Margin)</f>
        <v>12875822.265625</v>
      </c>
      <c r="E15" s="37" t="n">
        <f aca="false">E9*(Base_Rate+Debt_Margin)</f>
        <v>26282772.199707</v>
      </c>
      <c r="F15" s="37" t="n">
        <f aca="false">F9*(Base_Rate+Debt_Margin)</f>
        <v>40242758.8185699</v>
      </c>
      <c r="G15" s="37" t="n">
        <f aca="false">G9*(Base_Rate+Debt_Margin)</f>
        <v>40242758.8185699</v>
      </c>
      <c r="H15" s="37" t="n">
        <f aca="false">H9*(Base_Rate+Debt_Margin)</f>
        <v>40242758.8185699</v>
      </c>
      <c r="I15" s="37" t="n">
        <f aca="false">I9*(Base_Rate+Debt_Margin)</f>
        <v>40242758.8185699</v>
      </c>
      <c r="J15" s="37" t="n">
        <f aca="false">J9*(Base_Rate+Debt_Margin)</f>
        <v>40242758.8185699</v>
      </c>
      <c r="K15" s="37" t="n">
        <f aca="false">K9*(Base_Rate+Debt_Margin)</f>
        <v>40242758.8185699</v>
      </c>
      <c r="L15" s="37" t="n">
        <f aca="false">L9*(Base_Rate+Debt_Margin)</f>
        <v>40242758.8185699</v>
      </c>
      <c r="M15" s="37" t="n">
        <f aca="false">M9*(Base_Rate+Debt_Margin)</f>
        <v>40242758.8185699</v>
      </c>
      <c r="N15" s="37" t="n">
        <f aca="false">N9*(Base_Rate+Debt_Margin)</f>
        <v>40242758.8185699</v>
      </c>
      <c r="O15" s="37" t="n">
        <f aca="false">O9*(Base_Rate+Debt_Margin)</f>
        <v>40242758.8185699</v>
      </c>
      <c r="P15" s="37" t="n">
        <f aca="false">P9*(Base_Rate+Debt_Margin)</f>
        <v>40242758.8185699</v>
      </c>
      <c r="Q15" s="37" t="n">
        <f aca="false">Q9*(Base_Rate+Debt_Margin)</f>
        <v>40242758.8185699</v>
      </c>
      <c r="R15" s="37" t="n">
        <f aca="false">R9*(Base_Rate+Debt_Margin)</f>
        <v>40242758.8185699</v>
      </c>
      <c r="S15" s="37" t="n">
        <f aca="false">S9*(Base_Rate+Debt_Margin)</f>
        <v>40242758.8185699</v>
      </c>
      <c r="T15" s="37" t="n">
        <f aca="false">T9*(Base_Rate+Debt_Margin)</f>
        <v>40242758.8185699</v>
      </c>
      <c r="U15" s="37" t="n">
        <f aca="false">U9*(Base_Rate+Debt_Margin)</f>
        <v>40242758.8185699</v>
      </c>
      <c r="V15" s="37" t="n">
        <f aca="false">V9*(Base_Rate+Debt_Margin)</f>
        <v>40242758.8185699</v>
      </c>
      <c r="W15" s="37" t="n">
        <f aca="false">W9*(Base_Rate+Debt_Margin)</f>
        <v>40242758.8185699</v>
      </c>
      <c r="X15" s="37" t="n">
        <f aca="false">X9*(Base_Rate+Debt_Margin)</f>
        <v>40242758.8185699</v>
      </c>
      <c r="Y15" s="37" t="n">
        <f aca="false">Y9*(Base_Rate+Debt_Margin)</f>
        <v>40242758.8185699</v>
      </c>
      <c r="Z15" s="37" t="n">
        <f aca="false">Z9*(Base_Rate+Debt_Margin)</f>
        <v>40242758.8185699</v>
      </c>
      <c r="AA15" s="37" t="n">
        <f aca="false">AA9*(Base_Rate+Debt_Margin)</f>
        <v>40242758.8185699</v>
      </c>
    </row>
    <row r="16" customFormat="false" ht="15" hidden="false" customHeight="false" outlineLevel="0" collapsed="false">
      <c r="A16" s="5"/>
      <c r="B16" s="5"/>
      <c r="C16" s="5"/>
      <c r="D16" s="5"/>
      <c r="E16" s="5"/>
      <c r="F16" s="5"/>
      <c r="G16" s="5"/>
      <c r="H16" s="5"/>
      <c r="I16" s="5"/>
      <c r="J16" s="5"/>
      <c r="K16" s="5"/>
      <c r="L16" s="5"/>
      <c r="M16" s="5"/>
      <c r="N16" s="5"/>
      <c r="O16" s="5"/>
      <c r="P16" s="5"/>
      <c r="Q16" s="5"/>
      <c r="R16" s="5"/>
      <c r="S16" s="5"/>
      <c r="T16" s="5"/>
      <c r="U16" s="5"/>
      <c r="V16" s="5"/>
      <c r="W16" s="5"/>
      <c r="X16" s="5"/>
      <c r="Y16" s="5"/>
      <c r="Z16" s="5"/>
      <c r="AA16" s="5"/>
    </row>
    <row r="17" customFormat="false" ht="15" hidden="false" customHeight="false" outlineLevel="0" collapsed="false">
      <c r="A17" s="5"/>
      <c r="B17" s="10" t="s">
        <v>185</v>
      </c>
      <c r="C17" s="11"/>
      <c r="D17" s="11"/>
      <c r="E17" s="11"/>
      <c r="F17" s="11"/>
      <c r="G17" s="11"/>
      <c r="H17" s="11"/>
      <c r="I17" s="11"/>
      <c r="J17" s="11"/>
      <c r="K17" s="11"/>
      <c r="L17" s="11"/>
      <c r="M17" s="11"/>
      <c r="N17" s="11"/>
      <c r="O17" s="11"/>
      <c r="P17" s="11"/>
      <c r="Q17" s="11"/>
      <c r="R17" s="11"/>
      <c r="S17" s="11"/>
      <c r="T17" s="11"/>
      <c r="U17" s="11"/>
      <c r="V17" s="11"/>
      <c r="W17" s="11"/>
      <c r="X17" s="11"/>
      <c r="Y17" s="11"/>
      <c r="Z17" s="11"/>
      <c r="AA17" s="11"/>
    </row>
    <row r="18" customFormat="false" ht="15" hidden="false" customHeight="false" outlineLevel="0" collapsed="false">
      <c r="A18" s="5"/>
      <c r="B18" s="38" t="s">
        <v>186</v>
      </c>
      <c r="C18" s="39" t="n">
        <f aca="false">C11+C15+IF(C6&lt;=Construction_Years,MAX(SUM($C$10:AA10)-C12,0)*Commitment_Fee,0)</f>
        <v>2487903.322995</v>
      </c>
      <c r="D18" s="39" t="n">
        <f aca="false">D11+D15+IF(D6&lt;=Construction_Years,MAX(SUM($C$10:AA10)-D12,0)*Commitment_Fee,0)</f>
        <v>14144911.9582489</v>
      </c>
      <c r="E18" s="39" t="n">
        <f aca="false">E11+E15+IF(E6&lt;=Construction_Years,MAX(SUM($C$10:AA10)-E12,0)*Commitment_Fee,0)</f>
        <v>26282772.199707</v>
      </c>
      <c r="F18" s="39" t="n">
        <f aca="false">F11+F15+IF(F6&lt;=Construction_Years,MAX(SUM($C$10:AA10)-F12,0)*Commitment_Fee,0)</f>
        <v>40242758.8185699</v>
      </c>
      <c r="G18" s="39" t="n">
        <f aca="false">G11+G15+IF(G6&lt;=Construction_Years,MAX(SUM($C$10:AA10)-G12,0)*Commitment_Fee,0)</f>
        <v>40242758.8185699</v>
      </c>
      <c r="H18" s="39" t="n">
        <f aca="false">H11+H15+IF(H6&lt;=Construction_Years,MAX(SUM($C$10:AA10)-H12,0)*Commitment_Fee,0)</f>
        <v>40242758.8185699</v>
      </c>
      <c r="I18" s="39" t="n">
        <f aca="false">I11+I15+IF(I6&lt;=Construction_Years,MAX(SUM($C$10:AA10)-I12,0)*Commitment_Fee,0)</f>
        <v>40242758.8185699</v>
      </c>
      <c r="J18" s="39" t="n">
        <f aca="false">J11+J15+IF(J6&lt;=Construction_Years,MAX(SUM($C$10:AA10)-J12,0)*Commitment_Fee,0)</f>
        <v>40242758.8185699</v>
      </c>
      <c r="K18" s="39" t="n">
        <f aca="false">K11+K15+IF(K6&lt;=Construction_Years,MAX(SUM($C$10:AA10)-K12,0)*Commitment_Fee,0)</f>
        <v>40242758.8185699</v>
      </c>
      <c r="L18" s="39" t="n">
        <f aca="false">L11+L15+IF(L6&lt;=Construction_Years,MAX(SUM($C$10:AA10)-L12,0)*Commitment_Fee,0)</f>
        <v>40242758.8185699</v>
      </c>
      <c r="M18" s="39" t="n">
        <f aca="false">M11+M15+IF(M6&lt;=Construction_Years,MAX(SUM($C$10:AA10)-M12,0)*Commitment_Fee,0)</f>
        <v>40242758.8185699</v>
      </c>
      <c r="N18" s="39" t="n">
        <f aca="false">N11+N15+IF(N6&lt;=Construction_Years,MAX(SUM($C$10:AA10)-N12,0)*Commitment_Fee,0)</f>
        <v>40242758.8185699</v>
      </c>
      <c r="O18" s="39" t="n">
        <f aca="false">O11+O15+IF(O6&lt;=Construction_Years,MAX(SUM($C$10:AA10)-O12,0)*Commitment_Fee,0)</f>
        <v>40242758.8185699</v>
      </c>
      <c r="P18" s="39" t="n">
        <f aca="false">P11+P15+IF(P6&lt;=Construction_Years,MAX(SUM($C$10:AA10)-P12,0)*Commitment_Fee,0)</f>
        <v>40242758.8185699</v>
      </c>
      <c r="Q18" s="39" t="n">
        <f aca="false">Q11+Q15+IF(Q6&lt;=Construction_Years,MAX(SUM($C$10:AA10)-Q12,0)*Commitment_Fee,0)</f>
        <v>40242758.8185699</v>
      </c>
      <c r="R18" s="39" t="n">
        <f aca="false">R11+R15+IF(R6&lt;=Construction_Years,MAX(SUM($C$10:AA10)-R12,0)*Commitment_Fee,0)</f>
        <v>40242758.8185699</v>
      </c>
      <c r="S18" s="39" t="n">
        <f aca="false">S11+S15+IF(S6&lt;=Construction_Years,MAX(SUM($C$10:AA10)-S12,0)*Commitment_Fee,0)</f>
        <v>40242758.8185699</v>
      </c>
      <c r="T18" s="39" t="n">
        <f aca="false">T11+T15+IF(T6&lt;=Construction_Years,MAX(SUM($C$10:AA10)-T12,0)*Commitment_Fee,0)</f>
        <v>40242758.8185699</v>
      </c>
      <c r="U18" s="39" t="n">
        <f aca="false">U11+U15+IF(U6&lt;=Construction_Years,MAX(SUM($C$10:AA10)-U12,0)*Commitment_Fee,0)</f>
        <v>40242758.8185699</v>
      </c>
      <c r="V18" s="39" t="n">
        <f aca="false">V11+V15+IF(V6&lt;=Construction_Years,MAX(SUM($C$10:AA10)-V12,0)*Commitment_Fee,0)</f>
        <v>40242758.8185699</v>
      </c>
      <c r="W18" s="39" t="n">
        <f aca="false">W11+W15+IF(W6&lt;=Construction_Years,MAX(SUM($C$10:AA10)-W12,0)*Commitment_Fee,0)</f>
        <v>40242758.8185699</v>
      </c>
      <c r="X18" s="39" t="n">
        <f aca="false">X11+X15+IF(X6&lt;=Construction_Years,MAX(SUM($C$10:AA10)-X12,0)*Commitment_Fee,0)</f>
        <v>40242758.8185699</v>
      </c>
      <c r="Y18" s="39" t="n">
        <f aca="false">Y11+Y15+IF(Y6&lt;=Construction_Years,MAX(SUM($C$10:AA10)-Y12,0)*Commitment_Fee,0)</f>
        <v>40242758.8185699</v>
      </c>
      <c r="Z18" s="39" t="n">
        <f aca="false">Z11+Z15+IF(Z6&lt;=Construction_Years,MAX(SUM($C$10:AA10)-Z12,0)*Commitment_Fee,0)</f>
        <v>40242758.8185699</v>
      </c>
      <c r="AA18" s="39" t="n">
        <f aca="false">AA11+AA15+IF(AA6&lt;=Construction_Years,MAX(SUM($C$10:AA10)-AA12,0)*Commitment_Fee,0)</f>
        <v>40242758.8185699</v>
      </c>
    </row>
    <row r="19" customFormat="false" ht="15" hidden="false" customHeight="false" outlineLevel="0" collapsed="false">
      <c r="A19" s="5"/>
      <c r="B19" s="5"/>
      <c r="C19" s="5"/>
      <c r="D19" s="5"/>
      <c r="E19" s="5"/>
      <c r="F19" s="5"/>
      <c r="G19" s="5"/>
      <c r="H19" s="5"/>
      <c r="I19" s="5"/>
      <c r="J19" s="5"/>
      <c r="K19" s="5"/>
      <c r="L19" s="5"/>
      <c r="M19" s="5"/>
      <c r="N19" s="5"/>
      <c r="O19" s="5"/>
      <c r="P19" s="5"/>
      <c r="Q19" s="5"/>
      <c r="R19" s="5"/>
      <c r="S19" s="5"/>
      <c r="T19" s="5"/>
      <c r="U19" s="5"/>
      <c r="V19" s="5"/>
      <c r="W19" s="5"/>
      <c r="X19" s="5"/>
      <c r="Y19" s="5"/>
      <c r="Z19" s="5"/>
      <c r="AA19" s="5"/>
    </row>
    <row r="20" customFormat="false" ht="15" hidden="false" customHeight="false" outlineLevel="0" collapsed="false">
      <c r="A20" s="5"/>
      <c r="B20" s="10" t="s">
        <v>187</v>
      </c>
      <c r="C20" s="11"/>
      <c r="D20" s="11"/>
      <c r="E20" s="11"/>
      <c r="F20" s="11"/>
      <c r="G20" s="11"/>
      <c r="H20" s="11"/>
      <c r="I20" s="11"/>
      <c r="J20" s="11"/>
      <c r="K20" s="11"/>
      <c r="L20" s="11"/>
      <c r="M20" s="11"/>
      <c r="N20" s="11"/>
      <c r="O20" s="11"/>
      <c r="P20" s="11"/>
      <c r="Q20" s="11"/>
      <c r="R20" s="11"/>
      <c r="S20" s="11"/>
      <c r="T20" s="11"/>
      <c r="U20" s="11"/>
      <c r="V20" s="11"/>
      <c r="W20" s="11"/>
      <c r="X20" s="11"/>
      <c r="Y20" s="11"/>
      <c r="Z20" s="11"/>
      <c r="AA20" s="11"/>
    </row>
    <row r="21" customFormat="false" ht="15" hidden="false" customHeight="false" outlineLevel="0" collapsed="false">
      <c r="A21" s="5"/>
      <c r="B21" s="36" t="s">
        <v>188</v>
      </c>
      <c r="C21" s="37" t="n">
        <f aca="false">IF(C6&gt;=Construction_Years+Debt_Tenor,0,IF(C6&lt;Construction_Years,0,C18*DSRA_Months/12))</f>
        <v>0</v>
      </c>
      <c r="D21" s="37" t="n">
        <f aca="false">IF(D6&gt;=Construction_Years+Debt_Tenor,0,IF(D6&lt;Construction_Years,0,D18*DSRA_Months/12))</f>
        <v>0</v>
      </c>
      <c r="E21" s="37" t="n">
        <f aca="false">IF(E6&gt;=Construction_Years+Debt_Tenor,0,IF(E6&lt;Construction_Years,0,E18*DSRA_Months/12))</f>
        <v>13141386.0998535</v>
      </c>
      <c r="F21" s="37" t="n">
        <f aca="false">IF(F6&gt;=Construction_Years+Debt_Tenor,0,IF(F6&lt;Construction_Years,0,F18*DSRA_Months/12))</f>
        <v>20121379.409285</v>
      </c>
      <c r="G21" s="37" t="n">
        <f aca="false">IF(G6&gt;=Construction_Years+Debt_Tenor,0,IF(G6&lt;Construction_Years,0,G18*DSRA_Months/12))</f>
        <v>20121379.409285</v>
      </c>
      <c r="H21" s="37" t="n">
        <f aca="false">IF(H6&gt;=Construction_Years+Debt_Tenor,0,IF(H6&lt;Construction_Years,0,H18*DSRA_Months/12))</f>
        <v>20121379.409285</v>
      </c>
      <c r="I21" s="37" t="n">
        <f aca="false">IF(I6&gt;=Construction_Years+Debt_Tenor,0,IF(I6&lt;Construction_Years,0,I18*DSRA_Months/12))</f>
        <v>20121379.409285</v>
      </c>
      <c r="J21" s="37" t="n">
        <f aca="false">IF(J6&gt;=Construction_Years+Debt_Tenor,0,IF(J6&lt;Construction_Years,0,J18*DSRA_Months/12))</f>
        <v>20121379.409285</v>
      </c>
      <c r="K21" s="37" t="n">
        <f aca="false">IF(K6&gt;=Construction_Years+Debt_Tenor,0,IF(K6&lt;Construction_Years,0,K18*DSRA_Months/12))</f>
        <v>20121379.409285</v>
      </c>
      <c r="L21" s="37" t="n">
        <f aca="false">IF(L6&gt;=Construction_Years+Debt_Tenor,0,IF(L6&lt;Construction_Years,0,L18*DSRA_Months/12))</f>
        <v>20121379.409285</v>
      </c>
      <c r="M21" s="37" t="n">
        <f aca="false">IF(M6&gt;=Construction_Years+Debt_Tenor,0,IF(M6&lt;Construction_Years,0,M18*DSRA_Months/12))</f>
        <v>20121379.409285</v>
      </c>
      <c r="N21" s="37" t="n">
        <f aca="false">IF(N6&gt;=Construction_Years+Debt_Tenor,0,IF(N6&lt;Construction_Years,0,N18*DSRA_Months/12))</f>
        <v>20121379.409285</v>
      </c>
      <c r="O21" s="37" t="n">
        <f aca="false">IF(O6&gt;=Construction_Years+Debt_Tenor,0,IF(O6&lt;Construction_Years,0,O18*DSRA_Months/12))</f>
        <v>20121379.409285</v>
      </c>
      <c r="P21" s="37" t="n">
        <f aca="false">IF(P6&gt;=Construction_Years+Debt_Tenor,0,IF(P6&lt;Construction_Years,0,P18*DSRA_Months/12))</f>
        <v>20121379.409285</v>
      </c>
      <c r="Q21" s="37" t="n">
        <f aca="false">IF(Q6&gt;=Construction_Years+Debt_Tenor,0,IF(Q6&lt;Construction_Years,0,Q18*DSRA_Months/12))</f>
        <v>20121379.409285</v>
      </c>
      <c r="R21" s="37" t="n">
        <f aca="false">IF(R6&gt;=Construction_Years+Debt_Tenor,0,IF(R6&lt;Construction_Years,0,R18*DSRA_Months/12))</f>
        <v>20121379.409285</v>
      </c>
      <c r="S21" s="37" t="n">
        <f aca="false">IF(S6&gt;=Construction_Years+Debt_Tenor,0,IF(S6&lt;Construction_Years,0,S18*DSRA_Months/12))</f>
        <v>20121379.409285</v>
      </c>
      <c r="T21" s="37" t="n">
        <f aca="false">IF(T6&gt;=Construction_Years+Debt_Tenor,0,IF(T6&lt;Construction_Years,0,T18*DSRA_Months/12))</f>
        <v>20121379.409285</v>
      </c>
      <c r="U21" s="37" t="n">
        <f aca="false">IF(U6&gt;=Construction_Years+Debt_Tenor,0,IF(U6&lt;Construction_Years,0,U18*DSRA_Months/12))</f>
        <v>20121379.409285</v>
      </c>
      <c r="V21" s="37" t="n">
        <f aca="false">IF(V6&gt;=Construction_Years+Debt_Tenor,0,IF(V6&lt;Construction_Years,0,V18*DSRA_Months/12))</f>
        <v>20121379.409285</v>
      </c>
      <c r="W21" s="37" t="n">
        <f aca="false">IF(W6&gt;=Construction_Years+Debt_Tenor,0,IF(W6&lt;Construction_Years,0,W18*DSRA_Months/12))</f>
        <v>20121379.409285</v>
      </c>
      <c r="X21" s="37" t="n">
        <f aca="false">IF(X6&gt;=Construction_Years+Debt_Tenor,0,IF(X6&lt;Construction_Years,0,X18*DSRA_Months/12))</f>
        <v>20121379.409285</v>
      </c>
      <c r="Y21" s="37" t="n">
        <f aca="false">IF(Y6&gt;=Construction_Years+Debt_Tenor,0,IF(Y6&lt;Construction_Years,0,Y18*DSRA_Months/12))</f>
        <v>0</v>
      </c>
      <c r="Z21" s="37" t="n">
        <f aca="false">IF(Z6&gt;=Construction_Years+Debt_Tenor,0,IF(Z6&lt;Construction_Years,0,Z18*DSRA_Months/12))</f>
        <v>0</v>
      </c>
      <c r="AA21" s="37" t="n">
        <f aca="false">IF(AA6&gt;=Construction_Years+Debt_Tenor,0,IF(AA6&lt;Construction_Years,0,AA18*DSRA_Months/12))</f>
        <v>0</v>
      </c>
    </row>
    <row r="22" customFormat="false" ht="15" hidden="false" customHeight="false" outlineLevel="0" collapsed="false">
      <c r="A22" s="5"/>
      <c r="B22" s="36" t="s">
        <v>189</v>
      </c>
      <c r="C22" s="37" t="n">
        <f aca="false">IF(C6=1,0,B24)</f>
        <v>0</v>
      </c>
      <c r="D22" s="37" t="n">
        <f aca="false">IF(D6=1,0,C24)</f>
        <v>0</v>
      </c>
      <c r="E22" s="37" t="n">
        <f aca="false">IF(E6=1,0,D24)</f>
        <v>0</v>
      </c>
      <c r="F22" s="37" t="n">
        <f aca="false">IF(F6=1,0,E24)</f>
        <v>13141386.0998535</v>
      </c>
      <c r="G22" s="37" t="n">
        <f aca="false">IF(G6=1,0,F24)</f>
        <v>20121379.409285</v>
      </c>
      <c r="H22" s="37" t="n">
        <f aca="false">IF(H6=1,0,G24)</f>
        <v>20121379.409285</v>
      </c>
      <c r="I22" s="37" t="n">
        <f aca="false">IF(I6=1,0,H24)</f>
        <v>20121379.409285</v>
      </c>
      <c r="J22" s="37" t="n">
        <f aca="false">IF(J6=1,0,I24)</f>
        <v>20121379.409285</v>
      </c>
      <c r="K22" s="37" t="n">
        <f aca="false">IF(K6=1,0,J24)</f>
        <v>20121379.409285</v>
      </c>
      <c r="L22" s="37" t="n">
        <f aca="false">IF(L6=1,0,K24)</f>
        <v>20121379.409285</v>
      </c>
      <c r="M22" s="37" t="n">
        <f aca="false">IF(M6=1,0,L24)</f>
        <v>20121379.409285</v>
      </c>
      <c r="N22" s="37" t="n">
        <f aca="false">IF(N6=1,0,M24)</f>
        <v>20121379.409285</v>
      </c>
      <c r="O22" s="37" t="n">
        <f aca="false">IF(O6=1,0,N24)</f>
        <v>20121379.409285</v>
      </c>
      <c r="P22" s="37" t="n">
        <f aca="false">IF(P6=1,0,O24)</f>
        <v>20121379.409285</v>
      </c>
      <c r="Q22" s="37" t="n">
        <f aca="false">IF(Q6=1,0,P24)</f>
        <v>20121379.409285</v>
      </c>
      <c r="R22" s="37" t="n">
        <f aca="false">IF(R6=1,0,Q24)</f>
        <v>20121379.409285</v>
      </c>
      <c r="S22" s="37" t="n">
        <f aca="false">IF(S6=1,0,R24)</f>
        <v>20121379.409285</v>
      </c>
      <c r="T22" s="37" t="n">
        <f aca="false">IF(T6=1,0,S24)</f>
        <v>20121379.409285</v>
      </c>
      <c r="U22" s="37" t="n">
        <f aca="false">IF(U6=1,0,T24)</f>
        <v>20121379.409285</v>
      </c>
      <c r="V22" s="37" t="n">
        <f aca="false">IF(V6=1,0,U24)</f>
        <v>20121379.409285</v>
      </c>
      <c r="W22" s="37" t="n">
        <f aca="false">IF(W6=1,0,V24)</f>
        <v>20121379.409285</v>
      </c>
      <c r="X22" s="37" t="n">
        <f aca="false">IF(X6=1,0,W24)</f>
        <v>20121379.409285</v>
      </c>
      <c r="Y22" s="37" t="n">
        <f aca="false">IF(Y6=1,0,X24)</f>
        <v>20121379.409285</v>
      </c>
      <c r="Z22" s="37" t="n">
        <f aca="false">IF(Z6=1,0,Y24)</f>
        <v>0</v>
      </c>
      <c r="AA22" s="37" t="n">
        <f aca="false">IF(AA6=1,0,Z24)</f>
        <v>0</v>
      </c>
    </row>
    <row r="23" customFormat="false" ht="15" hidden="false" customHeight="false" outlineLevel="0" collapsed="false">
      <c r="A23" s="5"/>
      <c r="B23" s="36" t="s">
        <v>190</v>
      </c>
      <c r="C23" s="37" t="n">
        <f aca="false">C21-C22</f>
        <v>0</v>
      </c>
      <c r="D23" s="37" t="n">
        <f aca="false">D21-D22</f>
        <v>0</v>
      </c>
      <c r="E23" s="37" t="n">
        <f aca="false">E21-E22</f>
        <v>13141386.0998535</v>
      </c>
      <c r="F23" s="37" t="n">
        <f aca="false">F21-F22</f>
        <v>6979993.30943146</v>
      </c>
      <c r="G23" s="37" t="n">
        <f aca="false">G21-G22</f>
        <v>0</v>
      </c>
      <c r="H23" s="37" t="n">
        <f aca="false">H21-H22</f>
        <v>0</v>
      </c>
      <c r="I23" s="37" t="n">
        <f aca="false">I21-I22</f>
        <v>0</v>
      </c>
      <c r="J23" s="37" t="n">
        <f aca="false">J21-J22</f>
        <v>0</v>
      </c>
      <c r="K23" s="37" t="n">
        <f aca="false">K21-K22</f>
        <v>0</v>
      </c>
      <c r="L23" s="37" t="n">
        <f aca="false">L21-L22</f>
        <v>0</v>
      </c>
      <c r="M23" s="37" t="n">
        <f aca="false">M21-M22</f>
        <v>0</v>
      </c>
      <c r="N23" s="37" t="n">
        <f aca="false">N21-N22</f>
        <v>0</v>
      </c>
      <c r="O23" s="37" t="n">
        <f aca="false">O21-O22</f>
        <v>0</v>
      </c>
      <c r="P23" s="37" t="n">
        <f aca="false">P21-P22</f>
        <v>0</v>
      </c>
      <c r="Q23" s="37" t="n">
        <f aca="false">Q21-Q22</f>
        <v>0</v>
      </c>
      <c r="R23" s="37" t="n">
        <f aca="false">R21-R22</f>
        <v>0</v>
      </c>
      <c r="S23" s="37" t="n">
        <f aca="false">S21-S22</f>
        <v>0</v>
      </c>
      <c r="T23" s="37" t="n">
        <f aca="false">T21-T22</f>
        <v>0</v>
      </c>
      <c r="U23" s="37" t="n">
        <f aca="false">U21-U22</f>
        <v>0</v>
      </c>
      <c r="V23" s="37" t="n">
        <f aca="false">V21-V22</f>
        <v>0</v>
      </c>
      <c r="W23" s="37" t="n">
        <f aca="false">W21-W22</f>
        <v>0</v>
      </c>
      <c r="X23" s="37" t="n">
        <f aca="false">X21-X22</f>
        <v>0</v>
      </c>
      <c r="Y23" s="37" t="n">
        <f aca="false">Y21-Y22</f>
        <v>-20121379.409285</v>
      </c>
      <c r="Z23" s="37" t="n">
        <f aca="false">Z21-Z22</f>
        <v>0</v>
      </c>
      <c r="AA23" s="37" t="n">
        <f aca="false">AA21-AA22</f>
        <v>0</v>
      </c>
    </row>
    <row r="24" customFormat="false" ht="15" hidden="false" customHeight="false" outlineLevel="0" collapsed="false">
      <c r="A24" s="5"/>
      <c r="B24" s="38" t="s">
        <v>191</v>
      </c>
      <c r="C24" s="39" t="n">
        <f aca="false">C22+C23</f>
        <v>0</v>
      </c>
      <c r="D24" s="39" t="n">
        <f aca="false">D22+D23</f>
        <v>0</v>
      </c>
      <c r="E24" s="39" t="n">
        <f aca="false">E22+E23</f>
        <v>13141386.0998535</v>
      </c>
      <c r="F24" s="39" t="n">
        <f aca="false">F22+F23</f>
        <v>20121379.409285</v>
      </c>
      <c r="G24" s="39" t="n">
        <f aca="false">G22+G23</f>
        <v>20121379.409285</v>
      </c>
      <c r="H24" s="39" t="n">
        <f aca="false">H22+H23</f>
        <v>20121379.409285</v>
      </c>
      <c r="I24" s="39" t="n">
        <f aca="false">I22+I23</f>
        <v>20121379.409285</v>
      </c>
      <c r="J24" s="39" t="n">
        <f aca="false">J22+J23</f>
        <v>20121379.409285</v>
      </c>
      <c r="K24" s="39" t="n">
        <f aca="false">K22+K23</f>
        <v>20121379.409285</v>
      </c>
      <c r="L24" s="39" t="n">
        <f aca="false">L22+L23</f>
        <v>20121379.409285</v>
      </c>
      <c r="M24" s="39" t="n">
        <f aca="false">M22+M23</f>
        <v>20121379.409285</v>
      </c>
      <c r="N24" s="39" t="n">
        <f aca="false">N22+N23</f>
        <v>20121379.409285</v>
      </c>
      <c r="O24" s="39" t="n">
        <f aca="false">O22+O23</f>
        <v>20121379.409285</v>
      </c>
      <c r="P24" s="39" t="n">
        <f aca="false">P22+P23</f>
        <v>20121379.409285</v>
      </c>
      <c r="Q24" s="39" t="n">
        <f aca="false">Q22+Q23</f>
        <v>20121379.409285</v>
      </c>
      <c r="R24" s="39" t="n">
        <f aca="false">R22+R23</f>
        <v>20121379.409285</v>
      </c>
      <c r="S24" s="39" t="n">
        <f aca="false">S22+S23</f>
        <v>20121379.409285</v>
      </c>
      <c r="T24" s="39" t="n">
        <f aca="false">T22+T23</f>
        <v>20121379.409285</v>
      </c>
      <c r="U24" s="39" t="n">
        <f aca="false">U22+U23</f>
        <v>20121379.409285</v>
      </c>
      <c r="V24" s="39" t="n">
        <f aca="false">V22+V23</f>
        <v>20121379.409285</v>
      </c>
      <c r="W24" s="39" t="n">
        <f aca="false">W22+W23</f>
        <v>20121379.409285</v>
      </c>
      <c r="X24" s="39" t="n">
        <f aca="false">X22+X23</f>
        <v>20121379.409285</v>
      </c>
      <c r="Y24" s="39" t="n">
        <f aca="false">Y22+Y23</f>
        <v>0</v>
      </c>
      <c r="Z24" s="39" t="n">
        <f aca="false">Z22+Z23</f>
        <v>0</v>
      </c>
      <c r="AA24" s="39" t="n">
        <f aca="false">AA22+AA23</f>
        <v>0</v>
      </c>
    </row>
    <row r="25" customFormat="false" ht="15" hidden="false" customHeight="false" outlineLevel="0" collapsed="false">
      <c r="A25" s="5"/>
      <c r="B25" s="5"/>
      <c r="C25" s="5"/>
      <c r="D25" s="5"/>
      <c r="E25" s="5"/>
      <c r="F25" s="5"/>
      <c r="G25" s="5"/>
      <c r="H25" s="5"/>
      <c r="I25" s="5"/>
      <c r="J25" s="5"/>
      <c r="K25" s="5"/>
      <c r="L25" s="5"/>
      <c r="M25" s="5"/>
      <c r="N25" s="5"/>
      <c r="O25" s="5"/>
      <c r="P25" s="5"/>
      <c r="Q25" s="5"/>
      <c r="R25" s="5"/>
      <c r="S25" s="5"/>
      <c r="T25" s="5"/>
      <c r="U25" s="5"/>
      <c r="V25" s="5"/>
      <c r="W25" s="5"/>
      <c r="X25" s="5"/>
      <c r="Y25" s="5"/>
      <c r="Z25" s="5"/>
      <c r="AA25" s="5"/>
    </row>
    <row r="26" customFormat="false" ht="15" hidden="false" customHeight="false" outlineLevel="0" collapsed="false">
      <c r="A26" s="5"/>
      <c r="B26" s="10" t="s">
        <v>192</v>
      </c>
      <c r="C26" s="11"/>
      <c r="D26" s="11"/>
      <c r="E26" s="11"/>
      <c r="F26" s="11"/>
      <c r="G26" s="11"/>
      <c r="H26" s="11"/>
      <c r="I26" s="11"/>
      <c r="J26" s="11"/>
      <c r="K26" s="11"/>
      <c r="L26" s="11"/>
      <c r="M26" s="11"/>
      <c r="N26" s="11"/>
      <c r="O26" s="11"/>
      <c r="P26" s="11"/>
      <c r="Q26" s="11"/>
      <c r="R26" s="11"/>
      <c r="S26" s="11"/>
      <c r="T26" s="11"/>
      <c r="U26" s="11"/>
      <c r="V26" s="11"/>
      <c r="W26" s="11"/>
      <c r="X26" s="11"/>
      <c r="Y26" s="11"/>
      <c r="Z26" s="11"/>
      <c r="AA26" s="11"/>
    </row>
    <row r="27" customFormat="false" ht="15" hidden="false" customHeight="false" outlineLevel="0" collapsed="false">
      <c r="A27" s="5"/>
      <c r="B27" s="36" t="s">
        <v>193</v>
      </c>
      <c r="C27" s="48" t="n">
        <f aca="false">IF(C18=0,0,(Ox_EBITDA-Ox_Lifecycle-Ox_Tax)/C18)</f>
        <v>0</v>
      </c>
      <c r="D27" s="48" t="n">
        <f aca="false">IF(D18=0,0,(Ox_EBITDA-Ox_Lifecycle-Ox_Tax)/D18)</f>
        <v>0</v>
      </c>
      <c r="E27" s="48" t="n">
        <f aca="false">IF(E18=0,0,(Ox_EBITDA-Ox_Lifecycle-Ox_Tax)/E18)</f>
        <v>0</v>
      </c>
      <c r="F27" s="48" t="n">
        <f aca="false">IF(F18=0,0,(Ox_EBITDA-Ox_Lifecycle-Ox_Tax)/F18)</f>
        <v>0.212781497874064</v>
      </c>
      <c r="G27" s="48" t="n">
        <f aca="false">IF(G18=0,0,(Ox_EBITDA-Ox_Lifecycle-Ox_Tax)/G18)</f>
        <v>0.372853828320627</v>
      </c>
      <c r="H27" s="48" t="n">
        <f aca="false">IF(H18=0,0,(Ox_EBITDA-Ox_Lifecycle-Ox_Tax)/H18)</f>
        <v>0.507040765604753</v>
      </c>
      <c r="I27" s="48" t="n">
        <f aca="false">IF(I18=0,0,(Ox_EBITDA-Ox_Lifecycle-Ox_Tax)/I18)</f>
        <v>0.531526515639053</v>
      </c>
      <c r="J27" s="48" t="n">
        <f aca="false">IF(J18=0,0,(Ox_EBITDA-Ox_Lifecycle-Ox_Tax)/J18)</f>
        <v>0.557101227309064</v>
      </c>
      <c r="K27" s="48" t="n">
        <f aca="false">IF(K18=0,0,(Ox_EBITDA-Ox_Lifecycle-Ox_Tax)/K18)</f>
        <v>0.583811376177778</v>
      </c>
      <c r="L27" s="48" t="n">
        <f aca="false">IF(L18=0,0,(Ox_EBITDA-Ox_Lifecycle-Ox_Tax)/L18)</f>
        <v>0.611705376977469</v>
      </c>
      <c r="M27" s="48" t="n">
        <f aca="false">IF(M18=0,0,(Ox_EBITDA-Ox_Lifecycle-Ox_Tax)/M18)</f>
        <v>0.64083366347161</v>
      </c>
      <c r="N27" s="48" t="n">
        <f aca="false">IF(N18=0,0,(Ox_EBITDA-Ox_Lifecycle-Ox_Tax)/N18)</f>
        <v>0.67124877158042</v>
      </c>
      <c r="O27" s="48" t="n">
        <f aca="false">IF(O18=0,0,(Ox_EBITDA-Ox_Lifecycle-Ox_Tax)/O18)</f>
        <v>0.703005425902776</v>
      </c>
      <c r="P27" s="48" t="n">
        <f aca="false">IF(P18=0,0,(Ox_EBITDA-Ox_Lifecycle-Ox_Tax)/P18)</f>
        <v>0.736160629772642</v>
      </c>
      <c r="Q27" s="48" t="n">
        <f aca="false">IF(Q18=0,0,(Ox_EBITDA-Ox_Lifecycle-Ox_Tax)/Q18)</f>
        <v>0.77077375899373</v>
      </c>
      <c r="R27" s="48" t="n">
        <f aca="false">IF(R18=0,0,(Ox_EBITDA-Ox_Lifecycle-Ox_Tax)/R18)</f>
        <v>0.806906659401969</v>
      </c>
      <c r="S27" s="48" t="n">
        <f aca="false">IF(S18=0,0,(Ox_EBITDA-Ox_Lifecycle-Ox_Tax)/S18)</f>
        <v>0.844623748411413</v>
      </c>
      <c r="T27" s="48" t="n">
        <f aca="false">IF(T18=0,0,(Ox_EBITDA-Ox_Lifecycle-Ox_Tax)/T18)</f>
        <v>0.883992120705516</v>
      </c>
      <c r="U27" s="48" t="n">
        <f aca="false">IF(U18=0,0,(Ox_EBITDA-Ox_Lifecycle-Ox_Tax)/U18)</f>
        <v>0.925081658242293</v>
      </c>
      <c r="V27" s="48" t="n">
        <f aca="false">IF(V18=0,0,(Ox_EBITDA-Ox_Lifecycle-Ox_Tax)/V18)</f>
        <v>0.967965144748699</v>
      </c>
      <c r="W27" s="48" t="n">
        <f aca="false">IF(W18=0,0,(Ox_EBITDA-Ox_Lifecycle-Ox_Tax)/W18)</f>
        <v>1.01271838488667</v>
      </c>
      <c r="X27" s="48" t="n">
        <f aca="false">IF(X18=0,0,(Ox_EBITDA-Ox_Lifecycle-Ox_Tax)/X18)</f>
        <v>1.05942032828069</v>
      </c>
      <c r="Y27" s="48" t="n">
        <f aca="false">IF(Y18=0,0,(Ox_EBITDA-Ox_Lifecycle-Ox_Tax)/Y18)</f>
        <v>1.10815319860434</v>
      </c>
      <c r="Z27" s="48" t="n">
        <f aca="false">IF(Z18=0,0,(Ox_EBITDA-Ox_Lifecycle-Ox_Tax)/Z18)</f>
        <v>1.15900262793154</v>
      </c>
      <c r="AA27" s="48" t="n">
        <f aca="false">IF(AA18=0,0,(Ox_EBITDA-Ox_Lifecycle-Ox_Tax)/AA18)</f>
        <v>1.21205779656617</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A5A5A5"/>
    <pageSetUpPr fitToPage="false"/>
  </sheetPr>
  <dimension ref="A1:AA30"/>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2"/>
    <col collapsed="false" customWidth="true" hidden="false" outlineLevel="0" max="27" min="3" style="0" width="14"/>
  </cols>
  <sheetData>
    <row r="1" customFormat="false" ht="15" hidden="false" customHeight="false" outlineLevel="0" collapsed="false">
      <c r="A1" s="5"/>
      <c r="B1" s="5"/>
      <c r="C1" s="5"/>
      <c r="D1" s="5"/>
      <c r="E1" s="5"/>
      <c r="F1" s="5"/>
      <c r="G1" s="5"/>
      <c r="H1" s="5"/>
      <c r="I1" s="5"/>
      <c r="J1" s="5"/>
      <c r="K1" s="5"/>
      <c r="L1" s="5"/>
      <c r="M1" s="5"/>
      <c r="N1" s="5"/>
      <c r="O1" s="5"/>
      <c r="P1" s="5"/>
      <c r="Q1" s="5"/>
      <c r="R1" s="5"/>
      <c r="S1" s="5"/>
      <c r="T1" s="5"/>
      <c r="U1" s="5"/>
      <c r="V1" s="5"/>
      <c r="W1" s="5"/>
      <c r="X1" s="5"/>
      <c r="Y1" s="5"/>
      <c r="Z1" s="5"/>
      <c r="AA1" s="5"/>
    </row>
    <row r="2" customFormat="false" ht="22.05" hidden="false" customHeight="false" outlineLevel="0" collapsed="false">
      <c r="A2" s="5"/>
      <c r="B2" s="26" t="s">
        <v>194</v>
      </c>
      <c r="C2" s="5"/>
      <c r="D2" s="5"/>
      <c r="E2" s="5"/>
      <c r="F2" s="5"/>
      <c r="G2" s="5"/>
      <c r="H2" s="5"/>
      <c r="I2" s="5"/>
      <c r="J2" s="5"/>
      <c r="K2" s="5"/>
      <c r="L2" s="5"/>
      <c r="M2" s="5"/>
      <c r="N2" s="5"/>
      <c r="O2" s="5"/>
      <c r="P2" s="5"/>
      <c r="Q2" s="5"/>
      <c r="R2" s="5"/>
      <c r="S2" s="5"/>
      <c r="T2" s="5"/>
      <c r="U2" s="5"/>
      <c r="V2" s="5"/>
      <c r="W2" s="5"/>
      <c r="X2" s="5"/>
      <c r="Y2" s="5"/>
      <c r="Z2" s="5"/>
      <c r="AA2" s="5"/>
    </row>
    <row r="3" customFormat="false" ht="15" hidden="false" customHeight="false" outlineLevel="0" collapsed="false">
      <c r="A3" s="5"/>
      <c r="B3" s="6" t="s">
        <v>195</v>
      </c>
      <c r="C3" s="5"/>
      <c r="D3" s="5"/>
      <c r="E3" s="5"/>
      <c r="F3" s="5"/>
      <c r="G3" s="5"/>
      <c r="H3" s="5"/>
      <c r="I3" s="5"/>
      <c r="J3" s="5"/>
      <c r="K3" s="5"/>
      <c r="L3" s="5"/>
      <c r="M3" s="5"/>
      <c r="N3" s="5"/>
      <c r="O3" s="5"/>
      <c r="P3" s="5"/>
      <c r="Q3" s="5"/>
      <c r="R3" s="5"/>
      <c r="S3" s="5"/>
      <c r="T3" s="5"/>
      <c r="U3" s="5"/>
      <c r="V3" s="5"/>
      <c r="W3" s="5"/>
      <c r="X3" s="5"/>
      <c r="Y3" s="5"/>
      <c r="Z3" s="5"/>
      <c r="AA3" s="5"/>
    </row>
    <row r="4" customFormat="false" ht="15" hidden="false" customHeight="false" outlineLevel="0" collapsed="false">
      <c r="A4" s="5"/>
      <c r="B4" s="5"/>
      <c r="C4" s="5"/>
      <c r="D4" s="5"/>
      <c r="E4" s="5"/>
      <c r="F4" s="5"/>
      <c r="G4" s="5"/>
      <c r="H4" s="5"/>
      <c r="I4" s="5"/>
      <c r="J4" s="5"/>
      <c r="K4" s="5"/>
      <c r="L4" s="5"/>
      <c r="M4" s="5"/>
      <c r="N4" s="5"/>
      <c r="O4" s="5"/>
      <c r="P4" s="5"/>
      <c r="Q4" s="5"/>
      <c r="R4" s="5"/>
      <c r="S4" s="5"/>
      <c r="T4" s="5"/>
      <c r="U4" s="5"/>
      <c r="V4" s="5"/>
      <c r="W4" s="5"/>
      <c r="X4" s="5"/>
      <c r="Y4" s="5"/>
      <c r="Z4" s="5"/>
      <c r="AA4" s="5"/>
    </row>
    <row r="5" customFormat="false" ht="15" hidden="false" customHeight="false" outlineLevel="0" collapsed="false">
      <c r="A5" s="5"/>
      <c r="B5" s="5"/>
      <c r="C5" s="34" t="n">
        <f aca="false">Base_Year+0</f>
        <v>2026</v>
      </c>
      <c r="D5" s="34" t="n">
        <f aca="false">Base_Year+1</f>
        <v>2027</v>
      </c>
      <c r="E5" s="34" t="n">
        <f aca="false">Base_Year+2</f>
        <v>2028</v>
      </c>
      <c r="F5" s="34" t="n">
        <f aca="false">Base_Year+3</f>
        <v>2029</v>
      </c>
      <c r="G5" s="34" t="n">
        <f aca="false">Base_Year+4</f>
        <v>2030</v>
      </c>
      <c r="H5" s="34" t="n">
        <f aca="false">Base_Year+5</f>
        <v>2031</v>
      </c>
      <c r="I5" s="34" t="n">
        <f aca="false">Base_Year+6</f>
        <v>2032</v>
      </c>
      <c r="J5" s="34" t="n">
        <f aca="false">Base_Year+7</f>
        <v>2033</v>
      </c>
      <c r="K5" s="34" t="n">
        <f aca="false">Base_Year+8</f>
        <v>2034</v>
      </c>
      <c r="L5" s="34" t="n">
        <f aca="false">Base_Year+9</f>
        <v>2035</v>
      </c>
      <c r="M5" s="34" t="n">
        <f aca="false">Base_Year+10</f>
        <v>2036</v>
      </c>
      <c r="N5" s="34" t="n">
        <f aca="false">Base_Year+11</f>
        <v>2037</v>
      </c>
      <c r="O5" s="34" t="n">
        <f aca="false">Base_Year+12</f>
        <v>2038</v>
      </c>
      <c r="P5" s="34" t="n">
        <f aca="false">Base_Year+13</f>
        <v>2039</v>
      </c>
      <c r="Q5" s="34" t="n">
        <f aca="false">Base_Year+14</f>
        <v>2040</v>
      </c>
      <c r="R5" s="34" t="n">
        <f aca="false">Base_Year+15</f>
        <v>2041</v>
      </c>
      <c r="S5" s="34" t="n">
        <f aca="false">Base_Year+16</f>
        <v>2042</v>
      </c>
      <c r="T5" s="34" t="n">
        <f aca="false">Base_Year+17</f>
        <v>2043</v>
      </c>
      <c r="U5" s="34" t="n">
        <f aca="false">Base_Year+18</f>
        <v>2044</v>
      </c>
      <c r="V5" s="34" t="n">
        <f aca="false">Base_Year+19</f>
        <v>2045</v>
      </c>
      <c r="W5" s="34" t="n">
        <f aca="false">Base_Year+20</f>
        <v>2046</v>
      </c>
      <c r="X5" s="34" t="n">
        <f aca="false">Base_Year+21</f>
        <v>2047</v>
      </c>
      <c r="Y5" s="34" t="n">
        <f aca="false">Base_Year+22</f>
        <v>2048</v>
      </c>
      <c r="Z5" s="34" t="n">
        <f aca="false">Base_Year+23</f>
        <v>2049</v>
      </c>
      <c r="AA5" s="34" t="n">
        <f aca="false">Base_Year+24</f>
        <v>2050</v>
      </c>
    </row>
    <row r="6" customFormat="false" ht="15" hidden="false" customHeight="false" outlineLevel="0" collapsed="false">
      <c r="A6" s="5"/>
      <c r="B6" s="5"/>
      <c r="C6" s="35" t="n">
        <v>1</v>
      </c>
      <c r="D6" s="35" t="n">
        <v>2</v>
      </c>
      <c r="E6" s="35" t="n">
        <v>3</v>
      </c>
      <c r="F6" s="35" t="n">
        <v>4</v>
      </c>
      <c r="G6" s="35" t="n">
        <v>5</v>
      </c>
      <c r="H6" s="35" t="n">
        <v>6</v>
      </c>
      <c r="I6" s="35" t="n">
        <v>7</v>
      </c>
      <c r="J6" s="35" t="n">
        <v>8</v>
      </c>
      <c r="K6" s="35" t="n">
        <v>9</v>
      </c>
      <c r="L6" s="35" t="n">
        <v>10</v>
      </c>
      <c r="M6" s="35" t="n">
        <v>11</v>
      </c>
      <c r="N6" s="35" t="n">
        <v>12</v>
      </c>
      <c r="O6" s="35" t="n">
        <v>13</v>
      </c>
      <c r="P6" s="35" t="n">
        <v>14</v>
      </c>
      <c r="Q6" s="35" t="n">
        <v>15</v>
      </c>
      <c r="R6" s="35" t="n">
        <v>16</v>
      </c>
      <c r="S6" s="35" t="n">
        <v>17</v>
      </c>
      <c r="T6" s="35" t="n">
        <v>18</v>
      </c>
      <c r="U6" s="35" t="n">
        <v>19</v>
      </c>
      <c r="V6" s="35" t="n">
        <v>20</v>
      </c>
      <c r="W6" s="35" t="n">
        <v>21</v>
      </c>
      <c r="X6" s="35" t="n">
        <v>22</v>
      </c>
      <c r="Y6" s="35" t="n">
        <v>23</v>
      </c>
      <c r="Z6" s="35" t="n">
        <v>24</v>
      </c>
      <c r="AA6" s="35" t="n">
        <v>25</v>
      </c>
    </row>
    <row r="7" customFormat="false" ht="15" hidden="false" customHeight="false" outlineLevel="0" collapsed="false">
      <c r="A7" s="5"/>
      <c r="B7" s="5"/>
      <c r="C7" s="5"/>
      <c r="D7" s="5"/>
      <c r="E7" s="5"/>
      <c r="F7" s="5"/>
      <c r="G7" s="5"/>
      <c r="H7" s="5"/>
      <c r="I7" s="5"/>
      <c r="J7" s="5"/>
      <c r="K7" s="5"/>
      <c r="L7" s="5"/>
      <c r="M7" s="5"/>
      <c r="N7" s="5"/>
      <c r="O7" s="5"/>
      <c r="P7" s="5"/>
      <c r="Q7" s="5"/>
      <c r="R7" s="5"/>
      <c r="S7" s="5"/>
      <c r="T7" s="5"/>
      <c r="U7" s="5"/>
      <c r="V7" s="5"/>
      <c r="W7" s="5"/>
      <c r="X7" s="5"/>
      <c r="Y7" s="5"/>
      <c r="Z7" s="5"/>
      <c r="AA7" s="5"/>
    </row>
    <row r="8" customFormat="false" ht="15" hidden="false" customHeight="false" outlineLevel="0" collapsed="false">
      <c r="A8" s="5"/>
      <c r="B8" s="10" t="s">
        <v>196</v>
      </c>
      <c r="C8" s="11"/>
      <c r="D8" s="11"/>
      <c r="E8" s="11"/>
      <c r="F8" s="11"/>
      <c r="G8" s="11"/>
      <c r="H8" s="11"/>
      <c r="I8" s="11"/>
      <c r="J8" s="11"/>
      <c r="K8" s="11"/>
      <c r="L8" s="11"/>
      <c r="M8" s="11"/>
      <c r="N8" s="11"/>
      <c r="O8" s="11"/>
      <c r="P8" s="11"/>
      <c r="Q8" s="11"/>
      <c r="R8" s="11"/>
      <c r="S8" s="11"/>
      <c r="T8" s="11"/>
      <c r="U8" s="11"/>
      <c r="V8" s="11"/>
      <c r="W8" s="11"/>
      <c r="X8" s="11"/>
      <c r="Y8" s="11"/>
      <c r="Z8" s="11"/>
      <c r="AA8" s="11"/>
    </row>
    <row r="9" customFormat="false" ht="15" hidden="false" customHeight="false" outlineLevel="0" collapsed="false">
      <c r="A9" s="5"/>
      <c r="B9" s="36" t="s">
        <v>167</v>
      </c>
      <c r="C9" s="37" t="n">
        <f aca="false">Ox_EBITDA</f>
        <v>0</v>
      </c>
      <c r="D9" s="37" t="n">
        <f aca="false">Ox_EBITDA</f>
        <v>0</v>
      </c>
      <c r="E9" s="37" t="n">
        <f aca="false">Ox_EBITDA</f>
        <v>0</v>
      </c>
      <c r="F9" s="37" t="n">
        <f aca="false">Ox_EBITDA</f>
        <v>9371462.5</v>
      </c>
      <c r="G9" s="37" t="n">
        <f aca="false">Ox_EBITDA</f>
        <v>16104688.4671875</v>
      </c>
      <c r="H9" s="37" t="n">
        <f aca="false">Ox_EBITDA</f>
        <v>21751113.5459414</v>
      </c>
      <c r="I9" s="37" t="n">
        <f aca="false">Ox_EBITDA</f>
        <v>22790848.3491088</v>
      </c>
      <c r="J9" s="37" t="n">
        <f aca="false">Ox_EBITDA</f>
        <v>23876600.7847978</v>
      </c>
      <c r="K9" s="37" t="n">
        <f aca="false">Ox_EBITDA</f>
        <v>25010329.7734176</v>
      </c>
      <c r="L9" s="37" t="n">
        <f aca="false">Ox_EBITDA</f>
        <v>26194075.8507512</v>
      </c>
      <c r="M9" s="37" t="n">
        <f aca="false">Ox_EBITDA</f>
        <v>27429964.5262756</v>
      </c>
      <c r="N9" s="37" t="n">
        <f aca="false">Ox_EBITDA</f>
        <v>28720209.7786504</v>
      </c>
      <c r="O9" s="37" t="n">
        <f aca="false">Ox_EBITDA</f>
        <v>30067117.6939556</v>
      </c>
      <c r="P9" s="37" t="n">
        <f aca="false">Ox_EBITDA</f>
        <v>31473090.2524785</v>
      </c>
      <c r="Q9" s="37" t="n">
        <f aca="false">Ox_EBITDA</f>
        <v>32940629.2700925</v>
      </c>
      <c r="R9" s="37" t="n">
        <f aca="false">Ox_EBITDA</f>
        <v>34472340.5005094</v>
      </c>
      <c r="S9" s="37" t="n">
        <f aca="false">Ox_EBITDA</f>
        <v>36070937.9049453</v>
      </c>
      <c r="T9" s="37" t="n">
        <f aca="false">Ox_EBITDA</f>
        <v>37739248.0960035</v>
      </c>
      <c r="U9" s="37" t="n">
        <f aca="false">Ox_EBITDA</f>
        <v>39480214.9628544</v>
      </c>
      <c r="V9" s="37" t="n">
        <f aca="false">Ox_EBITDA</f>
        <v>41296904.4850787</v>
      </c>
      <c r="W9" s="37" t="n">
        <f aca="false">Ox_EBITDA</f>
        <v>43192509.7428403</v>
      </c>
      <c r="X9" s="37" t="n">
        <f aca="false">Ox_EBITDA</f>
        <v>45170356.1313635</v>
      </c>
      <c r="Y9" s="37" t="n">
        <f aca="false">Ox_EBITDA</f>
        <v>47233906.7880146</v>
      </c>
      <c r="Z9" s="37" t="n">
        <f aca="false">Ox_EBITDA</f>
        <v>49386768.2406243</v>
      </c>
      <c r="AA9" s="37" t="n">
        <f aca="false">Ox_EBITDA</f>
        <v>51632696.2860341</v>
      </c>
    </row>
    <row r="10" customFormat="false" ht="15" hidden="false" customHeight="false" outlineLevel="0" collapsed="false">
      <c r="A10" s="5"/>
      <c r="B10" s="36" t="s">
        <v>98</v>
      </c>
      <c r="C10" s="37" t="n">
        <f aca="false">Ox_Lifecycle</f>
        <v>0</v>
      </c>
      <c r="D10" s="37" t="n">
        <f aca="false">Ox_Lifecycle</f>
        <v>0</v>
      </c>
      <c r="E10" s="37" t="n">
        <f aca="false">Ox_Lifecycle</f>
        <v>0</v>
      </c>
      <c r="F10" s="37" t="n">
        <f aca="false">Ox_Lifecycle</f>
        <v>808548</v>
      </c>
      <c r="G10" s="37" t="n">
        <f aca="false">Ox_Lifecycle</f>
        <v>1100021.7795</v>
      </c>
      <c r="H10" s="37" t="n">
        <f aca="false">Ox_Lifecycle</f>
        <v>1346394.30452625</v>
      </c>
      <c r="I10" s="37" t="n">
        <f aca="false">Ox_Lifecycle</f>
        <v>1400754.9745715</v>
      </c>
      <c r="J10" s="37" t="n">
        <f aca="false">Ox_Lifecycle</f>
        <v>1457310.45666982</v>
      </c>
      <c r="K10" s="37" t="n">
        <f aca="false">Ox_Lifecycle</f>
        <v>1516149.36635786</v>
      </c>
      <c r="L10" s="37" t="n">
        <f aca="false">Ox_Lifecycle</f>
        <v>1577363.89702456</v>
      </c>
      <c r="M10" s="37" t="n">
        <f aca="false">Ox_Lifecycle</f>
        <v>1641049.96436693</v>
      </c>
      <c r="N10" s="37" t="n">
        <f aca="false">Ox_Lifecycle</f>
        <v>1707307.35667824</v>
      </c>
      <c r="O10" s="37" t="n">
        <f aca="false">Ox_Lifecycle</f>
        <v>1776239.89120413</v>
      </c>
      <c r="P10" s="37" t="n">
        <f aca="false">Ox_Lifecycle</f>
        <v>1847955.57681149</v>
      </c>
      <c r="Q10" s="37" t="n">
        <f aca="false">Ox_Lifecycle</f>
        <v>1922566.78322526</v>
      </c>
      <c r="R10" s="37" t="n">
        <f aca="false">Ox_Lifecycle</f>
        <v>2000190.41709798</v>
      </c>
      <c r="S10" s="37" t="n">
        <f aca="false">Ox_Lifecycle</f>
        <v>2080948.10518831</v>
      </c>
      <c r="T10" s="37" t="n">
        <f aca="false">Ox_Lifecycle</f>
        <v>2164966.38493528</v>
      </c>
      <c r="U10" s="37" t="n">
        <f aca="false">Ox_Lifecycle</f>
        <v>2252376.90272705</v>
      </c>
      <c r="V10" s="37" t="n">
        <f aca="false">Ox_Lifecycle</f>
        <v>2343316.62017465</v>
      </c>
      <c r="W10" s="37" t="n">
        <f aca="false">Ox_Lifecycle</f>
        <v>2437928.0287142</v>
      </c>
      <c r="X10" s="37" t="n">
        <f aca="false">Ox_Lifecycle</f>
        <v>2536359.37287354</v>
      </c>
      <c r="Y10" s="37" t="n">
        <f aca="false">Ox_Lifecycle</f>
        <v>2638764.88255331</v>
      </c>
      <c r="Z10" s="37" t="n">
        <f aca="false">Ox_Lifecycle</f>
        <v>2745305.0146864</v>
      </c>
      <c r="AA10" s="37" t="n">
        <f aca="false">Ox_Lifecycle</f>
        <v>2856146.70465436</v>
      </c>
    </row>
    <row r="11" customFormat="false" ht="15" hidden="false" customHeight="false" outlineLevel="0" collapsed="false">
      <c r="A11" s="5"/>
      <c r="B11" s="36" t="s">
        <v>197</v>
      </c>
      <c r="C11" s="37" t="n">
        <f aca="false">Ox_Tax</f>
        <v>0</v>
      </c>
      <c r="D11" s="37" t="n">
        <f aca="false">Ox_Tax</f>
        <v>0</v>
      </c>
      <c r="E11" s="37" t="n">
        <f aca="false">Ox_Tax</f>
        <v>0</v>
      </c>
      <c r="F11" s="37" t="n">
        <f aca="false">Ox_Tax</f>
        <v>0</v>
      </c>
      <c r="G11" s="37" t="n">
        <f aca="false">Ox_Tax</f>
        <v>0</v>
      </c>
      <c r="H11" s="37" t="n">
        <f aca="false">Ox_Tax</f>
        <v>0</v>
      </c>
      <c r="I11" s="37" t="n">
        <f aca="false">Ox_Tax</f>
        <v>0</v>
      </c>
      <c r="J11" s="37" t="n">
        <f aca="false">Ox_Tax</f>
        <v>0</v>
      </c>
      <c r="K11" s="37" t="n">
        <f aca="false">Ox_Tax</f>
        <v>0</v>
      </c>
      <c r="L11" s="37" t="n">
        <f aca="false">Ox_Tax</f>
        <v>0</v>
      </c>
      <c r="M11" s="37" t="n">
        <f aca="false">Ox_Tax</f>
        <v>0</v>
      </c>
      <c r="N11" s="37" t="n">
        <f aca="false">Ox_Tax</f>
        <v>0</v>
      </c>
      <c r="O11" s="37" t="n">
        <f aca="false">Ox_Tax</f>
        <v>0</v>
      </c>
      <c r="P11" s="37" t="n">
        <f aca="false">Ox_Tax</f>
        <v>0</v>
      </c>
      <c r="Q11" s="37" t="n">
        <f aca="false">Ox_Tax</f>
        <v>0</v>
      </c>
      <c r="R11" s="37" t="n">
        <f aca="false">Ox_Tax</f>
        <v>0</v>
      </c>
      <c r="S11" s="37" t="n">
        <f aca="false">Ox_Tax</f>
        <v>0</v>
      </c>
      <c r="T11" s="37" t="n">
        <f aca="false">Ox_Tax</f>
        <v>0</v>
      </c>
      <c r="U11" s="37" t="n">
        <f aca="false">Ox_Tax</f>
        <v>0</v>
      </c>
      <c r="V11" s="37" t="n">
        <f aca="false">Ox_Tax</f>
        <v>0</v>
      </c>
      <c r="W11" s="37" t="n">
        <f aca="false">Ox_Tax</f>
        <v>0</v>
      </c>
      <c r="X11" s="37" t="n">
        <f aca="false">Ox_Tax</f>
        <v>0</v>
      </c>
      <c r="Y11" s="37" t="n">
        <f aca="false">Ox_Tax</f>
        <v>0</v>
      </c>
      <c r="Z11" s="37" t="n">
        <f aca="false">Ox_Tax</f>
        <v>0</v>
      </c>
      <c r="AA11" s="37" t="n">
        <f aca="false">Ox_Tax</f>
        <v>0</v>
      </c>
    </row>
    <row r="12" customFormat="false" ht="15" hidden="false" customHeight="false" outlineLevel="0" collapsed="false">
      <c r="A12" s="5"/>
      <c r="B12" s="38" t="s">
        <v>196</v>
      </c>
      <c r="C12" s="39" t="n">
        <f aca="false">C9-C10-C11</f>
        <v>0</v>
      </c>
      <c r="D12" s="39" t="n">
        <f aca="false">D9-D10-D11</f>
        <v>0</v>
      </c>
      <c r="E12" s="39" t="n">
        <f aca="false">E9-E10-E11</f>
        <v>0</v>
      </c>
      <c r="F12" s="39" t="n">
        <f aca="false">F9-F10-F11</f>
        <v>8562914.5</v>
      </c>
      <c r="G12" s="39" t="n">
        <f aca="false">G9-G10-G11</f>
        <v>15004666.6876875</v>
      </c>
      <c r="H12" s="39" t="n">
        <f aca="false">H9-H10-H11</f>
        <v>20404719.2414151</v>
      </c>
      <c r="I12" s="39" t="n">
        <f aca="false">I9-I10-I11</f>
        <v>21390093.3745373</v>
      </c>
      <c r="J12" s="39" t="n">
        <f aca="false">J9-J10-J11</f>
        <v>22419290.328128</v>
      </c>
      <c r="K12" s="39" t="n">
        <f aca="false">K9-K10-K11</f>
        <v>23494180.4070597</v>
      </c>
      <c r="L12" s="39" t="n">
        <f aca="false">L9-L10-L11</f>
        <v>24616711.9537267</v>
      </c>
      <c r="M12" s="39" t="n">
        <f aca="false">M9-M10-M11</f>
        <v>25788914.5619086</v>
      </c>
      <c r="N12" s="39" t="n">
        <f aca="false">N9-N10-N11</f>
        <v>27012902.4219722</v>
      </c>
      <c r="O12" s="39" t="n">
        <f aca="false">O9-O10-O11</f>
        <v>28290877.8027514</v>
      </c>
      <c r="P12" s="39" t="n">
        <f aca="false">P9-P10-P11</f>
        <v>29625134.675667</v>
      </c>
      <c r="Q12" s="39" t="n">
        <f aca="false">Q9-Q10-Q11</f>
        <v>31018062.4868672</v>
      </c>
      <c r="R12" s="39" t="n">
        <f aca="false">R9-R10-R11</f>
        <v>32472150.0834114</v>
      </c>
      <c r="S12" s="39" t="n">
        <f aca="false">S9-S10-S11</f>
        <v>33989989.799757</v>
      </c>
      <c r="T12" s="39" t="n">
        <f aca="false">T9-T10-T11</f>
        <v>35574281.7110683</v>
      </c>
      <c r="U12" s="39" t="n">
        <f aca="false">U9-U10-U11</f>
        <v>37227838.0601274</v>
      </c>
      <c r="V12" s="39" t="n">
        <f aca="false">V9-V10-V11</f>
        <v>38953587.8649041</v>
      </c>
      <c r="W12" s="39" t="n">
        <f aca="false">W9-W10-W11</f>
        <v>40754581.7141261</v>
      </c>
      <c r="X12" s="39" t="n">
        <f aca="false">X9-X10-X11</f>
        <v>42633996.7584899</v>
      </c>
      <c r="Y12" s="39" t="n">
        <f aca="false">Y9-Y10-Y11</f>
        <v>44595141.9054613</v>
      </c>
      <c r="Z12" s="39" t="n">
        <f aca="false">Z9-Z10-Z11</f>
        <v>46641463.2259379</v>
      </c>
      <c r="AA12" s="39" t="n">
        <f aca="false">AA9-AA10-AA11</f>
        <v>48776549.5813798</v>
      </c>
    </row>
    <row r="13" customFormat="false" ht="15" hidden="false" customHeight="false" outlineLevel="0" collapsed="false">
      <c r="A13" s="5"/>
      <c r="B13" s="5"/>
      <c r="C13" s="5"/>
      <c r="D13" s="5"/>
      <c r="E13" s="5"/>
      <c r="F13" s="5"/>
      <c r="G13" s="5"/>
      <c r="H13" s="5"/>
      <c r="I13" s="5"/>
      <c r="J13" s="5"/>
      <c r="K13" s="5"/>
      <c r="L13" s="5"/>
      <c r="M13" s="5"/>
      <c r="N13" s="5"/>
      <c r="O13" s="5"/>
      <c r="P13" s="5"/>
      <c r="Q13" s="5"/>
      <c r="R13" s="5"/>
      <c r="S13" s="5"/>
      <c r="T13" s="5"/>
      <c r="U13" s="5"/>
      <c r="V13" s="5"/>
      <c r="W13" s="5"/>
      <c r="X13" s="5"/>
      <c r="Y13" s="5"/>
      <c r="Z13" s="5"/>
      <c r="AA13" s="5"/>
    </row>
    <row r="14" customFormat="false" ht="15" hidden="false" customHeight="false" outlineLevel="0" collapsed="false">
      <c r="A14" s="5"/>
      <c r="B14" s="10" t="s">
        <v>185</v>
      </c>
      <c r="C14" s="11"/>
      <c r="D14" s="11"/>
      <c r="E14" s="11"/>
      <c r="F14" s="11"/>
      <c r="G14" s="11"/>
      <c r="H14" s="11"/>
      <c r="I14" s="11"/>
      <c r="J14" s="11"/>
      <c r="K14" s="11"/>
      <c r="L14" s="11"/>
      <c r="M14" s="11"/>
      <c r="N14" s="11"/>
      <c r="O14" s="11"/>
      <c r="P14" s="11"/>
      <c r="Q14" s="11"/>
      <c r="R14" s="11"/>
      <c r="S14" s="11"/>
      <c r="T14" s="11"/>
      <c r="U14" s="11"/>
      <c r="V14" s="11"/>
      <c r="W14" s="11"/>
      <c r="X14" s="11"/>
      <c r="Y14" s="11"/>
      <c r="Z14" s="11"/>
      <c r="AA14" s="11"/>
    </row>
    <row r="15" customFormat="false" ht="15" hidden="false" customHeight="false" outlineLevel="0" collapsed="false">
      <c r="A15" s="5"/>
      <c r="B15" s="36" t="s">
        <v>184</v>
      </c>
      <c r="C15" s="37" t="n">
        <f aca="false">Debt_Interest</f>
        <v>0</v>
      </c>
      <c r="D15" s="37" t="n">
        <f aca="false">Debt_Interest</f>
        <v>12875822.265625</v>
      </c>
      <c r="E15" s="37" t="n">
        <f aca="false">Debt_Interest</f>
        <v>26282772.199707</v>
      </c>
      <c r="F15" s="37" t="n">
        <f aca="false">Debt_Interest</f>
        <v>40242758.8185699</v>
      </c>
      <c r="G15" s="37" t="n">
        <f aca="false">Debt_Interest</f>
        <v>40242758.8185699</v>
      </c>
      <c r="H15" s="37" t="n">
        <f aca="false">Debt_Interest</f>
        <v>40242758.8185699</v>
      </c>
      <c r="I15" s="37" t="n">
        <f aca="false">Debt_Interest</f>
        <v>40242758.8185699</v>
      </c>
      <c r="J15" s="37" t="n">
        <f aca="false">Debt_Interest</f>
        <v>40242758.8185699</v>
      </c>
      <c r="K15" s="37" t="n">
        <f aca="false">Debt_Interest</f>
        <v>40242758.8185699</v>
      </c>
      <c r="L15" s="37" t="n">
        <f aca="false">Debt_Interest</f>
        <v>40242758.8185699</v>
      </c>
      <c r="M15" s="37" t="n">
        <f aca="false">Debt_Interest</f>
        <v>40242758.8185699</v>
      </c>
      <c r="N15" s="37" t="n">
        <f aca="false">Debt_Interest</f>
        <v>40242758.8185699</v>
      </c>
      <c r="O15" s="37" t="n">
        <f aca="false">Debt_Interest</f>
        <v>40242758.8185699</v>
      </c>
      <c r="P15" s="37" t="n">
        <f aca="false">Debt_Interest</f>
        <v>40242758.8185699</v>
      </c>
      <c r="Q15" s="37" t="n">
        <f aca="false">Debt_Interest</f>
        <v>40242758.8185699</v>
      </c>
      <c r="R15" s="37" t="n">
        <f aca="false">Debt_Interest</f>
        <v>40242758.8185699</v>
      </c>
      <c r="S15" s="37" t="n">
        <f aca="false">Debt_Interest</f>
        <v>40242758.8185699</v>
      </c>
      <c r="T15" s="37" t="n">
        <f aca="false">Debt_Interest</f>
        <v>40242758.8185699</v>
      </c>
      <c r="U15" s="37" t="n">
        <f aca="false">Debt_Interest</f>
        <v>40242758.8185699</v>
      </c>
      <c r="V15" s="37" t="n">
        <f aca="false">Debt_Interest</f>
        <v>40242758.8185699</v>
      </c>
      <c r="W15" s="37" t="n">
        <f aca="false">Debt_Interest</f>
        <v>40242758.8185699</v>
      </c>
      <c r="X15" s="37" t="n">
        <f aca="false">Debt_Interest</f>
        <v>40242758.8185699</v>
      </c>
      <c r="Y15" s="37" t="n">
        <f aca="false">Debt_Interest</f>
        <v>40242758.8185699</v>
      </c>
      <c r="Z15" s="37" t="n">
        <f aca="false">Debt_Interest</f>
        <v>40242758.8185699</v>
      </c>
      <c r="AA15" s="37" t="n">
        <f aca="false">Debt_Interest</f>
        <v>40242758.8185699</v>
      </c>
    </row>
    <row r="16" customFormat="false" ht="15" hidden="false" customHeight="false" outlineLevel="0" collapsed="false">
      <c r="A16" s="5"/>
      <c r="B16" s="36" t="s">
        <v>198</v>
      </c>
      <c r="C16" s="37" t="n">
        <f aca="false">Debt_Repayment</f>
        <v>0</v>
      </c>
      <c r="D16" s="37" t="n">
        <f aca="false">Debt_Repayment</f>
        <v>0</v>
      </c>
      <c r="E16" s="37" t="n">
        <f aca="false">Debt_Repayment</f>
        <v>0</v>
      </c>
      <c r="F16" s="37" t="n">
        <f aca="false">Debt_Repayment</f>
        <v>0</v>
      </c>
      <c r="G16" s="37" t="n">
        <f aca="false">Debt_Repayment</f>
        <v>0</v>
      </c>
      <c r="H16" s="37" t="n">
        <f aca="false">Debt_Repayment</f>
        <v>0</v>
      </c>
      <c r="I16" s="37" t="n">
        <f aca="false">Debt_Repayment</f>
        <v>0</v>
      </c>
      <c r="J16" s="37" t="n">
        <f aca="false">Debt_Repayment</f>
        <v>0</v>
      </c>
      <c r="K16" s="37" t="n">
        <f aca="false">Debt_Repayment</f>
        <v>0</v>
      </c>
      <c r="L16" s="37" t="n">
        <f aca="false">Debt_Repayment</f>
        <v>0</v>
      </c>
      <c r="M16" s="37" t="n">
        <f aca="false">Debt_Repayment</f>
        <v>0</v>
      </c>
      <c r="N16" s="37" t="n">
        <f aca="false">Debt_Repayment</f>
        <v>0</v>
      </c>
      <c r="O16" s="37" t="n">
        <f aca="false">Debt_Repayment</f>
        <v>0</v>
      </c>
      <c r="P16" s="37" t="n">
        <f aca="false">Debt_Repayment</f>
        <v>0</v>
      </c>
      <c r="Q16" s="37" t="n">
        <f aca="false">Debt_Repayment</f>
        <v>0</v>
      </c>
      <c r="R16" s="37" t="n">
        <f aca="false">Debt_Repayment</f>
        <v>0</v>
      </c>
      <c r="S16" s="37" t="n">
        <f aca="false">Debt_Repayment</f>
        <v>0</v>
      </c>
      <c r="T16" s="37" t="n">
        <f aca="false">Debt_Repayment</f>
        <v>0</v>
      </c>
      <c r="U16" s="37" t="n">
        <f aca="false">Debt_Repayment</f>
        <v>0</v>
      </c>
      <c r="V16" s="37" t="n">
        <f aca="false">Debt_Repayment</f>
        <v>0</v>
      </c>
      <c r="W16" s="37" t="n">
        <f aca="false">Debt_Repayment</f>
        <v>0</v>
      </c>
      <c r="X16" s="37" t="n">
        <f aca="false">Debt_Repayment</f>
        <v>0</v>
      </c>
      <c r="Y16" s="37" t="n">
        <f aca="false">Debt_Repayment</f>
        <v>0</v>
      </c>
      <c r="Z16" s="37" t="n">
        <f aca="false">Debt_Repayment</f>
        <v>0</v>
      </c>
      <c r="AA16" s="37" t="n">
        <f aca="false">Debt_Repayment</f>
        <v>0</v>
      </c>
    </row>
    <row r="17" customFormat="false" ht="15" hidden="false" customHeight="false" outlineLevel="0" collapsed="false">
      <c r="A17" s="5"/>
      <c r="B17" s="38" t="s">
        <v>186</v>
      </c>
      <c r="C17" s="39" t="n">
        <f aca="false">C15+C16</f>
        <v>0</v>
      </c>
      <c r="D17" s="39" t="n">
        <f aca="false">D15+D16</f>
        <v>12875822.265625</v>
      </c>
      <c r="E17" s="39" t="n">
        <f aca="false">E15+E16</f>
        <v>26282772.199707</v>
      </c>
      <c r="F17" s="39" t="n">
        <f aca="false">F15+F16</f>
        <v>40242758.8185699</v>
      </c>
      <c r="G17" s="39" t="n">
        <f aca="false">G15+G16</f>
        <v>40242758.8185699</v>
      </c>
      <c r="H17" s="39" t="n">
        <f aca="false">H15+H16</f>
        <v>40242758.8185699</v>
      </c>
      <c r="I17" s="39" t="n">
        <f aca="false">I15+I16</f>
        <v>40242758.8185699</v>
      </c>
      <c r="J17" s="39" t="n">
        <f aca="false">J15+J16</f>
        <v>40242758.8185699</v>
      </c>
      <c r="K17" s="39" t="n">
        <f aca="false">K15+K16</f>
        <v>40242758.8185699</v>
      </c>
      <c r="L17" s="39" t="n">
        <f aca="false">L15+L16</f>
        <v>40242758.8185699</v>
      </c>
      <c r="M17" s="39" t="n">
        <f aca="false">M15+M16</f>
        <v>40242758.8185699</v>
      </c>
      <c r="N17" s="39" t="n">
        <f aca="false">N15+N16</f>
        <v>40242758.8185699</v>
      </c>
      <c r="O17" s="39" t="n">
        <f aca="false">O15+O16</f>
        <v>40242758.8185699</v>
      </c>
      <c r="P17" s="39" t="n">
        <f aca="false">P15+P16</f>
        <v>40242758.8185699</v>
      </c>
      <c r="Q17" s="39" t="n">
        <f aca="false">Q15+Q16</f>
        <v>40242758.8185699</v>
      </c>
      <c r="R17" s="39" t="n">
        <f aca="false">R15+R16</f>
        <v>40242758.8185699</v>
      </c>
      <c r="S17" s="39" t="n">
        <f aca="false">S15+S16</f>
        <v>40242758.8185699</v>
      </c>
      <c r="T17" s="39" t="n">
        <f aca="false">T15+T16</f>
        <v>40242758.8185699</v>
      </c>
      <c r="U17" s="39" t="n">
        <f aca="false">U15+U16</f>
        <v>40242758.8185699</v>
      </c>
      <c r="V17" s="39" t="n">
        <f aca="false">V15+V16</f>
        <v>40242758.8185699</v>
      </c>
      <c r="W17" s="39" t="n">
        <f aca="false">W15+W16</f>
        <v>40242758.8185699</v>
      </c>
      <c r="X17" s="39" t="n">
        <f aca="false">X15+X16</f>
        <v>40242758.8185699</v>
      </c>
      <c r="Y17" s="39" t="n">
        <f aca="false">Y15+Y16</f>
        <v>40242758.8185699</v>
      </c>
      <c r="Z17" s="39" t="n">
        <f aca="false">Z15+Z16</f>
        <v>40242758.8185699</v>
      </c>
      <c r="AA17" s="39" t="n">
        <f aca="false">AA15+AA16</f>
        <v>40242758.8185699</v>
      </c>
    </row>
    <row r="18" customFormat="false" ht="15" hidden="false" customHeight="false" outlineLevel="0" collapsed="false">
      <c r="A18" s="5"/>
      <c r="B18" s="5"/>
      <c r="C18" s="5"/>
      <c r="D18" s="5"/>
      <c r="E18" s="5"/>
      <c r="F18" s="5"/>
      <c r="G18" s="5"/>
      <c r="H18" s="5"/>
      <c r="I18" s="5"/>
      <c r="J18" s="5"/>
      <c r="K18" s="5"/>
      <c r="L18" s="5"/>
      <c r="M18" s="5"/>
      <c r="N18" s="5"/>
      <c r="O18" s="5"/>
      <c r="P18" s="5"/>
      <c r="Q18" s="5"/>
      <c r="R18" s="5"/>
      <c r="S18" s="5"/>
      <c r="T18" s="5"/>
      <c r="U18" s="5"/>
      <c r="V18" s="5"/>
      <c r="W18" s="5"/>
      <c r="X18" s="5"/>
      <c r="Y18" s="5"/>
      <c r="Z18" s="5"/>
      <c r="AA18" s="5"/>
    </row>
    <row r="19" customFormat="false" ht="15" hidden="false" customHeight="false" outlineLevel="0" collapsed="false">
      <c r="A19" s="5"/>
      <c r="B19" s="10" t="s">
        <v>199</v>
      </c>
      <c r="C19" s="11"/>
      <c r="D19" s="11"/>
      <c r="E19" s="11"/>
      <c r="F19" s="11"/>
      <c r="G19" s="11"/>
      <c r="H19" s="11"/>
      <c r="I19" s="11"/>
      <c r="J19" s="11"/>
      <c r="K19" s="11"/>
      <c r="L19" s="11"/>
      <c r="M19" s="11"/>
      <c r="N19" s="11"/>
      <c r="O19" s="11"/>
      <c r="P19" s="11"/>
      <c r="Q19" s="11"/>
      <c r="R19" s="11"/>
      <c r="S19" s="11"/>
      <c r="T19" s="11"/>
      <c r="U19" s="11"/>
      <c r="V19" s="11"/>
      <c r="W19" s="11"/>
      <c r="X19" s="11"/>
      <c r="Y19" s="11"/>
      <c r="Z19" s="11"/>
      <c r="AA19" s="11"/>
    </row>
    <row r="20" customFormat="false" ht="15" hidden="false" customHeight="false" outlineLevel="0" collapsed="false">
      <c r="A20" s="5"/>
      <c r="B20" s="36" t="s">
        <v>190</v>
      </c>
      <c r="C20" s="37" t="n">
        <f aca="false">Debt_DSRA_Movement</f>
        <v>0</v>
      </c>
      <c r="D20" s="37" t="n">
        <f aca="false">Debt_DSRA_Movement</f>
        <v>0</v>
      </c>
      <c r="E20" s="37" t="n">
        <f aca="false">Debt_DSRA_Movement</f>
        <v>13141386.0998535</v>
      </c>
      <c r="F20" s="37" t="n">
        <f aca="false">Debt_DSRA_Movement</f>
        <v>6979993.30943146</v>
      </c>
      <c r="G20" s="37" t="n">
        <f aca="false">Debt_DSRA_Movement</f>
        <v>0</v>
      </c>
      <c r="H20" s="37" t="n">
        <f aca="false">Debt_DSRA_Movement</f>
        <v>0</v>
      </c>
      <c r="I20" s="37" t="n">
        <f aca="false">Debt_DSRA_Movement</f>
        <v>0</v>
      </c>
      <c r="J20" s="37" t="n">
        <f aca="false">Debt_DSRA_Movement</f>
        <v>0</v>
      </c>
      <c r="K20" s="37" t="n">
        <f aca="false">Debt_DSRA_Movement</f>
        <v>0</v>
      </c>
      <c r="L20" s="37" t="n">
        <f aca="false">Debt_DSRA_Movement</f>
        <v>0</v>
      </c>
      <c r="M20" s="37" t="n">
        <f aca="false">Debt_DSRA_Movement</f>
        <v>0</v>
      </c>
      <c r="N20" s="37" t="n">
        <f aca="false">Debt_DSRA_Movement</f>
        <v>0</v>
      </c>
      <c r="O20" s="37" t="n">
        <f aca="false">Debt_DSRA_Movement</f>
        <v>0</v>
      </c>
      <c r="P20" s="37" t="n">
        <f aca="false">Debt_DSRA_Movement</f>
        <v>0</v>
      </c>
      <c r="Q20" s="37" t="n">
        <f aca="false">Debt_DSRA_Movement</f>
        <v>0</v>
      </c>
      <c r="R20" s="37" t="n">
        <f aca="false">Debt_DSRA_Movement</f>
        <v>0</v>
      </c>
      <c r="S20" s="37" t="n">
        <f aca="false">Debt_DSRA_Movement</f>
        <v>0</v>
      </c>
      <c r="T20" s="37" t="n">
        <f aca="false">Debt_DSRA_Movement</f>
        <v>0</v>
      </c>
      <c r="U20" s="37" t="n">
        <f aca="false">Debt_DSRA_Movement</f>
        <v>0</v>
      </c>
      <c r="V20" s="37" t="n">
        <f aca="false">Debt_DSRA_Movement</f>
        <v>0</v>
      </c>
      <c r="W20" s="37" t="n">
        <f aca="false">Debt_DSRA_Movement</f>
        <v>0</v>
      </c>
      <c r="X20" s="37" t="n">
        <f aca="false">Debt_DSRA_Movement</f>
        <v>0</v>
      </c>
      <c r="Y20" s="37" t="n">
        <f aca="false">Debt_DSRA_Movement</f>
        <v>-20121379.409285</v>
      </c>
      <c r="Z20" s="37" t="n">
        <f aca="false">Debt_DSRA_Movement</f>
        <v>0</v>
      </c>
      <c r="AA20" s="37" t="n">
        <f aca="false">Debt_DSRA_Movement</f>
        <v>0</v>
      </c>
    </row>
    <row r="21" customFormat="false" ht="15" hidden="false" customHeight="false" outlineLevel="0" collapsed="false">
      <c r="A21" s="5"/>
      <c r="B21" s="5"/>
      <c r="C21" s="5"/>
      <c r="D21" s="5"/>
      <c r="E21" s="5"/>
      <c r="F21" s="5"/>
      <c r="G21" s="5"/>
      <c r="H21" s="5"/>
      <c r="I21" s="5"/>
      <c r="J21" s="5"/>
      <c r="K21" s="5"/>
      <c r="L21" s="5"/>
      <c r="M21" s="5"/>
      <c r="N21" s="5"/>
      <c r="O21" s="5"/>
      <c r="P21" s="5"/>
      <c r="Q21" s="5"/>
      <c r="R21" s="5"/>
      <c r="S21" s="5"/>
      <c r="T21" s="5"/>
      <c r="U21" s="5"/>
      <c r="V21" s="5"/>
      <c r="W21" s="5"/>
      <c r="X21" s="5"/>
      <c r="Y21" s="5"/>
      <c r="Z21" s="5"/>
      <c r="AA21" s="5"/>
    </row>
    <row r="22" customFormat="false" ht="15" hidden="false" customHeight="false" outlineLevel="0" collapsed="false">
      <c r="A22" s="5"/>
      <c r="B22" s="10" t="s">
        <v>200</v>
      </c>
      <c r="C22" s="11"/>
      <c r="D22" s="11"/>
      <c r="E22" s="11"/>
      <c r="F22" s="11"/>
      <c r="G22" s="11"/>
      <c r="H22" s="11"/>
      <c r="I22" s="11"/>
      <c r="J22" s="11"/>
      <c r="K22" s="11"/>
      <c r="L22" s="11"/>
      <c r="M22" s="11"/>
      <c r="N22" s="11"/>
      <c r="O22" s="11"/>
      <c r="P22" s="11"/>
      <c r="Q22" s="11"/>
      <c r="R22" s="11"/>
      <c r="S22" s="11"/>
      <c r="T22" s="11"/>
      <c r="U22" s="11"/>
      <c r="V22" s="11"/>
      <c r="W22" s="11"/>
      <c r="X22" s="11"/>
      <c r="Y22" s="11"/>
      <c r="Z22" s="11"/>
      <c r="AA22" s="11"/>
    </row>
    <row r="23" customFormat="false" ht="15" hidden="false" customHeight="false" outlineLevel="0" collapsed="false">
      <c r="A23" s="5"/>
      <c r="B23" s="36" t="s">
        <v>201</v>
      </c>
      <c r="C23" s="37" t="n">
        <f aca="false">C12-C17-C20</f>
        <v>0</v>
      </c>
      <c r="D23" s="37" t="n">
        <f aca="false">D12-D17-D20</f>
        <v>-12875822.265625</v>
      </c>
      <c r="E23" s="37" t="n">
        <f aca="false">E12-E17-E20</f>
        <v>-39424158.2995606</v>
      </c>
      <c r="F23" s="37" t="n">
        <f aca="false">F12-F17-F20</f>
        <v>-38659837.6280014</v>
      </c>
      <c r="G23" s="37" t="n">
        <f aca="false">G12-G17-G20</f>
        <v>-25238092.1308825</v>
      </c>
      <c r="H23" s="37" t="n">
        <f aca="false">H12-H17-H20</f>
        <v>-19838039.5771548</v>
      </c>
      <c r="I23" s="37" t="n">
        <f aca="false">I12-I17-I20</f>
        <v>-18852665.4440327</v>
      </c>
      <c r="J23" s="37" t="n">
        <f aca="false">J12-J17-J20</f>
        <v>-17823468.490442</v>
      </c>
      <c r="K23" s="37" t="n">
        <f aca="false">K12-K17-K20</f>
        <v>-16748578.4115102</v>
      </c>
      <c r="L23" s="37" t="n">
        <f aca="false">L12-L17-L20</f>
        <v>-15626046.8648433</v>
      </c>
      <c r="M23" s="37" t="n">
        <f aca="false">M12-M17-M20</f>
        <v>-14453844.2566613</v>
      </c>
      <c r="N23" s="37" t="n">
        <f aca="false">N12-N17-N20</f>
        <v>-13229856.3965978</v>
      </c>
      <c r="O23" s="37" t="n">
        <f aca="false">O12-O17-O20</f>
        <v>-11951881.0158185</v>
      </c>
      <c r="P23" s="37" t="n">
        <f aca="false">P12-P17-P20</f>
        <v>-10617624.142903</v>
      </c>
      <c r="Q23" s="37" t="n">
        <f aca="false">Q12-Q17-Q20</f>
        <v>-9224696.33170273</v>
      </c>
      <c r="R23" s="37" t="n">
        <f aca="false">R12-R17-R20</f>
        <v>-7770608.73515853</v>
      </c>
      <c r="S23" s="37" t="n">
        <f aca="false">S12-S17-S20</f>
        <v>-6252769.01881294</v>
      </c>
      <c r="T23" s="37" t="n">
        <f aca="false">T12-T17-T20</f>
        <v>-4668477.10750169</v>
      </c>
      <c r="U23" s="37" t="n">
        <f aca="false">U12-U17-U20</f>
        <v>-3014920.7584426</v>
      </c>
      <c r="V23" s="37" t="n">
        <f aca="false">V12-V17-V20</f>
        <v>-1289170.95366589</v>
      </c>
      <c r="W23" s="37" t="n">
        <f aca="false">W12-W17-W20</f>
        <v>511822.895556174</v>
      </c>
      <c r="X23" s="37" t="n">
        <f aca="false">X12-X17-X20</f>
        <v>2391237.93991997</v>
      </c>
      <c r="Y23" s="37" t="n">
        <f aca="false">Y12-Y17-Y20</f>
        <v>24473762.4961764</v>
      </c>
      <c r="Z23" s="37" t="n">
        <f aca="false">Z12-Z17-Z20</f>
        <v>6398704.40736793</v>
      </c>
      <c r="AA23" s="37" t="n">
        <f aca="false">AA12-AA17-AA20</f>
        <v>8533790.76280981</v>
      </c>
    </row>
    <row r="24" customFormat="false" ht="15" hidden="false" customHeight="false" outlineLevel="0" collapsed="false">
      <c r="A24" s="5"/>
      <c r="B24" s="36" t="s">
        <v>202</v>
      </c>
      <c r="C24" s="43" t="n">
        <f aca="false">IF(Debt_DSCR&gt;=Lockup_DSCR,1,0)</f>
        <v>0</v>
      </c>
      <c r="D24" s="43" t="n">
        <f aca="false">IF(Debt_DSCR&gt;=Lockup_DSCR,1,0)</f>
        <v>0</v>
      </c>
      <c r="E24" s="43" t="n">
        <f aca="false">IF(Debt_DSCR&gt;=Lockup_DSCR,1,0)</f>
        <v>0</v>
      </c>
      <c r="F24" s="43" t="n">
        <f aca="false">IF(Debt_DSCR&gt;=Lockup_DSCR,1,0)</f>
        <v>0</v>
      </c>
      <c r="G24" s="43" t="n">
        <f aca="false">IF(Debt_DSCR&gt;=Lockup_DSCR,1,0)</f>
        <v>0</v>
      </c>
      <c r="H24" s="43" t="n">
        <f aca="false">IF(Debt_DSCR&gt;=Lockup_DSCR,1,0)</f>
        <v>0</v>
      </c>
      <c r="I24" s="43" t="n">
        <f aca="false">IF(Debt_DSCR&gt;=Lockup_DSCR,1,0)</f>
        <v>0</v>
      </c>
      <c r="J24" s="43" t="n">
        <f aca="false">IF(Debt_DSCR&gt;=Lockup_DSCR,1,0)</f>
        <v>0</v>
      </c>
      <c r="K24" s="43" t="n">
        <f aca="false">IF(Debt_DSCR&gt;=Lockup_DSCR,1,0)</f>
        <v>0</v>
      </c>
      <c r="L24" s="43" t="n">
        <f aca="false">IF(Debt_DSCR&gt;=Lockup_DSCR,1,0)</f>
        <v>0</v>
      </c>
      <c r="M24" s="43" t="n">
        <f aca="false">IF(Debt_DSCR&gt;=Lockup_DSCR,1,0)</f>
        <v>0</v>
      </c>
      <c r="N24" s="43" t="n">
        <f aca="false">IF(Debt_DSCR&gt;=Lockup_DSCR,1,0)</f>
        <v>0</v>
      </c>
      <c r="O24" s="43" t="n">
        <f aca="false">IF(Debt_DSCR&gt;=Lockup_DSCR,1,0)</f>
        <v>0</v>
      </c>
      <c r="P24" s="43" t="n">
        <f aca="false">IF(Debt_DSCR&gt;=Lockup_DSCR,1,0)</f>
        <v>0</v>
      </c>
      <c r="Q24" s="43" t="n">
        <f aca="false">IF(Debt_DSCR&gt;=Lockup_DSCR,1,0)</f>
        <v>0</v>
      </c>
      <c r="R24" s="43" t="n">
        <f aca="false">IF(Debt_DSCR&gt;=Lockup_DSCR,1,0)</f>
        <v>0</v>
      </c>
      <c r="S24" s="43" t="n">
        <f aca="false">IF(Debt_DSCR&gt;=Lockup_DSCR,1,0)</f>
        <v>0</v>
      </c>
      <c r="T24" s="43" t="n">
        <f aca="false">IF(Debt_DSCR&gt;=Lockup_DSCR,1,0)</f>
        <v>0</v>
      </c>
      <c r="U24" s="43" t="n">
        <f aca="false">IF(Debt_DSCR&gt;=Lockup_DSCR,1,0)</f>
        <v>0</v>
      </c>
      <c r="V24" s="43" t="n">
        <f aca="false">IF(Debt_DSCR&gt;=Lockup_DSCR,1,0)</f>
        <v>0</v>
      </c>
      <c r="W24" s="43" t="n">
        <f aca="false">IF(Debt_DSCR&gt;=Lockup_DSCR,1,0)</f>
        <v>0</v>
      </c>
      <c r="X24" s="43" t="n">
        <f aca="false">IF(Debt_DSCR&gt;=Lockup_DSCR,1,0)</f>
        <v>0</v>
      </c>
      <c r="Y24" s="43" t="n">
        <f aca="false">IF(Debt_DSCR&gt;=Lockup_DSCR,1,0)</f>
        <v>0</v>
      </c>
      <c r="Z24" s="43" t="n">
        <f aca="false">IF(Debt_DSCR&gt;=Lockup_DSCR,1,0)</f>
        <v>1</v>
      </c>
      <c r="AA24" s="43" t="n">
        <f aca="false">IF(Debt_DSCR&gt;=Lockup_DSCR,1,0)</f>
        <v>1</v>
      </c>
    </row>
    <row r="25" customFormat="false" ht="15" hidden="false" customHeight="false" outlineLevel="0" collapsed="false">
      <c r="A25" s="5"/>
      <c r="B25" s="40" t="s">
        <v>203</v>
      </c>
      <c r="C25" s="41" t="n">
        <f aca="false">MAX(0,C23)*C24</f>
        <v>0</v>
      </c>
      <c r="D25" s="41" t="n">
        <f aca="false">MAX(0,D23)*D24</f>
        <v>0</v>
      </c>
      <c r="E25" s="41" t="n">
        <f aca="false">MAX(0,E23)*E24</f>
        <v>0</v>
      </c>
      <c r="F25" s="41" t="n">
        <f aca="false">MAX(0,F23)*F24</f>
        <v>0</v>
      </c>
      <c r="G25" s="41" t="n">
        <f aca="false">MAX(0,G23)*G24</f>
        <v>0</v>
      </c>
      <c r="H25" s="41" t="n">
        <f aca="false">MAX(0,H23)*H24</f>
        <v>0</v>
      </c>
      <c r="I25" s="41" t="n">
        <f aca="false">MAX(0,I23)*I24</f>
        <v>0</v>
      </c>
      <c r="J25" s="41" t="n">
        <f aca="false">MAX(0,J23)*J24</f>
        <v>0</v>
      </c>
      <c r="K25" s="41" t="n">
        <f aca="false">MAX(0,K23)*K24</f>
        <v>0</v>
      </c>
      <c r="L25" s="41" t="n">
        <f aca="false">MAX(0,L23)*L24</f>
        <v>0</v>
      </c>
      <c r="M25" s="41" t="n">
        <f aca="false">MAX(0,M23)*M24</f>
        <v>0</v>
      </c>
      <c r="N25" s="41" t="n">
        <f aca="false">MAX(0,N23)*N24</f>
        <v>0</v>
      </c>
      <c r="O25" s="41" t="n">
        <f aca="false">MAX(0,O23)*O24</f>
        <v>0</v>
      </c>
      <c r="P25" s="41" t="n">
        <f aca="false">MAX(0,P23)*P24</f>
        <v>0</v>
      </c>
      <c r="Q25" s="41" t="n">
        <f aca="false">MAX(0,Q23)*Q24</f>
        <v>0</v>
      </c>
      <c r="R25" s="41" t="n">
        <f aca="false">MAX(0,R23)*R24</f>
        <v>0</v>
      </c>
      <c r="S25" s="41" t="n">
        <f aca="false">MAX(0,S23)*S24</f>
        <v>0</v>
      </c>
      <c r="T25" s="41" t="n">
        <f aca="false">MAX(0,T23)*T24</f>
        <v>0</v>
      </c>
      <c r="U25" s="41" t="n">
        <f aca="false">MAX(0,U23)*U24</f>
        <v>0</v>
      </c>
      <c r="V25" s="41" t="n">
        <f aca="false">MAX(0,V23)*V24</f>
        <v>0</v>
      </c>
      <c r="W25" s="41" t="n">
        <f aca="false">MAX(0,W23)*W24</f>
        <v>0</v>
      </c>
      <c r="X25" s="41" t="n">
        <f aca="false">MAX(0,X23)*X24</f>
        <v>0</v>
      </c>
      <c r="Y25" s="41" t="n">
        <f aca="false">MAX(0,Y23)*Y24</f>
        <v>0</v>
      </c>
      <c r="Z25" s="41" t="n">
        <f aca="false">MAX(0,Z23)*Z24</f>
        <v>6398704.40736793</v>
      </c>
      <c r="AA25" s="41" t="n">
        <f aca="false">MAX(0,AA23)*AA24</f>
        <v>8533790.76280981</v>
      </c>
    </row>
    <row r="26" customFormat="false" ht="15" hidden="false" customHeight="false" outlineLevel="0" collapsed="false">
      <c r="A26" s="5"/>
      <c r="B26" s="5"/>
      <c r="C26" s="5"/>
      <c r="D26" s="5"/>
      <c r="E26" s="5"/>
      <c r="F26" s="5"/>
      <c r="G26" s="5"/>
      <c r="H26" s="5"/>
      <c r="I26" s="5"/>
      <c r="J26" s="5"/>
      <c r="K26" s="5"/>
      <c r="L26" s="5"/>
      <c r="M26" s="5"/>
      <c r="N26" s="5"/>
      <c r="O26" s="5"/>
      <c r="P26" s="5"/>
      <c r="Q26" s="5"/>
      <c r="R26" s="5"/>
      <c r="S26" s="5"/>
      <c r="T26" s="5"/>
      <c r="U26" s="5"/>
      <c r="V26" s="5"/>
      <c r="W26" s="5"/>
      <c r="X26" s="5"/>
      <c r="Y26" s="5"/>
      <c r="Z26" s="5"/>
      <c r="AA26" s="5"/>
    </row>
    <row r="27" customFormat="false" ht="15" hidden="false" customHeight="false" outlineLevel="0" collapsed="false">
      <c r="A27" s="5"/>
      <c r="B27" s="10" t="s">
        <v>204</v>
      </c>
      <c r="C27" s="11"/>
      <c r="D27" s="11"/>
      <c r="E27" s="11"/>
      <c r="F27" s="11"/>
      <c r="G27" s="11"/>
      <c r="H27" s="11"/>
      <c r="I27" s="11"/>
      <c r="J27" s="11"/>
      <c r="K27" s="11"/>
      <c r="L27" s="11"/>
      <c r="M27" s="11"/>
      <c r="N27" s="11"/>
      <c r="O27" s="11"/>
      <c r="P27" s="11"/>
      <c r="Q27" s="11"/>
      <c r="R27" s="11"/>
      <c r="S27" s="11"/>
      <c r="T27" s="11"/>
      <c r="U27" s="11"/>
      <c r="V27" s="11"/>
      <c r="W27" s="11"/>
      <c r="X27" s="11"/>
      <c r="Y27" s="11"/>
      <c r="Z27" s="11"/>
      <c r="AA27" s="11"/>
    </row>
    <row r="28" customFormat="false" ht="15" hidden="false" customHeight="false" outlineLevel="0" collapsed="false">
      <c r="A28" s="5"/>
      <c r="B28" s="36" t="s">
        <v>205</v>
      </c>
      <c r="C28" s="37" t="n">
        <f aca="false">IF(C6=1,0,B30)</f>
        <v>0</v>
      </c>
      <c r="D28" s="37" t="n">
        <f aca="false">IF(D6=1,0,C30)</f>
        <v>0</v>
      </c>
      <c r="E28" s="37" t="n">
        <f aca="false">IF(E6=1,0,D30)</f>
        <v>0</v>
      </c>
      <c r="F28" s="37" t="n">
        <f aca="false">IF(F6=1,0,E30)</f>
        <v>0</v>
      </c>
      <c r="G28" s="37" t="n">
        <f aca="false">IF(G6=1,0,F30)</f>
        <v>-38659837.6280014</v>
      </c>
      <c r="H28" s="37" t="n">
        <f aca="false">IF(H6=1,0,G30)</f>
        <v>-63897929.7588839</v>
      </c>
      <c r="I28" s="37" t="n">
        <f aca="false">IF(I6=1,0,H30)</f>
        <v>-83735969.3360387</v>
      </c>
      <c r="J28" s="37" t="n">
        <f aca="false">IF(J6=1,0,I30)</f>
        <v>-102588634.780071</v>
      </c>
      <c r="K28" s="37" t="n">
        <f aca="false">IF(K6=1,0,J30)</f>
        <v>-120412103.270513</v>
      </c>
      <c r="L28" s="37" t="n">
        <f aca="false">IF(L6=1,0,K30)</f>
        <v>-137160681.682024</v>
      </c>
      <c r="M28" s="37" t="n">
        <f aca="false">IF(M6=1,0,L30)</f>
        <v>-152786728.546867</v>
      </c>
      <c r="N28" s="37" t="n">
        <f aca="false">IF(N6=1,0,M30)</f>
        <v>-167240572.803528</v>
      </c>
      <c r="O28" s="37" t="n">
        <f aca="false">IF(O6=1,0,N30)</f>
        <v>-180470429.200126</v>
      </c>
      <c r="P28" s="37" t="n">
        <f aca="false">IF(P6=1,0,O30)</f>
        <v>-192422310.215944</v>
      </c>
      <c r="Q28" s="37" t="n">
        <f aca="false">IF(Q6=1,0,P30)</f>
        <v>-203039934.358847</v>
      </c>
      <c r="R28" s="37" t="n">
        <f aca="false">IF(R6=1,0,Q30)</f>
        <v>-212264630.69055</v>
      </c>
      <c r="S28" s="37" t="n">
        <f aca="false">IF(S6=1,0,R30)</f>
        <v>-220035239.425709</v>
      </c>
      <c r="T28" s="37" t="n">
        <f aca="false">IF(T6=1,0,S30)</f>
        <v>-226288008.444522</v>
      </c>
      <c r="U28" s="37" t="n">
        <f aca="false">IF(U6=1,0,T30)</f>
        <v>-230956485.552023</v>
      </c>
      <c r="V28" s="37" t="n">
        <f aca="false">IF(V6=1,0,U30)</f>
        <v>-233971406.310466</v>
      </c>
      <c r="W28" s="37" t="n">
        <f aca="false">IF(W6=1,0,V30)</f>
        <v>-235260577.264132</v>
      </c>
      <c r="X28" s="37" t="n">
        <f aca="false">IF(X6=1,0,W30)</f>
        <v>-234748754.368576</v>
      </c>
      <c r="Y28" s="37" t="n">
        <f aca="false">IF(Y6=1,0,X30)</f>
        <v>-232357516.428656</v>
      </c>
      <c r="Z28" s="37" t="n">
        <f aca="false">IF(Z6=1,0,Y30)</f>
        <v>-207883753.932479</v>
      </c>
      <c r="AA28" s="37" t="n">
        <f aca="false">IF(AA6=1,0,Z30)</f>
        <v>-207883753.932479</v>
      </c>
    </row>
    <row r="29" customFormat="false" ht="15" hidden="false" customHeight="false" outlineLevel="0" collapsed="false">
      <c r="A29" s="5"/>
      <c r="B29" s="36" t="s">
        <v>206</v>
      </c>
      <c r="C29" s="37" t="n">
        <f aca="false">IF(C6&lt;=Construction_Years,Con_Total_Sources-Con_Total_Project,C23-C25)</f>
        <v>0</v>
      </c>
      <c r="D29" s="37" t="n">
        <f aca="false">IF(D6&lt;=Construction_Years,Con_Total_Sources-Con_Total_Project,D23-D25)</f>
        <v>0</v>
      </c>
      <c r="E29" s="37" t="n">
        <f aca="false">IF(E6&lt;=Construction_Years,Con_Total_Sources-Con_Total_Project,E23-E25)</f>
        <v>0</v>
      </c>
      <c r="F29" s="37" t="n">
        <f aca="false">IF(F6&lt;=Construction_Years,Con_Total_Sources-Con_Total_Project,F23-F25)</f>
        <v>-38659837.6280014</v>
      </c>
      <c r="G29" s="37" t="n">
        <f aca="false">IF(G6&lt;=Construction_Years,Con_Total_Sources-Con_Total_Project,G23-G25)</f>
        <v>-25238092.1308825</v>
      </c>
      <c r="H29" s="37" t="n">
        <f aca="false">IF(H6&lt;=Construction_Years,Con_Total_Sources-Con_Total_Project,H23-H25)</f>
        <v>-19838039.5771548</v>
      </c>
      <c r="I29" s="37" t="n">
        <f aca="false">IF(I6&lt;=Construction_Years,Con_Total_Sources-Con_Total_Project,I23-I25)</f>
        <v>-18852665.4440327</v>
      </c>
      <c r="J29" s="37" t="n">
        <f aca="false">IF(J6&lt;=Construction_Years,Con_Total_Sources-Con_Total_Project,J23-J25)</f>
        <v>-17823468.490442</v>
      </c>
      <c r="K29" s="37" t="n">
        <f aca="false">IF(K6&lt;=Construction_Years,Con_Total_Sources-Con_Total_Project,K23-K25)</f>
        <v>-16748578.4115102</v>
      </c>
      <c r="L29" s="37" t="n">
        <f aca="false">IF(L6&lt;=Construction_Years,Con_Total_Sources-Con_Total_Project,L23-L25)</f>
        <v>-15626046.8648433</v>
      </c>
      <c r="M29" s="37" t="n">
        <f aca="false">IF(M6&lt;=Construction_Years,Con_Total_Sources-Con_Total_Project,M23-M25)</f>
        <v>-14453844.2566613</v>
      </c>
      <c r="N29" s="37" t="n">
        <f aca="false">IF(N6&lt;=Construction_Years,Con_Total_Sources-Con_Total_Project,N23-N25)</f>
        <v>-13229856.3965978</v>
      </c>
      <c r="O29" s="37" t="n">
        <f aca="false">IF(O6&lt;=Construction_Years,Con_Total_Sources-Con_Total_Project,O23-O25)</f>
        <v>-11951881.0158185</v>
      </c>
      <c r="P29" s="37" t="n">
        <f aca="false">IF(P6&lt;=Construction_Years,Con_Total_Sources-Con_Total_Project,P23-P25)</f>
        <v>-10617624.142903</v>
      </c>
      <c r="Q29" s="37" t="n">
        <f aca="false">IF(Q6&lt;=Construction_Years,Con_Total_Sources-Con_Total_Project,Q23-Q25)</f>
        <v>-9224696.33170273</v>
      </c>
      <c r="R29" s="37" t="n">
        <f aca="false">IF(R6&lt;=Construction_Years,Con_Total_Sources-Con_Total_Project,R23-R25)</f>
        <v>-7770608.73515853</v>
      </c>
      <c r="S29" s="37" t="n">
        <f aca="false">IF(S6&lt;=Construction_Years,Con_Total_Sources-Con_Total_Project,S23-S25)</f>
        <v>-6252769.01881294</v>
      </c>
      <c r="T29" s="37" t="n">
        <f aca="false">IF(T6&lt;=Construction_Years,Con_Total_Sources-Con_Total_Project,T23-T25)</f>
        <v>-4668477.10750169</v>
      </c>
      <c r="U29" s="37" t="n">
        <f aca="false">IF(U6&lt;=Construction_Years,Con_Total_Sources-Con_Total_Project,U23-U25)</f>
        <v>-3014920.7584426</v>
      </c>
      <c r="V29" s="37" t="n">
        <f aca="false">IF(V6&lt;=Construction_Years,Con_Total_Sources-Con_Total_Project,V23-V25)</f>
        <v>-1289170.95366589</v>
      </c>
      <c r="W29" s="37" t="n">
        <f aca="false">IF(W6&lt;=Construction_Years,Con_Total_Sources-Con_Total_Project,W23-W25)</f>
        <v>511822.895556174</v>
      </c>
      <c r="X29" s="37" t="n">
        <f aca="false">IF(X6&lt;=Construction_Years,Con_Total_Sources-Con_Total_Project,X23-X25)</f>
        <v>2391237.93991997</v>
      </c>
      <c r="Y29" s="37" t="n">
        <f aca="false">IF(Y6&lt;=Construction_Years,Con_Total_Sources-Con_Total_Project,Y23-Y25)</f>
        <v>24473762.4961764</v>
      </c>
      <c r="Z29" s="37" t="n">
        <f aca="false">IF(Z6&lt;=Construction_Years,Con_Total_Sources-Con_Total_Project,Z23-Z25)</f>
        <v>0</v>
      </c>
      <c r="AA29" s="37" t="n">
        <f aca="false">IF(AA6&lt;=Construction_Years,Con_Total_Sources-Con_Total_Project,AA23-AA25)</f>
        <v>0</v>
      </c>
    </row>
    <row r="30" customFormat="false" ht="15" hidden="false" customHeight="false" outlineLevel="0" collapsed="false">
      <c r="A30" s="5"/>
      <c r="B30" s="38" t="s">
        <v>207</v>
      </c>
      <c r="C30" s="39" t="n">
        <f aca="false">C28+C29</f>
        <v>0</v>
      </c>
      <c r="D30" s="39" t="n">
        <f aca="false">D28+D29</f>
        <v>0</v>
      </c>
      <c r="E30" s="39" t="n">
        <f aca="false">E28+E29</f>
        <v>0</v>
      </c>
      <c r="F30" s="39" t="n">
        <f aca="false">F28+F29</f>
        <v>-38659837.6280014</v>
      </c>
      <c r="G30" s="39" t="n">
        <f aca="false">G28+G29</f>
        <v>-63897929.7588839</v>
      </c>
      <c r="H30" s="39" t="n">
        <f aca="false">H28+H29</f>
        <v>-83735969.3360387</v>
      </c>
      <c r="I30" s="39" t="n">
        <f aca="false">I28+I29</f>
        <v>-102588634.780071</v>
      </c>
      <c r="J30" s="39" t="n">
        <f aca="false">J28+J29</f>
        <v>-120412103.270513</v>
      </c>
      <c r="K30" s="39" t="n">
        <f aca="false">K28+K29</f>
        <v>-137160681.682024</v>
      </c>
      <c r="L30" s="39" t="n">
        <f aca="false">L28+L29</f>
        <v>-152786728.546867</v>
      </c>
      <c r="M30" s="39" t="n">
        <f aca="false">M28+M29</f>
        <v>-167240572.803528</v>
      </c>
      <c r="N30" s="39" t="n">
        <f aca="false">N28+N29</f>
        <v>-180470429.200126</v>
      </c>
      <c r="O30" s="39" t="n">
        <f aca="false">O28+O29</f>
        <v>-192422310.215944</v>
      </c>
      <c r="P30" s="39" t="n">
        <f aca="false">P28+P29</f>
        <v>-203039934.358847</v>
      </c>
      <c r="Q30" s="39" t="n">
        <f aca="false">Q28+Q29</f>
        <v>-212264630.69055</v>
      </c>
      <c r="R30" s="39" t="n">
        <f aca="false">R28+R29</f>
        <v>-220035239.425709</v>
      </c>
      <c r="S30" s="39" t="n">
        <f aca="false">S28+S29</f>
        <v>-226288008.444522</v>
      </c>
      <c r="T30" s="39" t="n">
        <f aca="false">T28+T29</f>
        <v>-230956485.552023</v>
      </c>
      <c r="U30" s="39" t="n">
        <f aca="false">U28+U29</f>
        <v>-233971406.310466</v>
      </c>
      <c r="V30" s="39" t="n">
        <f aca="false">V28+V29</f>
        <v>-235260577.264132</v>
      </c>
      <c r="W30" s="39" t="n">
        <f aca="false">W28+W29</f>
        <v>-234748754.368576</v>
      </c>
      <c r="X30" s="39" t="n">
        <f aca="false">X28+X29</f>
        <v>-232357516.428656</v>
      </c>
      <c r="Y30" s="39" t="n">
        <f aca="false">Y28+Y29</f>
        <v>-207883753.932479</v>
      </c>
      <c r="Z30" s="39" t="n">
        <f aca="false">Z28+Z29</f>
        <v>-207883753.932479</v>
      </c>
      <c r="AA30" s="39" t="n">
        <f aca="false">AA28+AA29</f>
        <v>-207883753.932479</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A5A5A5"/>
    <pageSetUpPr fitToPage="false"/>
  </sheetPr>
  <dimension ref="A1:AA28"/>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2"/>
    <col collapsed="false" customWidth="true" hidden="false" outlineLevel="0" max="27" min="3" style="0" width="14"/>
  </cols>
  <sheetData>
    <row r="1" customFormat="false" ht="15" hidden="false" customHeight="false" outlineLevel="0" collapsed="false">
      <c r="A1" s="5"/>
      <c r="B1" s="5"/>
      <c r="C1" s="5"/>
      <c r="D1" s="5"/>
      <c r="E1" s="5"/>
      <c r="F1" s="5"/>
      <c r="G1" s="5"/>
      <c r="H1" s="5"/>
      <c r="I1" s="5"/>
      <c r="J1" s="5"/>
      <c r="K1" s="5"/>
      <c r="L1" s="5"/>
      <c r="M1" s="5"/>
      <c r="N1" s="5"/>
      <c r="O1" s="5"/>
      <c r="P1" s="5"/>
      <c r="Q1" s="5"/>
      <c r="R1" s="5"/>
      <c r="S1" s="5"/>
      <c r="T1" s="5"/>
      <c r="U1" s="5"/>
      <c r="V1" s="5"/>
      <c r="W1" s="5"/>
      <c r="X1" s="5"/>
      <c r="Y1" s="5"/>
      <c r="Z1" s="5"/>
      <c r="AA1" s="5"/>
    </row>
    <row r="2" customFormat="false" ht="22.05" hidden="false" customHeight="false" outlineLevel="0" collapsed="false">
      <c r="A2" s="5"/>
      <c r="B2" s="26" t="s">
        <v>23</v>
      </c>
      <c r="C2" s="5"/>
      <c r="D2" s="5"/>
      <c r="E2" s="5"/>
      <c r="F2" s="5"/>
      <c r="G2" s="5"/>
      <c r="H2" s="5"/>
      <c r="I2" s="5"/>
      <c r="J2" s="5"/>
      <c r="K2" s="5"/>
      <c r="L2" s="5"/>
      <c r="M2" s="5"/>
      <c r="N2" s="5"/>
      <c r="O2" s="5"/>
      <c r="P2" s="5"/>
      <c r="Q2" s="5"/>
      <c r="R2" s="5"/>
      <c r="S2" s="5"/>
      <c r="T2" s="5"/>
      <c r="U2" s="5"/>
      <c r="V2" s="5"/>
      <c r="W2" s="5"/>
      <c r="X2" s="5"/>
      <c r="Y2" s="5"/>
      <c r="Z2" s="5"/>
      <c r="AA2" s="5"/>
    </row>
    <row r="3" customFormat="false" ht="15" hidden="false" customHeight="false" outlineLevel="0" collapsed="false">
      <c r="A3" s="5"/>
      <c r="B3" s="6" t="s">
        <v>208</v>
      </c>
      <c r="C3" s="5"/>
      <c r="D3" s="5"/>
      <c r="E3" s="5"/>
      <c r="F3" s="5"/>
      <c r="G3" s="5"/>
      <c r="H3" s="5"/>
      <c r="I3" s="5"/>
      <c r="J3" s="5"/>
      <c r="K3" s="5"/>
      <c r="L3" s="5"/>
      <c r="M3" s="5"/>
      <c r="N3" s="5"/>
      <c r="O3" s="5"/>
      <c r="P3" s="5"/>
      <c r="Q3" s="5"/>
      <c r="R3" s="5"/>
      <c r="S3" s="5"/>
      <c r="T3" s="5"/>
      <c r="U3" s="5"/>
      <c r="V3" s="5"/>
      <c r="W3" s="5"/>
      <c r="X3" s="5"/>
      <c r="Y3" s="5"/>
      <c r="Z3" s="5"/>
      <c r="AA3" s="5"/>
    </row>
    <row r="4" customFormat="false" ht="15" hidden="false" customHeight="false" outlineLevel="0" collapsed="false">
      <c r="A4" s="5"/>
      <c r="B4" s="5"/>
      <c r="C4" s="5"/>
      <c r="D4" s="5"/>
      <c r="E4" s="5"/>
      <c r="F4" s="5"/>
      <c r="G4" s="5"/>
      <c r="H4" s="5"/>
      <c r="I4" s="5"/>
      <c r="J4" s="5"/>
      <c r="K4" s="5"/>
      <c r="L4" s="5"/>
      <c r="M4" s="5"/>
      <c r="N4" s="5"/>
      <c r="O4" s="5"/>
      <c r="P4" s="5"/>
      <c r="Q4" s="5"/>
      <c r="R4" s="5"/>
      <c r="S4" s="5"/>
      <c r="T4" s="5"/>
      <c r="U4" s="5"/>
      <c r="V4" s="5"/>
      <c r="W4" s="5"/>
      <c r="X4" s="5"/>
      <c r="Y4" s="5"/>
      <c r="Z4" s="5"/>
      <c r="AA4" s="5"/>
    </row>
    <row r="5" customFormat="false" ht="15" hidden="false" customHeight="false" outlineLevel="0" collapsed="false">
      <c r="A5" s="5"/>
      <c r="B5" s="5"/>
      <c r="C5" s="34" t="n">
        <f aca="false">Base_Year+0</f>
        <v>2026</v>
      </c>
      <c r="D5" s="34" t="n">
        <f aca="false">Base_Year+1</f>
        <v>2027</v>
      </c>
      <c r="E5" s="34" t="n">
        <f aca="false">Base_Year+2</f>
        <v>2028</v>
      </c>
      <c r="F5" s="34" t="n">
        <f aca="false">Base_Year+3</f>
        <v>2029</v>
      </c>
      <c r="G5" s="34" t="n">
        <f aca="false">Base_Year+4</f>
        <v>2030</v>
      </c>
      <c r="H5" s="34" t="n">
        <f aca="false">Base_Year+5</f>
        <v>2031</v>
      </c>
      <c r="I5" s="34" t="n">
        <f aca="false">Base_Year+6</f>
        <v>2032</v>
      </c>
      <c r="J5" s="34" t="n">
        <f aca="false">Base_Year+7</f>
        <v>2033</v>
      </c>
      <c r="K5" s="34" t="n">
        <f aca="false">Base_Year+8</f>
        <v>2034</v>
      </c>
      <c r="L5" s="34" t="n">
        <f aca="false">Base_Year+9</f>
        <v>2035</v>
      </c>
      <c r="M5" s="34" t="n">
        <f aca="false">Base_Year+10</f>
        <v>2036</v>
      </c>
      <c r="N5" s="34" t="n">
        <f aca="false">Base_Year+11</f>
        <v>2037</v>
      </c>
      <c r="O5" s="34" t="n">
        <f aca="false">Base_Year+12</f>
        <v>2038</v>
      </c>
      <c r="P5" s="34" t="n">
        <f aca="false">Base_Year+13</f>
        <v>2039</v>
      </c>
      <c r="Q5" s="34" t="n">
        <f aca="false">Base_Year+14</f>
        <v>2040</v>
      </c>
      <c r="R5" s="34" t="n">
        <f aca="false">Base_Year+15</f>
        <v>2041</v>
      </c>
      <c r="S5" s="34" t="n">
        <f aca="false">Base_Year+16</f>
        <v>2042</v>
      </c>
      <c r="T5" s="34" t="n">
        <f aca="false">Base_Year+17</f>
        <v>2043</v>
      </c>
      <c r="U5" s="34" t="n">
        <f aca="false">Base_Year+18</f>
        <v>2044</v>
      </c>
      <c r="V5" s="34" t="n">
        <f aca="false">Base_Year+19</f>
        <v>2045</v>
      </c>
      <c r="W5" s="34" t="n">
        <f aca="false">Base_Year+20</f>
        <v>2046</v>
      </c>
      <c r="X5" s="34" t="n">
        <f aca="false">Base_Year+21</f>
        <v>2047</v>
      </c>
      <c r="Y5" s="34" t="n">
        <f aca="false">Base_Year+22</f>
        <v>2048</v>
      </c>
      <c r="Z5" s="34" t="n">
        <f aca="false">Base_Year+23</f>
        <v>2049</v>
      </c>
      <c r="AA5" s="34" t="n">
        <f aca="false">Base_Year+24</f>
        <v>2050</v>
      </c>
    </row>
    <row r="6" customFormat="false" ht="15" hidden="false" customHeight="false" outlineLevel="0" collapsed="false">
      <c r="A6" s="5"/>
      <c r="B6" s="5"/>
      <c r="C6" s="35" t="n">
        <v>1</v>
      </c>
      <c r="D6" s="35" t="n">
        <v>2</v>
      </c>
      <c r="E6" s="35" t="n">
        <v>3</v>
      </c>
      <c r="F6" s="35" t="n">
        <v>4</v>
      </c>
      <c r="G6" s="35" t="n">
        <v>5</v>
      </c>
      <c r="H6" s="35" t="n">
        <v>6</v>
      </c>
      <c r="I6" s="35" t="n">
        <v>7</v>
      </c>
      <c r="J6" s="35" t="n">
        <v>8</v>
      </c>
      <c r="K6" s="35" t="n">
        <v>9</v>
      </c>
      <c r="L6" s="35" t="n">
        <v>10</v>
      </c>
      <c r="M6" s="35" t="n">
        <v>11</v>
      </c>
      <c r="N6" s="35" t="n">
        <v>12</v>
      </c>
      <c r="O6" s="35" t="n">
        <v>13</v>
      </c>
      <c r="P6" s="35" t="n">
        <v>14</v>
      </c>
      <c r="Q6" s="35" t="n">
        <v>15</v>
      </c>
      <c r="R6" s="35" t="n">
        <v>16</v>
      </c>
      <c r="S6" s="35" t="n">
        <v>17</v>
      </c>
      <c r="T6" s="35" t="n">
        <v>18</v>
      </c>
      <c r="U6" s="35" t="n">
        <v>19</v>
      </c>
      <c r="V6" s="35" t="n">
        <v>20</v>
      </c>
      <c r="W6" s="35" t="n">
        <v>21</v>
      </c>
      <c r="X6" s="35" t="n">
        <v>22</v>
      </c>
      <c r="Y6" s="35" t="n">
        <v>23</v>
      </c>
      <c r="Z6" s="35" t="n">
        <v>24</v>
      </c>
      <c r="AA6" s="35" t="n">
        <v>25</v>
      </c>
    </row>
    <row r="7" customFormat="false" ht="15" hidden="false" customHeight="false" outlineLevel="0" collapsed="false">
      <c r="A7" s="5"/>
      <c r="B7" s="5"/>
      <c r="C7" s="5"/>
      <c r="D7" s="5"/>
      <c r="E7" s="5"/>
      <c r="F7" s="5"/>
      <c r="G7" s="5"/>
      <c r="H7" s="5"/>
      <c r="I7" s="5"/>
      <c r="J7" s="5"/>
      <c r="K7" s="5"/>
      <c r="L7" s="5"/>
      <c r="M7" s="5"/>
      <c r="N7" s="5"/>
      <c r="O7" s="5"/>
      <c r="P7" s="5"/>
      <c r="Q7" s="5"/>
      <c r="R7" s="5"/>
      <c r="S7" s="5"/>
      <c r="T7" s="5"/>
      <c r="U7" s="5"/>
      <c r="V7" s="5"/>
      <c r="W7" s="5"/>
      <c r="X7" s="5"/>
      <c r="Y7" s="5"/>
      <c r="Z7" s="5"/>
      <c r="AA7" s="5"/>
    </row>
    <row r="8" customFormat="false" ht="15" hidden="false" customHeight="false" outlineLevel="0" collapsed="false">
      <c r="A8" s="5"/>
      <c r="B8" s="10" t="s">
        <v>209</v>
      </c>
      <c r="C8" s="11"/>
      <c r="D8" s="11"/>
      <c r="E8" s="11"/>
      <c r="F8" s="11"/>
      <c r="G8" s="11"/>
      <c r="H8" s="11"/>
      <c r="I8" s="11"/>
      <c r="J8" s="11"/>
      <c r="K8" s="11"/>
      <c r="L8" s="11"/>
      <c r="M8" s="11"/>
      <c r="N8" s="11"/>
      <c r="O8" s="11"/>
      <c r="P8" s="11"/>
      <c r="Q8" s="11"/>
      <c r="R8" s="11"/>
      <c r="S8" s="11"/>
      <c r="T8" s="11"/>
      <c r="U8" s="11"/>
      <c r="V8" s="11"/>
      <c r="W8" s="11"/>
      <c r="X8" s="11"/>
      <c r="Y8" s="11"/>
      <c r="Z8" s="11"/>
      <c r="AA8" s="11"/>
    </row>
    <row r="9" customFormat="false" ht="15" hidden="false" customHeight="false" outlineLevel="0" collapsed="false">
      <c r="A9" s="5"/>
      <c r="B9" s="36" t="s">
        <v>210</v>
      </c>
      <c r="C9" s="37" t="n">
        <f aca="false">IF(C6&lt;=Construction_Years,-Con_Total_Project,0)</f>
        <v>-312141145.833333</v>
      </c>
      <c r="D9" s="37" t="n">
        <f aca="false">IF(D6&lt;=Construction_Years,-Con_Total_Project,0)</f>
        <v>-325016968.098958</v>
      </c>
      <c r="E9" s="37" t="n">
        <f aca="false">IF(E6&lt;=Construction_Years,-Con_Total_Project,0)</f>
        <v>-338423918.03304</v>
      </c>
      <c r="F9" s="37" t="n">
        <f aca="false">IF(F6&lt;=Construction_Years,-Con_Total_Project,0)</f>
        <v>0</v>
      </c>
      <c r="G9" s="37" t="n">
        <f aca="false">IF(G6&lt;=Construction_Years,-Con_Total_Project,0)</f>
        <v>0</v>
      </c>
      <c r="H9" s="37" t="n">
        <f aca="false">IF(H6&lt;=Construction_Years,-Con_Total_Project,0)</f>
        <v>0</v>
      </c>
      <c r="I9" s="37" t="n">
        <f aca="false">IF(I6&lt;=Construction_Years,-Con_Total_Project,0)</f>
        <v>0</v>
      </c>
      <c r="J9" s="37" t="n">
        <f aca="false">IF(J6&lt;=Construction_Years,-Con_Total_Project,0)</f>
        <v>0</v>
      </c>
      <c r="K9" s="37" t="n">
        <f aca="false">IF(K6&lt;=Construction_Years,-Con_Total_Project,0)</f>
        <v>0</v>
      </c>
      <c r="L9" s="37" t="n">
        <f aca="false">IF(L6&lt;=Construction_Years,-Con_Total_Project,0)</f>
        <v>0</v>
      </c>
      <c r="M9" s="37" t="n">
        <f aca="false">IF(M6&lt;=Construction_Years,-Con_Total_Project,0)</f>
        <v>0</v>
      </c>
      <c r="N9" s="37" t="n">
        <f aca="false">IF(N6&lt;=Construction_Years,-Con_Total_Project,0)</f>
        <v>0</v>
      </c>
      <c r="O9" s="37" t="n">
        <f aca="false">IF(O6&lt;=Construction_Years,-Con_Total_Project,0)</f>
        <v>0</v>
      </c>
      <c r="P9" s="37" t="n">
        <f aca="false">IF(P6&lt;=Construction_Years,-Con_Total_Project,0)</f>
        <v>0</v>
      </c>
      <c r="Q9" s="37" t="n">
        <f aca="false">IF(Q6&lt;=Construction_Years,-Con_Total_Project,0)</f>
        <v>0</v>
      </c>
      <c r="R9" s="37" t="n">
        <f aca="false">IF(R6&lt;=Construction_Years,-Con_Total_Project,0)</f>
        <v>0</v>
      </c>
      <c r="S9" s="37" t="n">
        <f aca="false">IF(S6&lt;=Construction_Years,-Con_Total_Project,0)</f>
        <v>0</v>
      </c>
      <c r="T9" s="37" t="n">
        <f aca="false">IF(T6&lt;=Construction_Years,-Con_Total_Project,0)</f>
        <v>0</v>
      </c>
      <c r="U9" s="37" t="n">
        <f aca="false">IF(U6&lt;=Construction_Years,-Con_Total_Project,0)</f>
        <v>0</v>
      </c>
      <c r="V9" s="37" t="n">
        <f aca="false">IF(V6&lt;=Construction_Years,-Con_Total_Project,0)</f>
        <v>0</v>
      </c>
      <c r="W9" s="37" t="n">
        <f aca="false">IF(W6&lt;=Construction_Years,-Con_Total_Project,0)</f>
        <v>0</v>
      </c>
      <c r="X9" s="37" t="n">
        <f aca="false">IF(X6&lt;=Construction_Years,-Con_Total_Project,0)</f>
        <v>0</v>
      </c>
      <c r="Y9" s="37" t="n">
        <f aca="false">IF(Y6&lt;=Construction_Years,-Con_Total_Project,0)</f>
        <v>0</v>
      </c>
      <c r="Z9" s="37" t="n">
        <f aca="false">IF(Z6&lt;=Construction_Years,-Con_Total_Project,0)</f>
        <v>0</v>
      </c>
      <c r="AA9" s="37" t="n">
        <f aca="false">IF(AA6&lt;=Construction_Years,-Con_Total_Project,0)</f>
        <v>0</v>
      </c>
    </row>
    <row r="10" customFormat="false" ht="15" hidden="false" customHeight="false" outlineLevel="0" collapsed="false">
      <c r="A10" s="5"/>
      <c r="B10" s="36" t="s">
        <v>196</v>
      </c>
      <c r="C10" s="37" t="n">
        <f aca="false">IF(C6&gt;Construction_Years,W_CFADS,0)</f>
        <v>0</v>
      </c>
      <c r="D10" s="37" t="n">
        <f aca="false">IF(D6&gt;Construction_Years,W_CFADS,0)</f>
        <v>0</v>
      </c>
      <c r="E10" s="37" t="n">
        <f aca="false">IF(E6&gt;Construction_Years,W_CFADS,0)</f>
        <v>0</v>
      </c>
      <c r="F10" s="37" t="n">
        <f aca="false">IF(F6&gt;Construction_Years,W_CFADS,0)</f>
        <v>8562914.5</v>
      </c>
      <c r="G10" s="37" t="n">
        <f aca="false">IF(G6&gt;Construction_Years,W_CFADS,0)</f>
        <v>15004666.6876875</v>
      </c>
      <c r="H10" s="37" t="n">
        <f aca="false">IF(H6&gt;Construction_Years,W_CFADS,0)</f>
        <v>20404719.2414151</v>
      </c>
      <c r="I10" s="37" t="n">
        <f aca="false">IF(I6&gt;Construction_Years,W_CFADS,0)</f>
        <v>21390093.3745373</v>
      </c>
      <c r="J10" s="37" t="n">
        <f aca="false">IF(J6&gt;Construction_Years,W_CFADS,0)</f>
        <v>22419290.328128</v>
      </c>
      <c r="K10" s="37" t="n">
        <f aca="false">IF(K6&gt;Construction_Years,W_CFADS,0)</f>
        <v>23494180.4070597</v>
      </c>
      <c r="L10" s="37" t="n">
        <f aca="false">IF(L6&gt;Construction_Years,W_CFADS,0)</f>
        <v>24616711.9537267</v>
      </c>
      <c r="M10" s="37" t="n">
        <f aca="false">IF(M6&gt;Construction_Years,W_CFADS,0)</f>
        <v>25788914.5619086</v>
      </c>
      <c r="N10" s="37" t="n">
        <f aca="false">IF(N6&gt;Construction_Years,W_CFADS,0)</f>
        <v>27012902.4219722</v>
      </c>
      <c r="O10" s="37" t="n">
        <f aca="false">IF(O6&gt;Construction_Years,W_CFADS,0)</f>
        <v>28290877.8027514</v>
      </c>
      <c r="P10" s="37" t="n">
        <f aca="false">IF(P6&gt;Construction_Years,W_CFADS,0)</f>
        <v>29625134.675667</v>
      </c>
      <c r="Q10" s="37" t="n">
        <f aca="false">IF(Q6&gt;Construction_Years,W_CFADS,0)</f>
        <v>31018062.4868672</v>
      </c>
      <c r="R10" s="37" t="n">
        <f aca="false">IF(R6&gt;Construction_Years,W_CFADS,0)</f>
        <v>32472150.0834114</v>
      </c>
      <c r="S10" s="37" t="n">
        <f aca="false">IF(S6&gt;Construction_Years,W_CFADS,0)</f>
        <v>33989989.799757</v>
      </c>
      <c r="T10" s="37" t="n">
        <f aca="false">IF(T6&gt;Construction_Years,W_CFADS,0)</f>
        <v>35574281.7110683</v>
      </c>
      <c r="U10" s="37" t="n">
        <f aca="false">IF(U6&gt;Construction_Years,W_CFADS,0)</f>
        <v>37227838.0601274</v>
      </c>
      <c r="V10" s="37" t="n">
        <f aca="false">IF(V6&gt;Construction_Years,W_CFADS,0)</f>
        <v>38953587.8649041</v>
      </c>
      <c r="W10" s="37" t="n">
        <f aca="false">IF(W6&gt;Construction_Years,W_CFADS,0)</f>
        <v>40754581.7141261</v>
      </c>
      <c r="X10" s="37" t="n">
        <f aca="false">IF(X6&gt;Construction_Years,W_CFADS,0)</f>
        <v>42633996.7584899</v>
      </c>
      <c r="Y10" s="37" t="n">
        <f aca="false">IF(Y6&gt;Construction_Years,W_CFADS,0)</f>
        <v>44595141.9054613</v>
      </c>
      <c r="Z10" s="37" t="n">
        <f aca="false">IF(Z6&gt;Construction_Years,W_CFADS,0)</f>
        <v>46641463.2259379</v>
      </c>
      <c r="AA10" s="37" t="n">
        <f aca="false">IF(AA6&gt;Construction_Years,W_CFADS,0)</f>
        <v>48776549.5813798</v>
      </c>
    </row>
    <row r="11" customFormat="false" ht="15" hidden="false" customHeight="false" outlineLevel="0" collapsed="false">
      <c r="A11" s="5"/>
      <c r="B11" s="36" t="s">
        <v>206</v>
      </c>
      <c r="C11" s="37" t="n">
        <f aca="false">C9+C10</f>
        <v>-312141145.833333</v>
      </c>
      <c r="D11" s="37" t="n">
        <f aca="false">D9+D10</f>
        <v>-325016968.098958</v>
      </c>
      <c r="E11" s="37" t="n">
        <f aca="false">E9+E10</f>
        <v>-338423918.03304</v>
      </c>
      <c r="F11" s="37" t="n">
        <f aca="false">F9+F10</f>
        <v>8562914.5</v>
      </c>
      <c r="G11" s="37" t="n">
        <f aca="false">G9+G10</f>
        <v>15004666.6876875</v>
      </c>
      <c r="H11" s="37" t="n">
        <f aca="false">H9+H10</f>
        <v>20404719.2414151</v>
      </c>
      <c r="I11" s="37" t="n">
        <f aca="false">I9+I10</f>
        <v>21390093.3745373</v>
      </c>
      <c r="J11" s="37" t="n">
        <f aca="false">J9+J10</f>
        <v>22419290.328128</v>
      </c>
      <c r="K11" s="37" t="n">
        <f aca="false">K9+K10</f>
        <v>23494180.4070597</v>
      </c>
      <c r="L11" s="37" t="n">
        <f aca="false">L9+L10</f>
        <v>24616711.9537267</v>
      </c>
      <c r="M11" s="37" t="n">
        <f aca="false">M9+M10</f>
        <v>25788914.5619086</v>
      </c>
      <c r="N11" s="37" t="n">
        <f aca="false">N9+N10</f>
        <v>27012902.4219722</v>
      </c>
      <c r="O11" s="37" t="n">
        <f aca="false">O9+O10</f>
        <v>28290877.8027514</v>
      </c>
      <c r="P11" s="37" t="n">
        <f aca="false">P9+P10</f>
        <v>29625134.675667</v>
      </c>
      <c r="Q11" s="37" t="n">
        <f aca="false">Q9+Q10</f>
        <v>31018062.4868672</v>
      </c>
      <c r="R11" s="37" t="n">
        <f aca="false">R9+R10</f>
        <v>32472150.0834114</v>
      </c>
      <c r="S11" s="37" t="n">
        <f aca="false">S9+S10</f>
        <v>33989989.799757</v>
      </c>
      <c r="T11" s="37" t="n">
        <f aca="false">T9+T10</f>
        <v>35574281.7110683</v>
      </c>
      <c r="U11" s="37" t="n">
        <f aca="false">U9+U10</f>
        <v>37227838.0601274</v>
      </c>
      <c r="V11" s="37" t="n">
        <f aca="false">V9+V10</f>
        <v>38953587.8649041</v>
      </c>
      <c r="W11" s="37" t="n">
        <f aca="false">W9+W10</f>
        <v>40754581.7141261</v>
      </c>
      <c r="X11" s="37" t="n">
        <f aca="false">X9+X10</f>
        <v>42633996.7584899</v>
      </c>
      <c r="Y11" s="37" t="n">
        <f aca="false">Y9+Y10</f>
        <v>44595141.9054613</v>
      </c>
      <c r="Z11" s="37" t="n">
        <f aca="false">Z9+Z10</f>
        <v>46641463.2259379</v>
      </c>
      <c r="AA11" s="37" t="n">
        <f aca="false">AA9+AA10</f>
        <v>48776549.5813798</v>
      </c>
    </row>
    <row r="12" customFormat="false" ht="15" hidden="false" customHeight="false" outlineLevel="0" collapsed="false">
      <c r="A12" s="5"/>
      <c r="B12" s="36" t="s">
        <v>211</v>
      </c>
      <c r="C12" s="37" t="n">
        <f aca="false">IF(C6=1,C11,B12+C11)</f>
        <v>-312141145.833333</v>
      </c>
      <c r="D12" s="37" t="n">
        <f aca="false">IF(D6=1,D11,C12+D11)</f>
        <v>-637158113.932292</v>
      </c>
      <c r="E12" s="37" t="n">
        <f aca="false">IF(E6=1,E11,D12+E11)</f>
        <v>-975582031.965332</v>
      </c>
      <c r="F12" s="37" t="n">
        <f aca="false">IF(F6=1,F11,E12+F11)</f>
        <v>-967019117.465332</v>
      </c>
      <c r="G12" s="37" t="n">
        <f aca="false">IF(G6=1,G11,F12+G11)</f>
        <v>-952014450.777645</v>
      </c>
      <c r="H12" s="37" t="n">
        <f aca="false">IF(H6=1,H11,G12+H11)</f>
        <v>-931609731.536229</v>
      </c>
      <c r="I12" s="37" t="n">
        <f aca="false">IF(I6=1,I11,H12+I11)</f>
        <v>-910219638.161692</v>
      </c>
      <c r="J12" s="37" t="n">
        <f aca="false">IF(J6=1,J11,I12+J11)</f>
        <v>-887800347.833564</v>
      </c>
      <c r="K12" s="37" t="n">
        <f aca="false">IF(K6=1,K11,J12+K11)</f>
        <v>-864306167.426505</v>
      </c>
      <c r="L12" s="37" t="n">
        <f aca="false">IF(L6=1,L11,K12+L11)</f>
        <v>-839689455.472778</v>
      </c>
      <c r="M12" s="37" t="n">
        <f aca="false">IF(M6=1,M11,L12+M11)</f>
        <v>-813900540.910869</v>
      </c>
      <c r="N12" s="37" t="n">
        <f aca="false">IF(N6=1,N11,M12+N11)</f>
        <v>-786887638.488897</v>
      </c>
      <c r="O12" s="37" t="n">
        <f aca="false">IF(O6=1,O11,N12+O11)</f>
        <v>-758596760.686146</v>
      </c>
      <c r="P12" s="37" t="n">
        <f aca="false">IF(P6=1,P11,O12+P11)</f>
        <v>-728971626.010479</v>
      </c>
      <c r="Q12" s="37" t="n">
        <f aca="false">IF(Q6=1,Q11,P12+Q11)</f>
        <v>-697953563.523612</v>
      </c>
      <c r="R12" s="37" t="n">
        <f aca="false">IF(R6=1,R11,Q12+R11)</f>
        <v>-665481413.4402</v>
      </c>
      <c r="S12" s="37" t="n">
        <f aca="false">IF(S6=1,S11,R12+S11)</f>
        <v>-631491423.640443</v>
      </c>
      <c r="T12" s="37" t="n">
        <f aca="false">IF(T6=1,T11,S12+T11)</f>
        <v>-595917141.929375</v>
      </c>
      <c r="U12" s="37" t="n">
        <f aca="false">IF(U6=1,U11,T12+U11)</f>
        <v>-558689303.869247</v>
      </c>
      <c r="V12" s="37" t="n">
        <f aca="false">IF(V6=1,V11,U12+V11)</f>
        <v>-519735716.004343</v>
      </c>
      <c r="W12" s="37" t="n">
        <f aca="false">IF(W6=1,W11,V12+W11)</f>
        <v>-478981134.290217</v>
      </c>
      <c r="X12" s="37" t="n">
        <f aca="false">IF(X6=1,X11,W12+X11)</f>
        <v>-436347137.531727</v>
      </c>
      <c r="Y12" s="37" t="n">
        <f aca="false">IF(Y6=1,Y11,X12+Y11)</f>
        <v>-391751995.626266</v>
      </c>
      <c r="Z12" s="37" t="n">
        <f aca="false">IF(Z6=1,Z11,Y12+Z11)</f>
        <v>-345110532.400328</v>
      </c>
      <c r="AA12" s="37" t="n">
        <f aca="false">IF(AA6=1,AA11,Z12+AA11)</f>
        <v>-296333982.818948</v>
      </c>
    </row>
    <row r="13" customFormat="false" ht="15" hidden="false" customHeight="false" outlineLevel="0" collapsed="false">
      <c r="A13" s="5"/>
      <c r="B13" s="5"/>
      <c r="C13" s="5"/>
      <c r="D13" s="5"/>
      <c r="E13" s="5"/>
      <c r="F13" s="5"/>
      <c r="G13" s="5"/>
      <c r="H13" s="5"/>
      <c r="I13" s="5"/>
      <c r="J13" s="5"/>
      <c r="K13" s="5"/>
      <c r="L13" s="5"/>
      <c r="M13" s="5"/>
      <c r="N13" s="5"/>
      <c r="O13" s="5"/>
      <c r="P13" s="5"/>
      <c r="Q13" s="5"/>
      <c r="R13" s="5"/>
      <c r="S13" s="5"/>
      <c r="T13" s="5"/>
      <c r="U13" s="5"/>
      <c r="V13" s="5"/>
      <c r="W13" s="5"/>
      <c r="X13" s="5"/>
      <c r="Y13" s="5"/>
      <c r="Z13" s="5"/>
      <c r="AA13" s="5"/>
    </row>
    <row r="14" customFormat="false" ht="15" hidden="false" customHeight="false" outlineLevel="0" collapsed="false">
      <c r="A14" s="5"/>
      <c r="B14" s="7" t="s">
        <v>212</v>
      </c>
      <c r="C14" s="49" t="n">
        <f aca="false">IFERROR(IRR(C11:AA11),0)</f>
        <v>-0.0239060733737557</v>
      </c>
      <c r="D14" s="5"/>
      <c r="E14" s="5"/>
      <c r="F14" s="5"/>
      <c r="G14" s="5"/>
      <c r="H14" s="5"/>
      <c r="I14" s="5"/>
      <c r="J14" s="5"/>
      <c r="K14" s="5"/>
      <c r="L14" s="5"/>
      <c r="M14" s="5"/>
      <c r="N14" s="5"/>
      <c r="O14" s="5"/>
      <c r="P14" s="5"/>
      <c r="Q14" s="5"/>
      <c r="R14" s="5"/>
      <c r="S14" s="5"/>
      <c r="T14" s="5"/>
      <c r="U14" s="5"/>
      <c r="V14" s="5"/>
      <c r="W14" s="5"/>
      <c r="X14" s="5"/>
      <c r="Y14" s="5"/>
      <c r="Z14" s="5"/>
      <c r="AA14" s="5"/>
    </row>
    <row r="15" customFormat="false" ht="15" hidden="false" customHeight="false" outlineLevel="0" collapsed="false">
      <c r="A15" s="5"/>
      <c r="B15" s="5"/>
      <c r="C15" s="5"/>
      <c r="D15" s="5"/>
      <c r="E15" s="5"/>
      <c r="F15" s="5"/>
      <c r="G15" s="5"/>
      <c r="H15" s="5"/>
      <c r="I15" s="5"/>
      <c r="J15" s="5"/>
      <c r="K15" s="5"/>
      <c r="L15" s="5"/>
      <c r="M15" s="5"/>
      <c r="N15" s="5"/>
      <c r="O15" s="5"/>
      <c r="P15" s="5"/>
      <c r="Q15" s="5"/>
      <c r="R15" s="5"/>
      <c r="S15" s="5"/>
      <c r="T15" s="5"/>
      <c r="U15" s="5"/>
      <c r="V15" s="5"/>
      <c r="W15" s="5"/>
      <c r="X15" s="5"/>
      <c r="Y15" s="5"/>
      <c r="Z15" s="5"/>
      <c r="AA15" s="5"/>
    </row>
    <row r="16" customFormat="false" ht="15" hidden="false" customHeight="false" outlineLevel="0" collapsed="false">
      <c r="A16" s="5"/>
      <c r="B16" s="10" t="s">
        <v>213</v>
      </c>
      <c r="C16" s="11"/>
      <c r="D16" s="11"/>
      <c r="E16" s="11"/>
      <c r="F16" s="11"/>
      <c r="G16" s="11"/>
      <c r="H16" s="11"/>
      <c r="I16" s="11"/>
      <c r="J16" s="11"/>
      <c r="K16" s="11"/>
      <c r="L16" s="11"/>
      <c r="M16" s="11"/>
      <c r="N16" s="11"/>
      <c r="O16" s="11"/>
      <c r="P16" s="11"/>
      <c r="Q16" s="11"/>
      <c r="R16" s="11"/>
      <c r="S16" s="11"/>
      <c r="T16" s="11"/>
      <c r="U16" s="11"/>
      <c r="V16" s="11"/>
      <c r="W16" s="11"/>
      <c r="X16" s="11"/>
      <c r="Y16" s="11"/>
      <c r="Z16" s="11"/>
      <c r="AA16" s="11"/>
    </row>
    <row r="17" customFormat="false" ht="15" hidden="false" customHeight="false" outlineLevel="0" collapsed="false">
      <c r="A17" s="5"/>
      <c r="B17" s="36" t="s">
        <v>214</v>
      </c>
      <c r="C17" s="37" t="n">
        <f aca="false">IF(C6&lt;=Construction_Years,-Con_Equity,0)</f>
        <v>-78035286.4583333</v>
      </c>
      <c r="D17" s="37" t="n">
        <f aca="false">IF(D6&lt;=Construction_Years,-Con_Equity,0)</f>
        <v>-81254242.0247396</v>
      </c>
      <c r="E17" s="37" t="n">
        <f aca="false">IF(E6&lt;=Construction_Years,-Con_Equity,0)</f>
        <v>-84605979.5082601</v>
      </c>
      <c r="F17" s="37" t="n">
        <f aca="false">IF(F6&lt;=Construction_Years,-Con_Equity,0)</f>
        <v>0</v>
      </c>
      <c r="G17" s="37" t="n">
        <f aca="false">IF(G6&lt;=Construction_Years,-Con_Equity,0)</f>
        <v>0</v>
      </c>
      <c r="H17" s="37" t="n">
        <f aca="false">IF(H6&lt;=Construction_Years,-Con_Equity,0)</f>
        <v>0</v>
      </c>
      <c r="I17" s="37" t="n">
        <f aca="false">IF(I6&lt;=Construction_Years,-Con_Equity,0)</f>
        <v>0</v>
      </c>
      <c r="J17" s="37" t="n">
        <f aca="false">IF(J6&lt;=Construction_Years,-Con_Equity,0)</f>
        <v>0</v>
      </c>
      <c r="K17" s="37" t="n">
        <f aca="false">IF(K6&lt;=Construction_Years,-Con_Equity,0)</f>
        <v>0</v>
      </c>
      <c r="L17" s="37" t="n">
        <f aca="false">IF(L6&lt;=Construction_Years,-Con_Equity,0)</f>
        <v>0</v>
      </c>
      <c r="M17" s="37" t="n">
        <f aca="false">IF(M6&lt;=Construction_Years,-Con_Equity,0)</f>
        <v>0</v>
      </c>
      <c r="N17" s="37" t="n">
        <f aca="false">IF(N6&lt;=Construction_Years,-Con_Equity,0)</f>
        <v>0</v>
      </c>
      <c r="O17" s="37" t="n">
        <f aca="false">IF(O6&lt;=Construction_Years,-Con_Equity,0)</f>
        <v>0</v>
      </c>
      <c r="P17" s="37" t="n">
        <f aca="false">IF(P6&lt;=Construction_Years,-Con_Equity,0)</f>
        <v>0</v>
      </c>
      <c r="Q17" s="37" t="n">
        <f aca="false">IF(Q6&lt;=Construction_Years,-Con_Equity,0)</f>
        <v>0</v>
      </c>
      <c r="R17" s="37" t="n">
        <f aca="false">IF(R6&lt;=Construction_Years,-Con_Equity,0)</f>
        <v>0</v>
      </c>
      <c r="S17" s="37" t="n">
        <f aca="false">IF(S6&lt;=Construction_Years,-Con_Equity,0)</f>
        <v>0</v>
      </c>
      <c r="T17" s="37" t="n">
        <f aca="false">IF(T6&lt;=Construction_Years,-Con_Equity,0)</f>
        <v>0</v>
      </c>
      <c r="U17" s="37" t="n">
        <f aca="false">IF(U6&lt;=Construction_Years,-Con_Equity,0)</f>
        <v>0</v>
      </c>
      <c r="V17" s="37" t="n">
        <f aca="false">IF(V6&lt;=Construction_Years,-Con_Equity,0)</f>
        <v>0</v>
      </c>
      <c r="W17" s="37" t="n">
        <f aca="false">IF(W6&lt;=Construction_Years,-Con_Equity,0)</f>
        <v>0</v>
      </c>
      <c r="X17" s="37" t="n">
        <f aca="false">IF(X6&lt;=Construction_Years,-Con_Equity,0)</f>
        <v>0</v>
      </c>
      <c r="Y17" s="37" t="n">
        <f aca="false">IF(Y6&lt;=Construction_Years,-Con_Equity,0)</f>
        <v>0</v>
      </c>
      <c r="Z17" s="37" t="n">
        <f aca="false">IF(Z6&lt;=Construction_Years,-Con_Equity,0)</f>
        <v>0</v>
      </c>
      <c r="AA17" s="37" t="n">
        <f aca="false">IF(AA6&lt;=Construction_Years,-Con_Equity,0)</f>
        <v>0</v>
      </c>
    </row>
    <row r="18" customFormat="false" ht="15" hidden="false" customHeight="false" outlineLevel="0" collapsed="false">
      <c r="A18" s="5"/>
      <c r="B18" s="36" t="s">
        <v>215</v>
      </c>
      <c r="C18" s="37" t="n">
        <f aca="false">IF(C6&gt;Construction_Years,W_Distribution,0)</f>
        <v>0</v>
      </c>
      <c r="D18" s="37" t="n">
        <f aca="false">IF(D6&gt;Construction_Years,W_Distribution,0)</f>
        <v>0</v>
      </c>
      <c r="E18" s="37" t="n">
        <f aca="false">IF(E6&gt;Construction_Years,W_Distribution,0)</f>
        <v>0</v>
      </c>
      <c r="F18" s="37" t="n">
        <f aca="false">IF(F6&gt;Construction_Years,W_Distribution,0)</f>
        <v>0</v>
      </c>
      <c r="G18" s="37" t="n">
        <f aca="false">IF(G6&gt;Construction_Years,W_Distribution,0)</f>
        <v>0</v>
      </c>
      <c r="H18" s="37" t="n">
        <f aca="false">IF(H6&gt;Construction_Years,W_Distribution,0)</f>
        <v>0</v>
      </c>
      <c r="I18" s="37" t="n">
        <f aca="false">IF(I6&gt;Construction_Years,W_Distribution,0)</f>
        <v>0</v>
      </c>
      <c r="J18" s="37" t="n">
        <f aca="false">IF(J6&gt;Construction_Years,W_Distribution,0)</f>
        <v>0</v>
      </c>
      <c r="K18" s="37" t="n">
        <f aca="false">IF(K6&gt;Construction_Years,W_Distribution,0)</f>
        <v>0</v>
      </c>
      <c r="L18" s="37" t="n">
        <f aca="false">IF(L6&gt;Construction_Years,W_Distribution,0)</f>
        <v>0</v>
      </c>
      <c r="M18" s="37" t="n">
        <f aca="false">IF(M6&gt;Construction_Years,W_Distribution,0)</f>
        <v>0</v>
      </c>
      <c r="N18" s="37" t="n">
        <f aca="false">IF(N6&gt;Construction_Years,W_Distribution,0)</f>
        <v>0</v>
      </c>
      <c r="O18" s="37" t="n">
        <f aca="false">IF(O6&gt;Construction_Years,W_Distribution,0)</f>
        <v>0</v>
      </c>
      <c r="P18" s="37" t="n">
        <f aca="false">IF(P6&gt;Construction_Years,W_Distribution,0)</f>
        <v>0</v>
      </c>
      <c r="Q18" s="37" t="n">
        <f aca="false">IF(Q6&gt;Construction_Years,W_Distribution,0)</f>
        <v>0</v>
      </c>
      <c r="R18" s="37" t="n">
        <f aca="false">IF(R6&gt;Construction_Years,W_Distribution,0)</f>
        <v>0</v>
      </c>
      <c r="S18" s="37" t="n">
        <f aca="false">IF(S6&gt;Construction_Years,W_Distribution,0)</f>
        <v>0</v>
      </c>
      <c r="T18" s="37" t="n">
        <f aca="false">IF(T6&gt;Construction_Years,W_Distribution,0)</f>
        <v>0</v>
      </c>
      <c r="U18" s="37" t="n">
        <f aca="false">IF(U6&gt;Construction_Years,W_Distribution,0)</f>
        <v>0</v>
      </c>
      <c r="V18" s="37" t="n">
        <f aca="false">IF(V6&gt;Construction_Years,W_Distribution,0)</f>
        <v>0</v>
      </c>
      <c r="W18" s="37" t="n">
        <f aca="false">IF(W6&gt;Construction_Years,W_Distribution,0)</f>
        <v>0</v>
      </c>
      <c r="X18" s="37" t="n">
        <f aca="false">IF(X6&gt;Construction_Years,W_Distribution,0)</f>
        <v>0</v>
      </c>
      <c r="Y18" s="37" t="n">
        <f aca="false">IF(Y6&gt;Construction_Years,W_Distribution,0)</f>
        <v>0</v>
      </c>
      <c r="Z18" s="37" t="n">
        <f aca="false">IF(Z6&gt;Construction_Years,W_Distribution,0)</f>
        <v>6398704.40736793</v>
      </c>
      <c r="AA18" s="37" t="n">
        <f aca="false">IF(AA6&gt;Construction_Years,W_Distribution,0)</f>
        <v>8533790.76280981</v>
      </c>
    </row>
    <row r="19" customFormat="false" ht="15" hidden="false" customHeight="false" outlineLevel="0" collapsed="false">
      <c r="A19" s="5"/>
      <c r="B19" s="36" t="s">
        <v>206</v>
      </c>
      <c r="C19" s="37" t="n">
        <f aca="false">C17+C18</f>
        <v>-78035286.4583333</v>
      </c>
      <c r="D19" s="37" t="n">
        <f aca="false">D17+D18</f>
        <v>-81254242.0247396</v>
      </c>
      <c r="E19" s="37" t="n">
        <f aca="false">E17+E18</f>
        <v>-84605979.5082601</v>
      </c>
      <c r="F19" s="37" t="n">
        <f aca="false">F17+F18</f>
        <v>0</v>
      </c>
      <c r="G19" s="37" t="n">
        <f aca="false">G17+G18</f>
        <v>0</v>
      </c>
      <c r="H19" s="37" t="n">
        <f aca="false">H17+H18</f>
        <v>0</v>
      </c>
      <c r="I19" s="37" t="n">
        <f aca="false">I17+I18</f>
        <v>0</v>
      </c>
      <c r="J19" s="37" t="n">
        <f aca="false">J17+J18</f>
        <v>0</v>
      </c>
      <c r="K19" s="37" t="n">
        <f aca="false">K17+K18</f>
        <v>0</v>
      </c>
      <c r="L19" s="37" t="n">
        <f aca="false">L17+L18</f>
        <v>0</v>
      </c>
      <c r="M19" s="37" t="n">
        <f aca="false">M17+M18</f>
        <v>0</v>
      </c>
      <c r="N19" s="37" t="n">
        <f aca="false">N17+N18</f>
        <v>0</v>
      </c>
      <c r="O19" s="37" t="n">
        <f aca="false">O17+O18</f>
        <v>0</v>
      </c>
      <c r="P19" s="37" t="n">
        <f aca="false">P17+P18</f>
        <v>0</v>
      </c>
      <c r="Q19" s="37" t="n">
        <f aca="false">Q17+Q18</f>
        <v>0</v>
      </c>
      <c r="R19" s="37" t="n">
        <f aca="false">R17+R18</f>
        <v>0</v>
      </c>
      <c r="S19" s="37" t="n">
        <f aca="false">S17+S18</f>
        <v>0</v>
      </c>
      <c r="T19" s="37" t="n">
        <f aca="false">T17+T18</f>
        <v>0</v>
      </c>
      <c r="U19" s="37" t="n">
        <f aca="false">U17+U18</f>
        <v>0</v>
      </c>
      <c r="V19" s="37" t="n">
        <f aca="false">V17+V18</f>
        <v>0</v>
      </c>
      <c r="W19" s="37" t="n">
        <f aca="false">W17+W18</f>
        <v>0</v>
      </c>
      <c r="X19" s="37" t="n">
        <f aca="false">X17+X18</f>
        <v>0</v>
      </c>
      <c r="Y19" s="37" t="n">
        <f aca="false">Y17+Y18</f>
        <v>0</v>
      </c>
      <c r="Z19" s="37" t="n">
        <f aca="false">Z17+Z18</f>
        <v>6398704.40736793</v>
      </c>
      <c r="AA19" s="37" t="n">
        <f aca="false">AA17+AA18</f>
        <v>8533790.76280981</v>
      </c>
    </row>
    <row r="20" customFormat="false" ht="15" hidden="false" customHeight="false" outlineLevel="0" collapsed="false">
      <c r="A20" s="5"/>
      <c r="B20" s="36" t="s">
        <v>211</v>
      </c>
      <c r="C20" s="37" t="n">
        <f aca="false">IF(C6=1,C19,B20+C19)</f>
        <v>-78035286.4583333</v>
      </c>
      <c r="D20" s="37" t="n">
        <f aca="false">IF(D6=1,D19,C20+D19)</f>
        <v>-159289528.483073</v>
      </c>
      <c r="E20" s="37" t="n">
        <f aca="false">IF(E6=1,E19,D20+E19)</f>
        <v>-243895507.991333</v>
      </c>
      <c r="F20" s="37" t="n">
        <f aca="false">IF(F6=1,F19,E20+F19)</f>
        <v>-243895507.991333</v>
      </c>
      <c r="G20" s="37" t="n">
        <f aca="false">IF(G6=1,G19,F20+G19)</f>
        <v>-243895507.991333</v>
      </c>
      <c r="H20" s="37" t="n">
        <f aca="false">IF(H6=1,H19,G20+H19)</f>
        <v>-243895507.991333</v>
      </c>
      <c r="I20" s="37" t="n">
        <f aca="false">IF(I6=1,I19,H20+I19)</f>
        <v>-243895507.991333</v>
      </c>
      <c r="J20" s="37" t="n">
        <f aca="false">IF(J6=1,J19,I20+J19)</f>
        <v>-243895507.991333</v>
      </c>
      <c r="K20" s="37" t="n">
        <f aca="false">IF(K6=1,K19,J20+K19)</f>
        <v>-243895507.991333</v>
      </c>
      <c r="L20" s="37" t="n">
        <f aca="false">IF(L6=1,L19,K20+L19)</f>
        <v>-243895507.991333</v>
      </c>
      <c r="M20" s="37" t="n">
        <f aca="false">IF(M6=1,M19,L20+M19)</f>
        <v>-243895507.991333</v>
      </c>
      <c r="N20" s="37" t="n">
        <f aca="false">IF(N6=1,N19,M20+N19)</f>
        <v>-243895507.991333</v>
      </c>
      <c r="O20" s="37" t="n">
        <f aca="false">IF(O6=1,O19,N20+O19)</f>
        <v>-243895507.991333</v>
      </c>
      <c r="P20" s="37" t="n">
        <f aca="false">IF(P6=1,P19,O20+P19)</f>
        <v>-243895507.991333</v>
      </c>
      <c r="Q20" s="37" t="n">
        <f aca="false">IF(Q6=1,Q19,P20+Q19)</f>
        <v>-243895507.991333</v>
      </c>
      <c r="R20" s="37" t="n">
        <f aca="false">IF(R6=1,R19,Q20+R19)</f>
        <v>-243895507.991333</v>
      </c>
      <c r="S20" s="37" t="n">
        <f aca="false">IF(S6=1,S19,R20+S19)</f>
        <v>-243895507.991333</v>
      </c>
      <c r="T20" s="37" t="n">
        <f aca="false">IF(T6=1,T19,S20+T19)</f>
        <v>-243895507.991333</v>
      </c>
      <c r="U20" s="37" t="n">
        <f aca="false">IF(U6=1,U19,T20+U19)</f>
        <v>-243895507.991333</v>
      </c>
      <c r="V20" s="37" t="n">
        <f aca="false">IF(V6=1,V19,U20+V19)</f>
        <v>-243895507.991333</v>
      </c>
      <c r="W20" s="37" t="n">
        <f aca="false">IF(W6=1,W19,V20+W19)</f>
        <v>-243895507.991333</v>
      </c>
      <c r="X20" s="37" t="n">
        <f aca="false">IF(X6=1,X19,W20+X19)</f>
        <v>-243895507.991333</v>
      </c>
      <c r="Y20" s="37" t="n">
        <f aca="false">IF(Y6=1,Y19,X20+Y19)</f>
        <v>-243895507.991333</v>
      </c>
      <c r="Z20" s="37" t="n">
        <f aca="false">IF(Z6=1,Z19,Y20+Z19)</f>
        <v>-237496803.583965</v>
      </c>
      <c r="AA20" s="37" t="n">
        <f aca="false">IF(AA6=1,AA19,Z20+AA19)</f>
        <v>-228963012.821155</v>
      </c>
    </row>
    <row r="21" customFormat="false" ht="15" hidden="false" customHeight="false" outlineLevel="0" collapsed="false">
      <c r="A21" s="5"/>
      <c r="B21" s="5"/>
      <c r="C21" s="5"/>
      <c r="D21" s="5"/>
      <c r="E21" s="5"/>
      <c r="F21" s="5"/>
      <c r="G21" s="5"/>
      <c r="H21" s="5"/>
      <c r="I21" s="5"/>
      <c r="J21" s="5"/>
      <c r="K21" s="5"/>
      <c r="L21" s="5"/>
      <c r="M21" s="5"/>
      <c r="N21" s="5"/>
      <c r="O21" s="5"/>
      <c r="P21" s="5"/>
      <c r="Q21" s="5"/>
      <c r="R21" s="5"/>
      <c r="S21" s="5"/>
      <c r="T21" s="5"/>
      <c r="U21" s="5"/>
      <c r="V21" s="5"/>
      <c r="W21" s="5"/>
      <c r="X21" s="5"/>
      <c r="Y21" s="5"/>
      <c r="Z21" s="5"/>
      <c r="AA21" s="5"/>
    </row>
    <row r="22" customFormat="false" ht="15" hidden="false" customHeight="false" outlineLevel="0" collapsed="false">
      <c r="A22" s="5"/>
      <c r="B22" s="7" t="s">
        <v>216</v>
      </c>
      <c r="C22" s="49" t="n">
        <f aca="false">IFERROR(IRR(C19:AA19),0)</f>
        <v>0</v>
      </c>
      <c r="D22" s="5"/>
      <c r="E22" s="5"/>
      <c r="F22" s="5"/>
      <c r="G22" s="5"/>
      <c r="H22" s="5"/>
      <c r="I22" s="5"/>
      <c r="J22" s="5"/>
      <c r="K22" s="5"/>
      <c r="L22" s="5"/>
      <c r="M22" s="5"/>
      <c r="N22" s="5"/>
      <c r="O22" s="5"/>
      <c r="P22" s="5"/>
      <c r="Q22" s="5"/>
      <c r="R22" s="5"/>
      <c r="S22" s="5"/>
      <c r="T22" s="5"/>
      <c r="U22" s="5"/>
      <c r="V22" s="5"/>
      <c r="W22" s="5"/>
      <c r="X22" s="5"/>
      <c r="Y22" s="5"/>
      <c r="Z22" s="5"/>
      <c r="AA22" s="5"/>
    </row>
    <row r="23" customFormat="false" ht="15" hidden="false" customHeight="false" outlineLevel="0" collapsed="false">
      <c r="A23" s="5"/>
      <c r="B23" s="5"/>
      <c r="C23" s="5"/>
      <c r="D23" s="5"/>
      <c r="E23" s="5"/>
      <c r="F23" s="5"/>
      <c r="G23" s="5"/>
      <c r="H23" s="5"/>
      <c r="I23" s="5"/>
      <c r="J23" s="5"/>
      <c r="K23" s="5"/>
      <c r="L23" s="5"/>
      <c r="M23" s="5"/>
      <c r="N23" s="5"/>
      <c r="O23" s="5"/>
      <c r="P23" s="5"/>
      <c r="Q23" s="5"/>
      <c r="R23" s="5"/>
      <c r="S23" s="5"/>
      <c r="T23" s="5"/>
      <c r="U23" s="5"/>
      <c r="V23" s="5"/>
      <c r="W23" s="5"/>
      <c r="X23" s="5"/>
      <c r="Y23" s="5"/>
      <c r="Z23" s="5"/>
      <c r="AA23" s="5"/>
    </row>
    <row r="24" customFormat="false" ht="15" hidden="false" customHeight="false" outlineLevel="0" collapsed="false">
      <c r="A24" s="5"/>
      <c r="B24" s="10" t="s">
        <v>217</v>
      </c>
      <c r="C24" s="11"/>
      <c r="D24" s="11"/>
      <c r="E24" s="11"/>
      <c r="F24" s="11"/>
      <c r="G24" s="11"/>
      <c r="H24" s="11"/>
      <c r="I24" s="11"/>
      <c r="J24" s="11"/>
      <c r="K24" s="11"/>
      <c r="L24" s="11"/>
      <c r="M24" s="11"/>
      <c r="N24" s="11"/>
      <c r="O24" s="11"/>
      <c r="P24" s="11"/>
      <c r="Q24" s="11"/>
      <c r="R24" s="11"/>
      <c r="S24" s="11"/>
      <c r="T24" s="11"/>
      <c r="U24" s="11"/>
      <c r="V24" s="11"/>
      <c r="W24" s="11"/>
      <c r="X24" s="11"/>
      <c r="Y24" s="11"/>
      <c r="Z24" s="11"/>
      <c r="AA24" s="11"/>
    </row>
    <row r="25" customFormat="false" ht="15" hidden="false" customHeight="false" outlineLevel="0" collapsed="false">
      <c r="A25" s="5"/>
      <c r="B25" s="7" t="s">
        <v>218</v>
      </c>
      <c r="C25" s="50" t="n">
        <f aca="false">MIN(F27:AA27)</f>
        <v>0</v>
      </c>
      <c r="D25" s="5"/>
      <c r="E25" s="5"/>
      <c r="F25" s="5"/>
      <c r="G25" s="5"/>
      <c r="H25" s="5"/>
      <c r="I25" s="5"/>
      <c r="J25" s="5"/>
      <c r="K25" s="5"/>
      <c r="L25" s="5"/>
      <c r="M25" s="5"/>
      <c r="N25" s="5"/>
      <c r="O25" s="5"/>
      <c r="P25" s="5"/>
      <c r="Q25" s="5"/>
      <c r="R25" s="5"/>
      <c r="S25" s="5"/>
      <c r="T25" s="5"/>
      <c r="U25" s="5"/>
      <c r="V25" s="5"/>
      <c r="W25" s="5"/>
      <c r="X25" s="5"/>
      <c r="Y25" s="5"/>
      <c r="Z25" s="5"/>
      <c r="AA25" s="5"/>
    </row>
    <row r="26" customFormat="false" ht="15" hidden="false" customHeight="false" outlineLevel="0" collapsed="false">
      <c r="A26" s="5"/>
      <c r="B26" s="7" t="s">
        <v>219</v>
      </c>
      <c r="C26" s="50" t="n">
        <f aca="false">IFERROR(AVERAGE(F27:AA27),0)</f>
        <v>0</v>
      </c>
      <c r="D26" s="5"/>
      <c r="E26" s="5"/>
      <c r="F26" s="5"/>
      <c r="G26" s="5"/>
      <c r="H26" s="5"/>
      <c r="I26" s="5"/>
      <c r="J26" s="5"/>
      <c r="K26" s="5"/>
      <c r="L26" s="5"/>
      <c r="M26" s="5"/>
      <c r="N26" s="5"/>
      <c r="O26" s="5"/>
      <c r="P26" s="5"/>
      <c r="Q26" s="5"/>
      <c r="R26" s="5"/>
      <c r="S26" s="5"/>
      <c r="T26" s="5"/>
      <c r="U26" s="5"/>
      <c r="V26" s="5"/>
      <c r="W26" s="5"/>
      <c r="X26" s="5"/>
      <c r="Y26" s="5"/>
      <c r="Z26" s="5"/>
      <c r="AA26" s="5"/>
    </row>
    <row r="27" customFormat="false" ht="15" hidden="false" customHeight="false" outlineLevel="0" collapsed="false">
      <c r="A27" s="5"/>
      <c r="B27" s="7" t="s">
        <v>220</v>
      </c>
      <c r="C27" s="50" t="n">
        <f aca="false">IFERROR(SUM(C18:AA18)/(-SUM(C17:AA17)),0)</f>
        <v>0.061224970042123</v>
      </c>
      <c r="D27" s="5"/>
      <c r="E27" s="5"/>
      <c r="F27" s="5"/>
      <c r="G27" s="5"/>
      <c r="H27" s="5"/>
      <c r="I27" s="5"/>
      <c r="J27" s="5"/>
      <c r="K27" s="5"/>
      <c r="L27" s="5"/>
      <c r="M27" s="5"/>
      <c r="N27" s="5"/>
      <c r="O27" s="5"/>
      <c r="P27" s="5"/>
      <c r="Q27" s="5"/>
      <c r="R27" s="5"/>
      <c r="S27" s="5"/>
      <c r="T27" s="5"/>
      <c r="U27" s="5"/>
      <c r="V27" s="5"/>
      <c r="W27" s="5"/>
      <c r="X27" s="5"/>
      <c r="Y27" s="5"/>
      <c r="Z27" s="5"/>
      <c r="AA27" s="5"/>
    </row>
    <row r="28" customFormat="false" ht="15" hidden="false" customHeight="false" outlineLevel="0" collapsed="false">
      <c r="A28" s="5"/>
      <c r="B28" s="7" t="s">
        <v>221</v>
      </c>
      <c r="C28" s="42" t="n">
        <f aca="false">NPV(Equity_Discount,C19:AA19)</f>
        <v>-203514942.400644</v>
      </c>
      <c r="D28" s="5"/>
      <c r="E28" s="5"/>
      <c r="F28" s="5"/>
      <c r="G28" s="5"/>
      <c r="H28" s="5"/>
      <c r="I28" s="5"/>
      <c r="J28" s="5"/>
      <c r="K28" s="5"/>
      <c r="L28" s="5"/>
      <c r="M28" s="5"/>
      <c r="N28" s="5"/>
      <c r="O28" s="5"/>
      <c r="P28" s="5"/>
      <c r="Q28" s="5"/>
      <c r="R28" s="5"/>
      <c r="S28" s="5"/>
      <c r="T28" s="5"/>
      <c r="U28" s="5"/>
      <c r="V28" s="5"/>
      <c r="W28" s="5"/>
      <c r="X28" s="5"/>
      <c r="Y28" s="5"/>
      <c r="Z28" s="5"/>
      <c r="AA28" s="5"/>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LibreOffice/26.2.0.3$MacOSX_AARCH64 LibreOffice_project/afbbd0df0edb6d40b450b0337ac646b0913a760c</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2026-05-15T18:53:37Z</dcterms:created>
  <dc:creator>openpyxl</dc:creator>
  <dc:description/>
  <dc:language>en-GB</dc:language>
  <cp:lastModifiedBy/>
  <dcterms:modified xsi:type="dcterms:W3CDTF">2026-05-15T18:53:37Z</dcterms:modified>
  <cp:revision>0</cp:revision>
  <dc:subject/>
  <dc:title/>
</cp:coreProperties>
</file>

<file path=docProps/custom.xml><?xml version="1.0" encoding="utf-8"?>
<Properties xmlns="http://schemas.openxmlformats.org/officeDocument/2006/custom-properties" xmlns:vt="http://schemas.openxmlformats.org/officeDocument/2006/docPropsVTypes"/>
</file>