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isclaimer" sheetId="2" state="visible" r:id="rId4"/>
    <sheet name="Assumptions" sheetId="3" state="visible" r:id="rId5"/>
    <sheet name="Revenue" sheetId="4" state="visible" r:id="rId6"/>
    <sheet name="Operating_Expenses" sheetId="5" state="visible" r:id="rId7"/>
    <sheet name="Capital_Reserves" sheetId="6" state="visible" r:id="rId8"/>
    <sheet name="Debt_Schedule" sheetId="7" state="visible" r:id="rId9"/>
    <sheet name="Cash_Flow" sheetId="8" state="visible" r:id="rId10"/>
    <sheet name="Checks" sheetId="9" state="visible" r:id="rId11"/>
  </sheets>
  <definedNames>
    <definedName function="false" hidden="false" name="Amort_Period" vbProcedure="false">Assumptions!$C$36</definedName>
    <definedName function="false" hidden="false" name="Ancillary_Unit" vbProcedure="false">Assumptions!$C$17</definedName>
    <definedName function="false" hidden="false" name="Bad_Debt_Pct" vbProcedure="false">Assumptions!$C$19</definedName>
    <definedName function="false" hidden="false" name="Base_Year" vbProcedure="false">Assumptions!$C$7</definedName>
    <definedName function="false" hidden="false" name="Compliance_Cost" vbProcedure="false">Assumptions!$C$27</definedName>
    <definedName function="false" hidden="false" name="Dev_Cost" vbProcedure="false">Assumptions!$C$10</definedName>
    <definedName function="false" hidden="false" name="Exit_Cap_Rate" vbProcedure="false">Assumptions!$C$41</definedName>
    <definedName function="false" hidden="false" name="Hold_Period" vbProcedure="false">Assumptions!$C$8</definedName>
    <definedName function="false" hidden="false" name="Insurance_Cost" vbProcedure="false">Assumptions!$C$26</definedName>
    <definedName function="false" hidden="false" name="Interest_Rate" vbProcedure="false">Assumptions!$C$35</definedName>
    <definedName function="false" hidden="false" name="IO_Period" vbProcedure="false">Assumptions!$C$37</definedName>
    <definedName function="false" hidden="false" name="LTV_Ratio" vbProcedure="false">Assumptions!$C$34</definedName>
    <definedName function="false" hidden="false" name="Mgmt_Fee_Pct" vbProcedure="false">Assumptions!$C$22</definedName>
    <definedName function="false" hidden="false" name="Min_DSCR" vbProcedure="false">Assumptions!$C$38</definedName>
    <definedName function="false" hidden="false" name="Monthly_Rent" vbProcedure="false">Assumptions!$C$13</definedName>
    <definedName function="false" hidden="false" name="OpEx_Inflation" vbProcedure="false">Assumptions!$C$28</definedName>
    <definedName function="false" hidden="false" name="Payroll_Cost" vbProcedure="false">Assumptions!$C$23</definedName>
    <definedName function="false" hidden="false" name="Rent_Growth" vbProcedure="false">Assumptions!$C$14</definedName>
    <definedName function="false" hidden="false" name="Repairs_Cost" vbProcedure="false">Assumptions!$C$25</definedName>
    <definedName function="false" hidden="false" name="Repl_Reserve" vbProcedure="false">Assumptions!$C$31</definedName>
    <definedName function="false" hidden="false" name="Selling_Costs_Pct" vbProcedure="false">Assumptions!$C$42</definedName>
    <definedName function="false" hidden="false" name="Subsidy_Per_Unit" vbProcedure="false">Assumptions!$C$15</definedName>
    <definedName function="false" hidden="false" name="Target_IRR" vbProcedure="false">Assumptions!$C$45</definedName>
    <definedName function="false" hidden="false" name="Target_Mult" vbProcedure="false">Assumptions!$C$46</definedName>
    <definedName function="false" hidden="false" name="Total_Units" vbProcedure="false">Assumptions!$C$9</definedName>
    <definedName function="false" hidden="false" name="Utilities_Cost" vbProcedure="false">Assumptions!$C$24</definedName>
    <definedName function="false" hidden="false" name="Vacancy_Rate" vbProcedure="false">Assumptions!$C$18</definedName>
    <definedName function="false" hidden="false" name="Voucher_Share" vbProcedure="false">Assumptions!$C$16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<sst xmlns="http://schemas.openxmlformats.org/spreadsheetml/2006/main" count="256" uniqueCount="205">
  <si>
    <t xml:space="preserve">Public Housing Financial Model</t>
  </si>
  <si>
    <t xml:space="preserve">FINAMODEL.com</t>
  </si>
  <si>
    <t xml:space="preserve">Affordable housing development</t>
  </si>
  <si>
    <t xml:space="preserve">Model Structure</t>
  </si>
  <si>
    <t xml:space="preserve">Cover</t>
  </si>
  <si>
    <t xml:space="preserve">Title and navigation</t>
  </si>
  <si>
    <t xml:space="preserve">Assumptions</t>
  </si>
  <si>
    <t xml:space="preserve">Model parameters</t>
  </si>
  <si>
    <t xml:space="preserve">Revenue</t>
  </si>
  <si>
    <t xml:space="preserve">Rental and subsidy income</t>
  </si>
  <si>
    <t xml:space="preserve">Operating_Expenses</t>
  </si>
  <si>
    <t xml:space="preserve">OpEx and NOI</t>
  </si>
  <si>
    <t xml:space="preserve">Capital_Reserves</t>
  </si>
  <si>
    <t xml:space="preserve">Reserve tracking</t>
  </si>
  <si>
    <t xml:space="preserve">Debt_Schedule</t>
  </si>
  <si>
    <t xml:space="preserve">Financing and DSCR</t>
  </si>
  <si>
    <t xml:space="preserve">Cash_Flow</t>
  </si>
  <si>
    <t xml:space="preserve">Returns analysis</t>
  </si>
  <si>
    <t xml:space="preserve">Checks</t>
  </si>
  <si>
    <t xml:space="preserve">Validation checks</t>
  </si>
  <si>
    <t xml:space="preserve">Tab Colour Legend</t>
  </si>
  <si>
    <t xml:space="preserve">Dark Blue</t>
  </si>
  <si>
    <t xml:space="preserve">Light Blue</t>
  </si>
  <si>
    <t xml:space="preserve">Assumptions / Inputs</t>
  </si>
  <si>
    <t xml:space="preserve">Green</t>
  </si>
  <si>
    <t xml:space="preserve">Revenue drivers</t>
  </si>
  <si>
    <t xml:space="preserve">Orange</t>
  </si>
  <si>
    <t xml:space="preserve">Cost schedules</t>
  </si>
  <si>
    <t xml:space="preserve">Red</t>
  </si>
  <si>
    <t xml:space="preserve">Debt / Risk</t>
  </si>
  <si>
    <t xml:space="preserve">Grey</t>
  </si>
  <si>
    <t xml:space="preserve">Summary / Output</t>
  </si>
  <si>
    <t xml:space="preserve">About this model</t>
  </si>
  <si>
    <t xml:space="preserve">Model affordable/public housing operations with rent caps tied to area median income (AMI), government subsidy income, and capital reserve funding requirements. This template projects regulated rental income (capped at ~30% of target AMI band), government housing voucher subsidies (tenants pay their share, government pays the gap), and ancillary income from parking/services. Revenue is driven by unit count, occupancy rate (typically 95â98% for subsidized housing), and rent escalation limited to AMI growth (1â3% annually, not market rates).
The workbook contains a revenue sheet showing the rent-roll by unit type and occupancy dynamics, operating expenses as a % of revenue (property management, utilities, repairs, insurance, compliance), a dedicated capital reserves sheet tracking replacement reserve deposits and drawals for capital repairs, a debt schedule with interest-only and amortising periods, and a three-statement model. Key covenants include DSCR (typically 1.15â1.20x minimum for subsidized housing), maximum LTV, and mandatory reserve funding levels. The model captures the lease-up period post-development (typically 6â12 months to stabilised occupancy) and handles both senior debt and potential subordinate soft debt from municipalities or grants.
Target users are mission-driven developers, public housing authorities, institutional real estate investors with ESG mandates, and lenders to affordable housing projects valued at $20M to $500M+.</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</si>
  <si>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</si>
  <si>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</si>
  <si>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</si>
  <si>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</si>
  <si>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</si>
  <si>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</si>
  <si>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</si>
  <si>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</si>
  <si>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</si>
  <si>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</si>
  <si>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</si>
  <si>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</si>
  <si>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</si>
  <si>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</si>
  <si>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</si>
  <si>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</si>
  <si>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</si>
  <si>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</si>
  <si>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</si>
  <si>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</si>
  <si>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</si>
  <si>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Input parameters</t>
  </si>
  <si>
    <t xml:space="preserve">Parameter</t>
  </si>
  <si>
    <t xml:space="preserve">Value</t>
  </si>
  <si>
    <t xml:space="preserve">Unit</t>
  </si>
  <si>
    <t xml:space="preserve">Notes</t>
  </si>
  <si>
    <t xml:space="preserve">Property</t>
  </si>
  <si>
    <t xml:space="preserve">Base Year</t>
  </si>
  <si>
    <t xml:space="preserve">Year</t>
  </si>
  <si>
    <t xml:space="preserve">First operating year</t>
  </si>
  <si>
    <t xml:space="preserve">Hold Period</t>
  </si>
  <si>
    <t xml:space="preserve">Years</t>
  </si>
  <si>
    <t xml:space="preserve">Investment horizon</t>
  </si>
  <si>
    <t xml:space="preserve">Total Units</t>
  </si>
  <si>
    <t xml:space="preserve">Units</t>
  </si>
  <si>
    <t xml:space="preserve">Affordable residential units</t>
  </si>
  <si>
    <t xml:space="preserve">Development Cost</t>
  </si>
  <si>
    <t xml:space="preserve">GBP</t>
  </si>
  <si>
    <t xml:space="preserve">Total acquisition / development</t>
  </si>
  <si>
    <t xml:space="preserve">Monthly Rent / Unit</t>
  </si>
  <si>
    <t xml:space="preserve">GBP/unit/mo</t>
  </si>
  <si>
    <t xml:space="preserve">Regulated rent (~30% of 60% AMI)</t>
  </si>
  <si>
    <t xml:space="preserve">Rent Growth (AMI)</t>
  </si>
  <si>
    <t xml:space="preserve">%/yr</t>
  </si>
  <si>
    <t xml:space="preserve">Tied to AMI / CPI growth</t>
  </si>
  <si>
    <t xml:space="preserve">Subsidy / Voucher Unit</t>
  </si>
  <si>
    <t xml:space="preserve">Government top-up per voucher tenant</t>
  </si>
  <si>
    <t xml:space="preserve">Voucher Tenant Share</t>
  </si>
  <si>
    <t xml:space="preserve">%</t>
  </si>
  <si>
    <t xml:space="preserve">Proportion with housing vouchers</t>
  </si>
  <si>
    <t xml:space="preserve">Ancillary Income / Unit</t>
  </si>
  <si>
    <t xml:space="preserve">Parking, laundry, vending</t>
  </si>
  <si>
    <t xml:space="preserve">Vacancy Rate</t>
  </si>
  <si>
    <t xml:space="preserve">Structural vacancy (high demand)</t>
  </si>
  <si>
    <t xml:space="preserve">Bad Debt / Collection</t>
  </si>
  <si>
    <t xml:space="preserve">Low due to subsidies</t>
  </si>
  <si>
    <t xml:space="preserve">Operating Expenses</t>
  </si>
  <si>
    <t xml:space="preserve">Management Fee</t>
  </si>
  <si>
    <t xml:space="preserve">% of EGI</t>
  </si>
  <si>
    <t xml:space="preserve">Third-party operator</t>
  </si>
  <si>
    <t xml:space="preserve">On-site Payroll</t>
  </si>
  <si>
    <t xml:space="preserve">GBP/yr</t>
  </si>
  <si>
    <t xml:space="preserve">Property managers + maintenance</t>
  </si>
  <si>
    <t xml:space="preserve">Utilities</t>
  </si>
  <si>
    <t xml:space="preserve">Common area utilities</t>
  </si>
  <si>
    <t xml:space="preserve">Repairs &amp; Maintenance</t>
  </si>
  <si>
    <t xml:space="preserve">Ongoing R&amp;M budget</t>
  </si>
  <si>
    <t xml:space="preserve">Insurance</t>
  </si>
  <si>
    <t xml:space="preserve">Property and liability</t>
  </si>
  <si>
    <t xml:space="preserve">Compliance &amp; Audit</t>
  </si>
  <si>
    <t xml:space="preserve">Tenant certifications, inspections</t>
  </si>
  <si>
    <t xml:space="preserve">OpEx Inflation</t>
  </si>
  <si>
    <t xml:space="preserve">Outpaces rent growth slightly</t>
  </si>
  <si>
    <t xml:space="preserve">Capital Reserves</t>
  </si>
  <si>
    <t xml:space="preserve">Replacement Reserve</t>
  </si>
  <si>
    <t xml:space="preserve">GBP/unit/yr</t>
  </si>
  <si>
    <t xml:space="preserve">Lender mandated minimum</t>
  </si>
  <si>
    <t xml:space="preserve">Financing</t>
  </si>
  <si>
    <t xml:space="preserve">Senior Debt LTV</t>
  </si>
  <si>
    <t xml:space="preserve">Agency / senior lender constraint</t>
  </si>
  <si>
    <t xml:space="preserve">Interest Rate</t>
  </si>
  <si>
    <t xml:space="preserve">Current base rate + spread</t>
  </si>
  <si>
    <t xml:space="preserve">Amortisation Period</t>
  </si>
  <si>
    <t xml:space="preserve">Long amort for capped-rent viability</t>
  </si>
  <si>
    <t xml:space="preserve">Interest-Only Period</t>
  </si>
  <si>
    <t xml:space="preserve">IO during lease-up</t>
  </si>
  <si>
    <t xml:space="preserve">Minimum DSCR</t>
  </si>
  <si>
    <t xml:space="preserve">x</t>
  </si>
  <si>
    <t xml:space="preserve">Underwriting floor</t>
  </si>
  <si>
    <t xml:space="preserve">Disposition</t>
  </si>
  <si>
    <t xml:space="preserve">Exit Cap Rate</t>
  </si>
  <si>
    <t xml:space="preserve">Low-risk, stable asset class</t>
  </si>
  <si>
    <t xml:space="preserve">Selling Costs</t>
  </si>
  <si>
    <t xml:space="preserve">Brokerage and legal fees</t>
  </si>
  <si>
    <t xml:space="preserve">Return Benchmarks</t>
  </si>
  <si>
    <t xml:space="preserve">Target IRR</t>
  </si>
  <si>
    <t xml:space="preserve">Minimum levered IRR</t>
  </si>
  <si>
    <t xml:space="preserve">Target Equity Multiple</t>
  </si>
  <si>
    <t xml:space="preserve">Minimum MOIC</t>
  </si>
  <si>
    <t xml:space="preserve">Year Number</t>
  </si>
  <si>
    <t xml:space="preserve">Gross Potential Revenue</t>
  </si>
  <si>
    <t xml:space="preserve">Number of Units</t>
  </si>
  <si>
    <t xml:space="preserve">Gross Potential Rent</t>
  </si>
  <si>
    <t xml:space="preserve">Vacancy &amp; Bad Debt</t>
  </si>
  <si>
    <t xml:space="preserve">Vacancy Loss</t>
  </si>
  <si>
    <t xml:space="preserve">Bad Debt</t>
  </si>
  <si>
    <t xml:space="preserve">Net Rental Income</t>
  </si>
  <si>
    <t xml:space="preserve">Other Income</t>
  </si>
  <si>
    <t xml:space="preserve">Government Subsidy</t>
  </si>
  <si>
    <t xml:space="preserve">Ancillary Income</t>
  </si>
  <si>
    <t xml:space="preserve">EFFECTIVE GROSS INCOME</t>
  </si>
  <si>
    <t xml:space="preserve">Revenue Reference</t>
  </si>
  <si>
    <t xml:space="preserve">Effective Gross Income</t>
  </si>
  <si>
    <t xml:space="preserve">TOTAL OPERATING EXPENSES</t>
  </si>
  <si>
    <t xml:space="preserve">Net Operating Income</t>
  </si>
  <si>
    <t xml:space="preserve">NOI</t>
  </si>
  <si>
    <t xml:space="preserve">NOI Margin</t>
  </si>
  <si>
    <t xml:space="preserve">OpEx per Unit</t>
  </si>
  <si>
    <t xml:space="preserve">Annual Deposit</t>
  </si>
  <si>
    <t xml:space="preserve">Opening Balance</t>
  </si>
  <si>
    <t xml:space="preserve">Closing Balance</t>
  </si>
  <si>
    <t xml:space="preserve">Debt Schedule</t>
  </si>
  <si>
    <t xml:space="preserve">Senior secured mortgage</t>
  </si>
  <si>
    <t xml:space="preserve">Debt Sizing</t>
  </si>
  <si>
    <t xml:space="preserve">Loan Amount</t>
  </si>
  <si>
    <t xml:space="preserve">Debt Balance Walk</t>
  </si>
  <si>
    <t xml:space="preserve">Principal Repayment</t>
  </si>
  <si>
    <t xml:space="preserve">Balloon Repayment</t>
  </si>
  <si>
    <t xml:space="preserve">Interest &amp; Debt Service</t>
  </si>
  <si>
    <t xml:space="preserve">Interest Expense</t>
  </si>
  <si>
    <t xml:space="preserve">TOTAL DEBT SERVICE</t>
  </si>
  <si>
    <t xml:space="preserve">Debt Metrics</t>
  </si>
  <si>
    <t xml:space="preserve">DSCR</t>
  </si>
  <si>
    <t xml:space="preserve">Implied LTV</t>
  </si>
  <si>
    <t xml:space="preserve">Cash Flow &amp; Returns</t>
  </si>
  <si>
    <t xml:space="preserve">Acquisition / Development</t>
  </si>
  <si>
    <t xml:space="preserve">Total Acquisition</t>
  </si>
  <si>
    <t xml:space="preserve">Loan Drawdown</t>
  </si>
  <si>
    <t xml:space="preserve">Equity Invested</t>
  </si>
  <si>
    <t xml:space="preserve">Operating Cash Flow</t>
  </si>
  <si>
    <t xml:space="preserve">Debt Service</t>
  </si>
  <si>
    <t xml:space="preserve">Reserve Deposits</t>
  </si>
  <si>
    <t xml:space="preserve">Levered Operating CF</t>
  </si>
  <si>
    <t xml:space="preserve">Disposition (Final Year)</t>
  </si>
  <si>
    <t xml:space="preserve">Forward NOI</t>
  </si>
  <si>
    <t xml:space="preserve">Exit Value</t>
  </si>
  <si>
    <t xml:space="preserve">Loan Payoff</t>
  </si>
  <si>
    <t xml:space="preserve">Net Sale Proceeds</t>
  </si>
  <si>
    <t xml:space="preserve">Cash Flow Streams</t>
  </si>
  <si>
    <t xml:space="preserve">Unlevered Cash Flow</t>
  </si>
  <si>
    <t xml:space="preserve">Levered Cash Flow</t>
  </si>
  <si>
    <t xml:space="preserve">Returns</t>
  </si>
  <si>
    <t xml:space="preserve">Unlevered IRR</t>
  </si>
  <si>
    <t xml:space="preserve">Levered IRR</t>
  </si>
  <si>
    <t xml:space="preserve">Equity Multiple</t>
  </si>
  <si>
    <t xml:space="preserve">Benchmark Check</t>
  </si>
  <si>
    <t xml:space="preserve">IRR vs Target</t>
  </si>
  <si>
    <t xml:space="preserve">Multiple vs Target</t>
  </si>
  <si>
    <t xml:space="preserve">Validation Checks</t>
  </si>
  <si>
    <t xml:space="preserve">Model integrity</t>
  </si>
  <si>
    <t xml:space="preserve">Check</t>
  </si>
  <si>
    <t xml:space="preserve">Result</t>
  </si>
  <si>
    <t xml:space="preserve">Details</t>
  </si>
  <si>
    <t xml:space="preserve">DSCR &gt;= 1.15x (stabilised)</t>
  </si>
  <si>
    <t xml:space="preserve">Sources = Uses (Year 1)</t>
  </si>
  <si>
    <t xml:space="preserve">Vacancy &gt;= 2%</t>
  </si>
  <si>
    <t xml:space="preserve">Reserve balance &gt;= 0</t>
  </si>
  <si>
    <t xml:space="preserve">Levered CF non-negative (Y2+)</t>
  </si>
  <si>
    <t xml:space="preserve">OpEx/Unit in range</t>
  </si>
  <si>
    <t xml:space="preserve">LTV &lt;= 80%</t>
  </si>
  <si>
    <t xml:space="preserve">NOI Margin 50%-70%</t>
  </si>
</sst>
</file>

<file path=xl/styles.xml><?xml version="1.0" encoding="utf-8"?>
<styleSheet xmlns="http://schemas.openxmlformats.org/spreadsheetml/2006/main">
  <numFmts count="6">
    <numFmt numFmtId="164" formatCode="General"/>
    <numFmt numFmtId="165" formatCode="#,##0.00"/>
    <numFmt numFmtId="166" formatCode="\£#,##0.00"/>
    <numFmt numFmtId="167" formatCode="0.00%"/>
    <numFmt numFmtId="168" formatCode="0.00\x"/>
    <numFmt numFmtId="169" formatCode="0"/>
  </numFmts>
  <fonts count="23">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i val="true"/>
      <sz val="11"/>
      <color rgb="FF80808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sz val="11"/>
      <color rgb="FF2E75B6"/>
      <name val="Arial"/>
      <family val="0"/>
      <charset val="1"/>
    </font>
    <font>
      <sz val="11"/>
      <color rgb="FF000000"/>
      <name val="Arial"/>
      <family val="0"/>
      <charset val="1"/>
    </font>
  </fonts>
  <fills count="12">
    <fill>
      <patternFill patternType="none"/>
    </fill>
    <fill>
      <patternFill patternType="gray125"/>
    </fill>
    <fill>
      <patternFill patternType="solid">
        <fgColor theme="3"/>
        <bgColor rgb="FF1F4E79"/>
      </patternFill>
    </fill>
    <fill>
      <patternFill patternType="solid">
        <fgColor rgb="FF5B9BD5"/>
        <bgColor rgb="FF2E75B6"/>
      </patternFill>
    </fill>
    <fill>
      <patternFill patternType="solid">
        <fgColor rgb="FF70AD47"/>
        <bgColor rgb="FF99CC00"/>
      </patternFill>
    </fill>
    <fill>
      <patternFill patternType="solid">
        <fgColor rgb="FFED7D31"/>
        <bgColor rgb="FFFF8080"/>
      </patternFill>
    </fill>
    <fill>
      <patternFill patternType="solid">
        <fgColor rgb="FFFF0000"/>
        <bgColor rgb="FF993300"/>
      </patternFill>
    </fill>
    <fill>
      <patternFill patternType="solid">
        <fgColor rgb="FFA5A5A5"/>
        <bgColor rgb="FFC0C0C0"/>
      </patternFill>
    </fill>
    <fill>
      <patternFill patternType="solid">
        <fgColor rgb="FFD6E4F0"/>
        <bgColor rgb="FFEBF1FA"/>
      </patternFill>
    </fill>
    <fill>
      <patternFill patternType="solid">
        <fgColor rgb="FF1F4E79"/>
        <bgColor rgb="FF1F497D"/>
      </patternFill>
    </fill>
    <fill>
      <patternFill patternType="solid">
        <fgColor rgb="FFF2F2F2"/>
        <bgColor rgb="FFEBF1FA"/>
      </patternFill>
    </fill>
    <fill>
      <patternFill patternType="solid">
        <fgColor rgb="FFEBF1FA"/>
        <bgColor rgb="FFF2F2F2"/>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64" fontId="11" fillId="8" borderId="0" xfId="0" applyFont="true" applyBorder="false" applyAlignment="true" applyProtection="false">
      <alignment horizontal="left" vertical="center"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1" shrinkToFit="false"/>
      <protection locked="true" hidden="false"/>
    </xf>
    <xf numFmtId="164" fontId="17" fillId="0" borderId="0" xfId="0" applyFont="true" applyBorder="false" applyAlignment="true" applyProtection="false">
      <alignment horizontal="left" vertical="top" textRotation="0" wrapText="true" indent="1" shrinkToFit="false"/>
      <protection locked="true" hidden="false"/>
    </xf>
    <xf numFmtId="164" fontId="18"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19" fillId="10" borderId="0" xfId="0" applyFont="true" applyBorder="false" applyAlignment="true" applyProtection="false">
      <alignment horizontal="left" vertical="top" textRotation="0" wrapText="true" indent="1"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xf numFmtId="164" fontId="16" fillId="9" borderId="0" xfId="0" applyFont="true" applyBorder="false" applyAlignment="true" applyProtection="false">
      <alignment horizontal="left" vertical="center" textRotation="0" wrapText="false" indent="0" shrinkToFit="false"/>
      <protection locked="true" hidden="false"/>
    </xf>
    <xf numFmtId="164" fontId="16" fillId="9" borderId="0" xfId="0" applyFont="true" applyBorder="false" applyAlignment="true" applyProtection="false">
      <alignment horizontal="center" vertical="center" textRotation="0" wrapText="false" indent="0" shrinkToFit="false"/>
      <protection locked="true" hidden="false"/>
    </xf>
    <xf numFmtId="165" fontId="21" fillId="11"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6" fontId="21" fillId="11" borderId="0" xfId="0" applyFont="true" applyBorder="false" applyAlignment="true" applyProtection="false">
      <alignment horizontal="right" vertical="center" textRotation="0" wrapText="false" indent="0" shrinkToFit="false"/>
      <protection locked="true" hidden="false"/>
    </xf>
    <xf numFmtId="167" fontId="21" fillId="11" borderId="0" xfId="0" applyFont="true" applyBorder="false" applyAlignment="true" applyProtection="false">
      <alignment horizontal="right" vertical="center" textRotation="0" wrapText="false" indent="0" shrinkToFit="false"/>
      <protection locked="true" hidden="false"/>
    </xf>
    <xf numFmtId="168" fontId="21" fillId="11" borderId="0" xfId="0" applyFont="true" applyBorder="false" applyAlignment="true" applyProtection="false">
      <alignment horizontal="right" vertical="center" textRotation="0" wrapText="false" indent="0" shrinkToFit="false"/>
      <protection locked="true" hidden="false"/>
    </xf>
    <xf numFmtId="169" fontId="16" fillId="9" borderId="0" xfId="0" applyFont="true" applyBorder="false" applyAlignment="true" applyProtection="false">
      <alignment horizontal="center" vertical="center" textRotation="0" wrapText="false" indent="0" shrinkToFit="false"/>
      <protection locked="true" hidden="false"/>
    </xf>
    <xf numFmtId="165" fontId="22" fillId="0" borderId="0" xfId="0" applyFont="true" applyBorder="fals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1" shrinkToFit="false"/>
      <protection locked="true" hidden="false"/>
    </xf>
    <xf numFmtId="166" fontId="22" fillId="0" borderId="0" xfId="0" applyFont="true" applyBorder="false" applyAlignment="true" applyProtection="false">
      <alignment horizontal="righ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5" fontId="9" fillId="0" borderId="2" xfId="0" applyFont="true" applyBorder="true" applyAlignment="true" applyProtection="false">
      <alignment horizontal="righ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5" fontId="9" fillId="0" borderId="3" xfId="0" applyFont="true" applyBorder="true" applyAlignment="true" applyProtection="false">
      <alignment horizontal="right" vertical="center" textRotation="0" wrapText="false" indent="0" shrinkToFit="false"/>
      <protection locked="true" hidden="false"/>
    </xf>
    <xf numFmtId="165" fontId="9" fillId="0" borderId="0" xfId="0" applyFont="true" applyBorder="false" applyAlignment="true" applyProtection="false">
      <alignment horizontal="right" vertical="center" textRotation="0" wrapText="false" indent="0" shrinkToFit="false"/>
      <protection locked="true" hidden="false"/>
    </xf>
    <xf numFmtId="167" fontId="22" fillId="0" borderId="0" xfId="0" applyFont="true" applyBorder="false" applyAlignment="true" applyProtection="false">
      <alignment horizontal="right" vertical="center" textRotation="0" wrapText="false" indent="0" shrinkToFit="false"/>
      <protection locked="true" hidden="false"/>
    </xf>
    <xf numFmtId="168" fontId="22" fillId="0" borderId="0" xfId="0" applyFont="true" applyBorder="false" applyAlignment="true" applyProtection="false">
      <alignment horizontal="right" vertical="center" textRotation="0" wrapText="false" indent="0" shrinkToFit="false"/>
      <protection locked="true" hidden="false"/>
    </xf>
    <xf numFmtId="167" fontId="9" fillId="0" borderId="0" xfId="0" applyFont="true" applyBorder="false" applyAlignment="true" applyProtection="false">
      <alignment horizontal="right" vertical="center" textRotation="0" wrapText="false" indent="0" shrinkToFit="false"/>
      <protection locked="true" hidden="false"/>
    </xf>
    <xf numFmtId="168" fontId="9"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BF1FA"/>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25"/>
    <col collapsed="false" customWidth="true" hidden="false" outlineLevel="0" max="5" min="4" style="0" width="2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4</v>
      </c>
      <c r="C7" s="8" t="s">
        <v>5</v>
      </c>
      <c r="D7" s="9"/>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6</v>
      </c>
      <c r="C8" s="8" t="s">
        <v>7</v>
      </c>
      <c r="D8" s="10"/>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8</v>
      </c>
      <c r="C9" s="8" t="s">
        <v>9</v>
      </c>
      <c r="D9" s="11"/>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10</v>
      </c>
      <c r="C10" s="8" t="s">
        <v>11</v>
      </c>
      <c r="D10" s="12"/>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7" t="s">
        <v>12</v>
      </c>
      <c r="C11" s="8" t="s">
        <v>13</v>
      </c>
      <c r="D11" s="12"/>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7" t="s">
        <v>14</v>
      </c>
      <c r="C12" s="8" t="s">
        <v>15</v>
      </c>
      <c r="D12" s="13"/>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7" t="s">
        <v>16</v>
      </c>
      <c r="C13" s="8" t="s">
        <v>17</v>
      </c>
      <c r="D13" s="14"/>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7" t="s">
        <v>18</v>
      </c>
      <c r="C14" s="8" t="s">
        <v>19</v>
      </c>
      <c r="D14" s="14"/>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6" t="s">
        <v>20</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7" t="s">
        <v>21</v>
      </c>
      <c r="C18" s="8" t="s">
        <v>4</v>
      </c>
      <c r="D18" s="9"/>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7" t="s">
        <v>22</v>
      </c>
      <c r="C19" s="8" t="s">
        <v>23</v>
      </c>
      <c r="D19" s="10"/>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7" t="s">
        <v>24</v>
      </c>
      <c r="C20" s="8" t="s">
        <v>25</v>
      </c>
      <c r="D20" s="11"/>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7" t="s">
        <v>26</v>
      </c>
      <c r="C21" s="8" t="s">
        <v>27</v>
      </c>
      <c r="D21" s="12"/>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7" t="s">
        <v>28</v>
      </c>
      <c r="C22" s="8" t="s">
        <v>29</v>
      </c>
      <c r="D22" s="13"/>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7" t="s">
        <v>30</v>
      </c>
      <c r="C23" s="8" t="s">
        <v>31</v>
      </c>
      <c r="D23" s="14"/>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9.5" hidden="false" customHeight="true" outlineLevel="0" collapsed="false">
      <c r="A26" s="5"/>
      <c r="B26" s="15" t="s">
        <v>32</v>
      </c>
      <c r="C26" s="16"/>
      <c r="D26" s="16"/>
      <c r="E26" s="16"/>
      <c r="F26" s="16"/>
      <c r="G26" s="16"/>
      <c r="H26" s="5"/>
      <c r="I26" s="5"/>
      <c r="J26" s="5"/>
      <c r="K26" s="5"/>
      <c r="L26" s="5"/>
      <c r="M26" s="5"/>
      <c r="N26" s="5"/>
      <c r="O26" s="5"/>
      <c r="P26" s="5"/>
      <c r="Q26" s="5"/>
      <c r="R26" s="5"/>
      <c r="S26" s="5"/>
      <c r="T26" s="5"/>
      <c r="U26" s="5"/>
      <c r="V26" s="5"/>
      <c r="W26" s="5"/>
      <c r="X26" s="5"/>
      <c r="Y26" s="5"/>
      <c r="Z26" s="5"/>
      <c r="AA26" s="5"/>
      <c r="AB26" s="5"/>
      <c r="AC26" s="5"/>
      <c r="AD26" s="5"/>
    </row>
    <row r="27" customFormat="false" ht="208.5" hidden="false" customHeight="true" outlineLevel="0" collapsed="false">
      <c r="A27" s="5"/>
      <c r="B27" s="17" t="s">
        <v>33</v>
      </c>
      <c r="C27" s="17"/>
      <c r="D27" s="17"/>
      <c r="E27" s="17"/>
      <c r="F27" s="17"/>
      <c r="G27" s="17"/>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9.5" hidden="false" customHeight="true" outlineLevel="0" collapsed="false">
      <c r="A29" s="5"/>
      <c r="B29" s="15" t="s">
        <v>34</v>
      </c>
      <c r="C29" s="16"/>
      <c r="D29" s="16"/>
      <c r="E29" s="16"/>
      <c r="F29" s="16"/>
      <c r="G29" s="16"/>
      <c r="H29" s="5"/>
      <c r="I29" s="5"/>
      <c r="J29" s="5"/>
      <c r="K29" s="5"/>
      <c r="L29" s="5"/>
      <c r="M29" s="5"/>
      <c r="N29" s="5"/>
      <c r="O29" s="5"/>
      <c r="P29" s="5"/>
      <c r="Q29" s="5"/>
      <c r="R29" s="5"/>
      <c r="S29" s="5"/>
      <c r="T29" s="5"/>
      <c r="U29" s="5"/>
      <c r="V29" s="5"/>
      <c r="W29" s="5"/>
      <c r="X29" s="5"/>
      <c r="Y29" s="5"/>
      <c r="Z29" s="5"/>
      <c r="AA29" s="5"/>
      <c r="AB29" s="5"/>
      <c r="AC29" s="5"/>
      <c r="AD29" s="5"/>
    </row>
    <row r="30" customFormat="false" ht="57" hidden="false" customHeight="true" outlineLevel="0" collapsed="false">
      <c r="A30" s="5"/>
      <c r="B30" s="17" t="s">
        <v>35</v>
      </c>
      <c r="C30" s="17"/>
      <c r="D30" s="17"/>
      <c r="E30" s="17"/>
      <c r="F30" s="17"/>
      <c r="G30" s="17"/>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18" t="s">
        <v>36</v>
      </c>
      <c r="C31" s="18"/>
      <c r="D31" s="18"/>
      <c r="E31" s="18"/>
      <c r="F31" s="18"/>
      <c r="G31" s="18"/>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19" t="s">
        <v>37</v>
      </c>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sheetData>
  <mergeCells count="3">
    <mergeCell ref="B27:G27"/>
    <mergeCell ref="B30:G30"/>
    <mergeCell ref="B31:G31"/>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0" t="s">
        <v>38</v>
      </c>
    </row>
    <row r="3" customFormat="false" ht="3.75" hidden="false" customHeight="true" outlineLevel="0" collapsed="false">
      <c r="A3" s="5"/>
      <c r="B3" s="21"/>
    </row>
    <row r="4" customFormat="false" ht="15" hidden="false" customHeight="false" outlineLevel="0" collapsed="false">
      <c r="A4" s="5"/>
      <c r="B4" s="5"/>
    </row>
    <row r="5" customFormat="false" ht="19.5" hidden="false" customHeight="true" outlineLevel="0" collapsed="false">
      <c r="A5" s="5"/>
      <c r="B5" s="22" t="s">
        <v>39</v>
      </c>
    </row>
    <row r="6" customFormat="false" ht="48" hidden="false" customHeight="true" outlineLevel="0" collapsed="false">
      <c r="A6" s="5"/>
      <c r="B6" s="23" t="s">
        <v>40</v>
      </c>
    </row>
    <row r="7" customFormat="false" ht="15" hidden="false" customHeight="false" outlineLevel="0" collapsed="false">
      <c r="A7" s="5"/>
      <c r="B7" s="5"/>
    </row>
    <row r="8" customFormat="false" ht="19.5" hidden="false" customHeight="true" outlineLevel="0" collapsed="false">
      <c r="A8" s="5"/>
      <c r="B8" s="22" t="s">
        <v>41</v>
      </c>
    </row>
    <row r="9" customFormat="false" ht="61.5" hidden="false" customHeight="true" outlineLevel="0" collapsed="false">
      <c r="A9" s="5"/>
      <c r="B9" s="23" t="s">
        <v>42</v>
      </c>
    </row>
    <row r="10" customFormat="false" ht="15" hidden="false" customHeight="false" outlineLevel="0" collapsed="false">
      <c r="A10" s="5"/>
      <c r="B10" s="5"/>
    </row>
    <row r="11" customFormat="false" ht="19.5" hidden="false" customHeight="true" outlineLevel="0" collapsed="false">
      <c r="A11" s="5"/>
      <c r="B11" s="22" t="s">
        <v>43</v>
      </c>
    </row>
    <row r="12" customFormat="false" ht="75.75" hidden="false" customHeight="true" outlineLevel="0" collapsed="false">
      <c r="A12" s="5"/>
      <c r="B12" s="23" t="s">
        <v>44</v>
      </c>
    </row>
    <row r="13" customFormat="false" ht="15" hidden="false" customHeight="false" outlineLevel="0" collapsed="false">
      <c r="A13" s="5"/>
      <c r="B13" s="5"/>
    </row>
    <row r="14" customFormat="false" ht="19.5" hidden="false" customHeight="true" outlineLevel="0" collapsed="false">
      <c r="A14" s="5"/>
      <c r="B14" s="22" t="s">
        <v>45</v>
      </c>
    </row>
    <row r="15" customFormat="false" ht="61.5" hidden="false" customHeight="true" outlineLevel="0" collapsed="false">
      <c r="A15" s="5"/>
      <c r="B15" s="23" t="s">
        <v>46</v>
      </c>
    </row>
    <row r="16" customFormat="false" ht="15" hidden="false" customHeight="false" outlineLevel="0" collapsed="false">
      <c r="A16" s="5"/>
      <c r="B16" s="5"/>
    </row>
    <row r="17" customFormat="false" ht="19.5" hidden="false" customHeight="true" outlineLevel="0" collapsed="false">
      <c r="A17" s="5"/>
      <c r="B17" s="22" t="s">
        <v>47</v>
      </c>
    </row>
    <row r="18" customFormat="false" ht="33.75" hidden="false" customHeight="true" outlineLevel="0" collapsed="false">
      <c r="A18" s="5"/>
      <c r="B18" s="23" t="s">
        <v>48</v>
      </c>
    </row>
    <row r="19" customFormat="false" ht="15" hidden="false" customHeight="false" outlineLevel="0" collapsed="false">
      <c r="A19" s="5"/>
      <c r="B19" s="5"/>
    </row>
    <row r="20" customFormat="false" ht="19.5" hidden="false" customHeight="true" outlineLevel="0" collapsed="false">
      <c r="A20" s="5"/>
      <c r="B20" s="22" t="s">
        <v>49</v>
      </c>
    </row>
    <row r="21" customFormat="false" ht="33.75" hidden="false" customHeight="true" outlineLevel="0" collapsed="false">
      <c r="A21" s="5"/>
      <c r="B21" s="23" t="s">
        <v>50</v>
      </c>
    </row>
    <row r="22" customFormat="false" ht="15" hidden="false" customHeight="false" outlineLevel="0" collapsed="false">
      <c r="A22" s="5"/>
      <c r="B22" s="5"/>
    </row>
    <row r="23" customFormat="false" ht="21.75" hidden="false" customHeight="true" outlineLevel="0" collapsed="false">
      <c r="A23" s="5"/>
      <c r="B23" s="24" t="s">
        <v>51</v>
      </c>
    </row>
    <row r="24" customFormat="false" ht="15" hidden="false" customHeight="false" outlineLevel="0" collapsed="false">
      <c r="A24" s="5"/>
      <c r="B24" s="5"/>
    </row>
    <row r="25" customFormat="false" ht="18" hidden="false" customHeight="true" outlineLevel="0" collapsed="false">
      <c r="A25" s="5"/>
      <c r="B25" s="25" t="s">
        <v>52</v>
      </c>
    </row>
    <row r="26" customFormat="false" ht="201.75" hidden="false" customHeight="true" outlineLevel="0" collapsed="false">
      <c r="A26" s="5"/>
      <c r="B26" s="26" t="s">
        <v>53</v>
      </c>
    </row>
    <row r="27" customFormat="false" ht="15" hidden="false" customHeight="false" outlineLevel="0" collapsed="false">
      <c r="A27" s="5"/>
      <c r="B27" s="5"/>
    </row>
    <row r="28" customFormat="false" ht="18" hidden="false" customHeight="true" outlineLevel="0" collapsed="false">
      <c r="A28" s="5"/>
      <c r="B28" s="27" t="s">
        <v>54</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E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8"/>
    <col collapsed="false" customWidth="true" hidden="false" outlineLevel="0" max="4" min="4" style="0" width="12"/>
    <col collapsed="false" customWidth="true" hidden="false" outlineLevel="0" max="5" min="5" style="0" width="35"/>
  </cols>
  <sheetData>
    <row r="1" customFormat="false" ht="15" hidden="false" customHeight="false" outlineLevel="0" collapsed="false">
      <c r="A1" s="5"/>
      <c r="B1" s="5"/>
      <c r="C1" s="5"/>
      <c r="D1" s="5"/>
      <c r="E1" s="5"/>
    </row>
    <row r="2" customFormat="false" ht="22.05" hidden="false" customHeight="false" outlineLevel="0" collapsed="false">
      <c r="A2" s="5"/>
      <c r="B2" s="20" t="s">
        <v>6</v>
      </c>
      <c r="C2" s="5"/>
      <c r="D2" s="5"/>
      <c r="E2" s="5"/>
    </row>
    <row r="3" customFormat="false" ht="15" hidden="false" customHeight="false" outlineLevel="0" collapsed="false">
      <c r="A3" s="5"/>
      <c r="B3" s="8" t="s">
        <v>55</v>
      </c>
      <c r="C3" s="5"/>
      <c r="D3" s="5"/>
      <c r="E3" s="5"/>
    </row>
    <row r="4" customFormat="false" ht="15" hidden="false" customHeight="false" outlineLevel="0" collapsed="false">
      <c r="A4" s="5"/>
      <c r="B4" s="5"/>
      <c r="C4" s="5"/>
      <c r="D4" s="5"/>
      <c r="E4" s="5"/>
    </row>
    <row r="5" customFormat="false" ht="15" hidden="false" customHeight="false" outlineLevel="0" collapsed="false">
      <c r="A5" s="5"/>
      <c r="B5" s="28" t="s">
        <v>56</v>
      </c>
      <c r="C5" s="29" t="s">
        <v>57</v>
      </c>
      <c r="D5" s="29" t="s">
        <v>58</v>
      </c>
      <c r="E5" s="29" t="s">
        <v>59</v>
      </c>
    </row>
    <row r="6" customFormat="false" ht="15" hidden="false" customHeight="false" outlineLevel="0" collapsed="false">
      <c r="A6" s="5"/>
      <c r="B6" s="15" t="s">
        <v>60</v>
      </c>
      <c r="C6" s="16"/>
      <c r="D6" s="16"/>
      <c r="E6" s="16"/>
    </row>
    <row r="7" customFormat="false" ht="15" hidden="false" customHeight="false" outlineLevel="0" collapsed="false">
      <c r="A7" s="5"/>
      <c r="B7" s="7" t="s">
        <v>61</v>
      </c>
      <c r="C7" s="30" t="n">
        <v>2025</v>
      </c>
      <c r="D7" s="31" t="s">
        <v>62</v>
      </c>
      <c r="E7" s="8" t="s">
        <v>63</v>
      </c>
    </row>
    <row r="8" customFormat="false" ht="15" hidden="false" customHeight="false" outlineLevel="0" collapsed="false">
      <c r="A8" s="5"/>
      <c r="B8" s="7" t="s">
        <v>64</v>
      </c>
      <c r="C8" s="30" t="n">
        <v>10</v>
      </c>
      <c r="D8" s="31" t="s">
        <v>65</v>
      </c>
      <c r="E8" s="8" t="s">
        <v>66</v>
      </c>
    </row>
    <row r="9" customFormat="false" ht="15" hidden="false" customHeight="false" outlineLevel="0" collapsed="false">
      <c r="A9" s="5"/>
      <c r="B9" s="7" t="s">
        <v>67</v>
      </c>
      <c r="C9" s="30" t="n">
        <v>200</v>
      </c>
      <c r="D9" s="31" t="s">
        <v>68</v>
      </c>
      <c r="E9" s="8" t="s">
        <v>69</v>
      </c>
    </row>
    <row r="10" customFormat="false" ht="15" hidden="false" customHeight="false" outlineLevel="0" collapsed="false">
      <c r="A10" s="5"/>
      <c r="B10" s="7" t="s">
        <v>70</v>
      </c>
      <c r="C10" s="32" t="n">
        <v>35000000</v>
      </c>
      <c r="D10" s="31" t="s">
        <v>71</v>
      </c>
      <c r="E10" s="8" t="s">
        <v>72</v>
      </c>
    </row>
    <row r="11" customFormat="false" ht="15" hidden="false" customHeight="false" outlineLevel="0" collapsed="false">
      <c r="A11" s="5"/>
      <c r="B11" s="5"/>
      <c r="C11" s="5"/>
      <c r="D11" s="5"/>
      <c r="E11" s="5"/>
    </row>
    <row r="12" customFormat="false" ht="15" hidden="false" customHeight="false" outlineLevel="0" collapsed="false">
      <c r="A12" s="5"/>
      <c r="B12" s="15" t="s">
        <v>8</v>
      </c>
      <c r="C12" s="16"/>
      <c r="D12" s="16"/>
      <c r="E12" s="16"/>
    </row>
    <row r="13" customFormat="false" ht="15" hidden="false" customHeight="false" outlineLevel="0" collapsed="false">
      <c r="A13" s="5"/>
      <c r="B13" s="7" t="s">
        <v>73</v>
      </c>
      <c r="C13" s="32" t="n">
        <v>850</v>
      </c>
      <c r="D13" s="31" t="s">
        <v>74</v>
      </c>
      <c r="E13" s="8" t="s">
        <v>75</v>
      </c>
    </row>
    <row r="14" customFormat="false" ht="15" hidden="false" customHeight="false" outlineLevel="0" collapsed="false">
      <c r="A14" s="5"/>
      <c r="B14" s="7" t="s">
        <v>76</v>
      </c>
      <c r="C14" s="33" t="n">
        <v>0.02</v>
      </c>
      <c r="D14" s="31" t="s">
        <v>77</v>
      </c>
      <c r="E14" s="8" t="s">
        <v>78</v>
      </c>
    </row>
    <row r="15" customFormat="false" ht="15" hidden="false" customHeight="false" outlineLevel="0" collapsed="false">
      <c r="A15" s="5"/>
      <c r="B15" s="7" t="s">
        <v>79</v>
      </c>
      <c r="C15" s="32" t="n">
        <v>200</v>
      </c>
      <c r="D15" s="31" t="s">
        <v>74</v>
      </c>
      <c r="E15" s="8" t="s">
        <v>80</v>
      </c>
    </row>
    <row r="16" customFormat="false" ht="15" hidden="false" customHeight="false" outlineLevel="0" collapsed="false">
      <c r="A16" s="5"/>
      <c r="B16" s="7" t="s">
        <v>81</v>
      </c>
      <c r="C16" s="33" t="n">
        <v>0.4</v>
      </c>
      <c r="D16" s="31" t="s">
        <v>82</v>
      </c>
      <c r="E16" s="8" t="s">
        <v>83</v>
      </c>
    </row>
    <row r="17" customFormat="false" ht="15" hidden="false" customHeight="false" outlineLevel="0" collapsed="false">
      <c r="A17" s="5"/>
      <c r="B17" s="7" t="s">
        <v>84</v>
      </c>
      <c r="C17" s="32" t="n">
        <v>25</v>
      </c>
      <c r="D17" s="31" t="s">
        <v>74</v>
      </c>
      <c r="E17" s="8" t="s">
        <v>85</v>
      </c>
    </row>
    <row r="18" customFormat="false" ht="15" hidden="false" customHeight="false" outlineLevel="0" collapsed="false">
      <c r="A18" s="5"/>
      <c r="B18" s="7" t="s">
        <v>86</v>
      </c>
      <c r="C18" s="33" t="n">
        <v>0.04</v>
      </c>
      <c r="D18" s="31" t="s">
        <v>82</v>
      </c>
      <c r="E18" s="8" t="s">
        <v>87</v>
      </c>
    </row>
    <row r="19" customFormat="false" ht="15" hidden="false" customHeight="false" outlineLevel="0" collapsed="false">
      <c r="A19" s="5"/>
      <c r="B19" s="7" t="s">
        <v>88</v>
      </c>
      <c r="C19" s="33" t="n">
        <v>0.015</v>
      </c>
      <c r="D19" s="31" t="s">
        <v>82</v>
      </c>
      <c r="E19" s="8" t="s">
        <v>89</v>
      </c>
    </row>
    <row r="20" customFormat="false" ht="15" hidden="false" customHeight="false" outlineLevel="0" collapsed="false">
      <c r="A20" s="5"/>
      <c r="B20" s="5"/>
      <c r="C20" s="5"/>
      <c r="D20" s="5"/>
      <c r="E20" s="5"/>
    </row>
    <row r="21" customFormat="false" ht="15" hidden="false" customHeight="false" outlineLevel="0" collapsed="false">
      <c r="A21" s="5"/>
      <c r="B21" s="15" t="s">
        <v>90</v>
      </c>
      <c r="C21" s="16"/>
      <c r="D21" s="16"/>
      <c r="E21" s="16"/>
    </row>
    <row r="22" customFormat="false" ht="15" hidden="false" customHeight="false" outlineLevel="0" collapsed="false">
      <c r="A22" s="5"/>
      <c r="B22" s="7" t="s">
        <v>91</v>
      </c>
      <c r="C22" s="33" t="n">
        <v>0.05</v>
      </c>
      <c r="D22" s="31" t="s">
        <v>92</v>
      </c>
      <c r="E22" s="8" t="s">
        <v>93</v>
      </c>
    </row>
    <row r="23" customFormat="false" ht="15" hidden="false" customHeight="false" outlineLevel="0" collapsed="false">
      <c r="A23" s="5"/>
      <c r="B23" s="7" t="s">
        <v>94</v>
      </c>
      <c r="C23" s="30" t="n">
        <v>200000</v>
      </c>
      <c r="D23" s="31" t="s">
        <v>95</v>
      </c>
      <c r="E23" s="8" t="s">
        <v>96</v>
      </c>
    </row>
    <row r="24" customFormat="false" ht="15" hidden="false" customHeight="false" outlineLevel="0" collapsed="false">
      <c r="A24" s="5"/>
      <c r="B24" s="7" t="s">
        <v>97</v>
      </c>
      <c r="C24" s="30" t="n">
        <v>150000</v>
      </c>
      <c r="D24" s="31" t="s">
        <v>95</v>
      </c>
      <c r="E24" s="8" t="s">
        <v>98</v>
      </c>
    </row>
    <row r="25" customFormat="false" ht="15" hidden="false" customHeight="false" outlineLevel="0" collapsed="false">
      <c r="A25" s="5"/>
      <c r="B25" s="7" t="s">
        <v>99</v>
      </c>
      <c r="C25" s="30" t="n">
        <v>120000</v>
      </c>
      <c r="D25" s="31" t="s">
        <v>95</v>
      </c>
      <c r="E25" s="8" t="s">
        <v>100</v>
      </c>
    </row>
    <row r="26" customFormat="false" ht="15" hidden="false" customHeight="false" outlineLevel="0" collapsed="false">
      <c r="A26" s="5"/>
      <c r="B26" s="7" t="s">
        <v>101</v>
      </c>
      <c r="C26" s="30" t="n">
        <v>80000</v>
      </c>
      <c r="D26" s="31" t="s">
        <v>95</v>
      </c>
      <c r="E26" s="8" t="s">
        <v>102</v>
      </c>
    </row>
    <row r="27" customFormat="false" ht="15" hidden="false" customHeight="false" outlineLevel="0" collapsed="false">
      <c r="A27" s="5"/>
      <c r="B27" s="7" t="s">
        <v>103</v>
      </c>
      <c r="C27" s="30" t="n">
        <v>30000</v>
      </c>
      <c r="D27" s="31" t="s">
        <v>95</v>
      </c>
      <c r="E27" s="8" t="s">
        <v>104</v>
      </c>
    </row>
    <row r="28" customFormat="false" ht="15" hidden="false" customHeight="false" outlineLevel="0" collapsed="false">
      <c r="A28" s="5"/>
      <c r="B28" s="7" t="s">
        <v>105</v>
      </c>
      <c r="C28" s="33" t="n">
        <v>0.03</v>
      </c>
      <c r="D28" s="31" t="s">
        <v>77</v>
      </c>
      <c r="E28" s="8" t="s">
        <v>106</v>
      </c>
    </row>
    <row r="29" customFormat="false" ht="15" hidden="false" customHeight="false" outlineLevel="0" collapsed="false">
      <c r="A29" s="5"/>
      <c r="B29" s="5"/>
      <c r="C29" s="5"/>
      <c r="D29" s="5"/>
      <c r="E29" s="5"/>
    </row>
    <row r="30" customFormat="false" ht="15" hidden="false" customHeight="false" outlineLevel="0" collapsed="false">
      <c r="A30" s="5"/>
      <c r="B30" s="15" t="s">
        <v>107</v>
      </c>
      <c r="C30" s="16"/>
      <c r="D30" s="16"/>
      <c r="E30" s="16"/>
    </row>
    <row r="31" customFormat="false" ht="15" hidden="false" customHeight="false" outlineLevel="0" collapsed="false">
      <c r="A31" s="5"/>
      <c r="B31" s="7" t="s">
        <v>108</v>
      </c>
      <c r="C31" s="32" t="n">
        <v>300</v>
      </c>
      <c r="D31" s="31" t="s">
        <v>109</v>
      </c>
      <c r="E31" s="8" t="s">
        <v>110</v>
      </c>
    </row>
    <row r="32" customFormat="false" ht="15" hidden="false" customHeight="false" outlineLevel="0" collapsed="false">
      <c r="A32" s="5"/>
      <c r="B32" s="5"/>
      <c r="C32" s="5"/>
      <c r="D32" s="5"/>
      <c r="E32" s="5"/>
    </row>
    <row r="33" customFormat="false" ht="15" hidden="false" customHeight="false" outlineLevel="0" collapsed="false">
      <c r="A33" s="5"/>
      <c r="B33" s="15" t="s">
        <v>111</v>
      </c>
      <c r="C33" s="16"/>
      <c r="D33" s="16"/>
      <c r="E33" s="16"/>
    </row>
    <row r="34" customFormat="false" ht="15" hidden="false" customHeight="false" outlineLevel="0" collapsed="false">
      <c r="A34" s="5"/>
      <c r="B34" s="7" t="s">
        <v>112</v>
      </c>
      <c r="C34" s="33" t="n">
        <v>0.75</v>
      </c>
      <c r="D34" s="31" t="s">
        <v>82</v>
      </c>
      <c r="E34" s="8" t="s">
        <v>113</v>
      </c>
    </row>
    <row r="35" customFormat="false" ht="15" hidden="false" customHeight="false" outlineLevel="0" collapsed="false">
      <c r="A35" s="5"/>
      <c r="B35" s="7" t="s">
        <v>114</v>
      </c>
      <c r="C35" s="33" t="n">
        <v>0.055</v>
      </c>
      <c r="D35" s="31" t="s">
        <v>82</v>
      </c>
      <c r="E35" s="8" t="s">
        <v>115</v>
      </c>
    </row>
    <row r="36" customFormat="false" ht="15" hidden="false" customHeight="false" outlineLevel="0" collapsed="false">
      <c r="A36" s="5"/>
      <c r="B36" s="7" t="s">
        <v>116</v>
      </c>
      <c r="C36" s="30" t="n">
        <v>30</v>
      </c>
      <c r="D36" s="31" t="s">
        <v>65</v>
      </c>
      <c r="E36" s="8" t="s">
        <v>117</v>
      </c>
    </row>
    <row r="37" customFormat="false" ht="15" hidden="false" customHeight="false" outlineLevel="0" collapsed="false">
      <c r="A37" s="5"/>
      <c r="B37" s="7" t="s">
        <v>118</v>
      </c>
      <c r="C37" s="30" t="n">
        <v>2</v>
      </c>
      <c r="D37" s="31" t="s">
        <v>65</v>
      </c>
      <c r="E37" s="8" t="s">
        <v>119</v>
      </c>
    </row>
    <row r="38" customFormat="false" ht="15" hidden="false" customHeight="false" outlineLevel="0" collapsed="false">
      <c r="A38" s="5"/>
      <c r="B38" s="7" t="s">
        <v>120</v>
      </c>
      <c r="C38" s="34" t="n">
        <v>1.15</v>
      </c>
      <c r="D38" s="31" t="s">
        <v>121</v>
      </c>
      <c r="E38" s="8" t="s">
        <v>122</v>
      </c>
    </row>
    <row r="39" customFormat="false" ht="15" hidden="false" customHeight="false" outlineLevel="0" collapsed="false">
      <c r="A39" s="5"/>
      <c r="B39" s="5"/>
      <c r="C39" s="5"/>
      <c r="D39" s="5"/>
      <c r="E39" s="5"/>
    </row>
    <row r="40" customFormat="false" ht="15" hidden="false" customHeight="false" outlineLevel="0" collapsed="false">
      <c r="A40" s="5"/>
      <c r="B40" s="15" t="s">
        <v>123</v>
      </c>
      <c r="C40" s="16"/>
      <c r="D40" s="16"/>
      <c r="E40" s="16"/>
    </row>
    <row r="41" customFormat="false" ht="15" hidden="false" customHeight="false" outlineLevel="0" collapsed="false">
      <c r="A41" s="5"/>
      <c r="B41" s="7" t="s">
        <v>124</v>
      </c>
      <c r="C41" s="33" t="n">
        <v>0.0525</v>
      </c>
      <c r="D41" s="31" t="s">
        <v>82</v>
      </c>
      <c r="E41" s="8" t="s">
        <v>125</v>
      </c>
    </row>
    <row r="42" customFormat="false" ht="15" hidden="false" customHeight="false" outlineLevel="0" collapsed="false">
      <c r="A42" s="5"/>
      <c r="B42" s="7" t="s">
        <v>126</v>
      </c>
      <c r="C42" s="33" t="n">
        <v>0.015</v>
      </c>
      <c r="D42" s="31" t="s">
        <v>82</v>
      </c>
      <c r="E42" s="8" t="s">
        <v>127</v>
      </c>
    </row>
    <row r="43" customFormat="false" ht="15" hidden="false" customHeight="false" outlineLevel="0" collapsed="false">
      <c r="A43" s="5"/>
      <c r="B43" s="5"/>
      <c r="C43" s="5"/>
      <c r="D43" s="5"/>
      <c r="E43" s="5"/>
    </row>
    <row r="44" customFormat="false" ht="15" hidden="false" customHeight="false" outlineLevel="0" collapsed="false">
      <c r="A44" s="5"/>
      <c r="B44" s="15" t="s">
        <v>128</v>
      </c>
      <c r="C44" s="16"/>
      <c r="D44" s="16"/>
      <c r="E44" s="16"/>
    </row>
    <row r="45" customFormat="false" ht="15" hidden="false" customHeight="false" outlineLevel="0" collapsed="false">
      <c r="A45" s="5"/>
      <c r="B45" s="7" t="s">
        <v>129</v>
      </c>
      <c r="C45" s="33" t="n">
        <v>0.1</v>
      </c>
      <c r="D45" s="31" t="s">
        <v>82</v>
      </c>
      <c r="E45" s="8" t="s">
        <v>130</v>
      </c>
    </row>
    <row r="46" customFormat="false" ht="15" hidden="false" customHeight="false" outlineLevel="0" collapsed="false">
      <c r="A46" s="5"/>
      <c r="B46" s="7" t="s">
        <v>131</v>
      </c>
      <c r="C46" s="34" t="n">
        <v>1.8</v>
      </c>
      <c r="D46" s="31" t="s">
        <v>121</v>
      </c>
      <c r="E46" s="8" t="s">
        <v>132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L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0" t="s">
        <v>8</v>
      </c>
      <c r="C2" s="5"/>
      <c r="D2" s="5"/>
      <c r="E2" s="5"/>
      <c r="F2" s="5"/>
      <c r="G2" s="5"/>
      <c r="H2" s="5"/>
      <c r="I2" s="5"/>
      <c r="J2" s="5"/>
      <c r="K2" s="5"/>
      <c r="L2" s="5"/>
    </row>
    <row r="3" customFormat="false" ht="15" hidden="false" customHeight="false" outlineLevel="0" collapsed="false">
      <c r="A3" s="5"/>
      <c r="B3" s="8" t="s">
        <v>9</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28" t="s">
        <v>62</v>
      </c>
      <c r="C5" s="35" t="n">
        <f aca="false">Base_Year+0</f>
        <v>2025</v>
      </c>
      <c r="D5" s="35" t="n">
        <f aca="false">Base_Year+1</f>
        <v>2026</v>
      </c>
      <c r="E5" s="35" t="n">
        <f aca="false">Base_Year+2</f>
        <v>2027</v>
      </c>
      <c r="F5" s="35" t="n">
        <f aca="false">Base_Year+3</f>
        <v>2028</v>
      </c>
      <c r="G5" s="35" t="n">
        <f aca="false">Base_Year+4</f>
        <v>2029</v>
      </c>
      <c r="H5" s="35" t="n">
        <f aca="false">Base_Year+5</f>
        <v>2030</v>
      </c>
      <c r="I5" s="35" t="n">
        <f aca="false">Base_Year+6</f>
        <v>2031</v>
      </c>
      <c r="J5" s="35" t="n">
        <f aca="false">Base_Year+7</f>
        <v>2032</v>
      </c>
      <c r="K5" s="35" t="n">
        <f aca="false">Base_Year+8</f>
        <v>2033</v>
      </c>
      <c r="L5" s="35" t="n">
        <f aca="false">Base_Year+9</f>
        <v>2034</v>
      </c>
    </row>
    <row r="6" customFormat="false" ht="15" hidden="false" customHeight="false" outlineLevel="0" collapsed="false">
      <c r="A6" s="5"/>
      <c r="B6" s="8" t="s">
        <v>133</v>
      </c>
      <c r="C6" s="31" t="n">
        <f aca="false">COLUMN(C1)-2</f>
        <v>1</v>
      </c>
      <c r="D6" s="31" t="n">
        <f aca="false">COLUMN(D1)-2</f>
        <v>2</v>
      </c>
      <c r="E6" s="31" t="n">
        <f aca="false">COLUMN(E1)-2</f>
        <v>3</v>
      </c>
      <c r="F6" s="31" t="n">
        <f aca="false">COLUMN(F1)-2</f>
        <v>4</v>
      </c>
      <c r="G6" s="31" t="n">
        <f aca="false">COLUMN(G1)-2</f>
        <v>5</v>
      </c>
      <c r="H6" s="31" t="n">
        <f aca="false">COLUMN(H1)-2</f>
        <v>6</v>
      </c>
      <c r="I6" s="31" t="n">
        <f aca="false">COLUMN(I1)-2</f>
        <v>7</v>
      </c>
      <c r="J6" s="31" t="n">
        <f aca="false">COLUMN(J1)-2</f>
        <v>8</v>
      </c>
      <c r="K6" s="31" t="n">
        <f aca="false">COLUMN(K1)-2</f>
        <v>9</v>
      </c>
      <c r="L6" s="31" t="n">
        <f aca="false">COLUMN(L1)-2</f>
        <v>10</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15" t="s">
        <v>134</v>
      </c>
      <c r="C8" s="16"/>
      <c r="D8" s="16"/>
      <c r="E8" s="16"/>
      <c r="F8" s="16"/>
      <c r="G8" s="16"/>
      <c r="H8" s="16"/>
      <c r="I8" s="16"/>
      <c r="J8" s="16"/>
      <c r="K8" s="16"/>
      <c r="L8" s="16"/>
    </row>
    <row r="9" customFormat="false" ht="15" hidden="false" customHeight="false" outlineLevel="0" collapsed="false">
      <c r="A9" s="5"/>
      <c r="B9" s="7" t="s">
        <v>135</v>
      </c>
      <c r="C9" s="36" t="n">
        <f aca="false">Total_Units</f>
        <v>200</v>
      </c>
      <c r="D9" s="36" t="n">
        <f aca="false">Total_Units</f>
        <v>200</v>
      </c>
      <c r="E9" s="36" t="n">
        <f aca="false">Total_Units</f>
        <v>200</v>
      </c>
      <c r="F9" s="36" t="n">
        <f aca="false">Total_Units</f>
        <v>200</v>
      </c>
      <c r="G9" s="36" t="n">
        <f aca="false">Total_Units</f>
        <v>200</v>
      </c>
      <c r="H9" s="36" t="n">
        <f aca="false">Total_Units</f>
        <v>200</v>
      </c>
      <c r="I9" s="36" t="n">
        <f aca="false">Total_Units</f>
        <v>200</v>
      </c>
      <c r="J9" s="36" t="n">
        <f aca="false">Total_Units</f>
        <v>200</v>
      </c>
      <c r="K9" s="36" t="n">
        <f aca="false">Total_Units</f>
        <v>200</v>
      </c>
      <c r="L9" s="36" t="n">
        <f aca="false">Total_Units</f>
        <v>200</v>
      </c>
    </row>
    <row r="10" customFormat="false" ht="15" hidden="false" customHeight="false" outlineLevel="0" collapsed="false">
      <c r="A10" s="5"/>
      <c r="B10" s="37" t="s">
        <v>73</v>
      </c>
      <c r="C10" s="38" t="n">
        <f aca="false">Monthly_Rent*(1+Rent_Growth)^(C6-1)</f>
        <v>850</v>
      </c>
      <c r="D10" s="38" t="n">
        <f aca="false">Monthly_Rent*(1+Rent_Growth)^(D6-1)</f>
        <v>867</v>
      </c>
      <c r="E10" s="38" t="n">
        <f aca="false">Monthly_Rent*(1+Rent_Growth)^(E6-1)</f>
        <v>884.34</v>
      </c>
      <c r="F10" s="38" t="n">
        <f aca="false">Monthly_Rent*(1+Rent_Growth)^(F6-1)</f>
        <v>902.0268</v>
      </c>
      <c r="G10" s="38" t="n">
        <f aca="false">Monthly_Rent*(1+Rent_Growth)^(G6-1)</f>
        <v>920.067336</v>
      </c>
      <c r="H10" s="38" t="n">
        <f aca="false">Monthly_Rent*(1+Rent_Growth)^(H6-1)</f>
        <v>938.46868272</v>
      </c>
      <c r="I10" s="38" t="n">
        <f aca="false">Monthly_Rent*(1+Rent_Growth)^(I6-1)</f>
        <v>957.2380563744</v>
      </c>
      <c r="J10" s="38" t="n">
        <f aca="false">Monthly_Rent*(1+Rent_Growth)^(J6-1)</f>
        <v>976.382817501888</v>
      </c>
      <c r="K10" s="38" t="n">
        <f aca="false">Monthly_Rent*(1+Rent_Growth)^(K6-1)</f>
        <v>995.910473851926</v>
      </c>
      <c r="L10" s="38" t="n">
        <f aca="false">Monthly_Rent*(1+Rent_Growth)^(L6-1)</f>
        <v>1015.82868332896</v>
      </c>
    </row>
    <row r="11" customFormat="false" ht="15" hidden="false" customHeight="false" outlineLevel="0" collapsed="false">
      <c r="A11" s="5"/>
      <c r="B11" s="39" t="s">
        <v>136</v>
      </c>
      <c r="C11" s="40" t="n">
        <f aca="false">C9*C10*12</f>
        <v>2040000</v>
      </c>
      <c r="D11" s="40" t="n">
        <f aca="false">D9*D10*12</f>
        <v>2080800</v>
      </c>
      <c r="E11" s="40" t="n">
        <f aca="false">E9*E10*12</f>
        <v>2122416</v>
      </c>
      <c r="F11" s="40" t="n">
        <f aca="false">F9*F10*12</f>
        <v>2164864.32</v>
      </c>
      <c r="G11" s="40" t="n">
        <f aca="false">G9*G10*12</f>
        <v>2208161.6064</v>
      </c>
      <c r="H11" s="40" t="n">
        <f aca="false">H9*H10*12</f>
        <v>2252324.838528</v>
      </c>
      <c r="I11" s="40" t="n">
        <f aca="false">I9*I10*12</f>
        <v>2297371.33529856</v>
      </c>
      <c r="J11" s="40" t="n">
        <f aca="false">J9*J10*12</f>
        <v>2343318.76200453</v>
      </c>
      <c r="K11" s="40" t="n">
        <f aca="false">K9*K10*12</f>
        <v>2390185.13724462</v>
      </c>
      <c r="L11" s="40" t="n">
        <f aca="false">L9*L10*12</f>
        <v>2437988.83998951</v>
      </c>
    </row>
    <row r="12" customFormat="false" ht="15" hidden="false" customHeight="false" outlineLevel="0" collapsed="false">
      <c r="A12" s="5"/>
      <c r="B12" s="5"/>
      <c r="C12" s="5"/>
      <c r="D12" s="5"/>
      <c r="E12" s="5"/>
      <c r="F12" s="5"/>
      <c r="G12" s="5"/>
      <c r="H12" s="5"/>
      <c r="I12" s="5"/>
      <c r="J12" s="5"/>
      <c r="K12" s="5"/>
      <c r="L12" s="5"/>
    </row>
    <row r="13" customFormat="false" ht="15" hidden="false" customHeight="false" outlineLevel="0" collapsed="false">
      <c r="A13" s="5"/>
      <c r="B13" s="15" t="s">
        <v>137</v>
      </c>
      <c r="C13" s="16"/>
      <c r="D13" s="16"/>
      <c r="E13" s="16"/>
      <c r="F13" s="16"/>
      <c r="G13" s="16"/>
      <c r="H13" s="16"/>
      <c r="I13" s="16"/>
      <c r="J13" s="16"/>
      <c r="K13" s="16"/>
      <c r="L13" s="16"/>
    </row>
    <row r="14" customFormat="false" ht="15" hidden="false" customHeight="false" outlineLevel="0" collapsed="false">
      <c r="A14" s="5"/>
      <c r="B14" s="37" t="s">
        <v>138</v>
      </c>
      <c r="C14" s="36" t="n">
        <f aca="false">-C11*Vacancy_Rate</f>
        <v>-81600</v>
      </c>
      <c r="D14" s="36" t="n">
        <f aca="false">-D11*Vacancy_Rate</f>
        <v>-83232</v>
      </c>
      <c r="E14" s="36" t="n">
        <f aca="false">-E11*Vacancy_Rate</f>
        <v>-84896.64</v>
      </c>
      <c r="F14" s="36" t="n">
        <f aca="false">-F11*Vacancy_Rate</f>
        <v>-86594.5728</v>
      </c>
      <c r="G14" s="36" t="n">
        <f aca="false">-G11*Vacancy_Rate</f>
        <v>-88326.464256</v>
      </c>
      <c r="H14" s="36" t="n">
        <f aca="false">-H11*Vacancy_Rate</f>
        <v>-90092.99354112</v>
      </c>
      <c r="I14" s="36" t="n">
        <f aca="false">-I11*Vacancy_Rate</f>
        <v>-91894.8534119424</v>
      </c>
      <c r="J14" s="36" t="n">
        <f aca="false">-J11*Vacancy_Rate</f>
        <v>-93732.7504801813</v>
      </c>
      <c r="K14" s="36" t="n">
        <f aca="false">-K11*Vacancy_Rate</f>
        <v>-95607.4054897849</v>
      </c>
      <c r="L14" s="36" t="n">
        <f aca="false">-L11*Vacancy_Rate</f>
        <v>-97519.5535995806</v>
      </c>
    </row>
    <row r="15" customFormat="false" ht="15" hidden="false" customHeight="false" outlineLevel="0" collapsed="false">
      <c r="A15" s="5"/>
      <c r="B15" s="37" t="s">
        <v>139</v>
      </c>
      <c r="C15" s="36" t="n">
        <f aca="false">-C11*Bad_Debt_Pct</f>
        <v>-30600</v>
      </c>
      <c r="D15" s="36" t="n">
        <f aca="false">-D11*Bad_Debt_Pct</f>
        <v>-31212</v>
      </c>
      <c r="E15" s="36" t="n">
        <f aca="false">-E11*Bad_Debt_Pct</f>
        <v>-31836.24</v>
      </c>
      <c r="F15" s="36" t="n">
        <f aca="false">-F11*Bad_Debt_Pct</f>
        <v>-32472.9648</v>
      </c>
      <c r="G15" s="36" t="n">
        <f aca="false">-G11*Bad_Debt_Pct</f>
        <v>-33122.424096</v>
      </c>
      <c r="H15" s="36" t="n">
        <f aca="false">-H11*Bad_Debt_Pct</f>
        <v>-33784.87257792</v>
      </c>
      <c r="I15" s="36" t="n">
        <f aca="false">-I11*Bad_Debt_Pct</f>
        <v>-34460.5700294784</v>
      </c>
      <c r="J15" s="36" t="n">
        <f aca="false">-J11*Bad_Debt_Pct</f>
        <v>-35149.781430068</v>
      </c>
      <c r="K15" s="36" t="n">
        <f aca="false">-K11*Bad_Debt_Pct</f>
        <v>-35852.7770586693</v>
      </c>
      <c r="L15" s="36" t="n">
        <f aca="false">-L11*Bad_Debt_Pct</f>
        <v>-36569.8325998427</v>
      </c>
    </row>
    <row r="16" customFormat="false" ht="15" hidden="false" customHeight="false" outlineLevel="0" collapsed="false">
      <c r="A16" s="5"/>
      <c r="B16" s="39" t="s">
        <v>140</v>
      </c>
      <c r="C16" s="40" t="n">
        <f aca="false">C11+C14+C15</f>
        <v>1927800</v>
      </c>
      <c r="D16" s="40" t="n">
        <f aca="false">D11+D14+D15</f>
        <v>1966356</v>
      </c>
      <c r="E16" s="40" t="n">
        <f aca="false">E11+E14+E15</f>
        <v>2005683.12</v>
      </c>
      <c r="F16" s="40" t="n">
        <f aca="false">F11+F14+F15</f>
        <v>2045796.7824</v>
      </c>
      <c r="G16" s="40" t="n">
        <f aca="false">G11+G14+G15</f>
        <v>2086712.718048</v>
      </c>
      <c r="H16" s="40" t="n">
        <f aca="false">H11+H14+H15</f>
        <v>2128446.97240896</v>
      </c>
      <c r="I16" s="40" t="n">
        <f aca="false">I11+I14+I15</f>
        <v>2171015.91185714</v>
      </c>
      <c r="J16" s="40" t="n">
        <f aca="false">J11+J14+J15</f>
        <v>2214436.23009428</v>
      </c>
      <c r="K16" s="40" t="n">
        <f aca="false">K11+K14+K15</f>
        <v>2258724.95469617</v>
      </c>
      <c r="L16" s="40" t="n">
        <f aca="false">L11+L14+L15</f>
        <v>2303899.45379009</v>
      </c>
    </row>
    <row r="17" customFormat="false" ht="15" hidden="false" customHeight="false" outlineLevel="0" collapsed="false">
      <c r="A17" s="5"/>
      <c r="B17" s="5"/>
      <c r="C17" s="5"/>
      <c r="D17" s="5"/>
      <c r="E17" s="5"/>
      <c r="F17" s="5"/>
      <c r="G17" s="5"/>
      <c r="H17" s="5"/>
      <c r="I17" s="5"/>
      <c r="J17" s="5"/>
      <c r="K17" s="5"/>
      <c r="L17" s="5"/>
    </row>
    <row r="18" customFormat="false" ht="15" hidden="false" customHeight="false" outlineLevel="0" collapsed="false">
      <c r="A18" s="5"/>
      <c r="B18" s="15" t="s">
        <v>141</v>
      </c>
      <c r="C18" s="16"/>
      <c r="D18" s="16"/>
      <c r="E18" s="16"/>
      <c r="F18" s="16"/>
      <c r="G18" s="16"/>
      <c r="H18" s="16"/>
      <c r="I18" s="16"/>
      <c r="J18" s="16"/>
      <c r="K18" s="16"/>
      <c r="L18" s="16"/>
    </row>
    <row r="19" customFormat="false" ht="15" hidden="false" customHeight="false" outlineLevel="0" collapsed="false">
      <c r="A19" s="5"/>
      <c r="B19" s="37" t="s">
        <v>142</v>
      </c>
      <c r="C19" s="36" t="n">
        <f aca="false">Total_Units*Voucher_Share*Subsidy_Per_Unit*12*(1+Rent_Growth)^(C6-1)</f>
        <v>192000</v>
      </c>
      <c r="D19" s="36" t="n">
        <f aca="false">Total_Units*Voucher_Share*Subsidy_Per_Unit*12*(1+Rent_Growth)^(D6-1)</f>
        <v>195840</v>
      </c>
      <c r="E19" s="36" t="n">
        <f aca="false">Total_Units*Voucher_Share*Subsidy_Per_Unit*12*(1+Rent_Growth)^(E6-1)</f>
        <v>199756.8</v>
      </c>
      <c r="F19" s="36" t="n">
        <f aca="false">Total_Units*Voucher_Share*Subsidy_Per_Unit*12*(1+Rent_Growth)^(F6-1)</f>
        <v>203751.936</v>
      </c>
      <c r="G19" s="36" t="n">
        <f aca="false">Total_Units*Voucher_Share*Subsidy_Per_Unit*12*(1+Rent_Growth)^(G6-1)</f>
        <v>207826.97472</v>
      </c>
      <c r="H19" s="36" t="n">
        <f aca="false">Total_Units*Voucher_Share*Subsidy_Per_Unit*12*(1+Rent_Growth)^(H6-1)</f>
        <v>211983.5142144</v>
      </c>
      <c r="I19" s="36" t="n">
        <f aca="false">Total_Units*Voucher_Share*Subsidy_Per_Unit*12*(1+Rent_Growth)^(I6-1)</f>
        <v>216223.184498688</v>
      </c>
      <c r="J19" s="36" t="n">
        <f aca="false">Total_Units*Voucher_Share*Subsidy_Per_Unit*12*(1+Rent_Growth)^(J6-1)</f>
        <v>220547.648188662</v>
      </c>
      <c r="K19" s="36" t="n">
        <f aca="false">Total_Units*Voucher_Share*Subsidy_Per_Unit*12*(1+Rent_Growth)^(K6-1)</f>
        <v>224958.601152435</v>
      </c>
      <c r="L19" s="36" t="n">
        <f aca="false">Total_Units*Voucher_Share*Subsidy_Per_Unit*12*(1+Rent_Growth)^(L6-1)</f>
        <v>229457.773175484</v>
      </c>
    </row>
    <row r="20" customFormat="false" ht="15" hidden="false" customHeight="false" outlineLevel="0" collapsed="false">
      <c r="A20" s="5"/>
      <c r="B20" s="37" t="s">
        <v>143</v>
      </c>
      <c r="C20" s="36" t="n">
        <f aca="false">Total_Units*(1-Vacancy_Rate)*Ancillary_Unit*12*(1+Rent_Growth)^(C6-1)</f>
        <v>57600</v>
      </c>
      <c r="D20" s="36" t="n">
        <f aca="false">Total_Units*(1-Vacancy_Rate)*Ancillary_Unit*12*(1+Rent_Growth)^(D6-1)</f>
        <v>58752</v>
      </c>
      <c r="E20" s="36" t="n">
        <f aca="false">Total_Units*(1-Vacancy_Rate)*Ancillary_Unit*12*(1+Rent_Growth)^(E6-1)</f>
        <v>59927.04</v>
      </c>
      <c r="F20" s="36" t="n">
        <f aca="false">Total_Units*(1-Vacancy_Rate)*Ancillary_Unit*12*(1+Rent_Growth)^(F6-1)</f>
        <v>61125.5808</v>
      </c>
      <c r="G20" s="36" t="n">
        <f aca="false">Total_Units*(1-Vacancy_Rate)*Ancillary_Unit*12*(1+Rent_Growth)^(G6-1)</f>
        <v>62348.092416</v>
      </c>
      <c r="H20" s="36" t="n">
        <f aca="false">Total_Units*(1-Vacancy_Rate)*Ancillary_Unit*12*(1+Rent_Growth)^(H6-1)</f>
        <v>63595.05426432</v>
      </c>
      <c r="I20" s="36" t="n">
        <f aca="false">Total_Units*(1-Vacancy_Rate)*Ancillary_Unit*12*(1+Rent_Growth)^(I6-1)</f>
        <v>64866.9553496064</v>
      </c>
      <c r="J20" s="36" t="n">
        <f aca="false">Total_Units*(1-Vacancy_Rate)*Ancillary_Unit*12*(1+Rent_Growth)^(J6-1)</f>
        <v>66164.2944565985</v>
      </c>
      <c r="K20" s="36" t="n">
        <f aca="false">Total_Units*(1-Vacancy_Rate)*Ancillary_Unit*12*(1+Rent_Growth)^(K6-1)</f>
        <v>67487.5803457305</v>
      </c>
      <c r="L20" s="36" t="n">
        <f aca="false">Total_Units*(1-Vacancy_Rate)*Ancillary_Unit*12*(1+Rent_Growth)^(L6-1)</f>
        <v>68837.3319526451</v>
      </c>
    </row>
    <row r="21" customFormat="false" ht="15" hidden="false" customHeight="false" outlineLevel="0" collapsed="false">
      <c r="A21" s="5"/>
      <c r="B21" s="5"/>
      <c r="C21" s="5"/>
      <c r="D21" s="5"/>
      <c r="E21" s="5"/>
      <c r="F21" s="5"/>
      <c r="G21" s="5"/>
      <c r="H21" s="5"/>
      <c r="I21" s="5"/>
      <c r="J21" s="5"/>
      <c r="K21" s="5"/>
      <c r="L21" s="5"/>
    </row>
    <row r="22" customFormat="false" ht="15" hidden="false" customHeight="false" outlineLevel="0" collapsed="false">
      <c r="A22" s="5"/>
      <c r="B22" s="41" t="s">
        <v>144</v>
      </c>
      <c r="C22" s="42" t="n">
        <f aca="false">C16+C19+C20</f>
        <v>2177400</v>
      </c>
      <c r="D22" s="42" t="n">
        <f aca="false">D16+D19+D20</f>
        <v>2220948</v>
      </c>
      <c r="E22" s="42" t="n">
        <f aca="false">E16+E19+E20</f>
        <v>2265366.96</v>
      </c>
      <c r="F22" s="42" t="n">
        <f aca="false">F16+F19+F20</f>
        <v>2310674.2992</v>
      </c>
      <c r="G22" s="42" t="n">
        <f aca="false">G16+G19+G20</f>
        <v>2356887.785184</v>
      </c>
      <c r="H22" s="42" t="n">
        <f aca="false">H16+H19+H20</f>
        <v>2404025.54088768</v>
      </c>
      <c r="I22" s="42" t="n">
        <f aca="false">I16+I19+I20</f>
        <v>2452106.05170543</v>
      </c>
      <c r="J22" s="42" t="n">
        <f aca="false">J16+J19+J20</f>
        <v>2501148.17273954</v>
      </c>
      <c r="K22" s="42" t="n">
        <f aca="false">K16+K19+K20</f>
        <v>2551171.13619433</v>
      </c>
      <c r="L22" s="42" t="n">
        <f aca="false">L16+L19+L20</f>
        <v>2602194.55891822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L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0" t="s">
        <v>90</v>
      </c>
      <c r="C2" s="5"/>
      <c r="D2" s="5"/>
      <c r="E2" s="5"/>
      <c r="F2" s="5"/>
      <c r="G2" s="5"/>
      <c r="H2" s="5"/>
      <c r="I2" s="5"/>
      <c r="J2" s="5"/>
      <c r="K2" s="5"/>
      <c r="L2" s="5"/>
    </row>
    <row r="3" customFormat="false" ht="15" hidden="false" customHeight="false" outlineLevel="0" collapsed="false">
      <c r="A3" s="5"/>
      <c r="B3" s="8" t="s">
        <v>11</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28" t="s">
        <v>62</v>
      </c>
      <c r="C5" s="35" t="n">
        <f aca="false">Base_Year+0</f>
        <v>2025</v>
      </c>
      <c r="D5" s="35" t="n">
        <f aca="false">Base_Year+1</f>
        <v>2026</v>
      </c>
      <c r="E5" s="35" t="n">
        <f aca="false">Base_Year+2</f>
        <v>2027</v>
      </c>
      <c r="F5" s="35" t="n">
        <f aca="false">Base_Year+3</f>
        <v>2028</v>
      </c>
      <c r="G5" s="35" t="n">
        <f aca="false">Base_Year+4</f>
        <v>2029</v>
      </c>
      <c r="H5" s="35" t="n">
        <f aca="false">Base_Year+5</f>
        <v>2030</v>
      </c>
      <c r="I5" s="35" t="n">
        <f aca="false">Base_Year+6</f>
        <v>2031</v>
      </c>
      <c r="J5" s="35" t="n">
        <f aca="false">Base_Year+7</f>
        <v>2032</v>
      </c>
      <c r="K5" s="35" t="n">
        <f aca="false">Base_Year+8</f>
        <v>2033</v>
      </c>
      <c r="L5" s="35" t="n">
        <f aca="false">Base_Year+9</f>
        <v>2034</v>
      </c>
    </row>
    <row r="6" customFormat="false" ht="15" hidden="false" customHeight="false" outlineLevel="0" collapsed="false">
      <c r="A6" s="5"/>
      <c r="B6" s="8" t="s">
        <v>133</v>
      </c>
      <c r="C6" s="31" t="n">
        <f aca="false">COLUMN(C1)-2</f>
        <v>1</v>
      </c>
      <c r="D6" s="31" t="n">
        <f aca="false">COLUMN(D1)-2</f>
        <v>2</v>
      </c>
      <c r="E6" s="31" t="n">
        <f aca="false">COLUMN(E1)-2</f>
        <v>3</v>
      </c>
      <c r="F6" s="31" t="n">
        <f aca="false">COLUMN(F1)-2</f>
        <v>4</v>
      </c>
      <c r="G6" s="31" t="n">
        <f aca="false">COLUMN(G1)-2</f>
        <v>5</v>
      </c>
      <c r="H6" s="31" t="n">
        <f aca="false">COLUMN(H1)-2</f>
        <v>6</v>
      </c>
      <c r="I6" s="31" t="n">
        <f aca="false">COLUMN(I1)-2</f>
        <v>7</v>
      </c>
      <c r="J6" s="31" t="n">
        <f aca="false">COLUMN(J1)-2</f>
        <v>8</v>
      </c>
      <c r="K6" s="31" t="n">
        <f aca="false">COLUMN(K1)-2</f>
        <v>9</v>
      </c>
      <c r="L6" s="31" t="n">
        <f aca="false">COLUMN(L1)-2</f>
        <v>10</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15" t="s">
        <v>145</v>
      </c>
      <c r="C8" s="16"/>
      <c r="D8" s="16"/>
      <c r="E8" s="16"/>
      <c r="F8" s="16"/>
      <c r="G8" s="16"/>
      <c r="H8" s="16"/>
      <c r="I8" s="16"/>
      <c r="J8" s="16"/>
      <c r="K8" s="16"/>
      <c r="L8" s="16"/>
    </row>
    <row r="9" customFormat="false" ht="15" hidden="false" customHeight="false" outlineLevel="0" collapsed="false">
      <c r="A9" s="5"/>
      <c r="B9" s="6" t="s">
        <v>146</v>
      </c>
      <c r="C9" s="43" t="n">
        <f aca="false">Revenue!C$22</f>
        <v>2177400</v>
      </c>
      <c r="D9" s="43" t="n">
        <f aca="false">Revenue!D$22</f>
        <v>2220948</v>
      </c>
      <c r="E9" s="43" t="n">
        <f aca="false">Revenue!E$22</f>
        <v>2265366.96</v>
      </c>
      <c r="F9" s="43" t="n">
        <f aca="false">Revenue!F$22</f>
        <v>2310674.2992</v>
      </c>
      <c r="G9" s="43" t="n">
        <f aca="false">Revenue!G$22</f>
        <v>2356887.785184</v>
      </c>
      <c r="H9" s="43" t="n">
        <f aca="false">Revenue!H$22</f>
        <v>2404025.54088768</v>
      </c>
      <c r="I9" s="43" t="n">
        <f aca="false">Revenue!I$22</f>
        <v>2452106.05170543</v>
      </c>
      <c r="J9" s="43" t="n">
        <f aca="false">Revenue!J$22</f>
        <v>2501148.17273954</v>
      </c>
      <c r="K9" s="43" t="n">
        <f aca="false">Revenue!K$22</f>
        <v>2551171.13619433</v>
      </c>
      <c r="L9" s="43" t="n">
        <f aca="false">Revenue!L$22</f>
        <v>2602194.55891822</v>
      </c>
    </row>
    <row r="10" customFormat="false" ht="15" hidden="false" customHeight="false" outlineLevel="0" collapsed="false">
      <c r="A10" s="5"/>
      <c r="B10" s="5"/>
      <c r="C10" s="5"/>
      <c r="D10" s="5"/>
      <c r="E10" s="5"/>
      <c r="F10" s="5"/>
      <c r="G10" s="5"/>
      <c r="H10" s="5"/>
      <c r="I10" s="5"/>
      <c r="J10" s="5"/>
      <c r="K10" s="5"/>
      <c r="L10" s="5"/>
    </row>
    <row r="11" customFormat="false" ht="15" hidden="false" customHeight="false" outlineLevel="0" collapsed="false">
      <c r="A11" s="5"/>
      <c r="B11" s="15" t="s">
        <v>90</v>
      </c>
      <c r="C11" s="16"/>
      <c r="D11" s="16"/>
      <c r="E11" s="16"/>
      <c r="F11" s="16"/>
      <c r="G11" s="16"/>
      <c r="H11" s="16"/>
      <c r="I11" s="16"/>
      <c r="J11" s="16"/>
      <c r="K11" s="16"/>
      <c r="L11" s="16"/>
    </row>
    <row r="12" customFormat="false" ht="15" hidden="false" customHeight="false" outlineLevel="0" collapsed="false">
      <c r="A12" s="5"/>
      <c r="B12" s="37" t="s">
        <v>91</v>
      </c>
      <c r="C12" s="36" t="n">
        <f aca="false">C9*Mgmt_Fee_Pct</f>
        <v>108870</v>
      </c>
      <c r="D12" s="36" t="n">
        <f aca="false">D9*Mgmt_Fee_Pct</f>
        <v>111047.4</v>
      </c>
      <c r="E12" s="36" t="n">
        <f aca="false">E9*Mgmt_Fee_Pct</f>
        <v>113268.348</v>
      </c>
      <c r="F12" s="36" t="n">
        <f aca="false">F9*Mgmt_Fee_Pct</f>
        <v>115533.71496</v>
      </c>
      <c r="G12" s="36" t="n">
        <f aca="false">G9*Mgmt_Fee_Pct</f>
        <v>117844.3892592</v>
      </c>
      <c r="H12" s="36" t="n">
        <f aca="false">H9*Mgmt_Fee_Pct</f>
        <v>120201.277044384</v>
      </c>
      <c r="I12" s="36" t="n">
        <f aca="false">I9*Mgmt_Fee_Pct</f>
        <v>122605.302585272</v>
      </c>
      <c r="J12" s="36" t="n">
        <f aca="false">J9*Mgmt_Fee_Pct</f>
        <v>125057.408636977</v>
      </c>
      <c r="K12" s="36" t="n">
        <f aca="false">K9*Mgmt_Fee_Pct</f>
        <v>127558.556809717</v>
      </c>
      <c r="L12" s="36" t="n">
        <f aca="false">L9*Mgmt_Fee_Pct</f>
        <v>130109.727945911</v>
      </c>
    </row>
    <row r="13" customFormat="false" ht="15" hidden="false" customHeight="false" outlineLevel="0" collapsed="false">
      <c r="A13" s="5"/>
      <c r="B13" s="37" t="s">
        <v>94</v>
      </c>
      <c r="C13" s="36" t="n">
        <f aca="false">Payroll_Cost*(1+OpEx_Inflation)^(C6-1)</f>
        <v>200000</v>
      </c>
      <c r="D13" s="36" t="n">
        <f aca="false">Payroll_Cost*(1+OpEx_Inflation)^(D6-1)</f>
        <v>206000</v>
      </c>
      <c r="E13" s="36" t="n">
        <f aca="false">Payroll_Cost*(1+OpEx_Inflation)^(E6-1)</f>
        <v>212180</v>
      </c>
      <c r="F13" s="36" t="n">
        <f aca="false">Payroll_Cost*(1+OpEx_Inflation)^(F6-1)</f>
        <v>218545.4</v>
      </c>
      <c r="G13" s="36" t="n">
        <f aca="false">Payroll_Cost*(1+OpEx_Inflation)^(G6-1)</f>
        <v>225101.762</v>
      </c>
      <c r="H13" s="36" t="n">
        <f aca="false">Payroll_Cost*(1+OpEx_Inflation)^(H6-1)</f>
        <v>231854.81486</v>
      </c>
      <c r="I13" s="36" t="n">
        <f aca="false">Payroll_Cost*(1+OpEx_Inflation)^(I6-1)</f>
        <v>238810.4593058</v>
      </c>
      <c r="J13" s="36" t="n">
        <f aca="false">Payroll_Cost*(1+OpEx_Inflation)^(J6-1)</f>
        <v>245974.773084974</v>
      </c>
      <c r="K13" s="36" t="n">
        <f aca="false">Payroll_Cost*(1+OpEx_Inflation)^(K6-1)</f>
        <v>253354.016277523</v>
      </c>
      <c r="L13" s="36" t="n">
        <f aca="false">Payroll_Cost*(1+OpEx_Inflation)^(L6-1)</f>
        <v>260954.636765849</v>
      </c>
    </row>
    <row r="14" customFormat="false" ht="15" hidden="false" customHeight="false" outlineLevel="0" collapsed="false">
      <c r="A14" s="5"/>
      <c r="B14" s="37" t="s">
        <v>97</v>
      </c>
      <c r="C14" s="36" t="n">
        <f aca="false">Utilities_Cost*(1+OpEx_Inflation)^(C6-1)</f>
        <v>150000</v>
      </c>
      <c r="D14" s="36" t="n">
        <f aca="false">Utilities_Cost*(1+OpEx_Inflation)^(D6-1)</f>
        <v>154500</v>
      </c>
      <c r="E14" s="36" t="n">
        <f aca="false">Utilities_Cost*(1+OpEx_Inflation)^(E6-1)</f>
        <v>159135</v>
      </c>
      <c r="F14" s="36" t="n">
        <f aca="false">Utilities_Cost*(1+OpEx_Inflation)^(F6-1)</f>
        <v>163909.05</v>
      </c>
      <c r="G14" s="36" t="n">
        <f aca="false">Utilities_Cost*(1+OpEx_Inflation)^(G6-1)</f>
        <v>168826.3215</v>
      </c>
      <c r="H14" s="36" t="n">
        <f aca="false">Utilities_Cost*(1+OpEx_Inflation)^(H6-1)</f>
        <v>173891.111145</v>
      </c>
      <c r="I14" s="36" t="n">
        <f aca="false">Utilities_Cost*(1+OpEx_Inflation)^(I6-1)</f>
        <v>179107.84447935</v>
      </c>
      <c r="J14" s="36" t="n">
        <f aca="false">Utilities_Cost*(1+OpEx_Inflation)^(J6-1)</f>
        <v>184481.079813731</v>
      </c>
      <c r="K14" s="36" t="n">
        <f aca="false">Utilities_Cost*(1+OpEx_Inflation)^(K6-1)</f>
        <v>190015.512208142</v>
      </c>
      <c r="L14" s="36" t="n">
        <f aca="false">Utilities_Cost*(1+OpEx_Inflation)^(L6-1)</f>
        <v>195715.977574387</v>
      </c>
    </row>
    <row r="15" customFormat="false" ht="15" hidden="false" customHeight="false" outlineLevel="0" collapsed="false">
      <c r="A15" s="5"/>
      <c r="B15" s="37" t="s">
        <v>99</v>
      </c>
      <c r="C15" s="36" t="n">
        <f aca="false">Repairs_Cost*(1+OpEx_Inflation)^(C6-1)</f>
        <v>120000</v>
      </c>
      <c r="D15" s="36" t="n">
        <f aca="false">Repairs_Cost*(1+OpEx_Inflation)^(D6-1)</f>
        <v>123600</v>
      </c>
      <c r="E15" s="36" t="n">
        <f aca="false">Repairs_Cost*(1+OpEx_Inflation)^(E6-1)</f>
        <v>127308</v>
      </c>
      <c r="F15" s="36" t="n">
        <f aca="false">Repairs_Cost*(1+OpEx_Inflation)^(F6-1)</f>
        <v>131127.24</v>
      </c>
      <c r="G15" s="36" t="n">
        <f aca="false">Repairs_Cost*(1+OpEx_Inflation)^(G6-1)</f>
        <v>135061.0572</v>
      </c>
      <c r="H15" s="36" t="n">
        <f aca="false">Repairs_Cost*(1+OpEx_Inflation)^(H6-1)</f>
        <v>139112.888916</v>
      </c>
      <c r="I15" s="36" t="n">
        <f aca="false">Repairs_Cost*(1+OpEx_Inflation)^(I6-1)</f>
        <v>143286.27558348</v>
      </c>
      <c r="J15" s="36" t="n">
        <f aca="false">Repairs_Cost*(1+OpEx_Inflation)^(J6-1)</f>
        <v>147584.863850984</v>
      </c>
      <c r="K15" s="36" t="n">
        <f aca="false">Repairs_Cost*(1+OpEx_Inflation)^(K6-1)</f>
        <v>152012.409766514</v>
      </c>
      <c r="L15" s="36" t="n">
        <f aca="false">Repairs_Cost*(1+OpEx_Inflation)^(L6-1)</f>
        <v>156572.782059509</v>
      </c>
    </row>
    <row r="16" customFormat="false" ht="15" hidden="false" customHeight="false" outlineLevel="0" collapsed="false">
      <c r="A16" s="5"/>
      <c r="B16" s="37" t="s">
        <v>101</v>
      </c>
      <c r="C16" s="36" t="n">
        <f aca="false">Insurance_Cost*(1+OpEx_Inflation)^(C6-1)</f>
        <v>80000</v>
      </c>
      <c r="D16" s="36" t="n">
        <f aca="false">Insurance_Cost*(1+OpEx_Inflation)^(D6-1)</f>
        <v>82400</v>
      </c>
      <c r="E16" s="36" t="n">
        <f aca="false">Insurance_Cost*(1+OpEx_Inflation)^(E6-1)</f>
        <v>84872</v>
      </c>
      <c r="F16" s="36" t="n">
        <f aca="false">Insurance_Cost*(1+OpEx_Inflation)^(F6-1)</f>
        <v>87418.16</v>
      </c>
      <c r="G16" s="36" t="n">
        <f aca="false">Insurance_Cost*(1+OpEx_Inflation)^(G6-1)</f>
        <v>90040.7048</v>
      </c>
      <c r="H16" s="36" t="n">
        <f aca="false">Insurance_Cost*(1+OpEx_Inflation)^(H6-1)</f>
        <v>92741.925944</v>
      </c>
      <c r="I16" s="36" t="n">
        <f aca="false">Insurance_Cost*(1+OpEx_Inflation)^(I6-1)</f>
        <v>95524.18372232</v>
      </c>
      <c r="J16" s="36" t="n">
        <f aca="false">Insurance_Cost*(1+OpEx_Inflation)^(J6-1)</f>
        <v>98389.9092339896</v>
      </c>
      <c r="K16" s="36" t="n">
        <f aca="false">Insurance_Cost*(1+OpEx_Inflation)^(K6-1)</f>
        <v>101341.606511009</v>
      </c>
      <c r="L16" s="36" t="n">
        <f aca="false">Insurance_Cost*(1+OpEx_Inflation)^(L6-1)</f>
        <v>104381.85470634</v>
      </c>
    </row>
    <row r="17" customFormat="false" ht="15" hidden="false" customHeight="false" outlineLevel="0" collapsed="false">
      <c r="A17" s="5"/>
      <c r="B17" s="37" t="s">
        <v>103</v>
      </c>
      <c r="C17" s="36" t="n">
        <f aca="false">Compliance_Cost*(1+OpEx_Inflation)^(C6-1)</f>
        <v>30000</v>
      </c>
      <c r="D17" s="36" t="n">
        <f aca="false">Compliance_Cost*(1+OpEx_Inflation)^(D6-1)</f>
        <v>30900</v>
      </c>
      <c r="E17" s="36" t="n">
        <f aca="false">Compliance_Cost*(1+OpEx_Inflation)^(E6-1)</f>
        <v>31827</v>
      </c>
      <c r="F17" s="36" t="n">
        <f aca="false">Compliance_Cost*(1+OpEx_Inflation)^(F6-1)</f>
        <v>32781.81</v>
      </c>
      <c r="G17" s="36" t="n">
        <f aca="false">Compliance_Cost*(1+OpEx_Inflation)^(G6-1)</f>
        <v>33765.2643</v>
      </c>
      <c r="H17" s="36" t="n">
        <f aca="false">Compliance_Cost*(1+OpEx_Inflation)^(H6-1)</f>
        <v>34778.222229</v>
      </c>
      <c r="I17" s="36" t="n">
        <f aca="false">Compliance_Cost*(1+OpEx_Inflation)^(I6-1)</f>
        <v>35821.56889587</v>
      </c>
      <c r="J17" s="36" t="n">
        <f aca="false">Compliance_Cost*(1+OpEx_Inflation)^(J6-1)</f>
        <v>36896.2159627461</v>
      </c>
      <c r="K17" s="36" t="n">
        <f aca="false">Compliance_Cost*(1+OpEx_Inflation)^(K6-1)</f>
        <v>38003.1024416285</v>
      </c>
      <c r="L17" s="36" t="n">
        <f aca="false">Compliance_Cost*(1+OpEx_Inflation)^(L6-1)</f>
        <v>39143.1955148774</v>
      </c>
    </row>
    <row r="18" customFormat="false" ht="15" hidden="false" customHeight="false" outlineLevel="0" collapsed="false">
      <c r="A18" s="5"/>
      <c r="B18" s="5"/>
      <c r="C18" s="5"/>
      <c r="D18" s="5"/>
      <c r="E18" s="5"/>
      <c r="F18" s="5"/>
      <c r="G18" s="5"/>
      <c r="H18" s="5"/>
      <c r="I18" s="5"/>
      <c r="J18" s="5"/>
      <c r="K18" s="5"/>
      <c r="L18" s="5"/>
    </row>
    <row r="19" customFormat="false" ht="15" hidden="false" customHeight="false" outlineLevel="0" collapsed="false">
      <c r="A19" s="5"/>
      <c r="B19" s="41" t="s">
        <v>147</v>
      </c>
      <c r="C19" s="42" t="n">
        <f aca="false">C12+C13+C14+C15+C16+C17</f>
        <v>688870</v>
      </c>
      <c r="D19" s="42" t="n">
        <f aca="false">D12+D13+D14+D15+D16+D17</f>
        <v>708447.4</v>
      </c>
      <c r="E19" s="42" t="n">
        <f aca="false">E12+E13+E14+E15+E16+E17</f>
        <v>728590.348</v>
      </c>
      <c r="F19" s="42" t="n">
        <f aca="false">F12+F13+F14+F15+F16+F17</f>
        <v>749315.37496</v>
      </c>
      <c r="G19" s="42" t="n">
        <f aca="false">G12+G13+G14+G15+G16+G17</f>
        <v>770639.4990592</v>
      </c>
      <c r="H19" s="42" t="n">
        <f aca="false">H12+H13+H14+H15+H16+H17</f>
        <v>792580.240138384</v>
      </c>
      <c r="I19" s="42" t="n">
        <f aca="false">I12+I13+I14+I15+I16+I17</f>
        <v>815155.634572092</v>
      </c>
      <c r="J19" s="42" t="n">
        <f aca="false">J12+J13+J14+J15+J16+J17</f>
        <v>838384.250583402</v>
      </c>
      <c r="K19" s="42" t="n">
        <f aca="false">K12+K13+K14+K15+K16+K17</f>
        <v>862285.204014534</v>
      </c>
      <c r="L19" s="42" t="n">
        <f aca="false">L12+L13+L14+L15+L16+L17</f>
        <v>886878.174566873</v>
      </c>
    </row>
    <row r="20" customFormat="false" ht="15" hidden="false" customHeight="false" outlineLevel="0" collapsed="false">
      <c r="A20" s="5"/>
      <c r="B20" s="5"/>
      <c r="C20" s="5"/>
      <c r="D20" s="5"/>
      <c r="E20" s="5"/>
      <c r="F20" s="5"/>
      <c r="G20" s="5"/>
      <c r="H20" s="5"/>
      <c r="I20" s="5"/>
      <c r="J20" s="5"/>
      <c r="K20" s="5"/>
      <c r="L20" s="5"/>
    </row>
    <row r="21" customFormat="false" ht="15" hidden="false" customHeight="false" outlineLevel="0" collapsed="false">
      <c r="A21" s="5"/>
      <c r="B21" s="15" t="s">
        <v>148</v>
      </c>
      <c r="C21" s="16"/>
      <c r="D21" s="16"/>
      <c r="E21" s="16"/>
      <c r="F21" s="16"/>
      <c r="G21" s="16"/>
      <c r="H21" s="16"/>
      <c r="I21" s="16"/>
      <c r="J21" s="16"/>
      <c r="K21" s="16"/>
      <c r="L21" s="16"/>
    </row>
    <row r="22" customFormat="false" ht="15" hidden="false" customHeight="false" outlineLevel="0" collapsed="false">
      <c r="A22" s="5"/>
      <c r="B22" s="39" t="s">
        <v>149</v>
      </c>
      <c r="C22" s="40" t="n">
        <f aca="false">C9-C19</f>
        <v>1488530</v>
      </c>
      <c r="D22" s="40" t="n">
        <f aca="false">D9-D19</f>
        <v>1512500.6</v>
      </c>
      <c r="E22" s="40" t="n">
        <f aca="false">E9-E19</f>
        <v>1536776.612</v>
      </c>
      <c r="F22" s="40" t="n">
        <f aca="false">F9-F19</f>
        <v>1561358.92424</v>
      </c>
      <c r="G22" s="40" t="n">
        <f aca="false">G9-G19</f>
        <v>1586248.2861248</v>
      </c>
      <c r="H22" s="40" t="n">
        <f aca="false">H9-H19</f>
        <v>1611445.3007493</v>
      </c>
      <c r="I22" s="40" t="n">
        <f aca="false">I9-I19</f>
        <v>1636950.41713334</v>
      </c>
      <c r="J22" s="40" t="n">
        <f aca="false">J9-J19</f>
        <v>1662763.92215614</v>
      </c>
      <c r="K22" s="40" t="n">
        <f aca="false">K9-K19</f>
        <v>1688885.9321798</v>
      </c>
      <c r="L22" s="40" t="n">
        <f aca="false">L9-L19</f>
        <v>1715316.38435135</v>
      </c>
    </row>
    <row r="23" customFormat="false" ht="15" hidden="false" customHeight="false" outlineLevel="0" collapsed="false">
      <c r="A23" s="5"/>
      <c r="B23" s="37" t="s">
        <v>150</v>
      </c>
      <c r="C23" s="44" t="n">
        <f aca="false">IFERROR(C22/C9,0)</f>
        <v>0.683627261871957</v>
      </c>
      <c r="D23" s="44" t="n">
        <f aca="false">IFERROR(D22/D9,0)</f>
        <v>0.68101576443933</v>
      </c>
      <c r="E23" s="44" t="n">
        <f aca="false">IFERROR(E22/E9,0)</f>
        <v>0.678378664090696</v>
      </c>
      <c r="F23" s="44" t="n">
        <f aca="false">IFERROR(F22/F9,0)</f>
        <v>0.675715709817075</v>
      </c>
      <c r="G23" s="44" t="n">
        <f aca="false">IFERROR(G22/G9,0)</f>
        <v>0.673026648148615</v>
      </c>
      <c r="H23" s="44" t="n">
        <f aca="false">IFERROR(H22/H9,0)</f>
        <v>0.670311223130464</v>
      </c>
      <c r="I23" s="44" t="n">
        <f aca="false">IFERROR(I22/I9,0)</f>
        <v>0.66756917629841</v>
      </c>
      <c r="J23" s="44" t="n">
        <f aca="false">IFERROR(J22/J9,0)</f>
        <v>0.664800246654276</v>
      </c>
      <c r="K23" s="44" t="n">
        <f aca="false">IFERROR(K22/K9,0)</f>
        <v>0.662004170641083</v>
      </c>
      <c r="L23" s="44" t="n">
        <f aca="false">IFERROR(L22/L9,0)</f>
        <v>0.659180682117956</v>
      </c>
    </row>
    <row r="24" customFormat="false" ht="15" hidden="false" customHeight="false" outlineLevel="0" collapsed="false">
      <c r="A24" s="5"/>
      <c r="B24" s="37" t="s">
        <v>151</v>
      </c>
      <c r="C24" s="38" t="n">
        <f aca="false">IFERROR(C19/Total_Units,0)</f>
        <v>3444.35</v>
      </c>
      <c r="D24" s="38" t="n">
        <f aca="false">IFERROR(D19/Total_Units,0)</f>
        <v>3542.237</v>
      </c>
      <c r="E24" s="38" t="n">
        <f aca="false">IFERROR(E19/Total_Units,0)</f>
        <v>3642.95174</v>
      </c>
      <c r="F24" s="38" t="n">
        <f aca="false">IFERROR(F19/Total_Units,0)</f>
        <v>3746.5768748</v>
      </c>
      <c r="G24" s="38" t="n">
        <f aca="false">IFERROR(G19/Total_Units,0)</f>
        <v>3853.197495296</v>
      </c>
      <c r="H24" s="38" t="n">
        <f aca="false">IFERROR(H19/Total_Units,0)</f>
        <v>3962.90120069192</v>
      </c>
      <c r="I24" s="38" t="n">
        <f aca="false">IFERROR(I19/Total_Units,0)</f>
        <v>4075.77817286046</v>
      </c>
      <c r="J24" s="38" t="n">
        <f aca="false">IFERROR(J19/Total_Units,0)</f>
        <v>4191.92125291701</v>
      </c>
      <c r="K24" s="38" t="n">
        <f aca="false">IFERROR(K19/Total_Units,0)</f>
        <v>4311.42602007267</v>
      </c>
      <c r="L24" s="38" t="n">
        <f aca="false">IFERROR(L19/Total_Units,0)</f>
        <v>4434.39087283437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L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0" t="s">
        <v>107</v>
      </c>
      <c r="C2" s="5"/>
      <c r="D2" s="5"/>
      <c r="E2" s="5"/>
      <c r="F2" s="5"/>
      <c r="G2" s="5"/>
      <c r="H2" s="5"/>
      <c r="I2" s="5"/>
      <c r="J2" s="5"/>
      <c r="K2" s="5"/>
      <c r="L2" s="5"/>
    </row>
    <row r="3" customFormat="false" ht="15" hidden="false" customHeight="false" outlineLevel="0" collapsed="false">
      <c r="A3" s="5"/>
      <c r="B3" s="8" t="s">
        <v>13</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28" t="s">
        <v>62</v>
      </c>
      <c r="C5" s="35" t="n">
        <f aca="false">Base_Year+0</f>
        <v>2025</v>
      </c>
      <c r="D5" s="35" t="n">
        <f aca="false">Base_Year+1</f>
        <v>2026</v>
      </c>
      <c r="E5" s="35" t="n">
        <f aca="false">Base_Year+2</f>
        <v>2027</v>
      </c>
      <c r="F5" s="35" t="n">
        <f aca="false">Base_Year+3</f>
        <v>2028</v>
      </c>
      <c r="G5" s="35" t="n">
        <f aca="false">Base_Year+4</f>
        <v>2029</v>
      </c>
      <c r="H5" s="35" t="n">
        <f aca="false">Base_Year+5</f>
        <v>2030</v>
      </c>
      <c r="I5" s="35" t="n">
        <f aca="false">Base_Year+6</f>
        <v>2031</v>
      </c>
      <c r="J5" s="35" t="n">
        <f aca="false">Base_Year+7</f>
        <v>2032</v>
      </c>
      <c r="K5" s="35" t="n">
        <f aca="false">Base_Year+8</f>
        <v>2033</v>
      </c>
      <c r="L5" s="35" t="n">
        <f aca="false">Base_Year+9</f>
        <v>2034</v>
      </c>
    </row>
    <row r="6" customFormat="false" ht="15" hidden="false" customHeight="false" outlineLevel="0" collapsed="false">
      <c r="A6" s="5"/>
      <c r="B6" s="8" t="s">
        <v>133</v>
      </c>
      <c r="C6" s="31" t="n">
        <f aca="false">COLUMN(C1)-2</f>
        <v>1</v>
      </c>
      <c r="D6" s="31" t="n">
        <f aca="false">COLUMN(D1)-2</f>
        <v>2</v>
      </c>
      <c r="E6" s="31" t="n">
        <f aca="false">COLUMN(E1)-2</f>
        <v>3</v>
      </c>
      <c r="F6" s="31" t="n">
        <f aca="false">COLUMN(F1)-2</f>
        <v>4</v>
      </c>
      <c r="G6" s="31" t="n">
        <f aca="false">COLUMN(G1)-2</f>
        <v>5</v>
      </c>
      <c r="H6" s="31" t="n">
        <f aca="false">COLUMN(H1)-2</f>
        <v>6</v>
      </c>
      <c r="I6" s="31" t="n">
        <f aca="false">COLUMN(I1)-2</f>
        <v>7</v>
      </c>
      <c r="J6" s="31" t="n">
        <f aca="false">COLUMN(J1)-2</f>
        <v>8</v>
      </c>
      <c r="K6" s="31" t="n">
        <f aca="false">COLUMN(K1)-2</f>
        <v>9</v>
      </c>
      <c r="L6" s="31" t="n">
        <f aca="false">COLUMN(L1)-2</f>
        <v>10</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15" t="s">
        <v>108</v>
      </c>
      <c r="C8" s="16"/>
      <c r="D8" s="16"/>
      <c r="E8" s="16"/>
      <c r="F8" s="16"/>
      <c r="G8" s="16"/>
      <c r="H8" s="16"/>
      <c r="I8" s="16"/>
      <c r="J8" s="16"/>
      <c r="K8" s="16"/>
      <c r="L8" s="16"/>
    </row>
    <row r="9" customFormat="false" ht="15" hidden="false" customHeight="false" outlineLevel="0" collapsed="false">
      <c r="A9" s="5"/>
      <c r="B9" s="37" t="s">
        <v>152</v>
      </c>
      <c r="C9" s="36" t="n">
        <f aca="false">Total_Units*Repl_Reserve*(1+OpEx_Inflation)^(C6-1)</f>
        <v>60000</v>
      </c>
      <c r="D9" s="36" t="n">
        <f aca="false">Total_Units*Repl_Reserve*(1+OpEx_Inflation)^(D6-1)</f>
        <v>61800</v>
      </c>
      <c r="E9" s="36" t="n">
        <f aca="false">Total_Units*Repl_Reserve*(1+OpEx_Inflation)^(E6-1)</f>
        <v>63654</v>
      </c>
      <c r="F9" s="36" t="n">
        <f aca="false">Total_Units*Repl_Reserve*(1+OpEx_Inflation)^(F6-1)</f>
        <v>65563.62</v>
      </c>
      <c r="G9" s="36" t="n">
        <f aca="false">Total_Units*Repl_Reserve*(1+OpEx_Inflation)^(G6-1)</f>
        <v>67530.5286</v>
      </c>
      <c r="H9" s="36" t="n">
        <f aca="false">Total_Units*Repl_Reserve*(1+OpEx_Inflation)^(H6-1)</f>
        <v>69556.444458</v>
      </c>
      <c r="I9" s="36" t="n">
        <f aca="false">Total_Units*Repl_Reserve*(1+OpEx_Inflation)^(I6-1)</f>
        <v>71643.13779174</v>
      </c>
      <c r="J9" s="36" t="n">
        <f aca="false">Total_Units*Repl_Reserve*(1+OpEx_Inflation)^(J6-1)</f>
        <v>73792.4319254922</v>
      </c>
      <c r="K9" s="36" t="n">
        <f aca="false">Total_Units*Repl_Reserve*(1+OpEx_Inflation)^(K6-1)</f>
        <v>76006.204883257</v>
      </c>
      <c r="L9" s="36" t="n">
        <f aca="false">Total_Units*Repl_Reserve*(1+OpEx_Inflation)^(L6-1)</f>
        <v>78286.3910297547</v>
      </c>
    </row>
    <row r="10" customFormat="false" ht="15" hidden="false" customHeight="false" outlineLevel="0" collapsed="false">
      <c r="A10" s="5"/>
      <c r="B10" s="37" t="s">
        <v>153</v>
      </c>
      <c r="C10" s="36" t="n">
        <f aca="false">0</f>
        <v>0</v>
      </c>
      <c r="D10" s="36" t="n">
        <f aca="false">C11</f>
        <v>60000</v>
      </c>
      <c r="E10" s="36" t="n">
        <f aca="false">D11</f>
        <v>121800</v>
      </c>
      <c r="F10" s="36" t="n">
        <f aca="false">E11</f>
        <v>185454</v>
      </c>
      <c r="G10" s="36" t="n">
        <f aca="false">F11</f>
        <v>251017.62</v>
      </c>
      <c r="H10" s="36" t="n">
        <f aca="false">G11</f>
        <v>318548.1486</v>
      </c>
      <c r="I10" s="36" t="n">
        <f aca="false">H11</f>
        <v>388104.593058</v>
      </c>
      <c r="J10" s="36" t="n">
        <f aca="false">I11</f>
        <v>459747.73084974</v>
      </c>
      <c r="K10" s="36" t="n">
        <f aca="false">J11</f>
        <v>533540.162775232</v>
      </c>
      <c r="L10" s="36" t="n">
        <f aca="false">K11</f>
        <v>609546.367658489</v>
      </c>
    </row>
    <row r="11" customFormat="false" ht="15" hidden="false" customHeight="false" outlineLevel="0" collapsed="false">
      <c r="A11" s="5"/>
      <c r="B11" s="39" t="s">
        <v>154</v>
      </c>
      <c r="C11" s="40" t="n">
        <f aca="false">C10+C9</f>
        <v>60000</v>
      </c>
      <c r="D11" s="40" t="n">
        <f aca="false">D10+D9</f>
        <v>121800</v>
      </c>
      <c r="E11" s="40" t="n">
        <f aca="false">E10+E9</f>
        <v>185454</v>
      </c>
      <c r="F11" s="40" t="n">
        <f aca="false">F10+F9</f>
        <v>251017.62</v>
      </c>
      <c r="G11" s="40" t="n">
        <f aca="false">G10+G9</f>
        <v>318548.1486</v>
      </c>
      <c r="H11" s="40" t="n">
        <f aca="false">H10+H9</f>
        <v>388104.593058</v>
      </c>
      <c r="I11" s="40" t="n">
        <f aca="false">I10+I9</f>
        <v>459747.73084974</v>
      </c>
      <c r="J11" s="40" t="n">
        <f aca="false">J10+J9</f>
        <v>533540.162775232</v>
      </c>
      <c r="K11" s="40" t="n">
        <f aca="false">K10+K9</f>
        <v>609546.367658489</v>
      </c>
      <c r="L11" s="40" t="n">
        <f aca="false">L10+L9</f>
        <v>687832.758688244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L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0" t="s">
        <v>155</v>
      </c>
      <c r="C2" s="5"/>
      <c r="D2" s="5"/>
      <c r="E2" s="5"/>
      <c r="F2" s="5"/>
      <c r="G2" s="5"/>
      <c r="H2" s="5"/>
      <c r="I2" s="5"/>
      <c r="J2" s="5"/>
      <c r="K2" s="5"/>
      <c r="L2" s="5"/>
    </row>
    <row r="3" customFormat="false" ht="15" hidden="false" customHeight="false" outlineLevel="0" collapsed="false">
      <c r="A3" s="5"/>
      <c r="B3" s="8" t="s">
        <v>156</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28" t="s">
        <v>62</v>
      </c>
      <c r="C5" s="35" t="n">
        <f aca="false">Base_Year+0</f>
        <v>2025</v>
      </c>
      <c r="D5" s="35" t="n">
        <f aca="false">Base_Year+1</f>
        <v>2026</v>
      </c>
      <c r="E5" s="35" t="n">
        <f aca="false">Base_Year+2</f>
        <v>2027</v>
      </c>
      <c r="F5" s="35" t="n">
        <f aca="false">Base_Year+3</f>
        <v>2028</v>
      </c>
      <c r="G5" s="35" t="n">
        <f aca="false">Base_Year+4</f>
        <v>2029</v>
      </c>
      <c r="H5" s="35" t="n">
        <f aca="false">Base_Year+5</f>
        <v>2030</v>
      </c>
      <c r="I5" s="35" t="n">
        <f aca="false">Base_Year+6</f>
        <v>2031</v>
      </c>
      <c r="J5" s="35" t="n">
        <f aca="false">Base_Year+7</f>
        <v>2032</v>
      </c>
      <c r="K5" s="35" t="n">
        <f aca="false">Base_Year+8</f>
        <v>2033</v>
      </c>
      <c r="L5" s="35" t="n">
        <f aca="false">Base_Year+9</f>
        <v>2034</v>
      </c>
    </row>
    <row r="6" customFormat="false" ht="15" hidden="false" customHeight="false" outlineLevel="0" collapsed="false">
      <c r="A6" s="5"/>
      <c r="B6" s="8" t="s">
        <v>133</v>
      </c>
      <c r="C6" s="31" t="n">
        <f aca="false">COLUMN(C1)-2</f>
        <v>1</v>
      </c>
      <c r="D6" s="31" t="n">
        <f aca="false">COLUMN(D1)-2</f>
        <v>2</v>
      </c>
      <c r="E6" s="31" t="n">
        <f aca="false">COLUMN(E1)-2</f>
        <v>3</v>
      </c>
      <c r="F6" s="31" t="n">
        <f aca="false">COLUMN(F1)-2</f>
        <v>4</v>
      </c>
      <c r="G6" s="31" t="n">
        <f aca="false">COLUMN(G1)-2</f>
        <v>5</v>
      </c>
      <c r="H6" s="31" t="n">
        <f aca="false">COLUMN(H1)-2</f>
        <v>6</v>
      </c>
      <c r="I6" s="31" t="n">
        <f aca="false">COLUMN(I1)-2</f>
        <v>7</v>
      </c>
      <c r="J6" s="31" t="n">
        <f aca="false">COLUMN(J1)-2</f>
        <v>8</v>
      </c>
      <c r="K6" s="31" t="n">
        <f aca="false">COLUMN(K1)-2</f>
        <v>9</v>
      </c>
      <c r="L6" s="31" t="n">
        <f aca="false">COLUMN(L1)-2</f>
        <v>10</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15" t="s">
        <v>157</v>
      </c>
      <c r="C8" s="16"/>
      <c r="D8" s="16"/>
      <c r="E8" s="16"/>
      <c r="F8" s="16"/>
      <c r="G8" s="16"/>
      <c r="H8" s="16"/>
      <c r="I8" s="16"/>
      <c r="J8" s="16"/>
      <c r="K8" s="16"/>
      <c r="L8" s="16"/>
    </row>
    <row r="9" customFormat="false" ht="15" hidden="false" customHeight="false" outlineLevel="0" collapsed="false">
      <c r="A9" s="5"/>
      <c r="B9" s="6" t="s">
        <v>158</v>
      </c>
      <c r="C9" s="43" t="n">
        <f aca="false">Dev_Cost*LTV_Ratio</f>
        <v>26250000</v>
      </c>
      <c r="D9" s="43" t="n">
        <f aca="false">Dev_Cost*LTV_Ratio</f>
        <v>26250000</v>
      </c>
      <c r="E9" s="43" t="n">
        <f aca="false">Dev_Cost*LTV_Ratio</f>
        <v>26250000</v>
      </c>
      <c r="F9" s="43" t="n">
        <f aca="false">Dev_Cost*LTV_Ratio</f>
        <v>26250000</v>
      </c>
      <c r="G9" s="43" t="n">
        <f aca="false">Dev_Cost*LTV_Ratio</f>
        <v>26250000</v>
      </c>
      <c r="H9" s="43" t="n">
        <f aca="false">Dev_Cost*LTV_Ratio</f>
        <v>26250000</v>
      </c>
      <c r="I9" s="43" t="n">
        <f aca="false">Dev_Cost*LTV_Ratio</f>
        <v>26250000</v>
      </c>
      <c r="J9" s="43" t="n">
        <f aca="false">Dev_Cost*LTV_Ratio</f>
        <v>26250000</v>
      </c>
      <c r="K9" s="43" t="n">
        <f aca="false">Dev_Cost*LTV_Ratio</f>
        <v>26250000</v>
      </c>
      <c r="L9" s="43" t="n">
        <f aca="false">Dev_Cost*LTV_Ratio</f>
        <v>26250000</v>
      </c>
    </row>
    <row r="10" customFormat="false" ht="15" hidden="false" customHeight="false" outlineLevel="0" collapsed="false">
      <c r="A10" s="5"/>
      <c r="B10" s="5"/>
      <c r="C10" s="5"/>
      <c r="D10" s="5"/>
      <c r="E10" s="5"/>
      <c r="F10" s="5"/>
      <c r="G10" s="5"/>
      <c r="H10" s="5"/>
      <c r="I10" s="5"/>
      <c r="J10" s="5"/>
      <c r="K10" s="5"/>
      <c r="L10" s="5"/>
    </row>
    <row r="11" customFormat="false" ht="15" hidden="false" customHeight="false" outlineLevel="0" collapsed="false">
      <c r="A11" s="5"/>
      <c r="B11" s="15" t="s">
        <v>159</v>
      </c>
      <c r="C11" s="16"/>
      <c r="D11" s="16"/>
      <c r="E11" s="16"/>
      <c r="F11" s="16"/>
      <c r="G11" s="16"/>
      <c r="H11" s="16"/>
      <c r="I11" s="16"/>
      <c r="J11" s="16"/>
      <c r="K11" s="16"/>
      <c r="L11" s="16"/>
    </row>
    <row r="12" customFormat="false" ht="15" hidden="false" customHeight="false" outlineLevel="0" collapsed="false">
      <c r="A12" s="5"/>
      <c r="B12" s="37" t="s">
        <v>153</v>
      </c>
      <c r="C12" s="36" t="n">
        <f aca="false">C9</f>
        <v>26250000</v>
      </c>
      <c r="D12" s="36" t="n">
        <f aca="false">C15</f>
        <v>26250000</v>
      </c>
      <c r="E12" s="36" t="n">
        <f aca="false">D15</f>
        <v>26250000</v>
      </c>
      <c r="F12" s="36" t="n">
        <f aca="false">E15</f>
        <v>25887608.520916</v>
      </c>
      <c r="G12" s="36" t="n">
        <f aca="false">F15</f>
        <v>25505285.5104824</v>
      </c>
      <c r="H12" s="36" t="n">
        <f aca="false">G15</f>
        <v>25101934.734475</v>
      </c>
      <c r="I12" s="36" t="n">
        <f aca="false">H15</f>
        <v>24676399.6657871</v>
      </c>
      <c r="J12" s="36" t="n">
        <f aca="false">I15</f>
        <v>24227460.1683214</v>
      </c>
      <c r="K12" s="36" t="n">
        <f aca="false">J15</f>
        <v>23753828.9984952</v>
      </c>
      <c r="L12" s="36" t="n">
        <f aca="false">K15</f>
        <v>23254148.1143284</v>
      </c>
    </row>
    <row r="13" customFormat="false" ht="15" hidden="false" customHeight="false" outlineLevel="0" collapsed="false">
      <c r="A13" s="5"/>
      <c r="B13" s="37" t="s">
        <v>160</v>
      </c>
      <c r="C13" s="36" t="n">
        <f aca="false">IF(C6&lt;=IO_Period,0,-(-PMT(Interest_Rate,Amort_Period,C9)-C12*Interest_Rate))</f>
        <v>0</v>
      </c>
      <c r="D13" s="36" t="n">
        <f aca="false">IF(D6&lt;=IO_Period,0,-(-PMT(Interest_Rate,Amort_Period,D9)-D12*Interest_Rate))</f>
        <v>0</v>
      </c>
      <c r="E13" s="36" t="n">
        <f aca="false">IF(E6&lt;=IO_Period,0,-(-PMT(Interest_Rate,Amort_Period,E9)-E12*Interest_Rate))</f>
        <v>-362391.479083976</v>
      </c>
      <c r="F13" s="36" t="n">
        <f aca="false">IF(F6&lt;=IO_Period,0,-(-PMT(Interest_Rate,Amort_Period,F9)-F12*Interest_Rate))</f>
        <v>-382323.010433595</v>
      </c>
      <c r="G13" s="36" t="n">
        <f aca="false">IF(G6&lt;=IO_Period,0,-(-PMT(Interest_Rate,Amort_Period,G9)-G12*Interest_Rate))</f>
        <v>-403350.776007443</v>
      </c>
      <c r="H13" s="36" t="n">
        <f aca="false">IF(H6&lt;=IO_Period,0,-(-PMT(Interest_Rate,Amort_Period,H9)-H12*Interest_Rate))</f>
        <v>-425535.068687852</v>
      </c>
      <c r="I13" s="36" t="n">
        <f aca="false">IF(I6&lt;=IO_Period,0,-(-PMT(Interest_Rate,Amort_Period,I9)-I12*Interest_Rate))</f>
        <v>-448939.497465684</v>
      </c>
      <c r="J13" s="36" t="n">
        <f aca="false">IF(J6&lt;=IO_Period,0,-(-PMT(Interest_Rate,Amort_Period,J9)-J12*Interest_Rate))</f>
        <v>-473631.169826297</v>
      </c>
      <c r="K13" s="36" t="n">
        <f aca="false">IF(K6&lt;=IO_Period,0,-(-PMT(Interest_Rate,Amort_Period,K9)-K12*Interest_Rate))</f>
        <v>-499680.884166743</v>
      </c>
      <c r="L13" s="36" t="n">
        <f aca="false">IF(L6&lt;=IO_Period,0,-(-PMT(Interest_Rate,Amort_Period,L9)-L12*Interest_Rate))</f>
        <v>-527163.332795914</v>
      </c>
    </row>
    <row r="14" customFormat="false" ht="15" hidden="false" customHeight="false" outlineLevel="0" collapsed="false">
      <c r="A14" s="5"/>
      <c r="B14" s="37" t="s">
        <v>161</v>
      </c>
      <c r="C14" s="36" t="n">
        <f aca="false">IF(C6=Hold_Period,-(C12+C13),0)</f>
        <v>0</v>
      </c>
      <c r="D14" s="36" t="n">
        <f aca="false">IF(D6=Hold_Period,-(D12+D13),0)</f>
        <v>0</v>
      </c>
      <c r="E14" s="36" t="n">
        <f aca="false">IF(E6=Hold_Period,-(E12+E13),0)</f>
        <v>0</v>
      </c>
      <c r="F14" s="36" t="n">
        <f aca="false">IF(F6=Hold_Period,-(F12+F13),0)</f>
        <v>0</v>
      </c>
      <c r="G14" s="36" t="n">
        <f aca="false">IF(G6=Hold_Period,-(G12+G13),0)</f>
        <v>0</v>
      </c>
      <c r="H14" s="36" t="n">
        <f aca="false">IF(H6=Hold_Period,-(H12+H13),0)</f>
        <v>0</v>
      </c>
      <c r="I14" s="36" t="n">
        <f aca="false">IF(I6=Hold_Period,-(I12+I13),0)</f>
        <v>0</v>
      </c>
      <c r="J14" s="36" t="n">
        <f aca="false">IF(J6=Hold_Period,-(J12+J13),0)</f>
        <v>0</v>
      </c>
      <c r="K14" s="36" t="n">
        <f aca="false">IF(K6=Hold_Period,-(K12+K13),0)</f>
        <v>0</v>
      </c>
      <c r="L14" s="36" t="n">
        <f aca="false">IF(L6=Hold_Period,-(L12+L13),0)</f>
        <v>-22726984.7815325</v>
      </c>
    </row>
    <row r="15" customFormat="false" ht="15" hidden="false" customHeight="false" outlineLevel="0" collapsed="false">
      <c r="A15" s="5"/>
      <c r="B15" s="39" t="s">
        <v>154</v>
      </c>
      <c r="C15" s="40" t="n">
        <f aca="false">C12+C13+C14</f>
        <v>26250000</v>
      </c>
      <c r="D15" s="40" t="n">
        <f aca="false">D12+D13+D14</f>
        <v>26250000</v>
      </c>
      <c r="E15" s="40" t="n">
        <f aca="false">E12+E13+E14</f>
        <v>25887608.520916</v>
      </c>
      <c r="F15" s="40" t="n">
        <f aca="false">F12+F13+F14</f>
        <v>25505285.5104824</v>
      </c>
      <c r="G15" s="40" t="n">
        <f aca="false">G12+G13+G14</f>
        <v>25101934.734475</v>
      </c>
      <c r="H15" s="40" t="n">
        <f aca="false">H12+H13+H14</f>
        <v>24676399.6657871</v>
      </c>
      <c r="I15" s="40" t="n">
        <f aca="false">I12+I13+I14</f>
        <v>24227460.1683214</v>
      </c>
      <c r="J15" s="40" t="n">
        <f aca="false">J12+J13+J14</f>
        <v>23753828.9984952</v>
      </c>
      <c r="K15" s="40" t="n">
        <f aca="false">K12+K13+K14</f>
        <v>23254148.1143284</v>
      </c>
      <c r="L15" s="40" t="n">
        <f aca="false">L12+L13+L14</f>
        <v>0</v>
      </c>
    </row>
    <row r="16" customFormat="false" ht="15" hidden="false" customHeight="false" outlineLevel="0" collapsed="false">
      <c r="A16" s="5"/>
      <c r="B16" s="5"/>
      <c r="C16" s="5"/>
      <c r="D16" s="5"/>
      <c r="E16" s="5"/>
      <c r="F16" s="5"/>
      <c r="G16" s="5"/>
      <c r="H16" s="5"/>
      <c r="I16" s="5"/>
      <c r="J16" s="5"/>
      <c r="K16" s="5"/>
      <c r="L16" s="5"/>
    </row>
    <row r="17" customFormat="false" ht="15" hidden="false" customHeight="false" outlineLevel="0" collapsed="false">
      <c r="A17" s="5"/>
      <c r="B17" s="15" t="s">
        <v>162</v>
      </c>
      <c r="C17" s="16"/>
      <c r="D17" s="16"/>
      <c r="E17" s="16"/>
      <c r="F17" s="16"/>
      <c r="G17" s="16"/>
      <c r="H17" s="16"/>
      <c r="I17" s="16"/>
      <c r="J17" s="16"/>
      <c r="K17" s="16"/>
      <c r="L17" s="16"/>
    </row>
    <row r="18" customFormat="false" ht="15" hidden="false" customHeight="false" outlineLevel="0" collapsed="false">
      <c r="A18" s="5"/>
      <c r="B18" s="37" t="s">
        <v>163</v>
      </c>
      <c r="C18" s="36" t="n">
        <f aca="false">C12*Interest_Rate</f>
        <v>1443750</v>
      </c>
      <c r="D18" s="36" t="n">
        <f aca="false">D12*Interest_Rate</f>
        <v>1443750</v>
      </c>
      <c r="E18" s="36" t="n">
        <f aca="false">E12*Interest_Rate</f>
        <v>1443750</v>
      </c>
      <c r="F18" s="36" t="n">
        <f aca="false">F12*Interest_Rate</f>
        <v>1423818.46865038</v>
      </c>
      <c r="G18" s="36" t="n">
        <f aca="false">G12*Interest_Rate</f>
        <v>1402790.70307653</v>
      </c>
      <c r="H18" s="36" t="n">
        <f aca="false">H12*Interest_Rate</f>
        <v>1380606.41039612</v>
      </c>
      <c r="I18" s="36" t="n">
        <f aca="false">I12*Interest_Rate</f>
        <v>1357201.98161829</v>
      </c>
      <c r="J18" s="36" t="n">
        <f aca="false">J12*Interest_Rate</f>
        <v>1332510.30925768</v>
      </c>
      <c r="K18" s="36" t="n">
        <f aca="false">K12*Interest_Rate</f>
        <v>1306460.59491723</v>
      </c>
      <c r="L18" s="36" t="n">
        <f aca="false">L12*Interest_Rate</f>
        <v>1278978.14628806</v>
      </c>
    </row>
    <row r="19" customFormat="false" ht="15" hidden="false" customHeight="false" outlineLevel="0" collapsed="false">
      <c r="A19" s="5"/>
      <c r="B19" s="41" t="s">
        <v>164</v>
      </c>
      <c r="C19" s="42" t="n">
        <f aca="false">C18-C13-C14</f>
        <v>1443750</v>
      </c>
      <c r="D19" s="42" t="n">
        <f aca="false">D18-D13-D14</f>
        <v>1443750</v>
      </c>
      <c r="E19" s="42" t="n">
        <f aca="false">E18-E13-E14</f>
        <v>1806141.47908398</v>
      </c>
      <c r="F19" s="42" t="n">
        <f aca="false">F18-F13-F14</f>
        <v>1806141.47908398</v>
      </c>
      <c r="G19" s="42" t="n">
        <f aca="false">G18-G13-G14</f>
        <v>1806141.47908398</v>
      </c>
      <c r="H19" s="42" t="n">
        <f aca="false">H18-H13-H14</f>
        <v>1806141.47908398</v>
      </c>
      <c r="I19" s="42" t="n">
        <f aca="false">I18-I13-I14</f>
        <v>1806141.47908398</v>
      </c>
      <c r="J19" s="42" t="n">
        <f aca="false">J18-J13-J14</f>
        <v>1806141.47908398</v>
      </c>
      <c r="K19" s="42" t="n">
        <f aca="false">K18-K13-K14</f>
        <v>1806141.47908398</v>
      </c>
      <c r="L19" s="42" t="n">
        <f aca="false">L18-L13-L14</f>
        <v>24533126.2606165</v>
      </c>
    </row>
    <row r="20" customFormat="false" ht="15" hidden="false" customHeight="false" outlineLevel="0" collapsed="false">
      <c r="A20" s="5"/>
      <c r="B20" s="5"/>
      <c r="C20" s="5"/>
      <c r="D20" s="5"/>
      <c r="E20" s="5"/>
      <c r="F20" s="5"/>
      <c r="G20" s="5"/>
      <c r="H20" s="5"/>
      <c r="I20" s="5"/>
      <c r="J20" s="5"/>
      <c r="K20" s="5"/>
      <c r="L20" s="5"/>
    </row>
    <row r="21" customFormat="false" ht="15" hidden="false" customHeight="false" outlineLevel="0" collapsed="false">
      <c r="A21" s="5"/>
      <c r="B21" s="15" t="s">
        <v>165</v>
      </c>
      <c r="C21" s="16"/>
      <c r="D21" s="16"/>
      <c r="E21" s="16"/>
      <c r="F21" s="16"/>
      <c r="G21" s="16"/>
      <c r="H21" s="16"/>
      <c r="I21" s="16"/>
      <c r="J21" s="16"/>
      <c r="K21" s="16"/>
      <c r="L21" s="16"/>
    </row>
    <row r="22" customFormat="false" ht="15" hidden="false" customHeight="false" outlineLevel="0" collapsed="false">
      <c r="A22" s="5"/>
      <c r="B22" s="37" t="s">
        <v>166</v>
      </c>
      <c r="C22" s="45" t="n">
        <f aca="false">IFERROR((Operating_Expenses!C$22-Capital_Reserves!C$9)/C19,0)</f>
        <v>0.989458008658009</v>
      </c>
      <c r="D22" s="45" t="n">
        <f aca="false">IFERROR((Operating_Expenses!D$22-Capital_Reserves!D$9)/D19,0)</f>
        <v>1.00481426839827</v>
      </c>
      <c r="E22" s="45" t="n">
        <f aca="false">IFERROR((Operating_Expenses!E$22-Capital_Reserves!E$9)/E19,0)</f>
        <v>0.815618615185742</v>
      </c>
      <c r="F22" s="45" t="n">
        <f aca="false">IFERROR((Operating_Expenses!F$22-Capital_Reserves!F$9)/F19,0)</f>
        <v>0.828171724951816</v>
      </c>
      <c r="G22" s="45" t="n">
        <f aca="false">IFERROR((Operating_Expenses!G$22-Capital_Reserves!G$9)/G19,0)</f>
        <v>0.840863119037081</v>
      </c>
      <c r="H22" s="45" t="n">
        <f aca="false">IFERROR((Operating_Expenses!H$22-Capital_Reserves!H$9)/H19,0)</f>
        <v>0.85369217979164</v>
      </c>
      <c r="I22" s="45" t="n">
        <f aca="false">IFERROR((Operating_Expenses!I$22-Capital_Reserves!I$9)/I19,0)</f>
        <v>0.866658175712504</v>
      </c>
      <c r="J22" s="45" t="n">
        <f aca="false">IFERROR((Operating_Expenses!J$22-Capital_Reserves!J$9)/J19,0)</f>
        <v>0.879760256121536</v>
      </c>
      <c r="K22" s="45" t="n">
        <f aca="false">IFERROR((Operating_Expenses!K$22-Capital_Reserves!K$9)/K19,0)</f>
        <v>0.892997445645592</v>
      </c>
      <c r="L22" s="45" t="n">
        <f aca="false">IFERROR((Operating_Expenses!L$22-Capital_Reserves!L$9)/L19,0)</f>
        <v>0.0667273292417506</v>
      </c>
    </row>
    <row r="23" customFormat="false" ht="15" hidden="false" customHeight="false" outlineLevel="0" collapsed="false">
      <c r="A23" s="5"/>
      <c r="B23" s="37" t="s">
        <v>167</v>
      </c>
      <c r="C23" s="44" t="n">
        <f aca="false">IFERROR(C15/(Operating_Expenses!C$22/Exit_Cap_Rate),0)</f>
        <v>0.925829509650461</v>
      </c>
      <c r="D23" s="44" t="n">
        <f aca="false">IFERROR(D15/(Operating_Expenses!D$22/Exit_Cap_Rate),0)</f>
        <v>0.911156663342811</v>
      </c>
      <c r="E23" s="44" t="n">
        <f aca="false">IFERROR(E15/(Operating_Expenses!E$22/Exit_Cap_Rate),0)</f>
        <v>0.884383219223596</v>
      </c>
      <c r="F23" s="44" t="n">
        <f aca="false">IFERROR(F15/(Operating_Expenses!F$22/Exit_Cap_Rate),0)</f>
        <v>0.85760389139999</v>
      </c>
      <c r="G23" s="44" t="n">
        <f aca="false">IFERROR(G15/(Operating_Expenses!G$22/Exit_Cap_Rate),0)</f>
        <v>0.830797791926663</v>
      </c>
      <c r="H23" s="44" t="n">
        <f aca="false">IFERROR(H15/(Operating_Expenses!H$22/Exit_Cap_Rate),0)</f>
        <v>0.803943504536848</v>
      </c>
      <c r="I23" s="44" t="n">
        <f aca="false">IFERROR(I15/(Operating_Expenses!I$22/Exit_Cap_Rate),0)</f>
        <v>0.777019050500212</v>
      </c>
      <c r="J23" s="44" t="n">
        <f aca="false">IFERROR(J15/(Operating_Expenses!J$22/Exit_Cap_Rate),0)</f>
        <v>0.750001852820986</v>
      </c>
      <c r="K23" s="44" t="n">
        <f aca="false">IFERROR(K15/(Operating_Expenses!K$22/Exit_Cap_Rate),0)</f>
        <v>0.722868698673174</v>
      </c>
      <c r="L23" s="44" t="n">
        <f aca="false">IFERROR(L15/(Operating_Expenses!L$22/Exit_Cap_Rate),0)</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L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0" t="s">
        <v>168</v>
      </c>
      <c r="C2" s="5"/>
      <c r="D2" s="5"/>
      <c r="E2" s="5"/>
      <c r="F2" s="5"/>
      <c r="G2" s="5"/>
      <c r="H2" s="5"/>
      <c r="I2" s="5"/>
      <c r="J2" s="5"/>
      <c r="K2" s="5"/>
      <c r="L2" s="5"/>
    </row>
    <row r="3" customFormat="false" ht="15" hidden="false" customHeight="false" outlineLevel="0" collapsed="false">
      <c r="A3" s="5"/>
      <c r="B3" s="8" t="s">
        <v>17</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28" t="s">
        <v>62</v>
      </c>
      <c r="C5" s="35" t="n">
        <f aca="false">Base_Year+0</f>
        <v>2025</v>
      </c>
      <c r="D5" s="35" t="n">
        <f aca="false">Base_Year+1</f>
        <v>2026</v>
      </c>
      <c r="E5" s="35" t="n">
        <f aca="false">Base_Year+2</f>
        <v>2027</v>
      </c>
      <c r="F5" s="35" t="n">
        <f aca="false">Base_Year+3</f>
        <v>2028</v>
      </c>
      <c r="G5" s="35" t="n">
        <f aca="false">Base_Year+4</f>
        <v>2029</v>
      </c>
      <c r="H5" s="35" t="n">
        <f aca="false">Base_Year+5</f>
        <v>2030</v>
      </c>
      <c r="I5" s="35" t="n">
        <f aca="false">Base_Year+6</f>
        <v>2031</v>
      </c>
      <c r="J5" s="35" t="n">
        <f aca="false">Base_Year+7</f>
        <v>2032</v>
      </c>
      <c r="K5" s="35" t="n">
        <f aca="false">Base_Year+8</f>
        <v>2033</v>
      </c>
      <c r="L5" s="35" t="n">
        <f aca="false">Base_Year+9</f>
        <v>2034</v>
      </c>
    </row>
    <row r="6" customFormat="false" ht="15" hidden="false" customHeight="false" outlineLevel="0" collapsed="false">
      <c r="A6" s="5"/>
      <c r="B6" s="8" t="s">
        <v>133</v>
      </c>
      <c r="C6" s="31" t="n">
        <f aca="false">COLUMN(C1)-2</f>
        <v>1</v>
      </c>
      <c r="D6" s="31" t="n">
        <f aca="false">COLUMN(D1)-2</f>
        <v>2</v>
      </c>
      <c r="E6" s="31" t="n">
        <f aca="false">COLUMN(E1)-2</f>
        <v>3</v>
      </c>
      <c r="F6" s="31" t="n">
        <f aca="false">COLUMN(F1)-2</f>
        <v>4</v>
      </c>
      <c r="G6" s="31" t="n">
        <f aca="false">COLUMN(G1)-2</f>
        <v>5</v>
      </c>
      <c r="H6" s="31" t="n">
        <f aca="false">COLUMN(H1)-2</f>
        <v>6</v>
      </c>
      <c r="I6" s="31" t="n">
        <f aca="false">COLUMN(I1)-2</f>
        <v>7</v>
      </c>
      <c r="J6" s="31" t="n">
        <f aca="false">COLUMN(J1)-2</f>
        <v>8</v>
      </c>
      <c r="K6" s="31" t="n">
        <f aca="false">COLUMN(K1)-2</f>
        <v>9</v>
      </c>
      <c r="L6" s="31" t="n">
        <f aca="false">COLUMN(L1)-2</f>
        <v>10</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15" t="s">
        <v>169</v>
      </c>
      <c r="C8" s="16"/>
      <c r="D8" s="16"/>
      <c r="E8" s="16"/>
      <c r="F8" s="16"/>
      <c r="G8" s="16"/>
      <c r="H8" s="16"/>
      <c r="I8" s="16"/>
      <c r="J8" s="16"/>
      <c r="K8" s="16"/>
      <c r="L8" s="16"/>
    </row>
    <row r="9" customFormat="false" ht="15" hidden="false" customHeight="false" outlineLevel="0" collapsed="false">
      <c r="A9" s="5"/>
      <c r="B9" s="37" t="s">
        <v>70</v>
      </c>
      <c r="C9" s="36" t="n">
        <f aca="false">IF(C6=1,-Dev_Cost,0)</f>
        <v>-35000000</v>
      </c>
      <c r="D9" s="36" t="n">
        <f aca="false">IF(D6=1,-Dev_Cost,0)</f>
        <v>0</v>
      </c>
      <c r="E9" s="36" t="n">
        <f aca="false">IF(E6=1,-Dev_Cost,0)</f>
        <v>0</v>
      </c>
      <c r="F9" s="36" t="n">
        <f aca="false">IF(F6=1,-Dev_Cost,0)</f>
        <v>0</v>
      </c>
      <c r="G9" s="36" t="n">
        <f aca="false">IF(G6=1,-Dev_Cost,0)</f>
        <v>0</v>
      </c>
      <c r="H9" s="36" t="n">
        <f aca="false">IF(H6=1,-Dev_Cost,0)</f>
        <v>0</v>
      </c>
      <c r="I9" s="36" t="n">
        <f aca="false">IF(I6=1,-Dev_Cost,0)</f>
        <v>0</v>
      </c>
      <c r="J9" s="36" t="n">
        <f aca="false">IF(J6=1,-Dev_Cost,0)</f>
        <v>0</v>
      </c>
      <c r="K9" s="36" t="n">
        <f aca="false">IF(K6=1,-Dev_Cost,0)</f>
        <v>0</v>
      </c>
      <c r="L9" s="36" t="n">
        <f aca="false">IF(L6=1,-Dev_Cost,0)</f>
        <v>0</v>
      </c>
    </row>
    <row r="10" customFormat="false" ht="15" hidden="false" customHeight="false" outlineLevel="0" collapsed="false">
      <c r="A10" s="5"/>
      <c r="B10" s="39" t="s">
        <v>170</v>
      </c>
      <c r="C10" s="40" t="n">
        <f aca="false">C9</f>
        <v>-35000000</v>
      </c>
      <c r="D10" s="40" t="n">
        <f aca="false">D9</f>
        <v>0</v>
      </c>
      <c r="E10" s="40" t="n">
        <f aca="false">E9</f>
        <v>0</v>
      </c>
      <c r="F10" s="40" t="n">
        <f aca="false">F9</f>
        <v>0</v>
      </c>
      <c r="G10" s="40" t="n">
        <f aca="false">G9</f>
        <v>0</v>
      </c>
      <c r="H10" s="40" t="n">
        <f aca="false">H9</f>
        <v>0</v>
      </c>
      <c r="I10" s="40" t="n">
        <f aca="false">I9</f>
        <v>0</v>
      </c>
      <c r="J10" s="40" t="n">
        <f aca="false">J9</f>
        <v>0</v>
      </c>
      <c r="K10" s="40" t="n">
        <f aca="false">K9</f>
        <v>0</v>
      </c>
      <c r="L10" s="40" t="n">
        <f aca="false">L9</f>
        <v>0</v>
      </c>
    </row>
    <row r="11" customFormat="false" ht="15" hidden="false" customHeight="false" outlineLevel="0" collapsed="false">
      <c r="A11" s="5"/>
      <c r="B11" s="5"/>
      <c r="C11" s="5"/>
      <c r="D11" s="5"/>
      <c r="E11" s="5"/>
      <c r="F11" s="5"/>
      <c r="G11" s="5"/>
      <c r="H11" s="5"/>
      <c r="I11" s="5"/>
      <c r="J11" s="5"/>
      <c r="K11" s="5"/>
      <c r="L11" s="5"/>
    </row>
    <row r="12" customFormat="false" ht="15" hidden="false" customHeight="false" outlineLevel="0" collapsed="false">
      <c r="A12" s="5"/>
      <c r="B12" s="15" t="s">
        <v>111</v>
      </c>
      <c r="C12" s="16"/>
      <c r="D12" s="16"/>
      <c r="E12" s="16"/>
      <c r="F12" s="16"/>
      <c r="G12" s="16"/>
      <c r="H12" s="16"/>
      <c r="I12" s="16"/>
      <c r="J12" s="16"/>
      <c r="K12" s="16"/>
      <c r="L12" s="16"/>
    </row>
    <row r="13" customFormat="false" ht="15" hidden="false" customHeight="false" outlineLevel="0" collapsed="false">
      <c r="A13" s="5"/>
      <c r="B13" s="37" t="s">
        <v>171</v>
      </c>
      <c r="C13" s="36" t="n">
        <f aca="false">IF(C6=1,Debt_Schedule!C$9,0)</f>
        <v>26250000</v>
      </c>
      <c r="D13" s="36" t="n">
        <f aca="false">IF(D6=1,Debt_Schedule!D$9,0)</f>
        <v>0</v>
      </c>
      <c r="E13" s="36" t="n">
        <f aca="false">IF(E6=1,Debt_Schedule!E$9,0)</f>
        <v>0</v>
      </c>
      <c r="F13" s="36" t="n">
        <f aca="false">IF(F6=1,Debt_Schedule!F$9,0)</f>
        <v>0</v>
      </c>
      <c r="G13" s="36" t="n">
        <f aca="false">IF(G6=1,Debt_Schedule!G$9,0)</f>
        <v>0</v>
      </c>
      <c r="H13" s="36" t="n">
        <f aca="false">IF(H6=1,Debt_Schedule!H$9,0)</f>
        <v>0</v>
      </c>
      <c r="I13" s="36" t="n">
        <f aca="false">IF(I6=1,Debt_Schedule!I$9,0)</f>
        <v>0</v>
      </c>
      <c r="J13" s="36" t="n">
        <f aca="false">IF(J6=1,Debt_Schedule!J$9,0)</f>
        <v>0</v>
      </c>
      <c r="K13" s="36" t="n">
        <f aca="false">IF(K6=1,Debt_Schedule!K$9,0)</f>
        <v>0</v>
      </c>
      <c r="L13" s="36" t="n">
        <f aca="false">IF(L6=1,Debt_Schedule!L$9,0)</f>
        <v>0</v>
      </c>
    </row>
    <row r="14" customFormat="false" ht="15" hidden="false" customHeight="false" outlineLevel="0" collapsed="false">
      <c r="A14" s="5"/>
      <c r="B14" s="39" t="s">
        <v>172</v>
      </c>
      <c r="C14" s="40" t="n">
        <f aca="false">IF(C6=1,-Dev_Cost+C13,0)</f>
        <v>-8750000</v>
      </c>
      <c r="D14" s="40" t="n">
        <f aca="false">IF(D6=1,-Dev_Cost+D13,0)</f>
        <v>0</v>
      </c>
      <c r="E14" s="40" t="n">
        <f aca="false">IF(E6=1,-Dev_Cost+E13,0)</f>
        <v>0</v>
      </c>
      <c r="F14" s="40" t="n">
        <f aca="false">IF(F6=1,-Dev_Cost+F13,0)</f>
        <v>0</v>
      </c>
      <c r="G14" s="40" t="n">
        <f aca="false">IF(G6=1,-Dev_Cost+G13,0)</f>
        <v>0</v>
      </c>
      <c r="H14" s="40" t="n">
        <f aca="false">IF(H6=1,-Dev_Cost+H13,0)</f>
        <v>0</v>
      </c>
      <c r="I14" s="40" t="n">
        <f aca="false">IF(I6=1,-Dev_Cost+I13,0)</f>
        <v>0</v>
      </c>
      <c r="J14" s="40" t="n">
        <f aca="false">IF(J6=1,-Dev_Cost+J13,0)</f>
        <v>0</v>
      </c>
      <c r="K14" s="40" t="n">
        <f aca="false">IF(K6=1,-Dev_Cost+K13,0)</f>
        <v>0</v>
      </c>
      <c r="L14" s="40" t="n">
        <f aca="false">IF(L6=1,-Dev_Cost+L13,0)</f>
        <v>0</v>
      </c>
    </row>
    <row r="15" customFormat="false" ht="15" hidden="false" customHeight="false" outlineLevel="0" collapsed="false">
      <c r="A15" s="5"/>
      <c r="B15" s="5"/>
      <c r="C15" s="5"/>
      <c r="D15" s="5"/>
      <c r="E15" s="5"/>
      <c r="F15" s="5"/>
      <c r="G15" s="5"/>
      <c r="H15" s="5"/>
      <c r="I15" s="5"/>
      <c r="J15" s="5"/>
      <c r="K15" s="5"/>
      <c r="L15" s="5"/>
    </row>
    <row r="16" customFormat="false" ht="15" hidden="false" customHeight="false" outlineLevel="0" collapsed="false">
      <c r="A16" s="5"/>
      <c r="B16" s="15" t="s">
        <v>173</v>
      </c>
      <c r="C16" s="16"/>
      <c r="D16" s="16"/>
      <c r="E16" s="16"/>
      <c r="F16" s="16"/>
      <c r="G16" s="16"/>
      <c r="H16" s="16"/>
      <c r="I16" s="16"/>
      <c r="J16" s="16"/>
      <c r="K16" s="16"/>
      <c r="L16" s="16"/>
    </row>
    <row r="17" customFormat="false" ht="15" hidden="false" customHeight="false" outlineLevel="0" collapsed="false">
      <c r="A17" s="5"/>
      <c r="B17" s="37" t="s">
        <v>148</v>
      </c>
      <c r="C17" s="36" t="n">
        <f aca="false">Operating_Expenses!C$22</f>
        <v>1488530</v>
      </c>
      <c r="D17" s="36" t="n">
        <f aca="false">Operating_Expenses!D$22</f>
        <v>1512500.6</v>
      </c>
      <c r="E17" s="36" t="n">
        <f aca="false">Operating_Expenses!E$22</f>
        <v>1536776.612</v>
      </c>
      <c r="F17" s="36" t="n">
        <f aca="false">Operating_Expenses!F$22</f>
        <v>1561358.92424</v>
      </c>
      <c r="G17" s="36" t="n">
        <f aca="false">Operating_Expenses!G$22</f>
        <v>1586248.2861248</v>
      </c>
      <c r="H17" s="36" t="n">
        <f aca="false">Operating_Expenses!H$22</f>
        <v>1611445.3007493</v>
      </c>
      <c r="I17" s="36" t="n">
        <f aca="false">Operating_Expenses!I$22</f>
        <v>1636950.41713334</v>
      </c>
      <c r="J17" s="36" t="n">
        <f aca="false">Operating_Expenses!J$22</f>
        <v>1662763.92215614</v>
      </c>
      <c r="K17" s="36" t="n">
        <f aca="false">Operating_Expenses!K$22</f>
        <v>1688885.9321798</v>
      </c>
      <c r="L17" s="36" t="n">
        <f aca="false">Operating_Expenses!L$22</f>
        <v>1715316.38435135</v>
      </c>
    </row>
    <row r="18" customFormat="false" ht="15" hidden="false" customHeight="false" outlineLevel="0" collapsed="false">
      <c r="A18" s="5"/>
      <c r="B18" s="37" t="s">
        <v>174</v>
      </c>
      <c r="C18" s="36" t="n">
        <f aca="false">-Debt_Schedule!C$19</f>
        <v>-1443750</v>
      </c>
      <c r="D18" s="36" t="n">
        <f aca="false">-Debt_Schedule!D$19</f>
        <v>-1443750</v>
      </c>
      <c r="E18" s="36" t="n">
        <f aca="false">-Debt_Schedule!E$19</f>
        <v>-1806141.47908398</v>
      </c>
      <c r="F18" s="36" t="n">
        <f aca="false">-Debt_Schedule!F$19</f>
        <v>-1806141.47908398</v>
      </c>
      <c r="G18" s="36" t="n">
        <f aca="false">-Debt_Schedule!G$19</f>
        <v>-1806141.47908398</v>
      </c>
      <c r="H18" s="36" t="n">
        <f aca="false">-Debt_Schedule!H$19</f>
        <v>-1806141.47908398</v>
      </c>
      <c r="I18" s="36" t="n">
        <f aca="false">-Debt_Schedule!I$19</f>
        <v>-1806141.47908398</v>
      </c>
      <c r="J18" s="36" t="n">
        <f aca="false">-Debt_Schedule!J$19</f>
        <v>-1806141.47908398</v>
      </c>
      <c r="K18" s="36" t="n">
        <f aca="false">-Debt_Schedule!K$19</f>
        <v>-1806141.47908398</v>
      </c>
      <c r="L18" s="36" t="n">
        <f aca="false">-Debt_Schedule!L$19</f>
        <v>-24533126.2606165</v>
      </c>
    </row>
    <row r="19" customFormat="false" ht="15" hidden="false" customHeight="false" outlineLevel="0" collapsed="false">
      <c r="A19" s="5"/>
      <c r="B19" s="37" t="s">
        <v>175</v>
      </c>
      <c r="C19" s="36" t="n">
        <f aca="false">-Capital_Reserves!C$9</f>
        <v>-60000</v>
      </c>
      <c r="D19" s="36" t="n">
        <f aca="false">-Capital_Reserves!D$9</f>
        <v>-61800</v>
      </c>
      <c r="E19" s="36" t="n">
        <f aca="false">-Capital_Reserves!E$9</f>
        <v>-63654</v>
      </c>
      <c r="F19" s="36" t="n">
        <f aca="false">-Capital_Reserves!F$9</f>
        <v>-65563.62</v>
      </c>
      <c r="G19" s="36" t="n">
        <f aca="false">-Capital_Reserves!G$9</f>
        <v>-67530.5286</v>
      </c>
      <c r="H19" s="36" t="n">
        <f aca="false">-Capital_Reserves!H$9</f>
        <v>-69556.444458</v>
      </c>
      <c r="I19" s="36" t="n">
        <f aca="false">-Capital_Reserves!I$9</f>
        <v>-71643.13779174</v>
      </c>
      <c r="J19" s="36" t="n">
        <f aca="false">-Capital_Reserves!J$9</f>
        <v>-73792.4319254922</v>
      </c>
      <c r="K19" s="36" t="n">
        <f aca="false">-Capital_Reserves!K$9</f>
        <v>-76006.204883257</v>
      </c>
      <c r="L19" s="36" t="n">
        <f aca="false">-Capital_Reserves!L$9</f>
        <v>-78286.3910297547</v>
      </c>
    </row>
    <row r="20" customFormat="false" ht="15" hidden="false" customHeight="false" outlineLevel="0" collapsed="false">
      <c r="A20" s="5"/>
      <c r="B20" s="39" t="s">
        <v>176</v>
      </c>
      <c r="C20" s="40" t="n">
        <f aca="false">C17+C18+C19</f>
        <v>-15220</v>
      </c>
      <c r="D20" s="40" t="n">
        <f aca="false">D17+D18+D19</f>
        <v>6950.60000000009</v>
      </c>
      <c r="E20" s="40" t="n">
        <f aca="false">E17+E18+E19</f>
        <v>-333018.867083976</v>
      </c>
      <c r="F20" s="40" t="n">
        <f aca="false">F17+F18+F19</f>
        <v>-310346.174843975</v>
      </c>
      <c r="G20" s="40" t="n">
        <f aca="false">G17+G18+G19</f>
        <v>-287423.721559176</v>
      </c>
      <c r="H20" s="40" t="n">
        <f aca="false">H17+H18+H19</f>
        <v>-264252.62279268</v>
      </c>
      <c r="I20" s="40" t="n">
        <f aca="false">I17+I18+I19</f>
        <v>-240834.199742374</v>
      </c>
      <c r="J20" s="40" t="n">
        <f aca="false">J17+J18+J19</f>
        <v>-217169.988853328</v>
      </c>
      <c r="K20" s="40" t="n">
        <f aca="false">K17+K18+K19</f>
        <v>-193261.751787434</v>
      </c>
      <c r="L20" s="40" t="n">
        <f aca="false">L17+L18+L19</f>
        <v>-22896096.2672949</v>
      </c>
    </row>
    <row r="21" customFormat="false" ht="15" hidden="false" customHeight="false" outlineLevel="0" collapsed="false">
      <c r="A21" s="5"/>
      <c r="B21" s="5"/>
      <c r="C21" s="5"/>
      <c r="D21" s="5"/>
      <c r="E21" s="5"/>
      <c r="F21" s="5"/>
      <c r="G21" s="5"/>
      <c r="H21" s="5"/>
      <c r="I21" s="5"/>
      <c r="J21" s="5"/>
      <c r="K21" s="5"/>
      <c r="L21" s="5"/>
    </row>
    <row r="22" customFormat="false" ht="15" hidden="false" customHeight="false" outlineLevel="0" collapsed="false">
      <c r="A22" s="5"/>
      <c r="B22" s="15" t="s">
        <v>177</v>
      </c>
      <c r="C22" s="16"/>
      <c r="D22" s="16"/>
      <c r="E22" s="16"/>
      <c r="F22" s="16"/>
      <c r="G22" s="16"/>
      <c r="H22" s="16"/>
      <c r="I22" s="16"/>
      <c r="J22" s="16"/>
      <c r="K22" s="16"/>
      <c r="L22" s="16"/>
    </row>
    <row r="23" customFormat="false" ht="15" hidden="false" customHeight="false" outlineLevel="0" collapsed="false">
      <c r="A23" s="5"/>
      <c r="B23" s="37" t="s">
        <v>178</v>
      </c>
      <c r="C23" s="36" t="n">
        <f aca="false">IF(C6=Hold_Period,C17*(1+Rent_Growth),0)</f>
        <v>0</v>
      </c>
      <c r="D23" s="36" t="n">
        <f aca="false">IF(D6=Hold_Period,D17*(1+Rent_Growth),0)</f>
        <v>0</v>
      </c>
      <c r="E23" s="36" t="n">
        <f aca="false">IF(E6=Hold_Period,E17*(1+Rent_Growth),0)</f>
        <v>0</v>
      </c>
      <c r="F23" s="36" t="n">
        <f aca="false">IF(F6=Hold_Period,F17*(1+Rent_Growth),0)</f>
        <v>0</v>
      </c>
      <c r="G23" s="36" t="n">
        <f aca="false">IF(G6=Hold_Period,G17*(1+Rent_Growth),0)</f>
        <v>0</v>
      </c>
      <c r="H23" s="36" t="n">
        <f aca="false">IF(H6=Hold_Period,H17*(1+Rent_Growth),0)</f>
        <v>0</v>
      </c>
      <c r="I23" s="36" t="n">
        <f aca="false">IF(I6=Hold_Period,I17*(1+Rent_Growth),0)</f>
        <v>0</v>
      </c>
      <c r="J23" s="36" t="n">
        <f aca="false">IF(J6=Hold_Period,J17*(1+Rent_Growth),0)</f>
        <v>0</v>
      </c>
      <c r="K23" s="36" t="n">
        <f aca="false">IF(K6=Hold_Period,K17*(1+Rent_Growth),0)</f>
        <v>0</v>
      </c>
      <c r="L23" s="36" t="n">
        <f aca="false">IF(L6=Hold_Period,L17*(1+Rent_Growth),0)</f>
        <v>1749622.71203837</v>
      </c>
    </row>
    <row r="24" customFormat="false" ht="15" hidden="false" customHeight="false" outlineLevel="0" collapsed="false">
      <c r="A24" s="5"/>
      <c r="B24" s="37" t="s">
        <v>179</v>
      </c>
      <c r="C24" s="36" t="n">
        <f aca="false">IF(C6=Hold_Period,IFERROR(C23/Exit_Cap_Rate,0),0)</f>
        <v>0</v>
      </c>
      <c r="D24" s="36" t="n">
        <f aca="false">IF(D6=Hold_Period,IFERROR(D23/Exit_Cap_Rate,0),0)</f>
        <v>0</v>
      </c>
      <c r="E24" s="36" t="n">
        <f aca="false">IF(E6=Hold_Period,IFERROR(E23/Exit_Cap_Rate,0),0)</f>
        <v>0</v>
      </c>
      <c r="F24" s="36" t="n">
        <f aca="false">IF(F6=Hold_Period,IFERROR(F23/Exit_Cap_Rate,0),0)</f>
        <v>0</v>
      </c>
      <c r="G24" s="36" t="n">
        <f aca="false">IF(G6=Hold_Period,IFERROR(G23/Exit_Cap_Rate,0),0)</f>
        <v>0</v>
      </c>
      <c r="H24" s="36" t="n">
        <f aca="false">IF(H6=Hold_Period,IFERROR(H23/Exit_Cap_Rate,0),0)</f>
        <v>0</v>
      </c>
      <c r="I24" s="36" t="n">
        <f aca="false">IF(I6=Hold_Period,IFERROR(I23/Exit_Cap_Rate,0),0)</f>
        <v>0</v>
      </c>
      <c r="J24" s="36" t="n">
        <f aca="false">IF(J6=Hold_Period,IFERROR(J23/Exit_Cap_Rate,0),0)</f>
        <v>0</v>
      </c>
      <c r="K24" s="36" t="n">
        <f aca="false">IF(K6=Hold_Period,IFERROR(K23/Exit_Cap_Rate,0),0)</f>
        <v>0</v>
      </c>
      <c r="L24" s="36" t="n">
        <f aca="false">IF(L6=Hold_Period,IFERROR(L23/Exit_Cap_Rate,0),0)</f>
        <v>33326146.895969</v>
      </c>
    </row>
    <row r="25" customFormat="false" ht="15" hidden="false" customHeight="false" outlineLevel="0" collapsed="false">
      <c r="A25" s="5"/>
      <c r="B25" s="37" t="s">
        <v>126</v>
      </c>
      <c r="C25" s="36" t="n">
        <f aca="false">IF(C6=Hold_Period,-C24*Selling_Costs_Pct,0)</f>
        <v>0</v>
      </c>
      <c r="D25" s="36" t="n">
        <f aca="false">IF(D6=Hold_Period,-D24*Selling_Costs_Pct,0)</f>
        <v>0</v>
      </c>
      <c r="E25" s="36" t="n">
        <f aca="false">IF(E6=Hold_Period,-E24*Selling_Costs_Pct,0)</f>
        <v>0</v>
      </c>
      <c r="F25" s="36" t="n">
        <f aca="false">IF(F6=Hold_Period,-F24*Selling_Costs_Pct,0)</f>
        <v>0</v>
      </c>
      <c r="G25" s="36" t="n">
        <f aca="false">IF(G6=Hold_Period,-G24*Selling_Costs_Pct,0)</f>
        <v>0</v>
      </c>
      <c r="H25" s="36" t="n">
        <f aca="false">IF(H6=Hold_Period,-H24*Selling_Costs_Pct,0)</f>
        <v>0</v>
      </c>
      <c r="I25" s="36" t="n">
        <f aca="false">IF(I6=Hold_Period,-I24*Selling_Costs_Pct,0)</f>
        <v>0</v>
      </c>
      <c r="J25" s="36" t="n">
        <f aca="false">IF(J6=Hold_Period,-J24*Selling_Costs_Pct,0)</f>
        <v>0</v>
      </c>
      <c r="K25" s="36" t="n">
        <f aca="false">IF(K6=Hold_Period,-K24*Selling_Costs_Pct,0)</f>
        <v>0</v>
      </c>
      <c r="L25" s="36" t="n">
        <f aca="false">IF(L6=Hold_Period,-L24*Selling_Costs_Pct,0)</f>
        <v>-499892.203439535</v>
      </c>
    </row>
    <row r="26" customFormat="false" ht="15" hidden="false" customHeight="false" outlineLevel="0" collapsed="false">
      <c r="A26" s="5"/>
      <c r="B26" s="37" t="s">
        <v>180</v>
      </c>
      <c r="C26" s="36" t="n">
        <f aca="false">IF(C6=Hold_Period,-Debt_Schedule!C$15,0)</f>
        <v>0</v>
      </c>
      <c r="D26" s="36" t="n">
        <f aca="false">IF(D6=Hold_Period,-Debt_Schedule!D$15,0)</f>
        <v>0</v>
      </c>
      <c r="E26" s="36" t="n">
        <f aca="false">IF(E6=Hold_Period,-Debt_Schedule!E$15,0)</f>
        <v>0</v>
      </c>
      <c r="F26" s="36" t="n">
        <f aca="false">IF(F6=Hold_Period,-Debt_Schedule!F$15,0)</f>
        <v>0</v>
      </c>
      <c r="G26" s="36" t="n">
        <f aca="false">IF(G6=Hold_Period,-Debt_Schedule!G$15,0)</f>
        <v>0</v>
      </c>
      <c r="H26" s="36" t="n">
        <f aca="false">IF(H6=Hold_Period,-Debt_Schedule!H$15,0)</f>
        <v>0</v>
      </c>
      <c r="I26" s="36" t="n">
        <f aca="false">IF(I6=Hold_Period,-Debt_Schedule!I$15,0)</f>
        <v>0</v>
      </c>
      <c r="J26" s="36" t="n">
        <f aca="false">IF(J6=Hold_Period,-Debt_Schedule!J$15,0)</f>
        <v>0</v>
      </c>
      <c r="K26" s="36" t="n">
        <f aca="false">IF(K6=Hold_Period,-Debt_Schedule!K$15,0)</f>
        <v>0</v>
      </c>
      <c r="L26" s="36" t="n">
        <f aca="false">IF(L6=Hold_Period,-Debt_Schedule!L$15,0)</f>
        <v>-0</v>
      </c>
    </row>
    <row r="27" customFormat="false" ht="15" hidden="false" customHeight="false" outlineLevel="0" collapsed="false">
      <c r="A27" s="5"/>
      <c r="B27" s="39" t="s">
        <v>181</v>
      </c>
      <c r="C27" s="40" t="n">
        <f aca="false">IF(C6=Hold_Period,C24+C25+C26,0)</f>
        <v>0</v>
      </c>
      <c r="D27" s="40" t="n">
        <f aca="false">IF(D6=Hold_Period,D24+D25+D26,0)</f>
        <v>0</v>
      </c>
      <c r="E27" s="40" t="n">
        <f aca="false">IF(E6=Hold_Period,E24+E25+E26,0)</f>
        <v>0</v>
      </c>
      <c r="F27" s="40" t="n">
        <f aca="false">IF(F6=Hold_Period,F24+F25+F26,0)</f>
        <v>0</v>
      </c>
      <c r="G27" s="40" t="n">
        <f aca="false">IF(G6=Hold_Period,G24+G25+G26,0)</f>
        <v>0</v>
      </c>
      <c r="H27" s="40" t="n">
        <f aca="false">IF(H6=Hold_Period,H24+H25+H26,0)</f>
        <v>0</v>
      </c>
      <c r="I27" s="40" t="n">
        <f aca="false">IF(I6=Hold_Period,I24+I25+I26,0)</f>
        <v>0</v>
      </c>
      <c r="J27" s="40" t="n">
        <f aca="false">IF(J6=Hold_Period,J24+J25+J26,0)</f>
        <v>0</v>
      </c>
      <c r="K27" s="40" t="n">
        <f aca="false">IF(K6=Hold_Period,K24+K25+K26,0)</f>
        <v>0</v>
      </c>
      <c r="L27" s="40" t="n">
        <f aca="false">IF(L6=Hold_Period,L24+L25+L26,0)</f>
        <v>32826254.6925295</v>
      </c>
    </row>
    <row r="28" customFormat="false" ht="15" hidden="false" customHeight="false" outlineLevel="0" collapsed="false">
      <c r="A28" s="5"/>
      <c r="B28" s="5"/>
      <c r="C28" s="5"/>
      <c r="D28" s="5"/>
      <c r="E28" s="5"/>
      <c r="F28" s="5"/>
      <c r="G28" s="5"/>
      <c r="H28" s="5"/>
      <c r="I28" s="5"/>
      <c r="J28" s="5"/>
      <c r="K28" s="5"/>
      <c r="L28" s="5"/>
    </row>
    <row r="29" customFormat="false" ht="15" hidden="false" customHeight="false" outlineLevel="0" collapsed="false">
      <c r="A29" s="5"/>
      <c r="B29" s="15" t="s">
        <v>182</v>
      </c>
      <c r="C29" s="16"/>
      <c r="D29" s="16"/>
      <c r="E29" s="16"/>
      <c r="F29" s="16"/>
      <c r="G29" s="16"/>
      <c r="H29" s="16"/>
      <c r="I29" s="16"/>
      <c r="J29" s="16"/>
      <c r="K29" s="16"/>
      <c r="L29" s="16"/>
    </row>
    <row r="30" customFormat="false" ht="15" hidden="false" customHeight="false" outlineLevel="0" collapsed="false">
      <c r="A30" s="5"/>
      <c r="B30" s="37" t="s">
        <v>183</v>
      </c>
      <c r="C30" s="36" t="n">
        <f aca="false">C10+C17+C19+IF(C6=Hold_Period,C24+C25,0)</f>
        <v>-33571470</v>
      </c>
      <c r="D30" s="36" t="n">
        <f aca="false">D10+D17+D19+IF(D6=Hold_Period,D24+D25,0)</f>
        <v>1450700.6</v>
      </c>
      <c r="E30" s="36" t="n">
        <f aca="false">E10+E17+E19+IF(E6=Hold_Period,E24+E25,0)</f>
        <v>1473122.612</v>
      </c>
      <c r="F30" s="36" t="n">
        <f aca="false">F10+F17+F19+IF(F6=Hold_Period,F24+F25,0)</f>
        <v>1495795.30424</v>
      </c>
      <c r="G30" s="36" t="n">
        <f aca="false">G10+G17+G19+IF(G6=Hold_Period,G24+G25,0)</f>
        <v>1518717.7575248</v>
      </c>
      <c r="H30" s="36" t="n">
        <f aca="false">H10+H17+H19+IF(H6=Hold_Period,H24+H25,0)</f>
        <v>1541888.8562913</v>
      </c>
      <c r="I30" s="36" t="n">
        <f aca="false">I10+I17+I19+IF(I6=Hold_Period,I24+I25,0)</f>
        <v>1565307.2793416</v>
      </c>
      <c r="J30" s="36" t="n">
        <f aca="false">J10+J17+J19+IF(J6=Hold_Period,J24+J25,0)</f>
        <v>1588971.49023065</v>
      </c>
      <c r="K30" s="36" t="n">
        <f aca="false">K10+K17+K19+IF(K6=Hold_Period,K24+K25,0)</f>
        <v>1612879.72729654</v>
      </c>
      <c r="L30" s="36" t="n">
        <f aca="false">L10+L17+L19+IF(L6=Hold_Period,L24+L25,0)</f>
        <v>34463284.6858511</v>
      </c>
    </row>
    <row r="31" customFormat="false" ht="15" hidden="false" customHeight="false" outlineLevel="0" collapsed="false">
      <c r="A31" s="5"/>
      <c r="B31" s="39" t="s">
        <v>184</v>
      </c>
      <c r="C31" s="40" t="n">
        <f aca="false">C14+C20+C27</f>
        <v>-8765220</v>
      </c>
      <c r="D31" s="40" t="n">
        <f aca="false">D14+D20+D27</f>
        <v>6950.60000000009</v>
      </c>
      <c r="E31" s="40" t="n">
        <f aca="false">E14+E20+E27</f>
        <v>-333018.867083976</v>
      </c>
      <c r="F31" s="40" t="n">
        <f aca="false">F14+F20+F27</f>
        <v>-310346.174843975</v>
      </c>
      <c r="G31" s="40" t="n">
        <f aca="false">G14+G20+G27</f>
        <v>-287423.721559176</v>
      </c>
      <c r="H31" s="40" t="n">
        <f aca="false">H14+H20+H27</f>
        <v>-264252.62279268</v>
      </c>
      <c r="I31" s="40" t="n">
        <f aca="false">I14+I20+I27</f>
        <v>-240834.199742374</v>
      </c>
      <c r="J31" s="40" t="n">
        <f aca="false">J14+J20+J27</f>
        <v>-217169.988853328</v>
      </c>
      <c r="K31" s="40" t="n">
        <f aca="false">K14+K20+K27</f>
        <v>-193261.751787434</v>
      </c>
      <c r="L31" s="40" t="n">
        <f aca="false">L14+L20+L27</f>
        <v>9930158.42523461</v>
      </c>
    </row>
    <row r="32" customFormat="false" ht="15" hidden="false" customHeight="false" outlineLevel="0" collapsed="false">
      <c r="A32" s="5"/>
      <c r="B32" s="5"/>
      <c r="C32" s="5"/>
      <c r="D32" s="5"/>
      <c r="E32" s="5"/>
      <c r="F32" s="5"/>
      <c r="G32" s="5"/>
      <c r="H32" s="5"/>
      <c r="I32" s="5"/>
      <c r="J32" s="5"/>
      <c r="K32" s="5"/>
      <c r="L32" s="5"/>
    </row>
    <row r="33" customFormat="false" ht="15" hidden="false" customHeight="false" outlineLevel="0" collapsed="false">
      <c r="A33" s="5"/>
      <c r="B33" s="15" t="s">
        <v>185</v>
      </c>
      <c r="C33" s="16"/>
      <c r="D33" s="16"/>
      <c r="E33" s="16"/>
      <c r="F33" s="16"/>
      <c r="G33" s="16"/>
      <c r="H33" s="16"/>
      <c r="I33" s="16"/>
      <c r="J33" s="16"/>
      <c r="K33" s="16"/>
      <c r="L33" s="16"/>
    </row>
    <row r="34" customFormat="false" ht="15" hidden="false" customHeight="false" outlineLevel="0" collapsed="false">
      <c r="A34" s="5"/>
      <c r="B34" s="6" t="s">
        <v>186</v>
      </c>
      <c r="C34" s="46" t="n">
        <f aca="false">IFERROR(IRR(C30:L30),0)</f>
        <v>0.0436898578568681</v>
      </c>
      <c r="D34" s="5"/>
      <c r="E34" s="5"/>
      <c r="F34" s="5"/>
      <c r="G34" s="5"/>
      <c r="H34" s="5"/>
      <c r="I34" s="5"/>
      <c r="J34" s="5"/>
      <c r="K34" s="5"/>
      <c r="L34" s="5"/>
    </row>
    <row r="35" customFormat="false" ht="15" hidden="false" customHeight="false" outlineLevel="0" collapsed="false">
      <c r="A35" s="5"/>
      <c r="B35" s="6" t="s">
        <v>187</v>
      </c>
      <c r="C35" s="46" t="n">
        <f aca="false">IFERROR(IRR(C31:L31),0)</f>
        <v>-0.00800438163808721</v>
      </c>
      <c r="D35" s="5"/>
      <c r="E35" s="5"/>
      <c r="F35" s="5"/>
      <c r="G35" s="5"/>
      <c r="H35" s="5"/>
      <c r="I35" s="5"/>
      <c r="J35" s="5"/>
      <c r="K35" s="5"/>
      <c r="L35" s="5"/>
    </row>
    <row r="36" customFormat="false" ht="15" hidden="false" customHeight="false" outlineLevel="0" collapsed="false">
      <c r="A36" s="5"/>
      <c r="B36" s="6" t="s">
        <v>188</v>
      </c>
      <c r="C36" s="47" t="n">
        <f aca="false">IFERROR(SUMPRODUCT((C31:L31&gt;0)*C31:L31)/-C14,0)</f>
        <v>1.13566960288395</v>
      </c>
      <c r="D36" s="5"/>
      <c r="E36" s="5"/>
      <c r="F36" s="5"/>
      <c r="G36" s="5"/>
      <c r="H36" s="5"/>
      <c r="I36" s="5"/>
      <c r="J36" s="5"/>
      <c r="K36" s="5"/>
      <c r="L36" s="5"/>
    </row>
    <row r="37" customFormat="false" ht="15" hidden="false" customHeight="false" outlineLevel="0" collapsed="false">
      <c r="A37" s="5"/>
      <c r="B37" s="5"/>
      <c r="C37" s="5"/>
      <c r="D37" s="5"/>
      <c r="E37" s="5"/>
      <c r="F37" s="5"/>
      <c r="G37" s="5"/>
      <c r="H37" s="5"/>
      <c r="I37" s="5"/>
      <c r="J37" s="5"/>
      <c r="K37" s="5"/>
      <c r="L37" s="5"/>
    </row>
    <row r="38" customFormat="false" ht="15" hidden="false" customHeight="false" outlineLevel="0" collapsed="false">
      <c r="A38" s="5"/>
      <c r="B38" s="15" t="s">
        <v>189</v>
      </c>
      <c r="C38" s="16"/>
      <c r="D38" s="16"/>
      <c r="E38" s="16"/>
      <c r="F38" s="16"/>
      <c r="G38" s="16"/>
      <c r="H38" s="16"/>
      <c r="I38" s="16"/>
      <c r="J38" s="16"/>
      <c r="K38" s="16"/>
      <c r="L38" s="16"/>
    </row>
    <row r="39" customFormat="false" ht="15" hidden="false" customHeight="false" outlineLevel="0" collapsed="false">
      <c r="A39" s="5"/>
      <c r="B39" s="7" t="s">
        <v>190</v>
      </c>
      <c r="C39" s="48" t="str">
        <f aca="false">IF(C35&gt;=Target_IRR,"PASS","FAIL")</f>
        <v>FAIL</v>
      </c>
      <c r="D39" s="5"/>
      <c r="E39" s="5"/>
      <c r="F39" s="5"/>
      <c r="G39" s="5"/>
      <c r="H39" s="5"/>
      <c r="I39" s="5"/>
      <c r="J39" s="5"/>
      <c r="K39" s="5"/>
      <c r="L39" s="5"/>
    </row>
    <row r="40" customFormat="false" ht="15" hidden="false" customHeight="false" outlineLevel="0" collapsed="false">
      <c r="A40" s="5"/>
      <c r="B40" s="7" t="s">
        <v>191</v>
      </c>
      <c r="C40" s="48" t="str">
        <f aca="false">IF(C36&gt;=Target_Mult,"PASS","FAIL")</f>
        <v>FAIL</v>
      </c>
      <c r="D40" s="5"/>
      <c r="E40" s="5"/>
      <c r="F40" s="5"/>
      <c r="G40" s="5"/>
      <c r="H40" s="5"/>
      <c r="I40" s="5"/>
      <c r="J40" s="5"/>
      <c r="K40" s="5"/>
      <c r="L40"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8"/>
    <col collapsed="false" customWidth="true" hidden="false" outlineLevel="0" max="4" min="4" style="0" width="40"/>
  </cols>
  <sheetData>
    <row r="1" customFormat="false" ht="15" hidden="false" customHeight="false" outlineLevel="0" collapsed="false">
      <c r="A1" s="5"/>
      <c r="B1" s="5"/>
      <c r="C1" s="5"/>
      <c r="D1" s="5"/>
    </row>
    <row r="2" customFormat="false" ht="22.05" hidden="false" customHeight="false" outlineLevel="0" collapsed="false">
      <c r="A2" s="5"/>
      <c r="B2" s="20" t="s">
        <v>192</v>
      </c>
      <c r="C2" s="5"/>
      <c r="D2" s="5"/>
    </row>
    <row r="3" customFormat="false" ht="15" hidden="false" customHeight="false" outlineLevel="0" collapsed="false">
      <c r="A3" s="5"/>
      <c r="B3" s="8" t="s">
        <v>193</v>
      </c>
      <c r="C3" s="5"/>
      <c r="D3" s="5"/>
    </row>
    <row r="4" customFormat="false" ht="15" hidden="false" customHeight="false" outlineLevel="0" collapsed="false">
      <c r="A4" s="5"/>
      <c r="B4" s="5"/>
      <c r="C4" s="5"/>
      <c r="D4" s="5"/>
    </row>
    <row r="5" customFormat="false" ht="15" hidden="false" customHeight="false" outlineLevel="0" collapsed="false">
      <c r="A5" s="5"/>
      <c r="B5" s="28" t="s">
        <v>194</v>
      </c>
      <c r="C5" s="29" t="s">
        <v>195</v>
      </c>
      <c r="D5" s="28" t="s">
        <v>196</v>
      </c>
    </row>
    <row r="6" customFormat="false" ht="15" hidden="false" customHeight="false" outlineLevel="0" collapsed="false">
      <c r="A6" s="5"/>
      <c r="B6" s="5"/>
      <c r="C6" s="5"/>
      <c r="D6" s="5"/>
    </row>
    <row r="7" customFormat="false" ht="15" hidden="false" customHeight="false" outlineLevel="0" collapsed="false">
      <c r="A7" s="5"/>
      <c r="B7" s="7" t="s">
        <v>197</v>
      </c>
      <c r="C7" s="48" t="str">
        <f aca="false">IF(MIN(Debt_Schedule!C22:L22)&gt;=Min_DSCR,"PASS","FAIL")</f>
        <v>FAIL</v>
      </c>
      <c r="D7" s="8" t="str">
        <f aca="false">"Min DSCR: "&amp;TEXT(MIN(Debt_Schedule!C22:L22),"0.00x")</f>
        <v>Min DSCR: 0.07x</v>
      </c>
    </row>
    <row r="8" customFormat="false" ht="15" hidden="false" customHeight="false" outlineLevel="0" collapsed="false">
      <c r="A8" s="5"/>
      <c r="B8" s="7" t="s">
        <v>198</v>
      </c>
      <c r="C8" s="48" t="str">
        <f aca="false">IF(ABS(Cash_Flow!C14-(Cash_Flow!C10+Cash_Flow!C13))&lt;1,"PASS","FAIL")</f>
        <v>PASS</v>
      </c>
      <c r="D8" s="8" t="str">
        <f aca="false">"Net: "&amp;TEXT(Cash_Flow!C14-(Cash_Flow!C10+Cash_Flow!C13),"#,##0.00")</f>
        <v>Net: 0.00</v>
      </c>
    </row>
    <row r="9" customFormat="false" ht="15" hidden="false" customHeight="false" outlineLevel="0" collapsed="false">
      <c r="A9" s="5"/>
      <c r="B9" s="7" t="s">
        <v>199</v>
      </c>
      <c r="C9" s="48" t="str">
        <f aca="false">IF(Vacancy_Rate&gt;=0.02,"PASS","FAIL")</f>
        <v>PASS</v>
      </c>
      <c r="D9" s="8" t="str">
        <f aca="false">"Vacancy: "&amp;TEXT(Vacancy_Rate,"0.00%")</f>
        <v>Vacancy: 4.00%</v>
      </c>
    </row>
    <row r="10" customFormat="false" ht="15" hidden="false" customHeight="false" outlineLevel="0" collapsed="false">
      <c r="A10" s="5"/>
      <c r="B10" s="7" t="s">
        <v>200</v>
      </c>
      <c r="C10" s="48" t="str">
        <f aca="false">IF(MIN(Capital_Reserves!C11:L11)&gt;=0,"PASS","FAIL")</f>
        <v>PASS</v>
      </c>
      <c r="D10" s="8" t="str">
        <f aca="false">"Min balance: "&amp;TEXT(MIN(Capital_Reserves!C11:L11),"#,##0.00")</f>
        <v>Min balance: 60,000.00</v>
      </c>
    </row>
    <row r="11" customFormat="false" ht="15" hidden="false" customHeight="false" outlineLevel="0" collapsed="false">
      <c r="A11" s="5"/>
      <c r="B11" s="7" t="s">
        <v>201</v>
      </c>
      <c r="C11" s="48" t="str">
        <f aca="false">IF(MIN(Cash_Flow!D20:L20)&gt;=0,"PASS","FAIL")</f>
        <v>FAIL</v>
      </c>
      <c r="D11" s="8" t="str">
        <f aca="false">"Min levered CF: "&amp;TEXT(MIN(Cash_Flow!D20:L20),"#,##0.00")</f>
        <v>Min levered CF: -22,896,096.27</v>
      </c>
    </row>
    <row r="12" customFormat="false" ht="15" hidden="false" customHeight="false" outlineLevel="0" collapsed="false">
      <c r="A12" s="5"/>
      <c r="B12" s="7" t="s">
        <v>202</v>
      </c>
      <c r="C12" s="48" t="str">
        <f aca="false">IF(AND(MIN(Operating_Expenses!C24:L24)&gt;=2000,MAX(Operating_Expenses!C24:L24)&lt;=10000),"PASS","FAIL")</f>
        <v>PASS</v>
      </c>
      <c r="D12" s="8" t="str">
        <f aca="false">"Range: "&amp;TEXT(MIN(Operating_Expenses!C24:L24),"#,##0.00")&amp;" to "&amp;TEXT(MAX(Operating_Expenses!C24:L24),"#,##0.00")</f>
        <v>Range: 3,444.35 to 4,434.39</v>
      </c>
    </row>
    <row r="13" customFormat="false" ht="15" hidden="false" customHeight="false" outlineLevel="0" collapsed="false">
      <c r="A13" s="5"/>
      <c r="B13" s="7" t="s">
        <v>203</v>
      </c>
      <c r="C13" s="48" t="str">
        <f aca="false">IF(LTV_Ratio&lt;=0.8,"PASS","FAIL")</f>
        <v>PASS</v>
      </c>
      <c r="D13" s="8" t="str">
        <f aca="false">"LTV: "&amp;TEXT(LTV_Ratio,"0.00%")</f>
        <v>LTV: 75.00%</v>
      </c>
    </row>
    <row r="14" customFormat="false" ht="15" hidden="false" customHeight="false" outlineLevel="0" collapsed="false">
      <c r="A14" s="5"/>
      <c r="B14" s="7" t="s">
        <v>204</v>
      </c>
      <c r="C14" s="48" t="str">
        <f aca="false">IF(AND(MIN(Operating_Expenses!C23:L23)&gt;=0.5,MAX(Operating_Expenses!C23:L23)&lt;=0.7),"PASS","FAIL")</f>
        <v>PASS</v>
      </c>
      <c r="D14" s="8" t="str">
        <f aca="false">"Range: "&amp;TEXT(MIN(Operating_Expenses!C23:L23),"0.00%")&amp;" to "&amp;TEXT(MAX(Operating_Expenses!C23:L23),"0.00%")</f>
        <v>Range: 65.92% to 68.36%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2026-05-15T18:53:37Z</dcterms:created>
  <dc:creator>openpyxl</dc:creator>
  <dc:description/>
  <dc:language>en-GB</dc:language>
  <cp:lastModifiedBy/>
  <dcterms:modified xsi:type="dcterms:W3CDTF">2026-05-15T18:53:38Z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