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Construction" sheetId="4" state="visible" r:id="rId6"/>
    <sheet name="Traffic_Revenue" sheetId="5" state="visible" r:id="rId7"/>
    <sheet name="Opex" sheetId="6" state="visible" r:id="rId8"/>
    <sheet name="Debt_Schedule" sheetId="7" state="visible" r:id="rId9"/>
    <sheet name="Income_Statement" sheetId="8" state="visible" r:id="rId10"/>
    <sheet name="Cash_Flow" sheetId="9" state="visible" r:id="rId11"/>
    <sheet name="Returns" sheetId="10" state="visible" r:id="rId12"/>
    <sheet name="Checks" sheetId="11" state="visible" r:id="rId13"/>
  </sheets>
  <definedNames>
    <definedName function="false" hidden="false" name="Ancillary_Base" vbProcedure="false">Assumptions!$C$31</definedName>
    <definedName function="false" hidden="false" name="Ancillary_Growth" vbProcedure="false">Assumptions!$C$32</definedName>
    <definedName function="false" hidden="false" name="Avail_Escalation" vbProcedure="false">Assumptions!$C$27</definedName>
    <definedName function="false" hidden="false" name="Avail_Payment_Base" vbProcedure="false">Assumptions!$C$26</definedName>
    <definedName function="false" hidden="false" name="Avg_DSCR" vbProcedure="false">Returns!$C$20</definedName>
    <definedName function="false" hidden="false" name="Avg_Fare" vbProcedure="false">Assumptions!$C$29</definedName>
    <definedName function="false" hidden="false" name="BS_Cash_OpsYr1" vbProcedure="false">Cash_Flow!$H$35</definedName>
    <definedName function="false" hidden="false" name="BS_Cash_OpsYr10" vbProcedure="false">Cash_Flow!$Q$35</definedName>
    <definedName function="false" hidden="false" name="BS_Cash_OpsYr11" vbProcedure="false">Cash_Flow!$R$35</definedName>
    <definedName function="false" hidden="false" name="BS_Cash_OpsYr12" vbProcedure="false">Cash_Flow!$S$35</definedName>
    <definedName function="false" hidden="false" name="BS_Cash_OpsYr13" vbProcedure="false">Cash_Flow!$T$35</definedName>
    <definedName function="false" hidden="false" name="BS_Cash_OpsYr14" vbProcedure="false">Cash_Flow!$U$35</definedName>
    <definedName function="false" hidden="false" name="BS_Cash_OpsYr15" vbProcedure="false">Cash_Flow!$V$35</definedName>
    <definedName function="false" hidden="false" name="BS_Cash_OpsYr16" vbProcedure="false">Cash_Flow!$W$35</definedName>
    <definedName function="false" hidden="false" name="BS_Cash_OpsYr17" vbProcedure="false">Cash_Flow!$X$35</definedName>
    <definedName function="false" hidden="false" name="BS_Cash_OpsYr18" vbProcedure="false">Cash_Flow!$Y$35</definedName>
    <definedName function="false" hidden="false" name="BS_Cash_OpsYr19" vbProcedure="false">Cash_Flow!$Z$35</definedName>
    <definedName function="false" hidden="false" name="BS_Cash_OpsYr2" vbProcedure="false">Cash_Flow!$I$35</definedName>
    <definedName function="false" hidden="false" name="BS_Cash_OpsYr20" vbProcedure="false">Cash_Flow!$AA$35</definedName>
    <definedName function="false" hidden="false" name="BS_Cash_OpsYr21" vbProcedure="false">Cash_Flow!$AB$35</definedName>
    <definedName function="false" hidden="false" name="BS_Cash_OpsYr22" vbProcedure="false">Cash_Flow!$AC$35</definedName>
    <definedName function="false" hidden="false" name="BS_Cash_OpsYr23" vbProcedure="false">Cash_Flow!$AD$35</definedName>
    <definedName function="false" hidden="false" name="BS_Cash_OpsYr24" vbProcedure="false">Cash_Flow!$AE$35</definedName>
    <definedName function="false" hidden="false" name="BS_Cash_OpsYr25" vbProcedure="false">Cash_Flow!$AF$35</definedName>
    <definedName function="false" hidden="false" name="BS_Cash_OpsYr26" vbProcedure="false">Cash_Flow!$AG$35</definedName>
    <definedName function="false" hidden="false" name="BS_Cash_OpsYr27" vbProcedure="false">Cash_Flow!$AH$35</definedName>
    <definedName function="false" hidden="false" name="BS_Cash_OpsYr28" vbProcedure="false">Cash_Flow!$AI$35</definedName>
    <definedName function="false" hidden="false" name="BS_Cash_OpsYr29" vbProcedure="false">Cash_Flow!$AJ$35</definedName>
    <definedName function="false" hidden="false" name="BS_Cash_OpsYr3" vbProcedure="false">Cash_Flow!$J$35</definedName>
    <definedName function="false" hidden="false" name="BS_Cash_OpsYr30" vbProcedure="false">Cash_Flow!$AK$35</definedName>
    <definedName function="false" hidden="false" name="BS_Cash_OpsYr4" vbProcedure="false">Cash_Flow!$K$35</definedName>
    <definedName function="false" hidden="false" name="BS_Cash_OpsYr5" vbProcedure="false">Cash_Flow!$L$35</definedName>
    <definedName function="false" hidden="false" name="BS_Cash_OpsYr6" vbProcedure="false">Cash_Flow!$M$35</definedName>
    <definedName function="false" hidden="false" name="BS_Cash_OpsYr7" vbProcedure="false">Cash_Flow!$N$35</definedName>
    <definedName function="false" hidden="false" name="BS_Cash_OpsYr8" vbProcedure="false">Cash_Flow!$O$35</definedName>
    <definedName function="false" hidden="false" name="BS_Cash_OpsYr9" vbProcedure="false">Cash_Flow!$P$35</definedName>
    <definedName function="false" hidden="false" name="BS_Check_OpsYr1" vbProcedure="false">Cash_Flow!$H$46</definedName>
    <definedName function="false" hidden="false" name="BS_Check_OpsYr10" vbProcedure="false">Cash_Flow!$Q$46</definedName>
    <definedName function="false" hidden="false" name="BS_Check_OpsYr11" vbProcedure="false">Cash_Flow!$R$46</definedName>
    <definedName function="false" hidden="false" name="BS_Check_OpsYr12" vbProcedure="false">Cash_Flow!$S$46</definedName>
    <definedName function="false" hidden="false" name="BS_Check_OpsYr13" vbProcedure="false">Cash_Flow!$T$46</definedName>
    <definedName function="false" hidden="false" name="BS_Check_OpsYr14" vbProcedure="false">Cash_Flow!$U$46</definedName>
    <definedName function="false" hidden="false" name="BS_Check_OpsYr15" vbProcedure="false">Cash_Flow!$V$46</definedName>
    <definedName function="false" hidden="false" name="BS_Check_OpsYr16" vbProcedure="false">Cash_Flow!$W$46</definedName>
    <definedName function="false" hidden="false" name="BS_Check_OpsYr17" vbProcedure="false">Cash_Flow!$X$46</definedName>
    <definedName function="false" hidden="false" name="BS_Check_OpsYr18" vbProcedure="false">Cash_Flow!$Y$46</definedName>
    <definedName function="false" hidden="false" name="BS_Check_OpsYr19" vbProcedure="false">Cash_Flow!$Z$46</definedName>
    <definedName function="false" hidden="false" name="BS_Check_OpsYr2" vbProcedure="false">Cash_Flow!$I$46</definedName>
    <definedName function="false" hidden="false" name="BS_Check_OpsYr20" vbProcedure="false">Cash_Flow!$AA$46</definedName>
    <definedName function="false" hidden="false" name="BS_Check_OpsYr21" vbProcedure="false">Cash_Flow!$AB$46</definedName>
    <definedName function="false" hidden="false" name="BS_Check_OpsYr22" vbProcedure="false">Cash_Flow!$AC$46</definedName>
    <definedName function="false" hidden="false" name="BS_Check_OpsYr23" vbProcedure="false">Cash_Flow!$AD$46</definedName>
    <definedName function="false" hidden="false" name="BS_Check_OpsYr24" vbProcedure="false">Cash_Flow!$AE$46</definedName>
    <definedName function="false" hidden="false" name="BS_Check_OpsYr25" vbProcedure="false">Cash_Flow!$AF$46</definedName>
    <definedName function="false" hidden="false" name="BS_Check_OpsYr26" vbProcedure="false">Cash_Flow!$AG$46</definedName>
    <definedName function="false" hidden="false" name="BS_Check_OpsYr27" vbProcedure="false">Cash_Flow!$AH$46</definedName>
    <definedName function="false" hidden="false" name="BS_Check_OpsYr28" vbProcedure="false">Cash_Flow!$AI$46</definedName>
    <definedName function="false" hidden="false" name="BS_Check_OpsYr29" vbProcedure="false">Cash_Flow!$AJ$46</definedName>
    <definedName function="false" hidden="false" name="BS_Check_OpsYr3" vbProcedure="false">Cash_Flow!$J$46</definedName>
    <definedName function="false" hidden="false" name="BS_Check_OpsYr30" vbProcedure="false">Cash_Flow!$AK$46</definedName>
    <definedName function="false" hidden="false" name="BS_Check_OpsYr4" vbProcedure="false">Cash_Flow!$K$46</definedName>
    <definedName function="false" hidden="false" name="BS_Check_OpsYr5" vbProcedure="false">Cash_Flow!$L$46</definedName>
    <definedName function="false" hidden="false" name="BS_Check_OpsYr6" vbProcedure="false">Cash_Flow!$M$46</definedName>
    <definedName function="false" hidden="false" name="BS_Check_OpsYr7" vbProcedure="false">Cash_Flow!$N$46</definedName>
    <definedName function="false" hidden="false" name="BS_Check_OpsYr8" vbProcedure="false">Cash_Flow!$O$46</definedName>
    <definedName function="false" hidden="false" name="BS_Check_OpsYr9" vbProcedure="false">Cash_Flow!$P$46</definedName>
    <definedName function="false" hidden="false" name="BS_Cum_Depr_OpsYr1" vbProcedure="false">Cash_Flow!$H$38</definedName>
    <definedName function="false" hidden="false" name="BS_Cum_Depr_OpsYr10" vbProcedure="false">Cash_Flow!$Q$38</definedName>
    <definedName function="false" hidden="false" name="BS_Cum_Depr_OpsYr11" vbProcedure="false">Cash_Flow!$R$38</definedName>
    <definedName function="false" hidden="false" name="BS_Cum_Depr_OpsYr12" vbProcedure="false">Cash_Flow!$S$38</definedName>
    <definedName function="false" hidden="false" name="BS_Cum_Depr_OpsYr13" vbProcedure="false">Cash_Flow!$T$38</definedName>
    <definedName function="false" hidden="false" name="BS_Cum_Depr_OpsYr14" vbProcedure="false">Cash_Flow!$U$38</definedName>
    <definedName function="false" hidden="false" name="BS_Cum_Depr_OpsYr15" vbProcedure="false">Cash_Flow!$V$38</definedName>
    <definedName function="false" hidden="false" name="BS_Cum_Depr_OpsYr16" vbProcedure="false">Cash_Flow!$W$38</definedName>
    <definedName function="false" hidden="false" name="BS_Cum_Depr_OpsYr17" vbProcedure="false">Cash_Flow!$X$38</definedName>
    <definedName function="false" hidden="false" name="BS_Cum_Depr_OpsYr18" vbProcedure="false">Cash_Flow!$Y$38</definedName>
    <definedName function="false" hidden="false" name="BS_Cum_Depr_OpsYr19" vbProcedure="false">Cash_Flow!$Z$38</definedName>
    <definedName function="false" hidden="false" name="BS_Cum_Depr_OpsYr2" vbProcedure="false">Cash_Flow!$I$38</definedName>
    <definedName function="false" hidden="false" name="BS_Cum_Depr_OpsYr20" vbProcedure="false">Cash_Flow!$AA$38</definedName>
    <definedName function="false" hidden="false" name="BS_Cum_Depr_OpsYr21" vbProcedure="false">Cash_Flow!$AB$38</definedName>
    <definedName function="false" hidden="false" name="BS_Cum_Depr_OpsYr22" vbProcedure="false">Cash_Flow!$AC$38</definedName>
    <definedName function="false" hidden="false" name="BS_Cum_Depr_OpsYr23" vbProcedure="false">Cash_Flow!$AD$38</definedName>
    <definedName function="false" hidden="false" name="BS_Cum_Depr_OpsYr24" vbProcedure="false">Cash_Flow!$AE$38</definedName>
    <definedName function="false" hidden="false" name="BS_Cum_Depr_OpsYr25" vbProcedure="false">Cash_Flow!$AF$38</definedName>
    <definedName function="false" hidden="false" name="BS_Cum_Depr_OpsYr26" vbProcedure="false">Cash_Flow!$AG$38</definedName>
    <definedName function="false" hidden="false" name="BS_Cum_Depr_OpsYr27" vbProcedure="false">Cash_Flow!$AH$38</definedName>
    <definedName function="false" hidden="false" name="BS_Cum_Depr_OpsYr28" vbProcedure="false">Cash_Flow!$AI$38</definedName>
    <definedName function="false" hidden="false" name="BS_Cum_Depr_OpsYr29" vbProcedure="false">Cash_Flow!$AJ$38</definedName>
    <definedName function="false" hidden="false" name="BS_Cum_Depr_OpsYr3" vbProcedure="false">Cash_Flow!$J$38</definedName>
    <definedName function="false" hidden="false" name="BS_Cum_Depr_OpsYr30" vbProcedure="false">Cash_Flow!$AK$38</definedName>
    <definedName function="false" hidden="false" name="BS_Cum_Depr_OpsYr4" vbProcedure="false">Cash_Flow!$K$38</definedName>
    <definedName function="false" hidden="false" name="BS_Cum_Depr_OpsYr5" vbProcedure="false">Cash_Flow!$L$38</definedName>
    <definedName function="false" hidden="false" name="BS_Cum_Depr_OpsYr6" vbProcedure="false">Cash_Flow!$M$38</definedName>
    <definedName function="false" hidden="false" name="BS_Cum_Depr_OpsYr7" vbProcedure="false">Cash_Flow!$N$38</definedName>
    <definedName function="false" hidden="false" name="BS_Cum_Depr_OpsYr8" vbProcedure="false">Cash_Flow!$O$38</definedName>
    <definedName function="false" hidden="false" name="BS_Cum_Depr_OpsYr9" vbProcedure="false">Cash_Flow!$P$38</definedName>
    <definedName function="false" hidden="false" name="BS_Debt_OpsYr1" vbProcedure="false">Cash_Flow!$H$42</definedName>
    <definedName function="false" hidden="false" name="BS_Debt_OpsYr10" vbProcedure="false">Cash_Flow!$Q$42</definedName>
    <definedName function="false" hidden="false" name="BS_Debt_OpsYr11" vbProcedure="false">Cash_Flow!$R$42</definedName>
    <definedName function="false" hidden="false" name="BS_Debt_OpsYr12" vbProcedure="false">Cash_Flow!$S$42</definedName>
    <definedName function="false" hidden="false" name="BS_Debt_OpsYr13" vbProcedure="false">Cash_Flow!$T$42</definedName>
    <definedName function="false" hidden="false" name="BS_Debt_OpsYr14" vbProcedure="false">Cash_Flow!$U$42</definedName>
    <definedName function="false" hidden="false" name="BS_Debt_OpsYr15" vbProcedure="false">Cash_Flow!$V$42</definedName>
    <definedName function="false" hidden="false" name="BS_Debt_OpsYr16" vbProcedure="false">Cash_Flow!$W$42</definedName>
    <definedName function="false" hidden="false" name="BS_Debt_OpsYr17" vbProcedure="false">Cash_Flow!$X$42</definedName>
    <definedName function="false" hidden="false" name="BS_Debt_OpsYr18" vbProcedure="false">Cash_Flow!$Y$42</definedName>
    <definedName function="false" hidden="false" name="BS_Debt_OpsYr19" vbProcedure="false">Cash_Flow!$Z$42</definedName>
    <definedName function="false" hidden="false" name="BS_Debt_OpsYr2" vbProcedure="false">Cash_Flow!$I$42</definedName>
    <definedName function="false" hidden="false" name="BS_Debt_OpsYr20" vbProcedure="false">Cash_Flow!$AA$42</definedName>
    <definedName function="false" hidden="false" name="BS_Debt_OpsYr21" vbProcedure="false">Cash_Flow!$AB$42</definedName>
    <definedName function="false" hidden="false" name="BS_Debt_OpsYr22" vbProcedure="false">Cash_Flow!$AC$42</definedName>
    <definedName function="false" hidden="false" name="BS_Debt_OpsYr23" vbProcedure="false">Cash_Flow!$AD$42</definedName>
    <definedName function="false" hidden="false" name="BS_Debt_OpsYr24" vbProcedure="false">Cash_Flow!$AE$42</definedName>
    <definedName function="false" hidden="false" name="BS_Debt_OpsYr25" vbProcedure="false">Cash_Flow!$AF$42</definedName>
    <definedName function="false" hidden="false" name="BS_Debt_OpsYr26" vbProcedure="false">Cash_Flow!$AG$42</definedName>
    <definedName function="false" hidden="false" name="BS_Debt_OpsYr27" vbProcedure="false">Cash_Flow!$AH$42</definedName>
    <definedName function="false" hidden="false" name="BS_Debt_OpsYr28" vbProcedure="false">Cash_Flow!$AI$42</definedName>
    <definedName function="false" hidden="false" name="BS_Debt_OpsYr29" vbProcedure="false">Cash_Flow!$AJ$42</definedName>
    <definedName function="false" hidden="false" name="BS_Debt_OpsYr3" vbProcedure="false">Cash_Flow!$J$42</definedName>
    <definedName function="false" hidden="false" name="BS_Debt_OpsYr30" vbProcedure="false">Cash_Flow!$AK$42</definedName>
    <definedName function="false" hidden="false" name="BS_Debt_OpsYr4" vbProcedure="false">Cash_Flow!$K$42</definedName>
    <definedName function="false" hidden="false" name="BS_Debt_OpsYr5" vbProcedure="false">Cash_Flow!$L$42</definedName>
    <definedName function="false" hidden="false" name="BS_Debt_OpsYr6" vbProcedure="false">Cash_Flow!$M$42</definedName>
    <definedName function="false" hidden="false" name="BS_Debt_OpsYr7" vbProcedure="false">Cash_Flow!$N$42</definedName>
    <definedName function="false" hidden="false" name="BS_Debt_OpsYr8" vbProcedure="false">Cash_Flow!$O$42</definedName>
    <definedName function="false" hidden="false" name="BS_Debt_OpsYr9" vbProcedure="false">Cash_Flow!$P$42</definedName>
    <definedName function="false" hidden="false" name="BS_DSRA_OpsYr1" vbProcedure="false">Cash_Flow!$H$36</definedName>
    <definedName function="false" hidden="false" name="BS_DSRA_OpsYr10" vbProcedure="false">Cash_Flow!$Q$36</definedName>
    <definedName function="false" hidden="false" name="BS_DSRA_OpsYr11" vbProcedure="false">Cash_Flow!$R$36</definedName>
    <definedName function="false" hidden="false" name="BS_DSRA_OpsYr12" vbProcedure="false">Cash_Flow!$S$36</definedName>
    <definedName function="false" hidden="false" name="BS_DSRA_OpsYr13" vbProcedure="false">Cash_Flow!$T$36</definedName>
    <definedName function="false" hidden="false" name="BS_DSRA_OpsYr14" vbProcedure="false">Cash_Flow!$U$36</definedName>
    <definedName function="false" hidden="false" name="BS_DSRA_OpsYr15" vbProcedure="false">Cash_Flow!$V$36</definedName>
    <definedName function="false" hidden="false" name="BS_DSRA_OpsYr16" vbProcedure="false">Cash_Flow!$W$36</definedName>
    <definedName function="false" hidden="false" name="BS_DSRA_OpsYr17" vbProcedure="false">Cash_Flow!$X$36</definedName>
    <definedName function="false" hidden="false" name="BS_DSRA_OpsYr18" vbProcedure="false">Cash_Flow!$Y$36</definedName>
    <definedName function="false" hidden="false" name="BS_DSRA_OpsYr19" vbProcedure="false">Cash_Flow!$Z$36</definedName>
    <definedName function="false" hidden="false" name="BS_DSRA_OpsYr2" vbProcedure="false">Cash_Flow!$I$36</definedName>
    <definedName function="false" hidden="false" name="BS_DSRA_OpsYr20" vbProcedure="false">Cash_Flow!$AA$36</definedName>
    <definedName function="false" hidden="false" name="BS_DSRA_OpsYr21" vbProcedure="false">Cash_Flow!$AB$36</definedName>
    <definedName function="false" hidden="false" name="BS_DSRA_OpsYr22" vbProcedure="false">Cash_Flow!$AC$36</definedName>
    <definedName function="false" hidden="false" name="BS_DSRA_OpsYr23" vbProcedure="false">Cash_Flow!$AD$36</definedName>
    <definedName function="false" hidden="false" name="BS_DSRA_OpsYr24" vbProcedure="false">Cash_Flow!$AE$36</definedName>
    <definedName function="false" hidden="false" name="BS_DSRA_OpsYr25" vbProcedure="false">Cash_Flow!$AF$36</definedName>
    <definedName function="false" hidden="false" name="BS_DSRA_OpsYr26" vbProcedure="false">Cash_Flow!$AG$36</definedName>
    <definedName function="false" hidden="false" name="BS_DSRA_OpsYr27" vbProcedure="false">Cash_Flow!$AH$36</definedName>
    <definedName function="false" hidden="false" name="BS_DSRA_OpsYr28" vbProcedure="false">Cash_Flow!$AI$36</definedName>
    <definedName function="false" hidden="false" name="BS_DSRA_OpsYr29" vbProcedure="false">Cash_Flow!$AJ$36</definedName>
    <definedName function="false" hidden="false" name="BS_DSRA_OpsYr3" vbProcedure="false">Cash_Flow!$J$36</definedName>
    <definedName function="false" hidden="false" name="BS_DSRA_OpsYr30" vbProcedure="false">Cash_Flow!$AK$36</definedName>
    <definedName function="false" hidden="false" name="BS_DSRA_OpsYr4" vbProcedure="false">Cash_Flow!$K$36</definedName>
    <definedName function="false" hidden="false" name="BS_DSRA_OpsYr5" vbProcedure="false">Cash_Flow!$L$36</definedName>
    <definedName function="false" hidden="false" name="BS_DSRA_OpsYr6" vbProcedure="false">Cash_Flow!$M$36</definedName>
    <definedName function="false" hidden="false" name="BS_DSRA_OpsYr7" vbProcedure="false">Cash_Flow!$N$36</definedName>
    <definedName function="false" hidden="false" name="BS_DSRA_OpsYr8" vbProcedure="false">Cash_Flow!$O$36</definedName>
    <definedName function="false" hidden="false" name="BS_DSRA_OpsYr9" vbProcedure="false">Cash_Flow!$P$36</definedName>
    <definedName function="false" hidden="false" name="BS_Equity_Contrib_OpsYr1" vbProcedure="false">Cash_Flow!$H$43</definedName>
    <definedName function="false" hidden="false" name="BS_PPE_Net_OpsYr1" vbProcedure="false">Cash_Flow!$H$39</definedName>
    <definedName function="false" hidden="false" name="BS_PPE_Net_OpsYr10" vbProcedure="false">Cash_Flow!$Q$39</definedName>
    <definedName function="false" hidden="false" name="BS_PPE_Net_OpsYr11" vbProcedure="false">Cash_Flow!$R$39</definedName>
    <definedName function="false" hidden="false" name="BS_PPE_Net_OpsYr12" vbProcedure="false">Cash_Flow!$S$39</definedName>
    <definedName function="false" hidden="false" name="BS_PPE_Net_OpsYr13" vbProcedure="false">Cash_Flow!$T$39</definedName>
    <definedName function="false" hidden="false" name="BS_PPE_Net_OpsYr14" vbProcedure="false">Cash_Flow!$U$39</definedName>
    <definedName function="false" hidden="false" name="BS_PPE_Net_OpsYr15" vbProcedure="false">Cash_Flow!$V$39</definedName>
    <definedName function="false" hidden="false" name="BS_PPE_Net_OpsYr16" vbProcedure="false">Cash_Flow!$W$39</definedName>
    <definedName function="false" hidden="false" name="BS_PPE_Net_OpsYr17" vbProcedure="false">Cash_Flow!$X$39</definedName>
    <definedName function="false" hidden="false" name="BS_PPE_Net_OpsYr18" vbProcedure="false">Cash_Flow!$Y$39</definedName>
    <definedName function="false" hidden="false" name="BS_PPE_Net_OpsYr19" vbProcedure="false">Cash_Flow!$Z$39</definedName>
    <definedName function="false" hidden="false" name="BS_PPE_Net_OpsYr2" vbProcedure="false">Cash_Flow!$I$39</definedName>
    <definedName function="false" hidden="false" name="BS_PPE_Net_OpsYr20" vbProcedure="false">Cash_Flow!$AA$39</definedName>
    <definedName function="false" hidden="false" name="BS_PPE_Net_OpsYr21" vbProcedure="false">Cash_Flow!$AB$39</definedName>
    <definedName function="false" hidden="false" name="BS_PPE_Net_OpsYr22" vbProcedure="false">Cash_Flow!$AC$39</definedName>
    <definedName function="false" hidden="false" name="BS_PPE_Net_OpsYr23" vbProcedure="false">Cash_Flow!$AD$39</definedName>
    <definedName function="false" hidden="false" name="BS_PPE_Net_OpsYr24" vbProcedure="false">Cash_Flow!$AE$39</definedName>
    <definedName function="false" hidden="false" name="BS_PPE_Net_OpsYr25" vbProcedure="false">Cash_Flow!$AF$39</definedName>
    <definedName function="false" hidden="false" name="BS_PPE_Net_OpsYr26" vbProcedure="false">Cash_Flow!$AG$39</definedName>
    <definedName function="false" hidden="false" name="BS_PPE_Net_OpsYr27" vbProcedure="false">Cash_Flow!$AH$39</definedName>
    <definedName function="false" hidden="false" name="BS_PPE_Net_OpsYr28" vbProcedure="false">Cash_Flow!$AI$39</definedName>
    <definedName function="false" hidden="false" name="BS_PPE_Net_OpsYr29" vbProcedure="false">Cash_Flow!$AJ$39</definedName>
    <definedName function="false" hidden="false" name="BS_PPE_Net_OpsYr3" vbProcedure="false">Cash_Flow!$J$39</definedName>
    <definedName function="false" hidden="false" name="BS_PPE_Net_OpsYr30" vbProcedure="false">Cash_Flow!$AK$39</definedName>
    <definedName function="false" hidden="false" name="BS_PPE_Net_OpsYr4" vbProcedure="false">Cash_Flow!$K$39</definedName>
    <definedName function="false" hidden="false" name="BS_PPE_Net_OpsYr5" vbProcedure="false">Cash_Flow!$L$39</definedName>
    <definedName function="false" hidden="false" name="BS_PPE_Net_OpsYr6" vbProcedure="false">Cash_Flow!$M$39</definedName>
    <definedName function="false" hidden="false" name="BS_PPE_Net_OpsYr7" vbProcedure="false">Cash_Flow!$N$39</definedName>
    <definedName function="false" hidden="false" name="BS_PPE_Net_OpsYr8" vbProcedure="false">Cash_Flow!$O$39</definedName>
    <definedName function="false" hidden="false" name="BS_PPE_Net_OpsYr9" vbProcedure="false">Cash_Flow!$P$39</definedName>
    <definedName function="false" hidden="false" name="BS_PPE_Open_OpsYr1" vbProcedure="false">Cash_Flow!$H$37</definedName>
    <definedName function="false" hidden="false" name="BS_PPE_Open_OpsYr10" vbProcedure="false">Cash_Flow!$Q$37</definedName>
    <definedName function="false" hidden="false" name="BS_PPE_Open_OpsYr11" vbProcedure="false">Cash_Flow!$R$37</definedName>
    <definedName function="false" hidden="false" name="BS_PPE_Open_OpsYr12" vbProcedure="false">Cash_Flow!$S$37</definedName>
    <definedName function="false" hidden="false" name="BS_PPE_Open_OpsYr13" vbProcedure="false">Cash_Flow!$T$37</definedName>
    <definedName function="false" hidden="false" name="BS_PPE_Open_OpsYr14" vbProcedure="false">Cash_Flow!$U$37</definedName>
    <definedName function="false" hidden="false" name="BS_PPE_Open_OpsYr15" vbProcedure="false">Cash_Flow!$V$37</definedName>
    <definedName function="false" hidden="false" name="BS_PPE_Open_OpsYr16" vbProcedure="false">Cash_Flow!$W$37</definedName>
    <definedName function="false" hidden="false" name="BS_PPE_Open_OpsYr17" vbProcedure="false">Cash_Flow!$X$37</definedName>
    <definedName function="false" hidden="false" name="BS_PPE_Open_OpsYr18" vbProcedure="false">Cash_Flow!$Y$37</definedName>
    <definedName function="false" hidden="false" name="BS_PPE_Open_OpsYr19" vbProcedure="false">Cash_Flow!$Z$37</definedName>
    <definedName function="false" hidden="false" name="BS_PPE_Open_OpsYr2" vbProcedure="false">Cash_Flow!$I$37</definedName>
    <definedName function="false" hidden="false" name="BS_PPE_Open_OpsYr20" vbProcedure="false">Cash_Flow!$AA$37</definedName>
    <definedName function="false" hidden="false" name="BS_PPE_Open_OpsYr21" vbProcedure="false">Cash_Flow!$AB$37</definedName>
    <definedName function="false" hidden="false" name="BS_PPE_Open_OpsYr22" vbProcedure="false">Cash_Flow!$AC$37</definedName>
    <definedName function="false" hidden="false" name="BS_PPE_Open_OpsYr23" vbProcedure="false">Cash_Flow!$AD$37</definedName>
    <definedName function="false" hidden="false" name="BS_PPE_Open_OpsYr24" vbProcedure="false">Cash_Flow!$AE$37</definedName>
    <definedName function="false" hidden="false" name="BS_PPE_Open_OpsYr25" vbProcedure="false">Cash_Flow!$AF$37</definedName>
    <definedName function="false" hidden="false" name="BS_PPE_Open_OpsYr26" vbProcedure="false">Cash_Flow!$AG$37</definedName>
    <definedName function="false" hidden="false" name="BS_PPE_Open_OpsYr27" vbProcedure="false">Cash_Flow!$AH$37</definedName>
    <definedName function="false" hidden="false" name="BS_PPE_Open_OpsYr28" vbProcedure="false">Cash_Flow!$AI$37</definedName>
    <definedName function="false" hidden="false" name="BS_PPE_Open_OpsYr29" vbProcedure="false">Cash_Flow!$AJ$37</definedName>
    <definedName function="false" hidden="false" name="BS_PPE_Open_OpsYr3" vbProcedure="false">Cash_Flow!$J$37</definedName>
    <definedName function="false" hidden="false" name="BS_PPE_Open_OpsYr30" vbProcedure="false">Cash_Flow!$AK$37</definedName>
    <definedName function="false" hidden="false" name="BS_PPE_Open_OpsYr4" vbProcedure="false">Cash_Flow!$K$37</definedName>
    <definedName function="false" hidden="false" name="BS_PPE_Open_OpsYr5" vbProcedure="false">Cash_Flow!$L$37</definedName>
    <definedName function="false" hidden="false" name="BS_PPE_Open_OpsYr6" vbProcedure="false">Cash_Flow!$M$37</definedName>
    <definedName function="false" hidden="false" name="BS_PPE_Open_OpsYr7" vbProcedure="false">Cash_Flow!$N$37</definedName>
    <definedName function="false" hidden="false" name="BS_PPE_Open_OpsYr8" vbProcedure="false">Cash_Flow!$O$37</definedName>
    <definedName function="false" hidden="false" name="BS_PPE_Open_OpsYr9" vbProcedure="false">Cash_Flow!$P$37</definedName>
    <definedName function="false" hidden="false" name="BS_RE_OpsYr1" vbProcedure="false">Cash_Flow!$H$44</definedName>
    <definedName function="false" hidden="false" name="BS_RE_OpsYr10" vbProcedure="false">Cash_Flow!$Q$44</definedName>
    <definedName function="false" hidden="false" name="BS_RE_OpsYr11" vbProcedure="false">Cash_Flow!$R$44</definedName>
    <definedName function="false" hidden="false" name="BS_RE_OpsYr12" vbProcedure="false">Cash_Flow!$S$44</definedName>
    <definedName function="false" hidden="false" name="BS_RE_OpsYr13" vbProcedure="false">Cash_Flow!$T$44</definedName>
    <definedName function="false" hidden="false" name="BS_RE_OpsYr14" vbProcedure="false">Cash_Flow!$U$44</definedName>
    <definedName function="false" hidden="false" name="BS_RE_OpsYr15" vbProcedure="false">Cash_Flow!$V$44</definedName>
    <definedName function="false" hidden="false" name="BS_RE_OpsYr16" vbProcedure="false">Cash_Flow!$W$44</definedName>
    <definedName function="false" hidden="false" name="BS_RE_OpsYr17" vbProcedure="false">Cash_Flow!$X$44</definedName>
    <definedName function="false" hidden="false" name="BS_RE_OpsYr18" vbProcedure="false">Cash_Flow!$Y$44</definedName>
    <definedName function="false" hidden="false" name="BS_RE_OpsYr19" vbProcedure="false">Cash_Flow!$Z$44</definedName>
    <definedName function="false" hidden="false" name="BS_RE_OpsYr2" vbProcedure="false">Cash_Flow!$I$44</definedName>
    <definedName function="false" hidden="false" name="BS_RE_OpsYr20" vbProcedure="false">Cash_Flow!$AA$44</definedName>
    <definedName function="false" hidden="false" name="BS_RE_OpsYr21" vbProcedure="false">Cash_Flow!$AB$44</definedName>
    <definedName function="false" hidden="false" name="BS_RE_OpsYr22" vbProcedure="false">Cash_Flow!$AC$44</definedName>
    <definedName function="false" hidden="false" name="BS_RE_OpsYr23" vbProcedure="false">Cash_Flow!$AD$44</definedName>
    <definedName function="false" hidden="false" name="BS_RE_OpsYr24" vbProcedure="false">Cash_Flow!$AE$44</definedName>
    <definedName function="false" hidden="false" name="BS_RE_OpsYr25" vbProcedure="false">Cash_Flow!$AF$44</definedName>
    <definedName function="false" hidden="false" name="BS_RE_OpsYr26" vbProcedure="false">Cash_Flow!$AG$44</definedName>
    <definedName function="false" hidden="false" name="BS_RE_OpsYr27" vbProcedure="false">Cash_Flow!$AH$44</definedName>
    <definedName function="false" hidden="false" name="BS_RE_OpsYr28" vbProcedure="false">Cash_Flow!$AI$44</definedName>
    <definedName function="false" hidden="false" name="BS_RE_OpsYr29" vbProcedure="false">Cash_Flow!$AJ$44</definedName>
    <definedName function="false" hidden="false" name="BS_RE_OpsYr3" vbProcedure="false">Cash_Flow!$J$44</definedName>
    <definedName function="false" hidden="false" name="BS_RE_OpsYr30" vbProcedure="false">Cash_Flow!$AK$44</definedName>
    <definedName function="false" hidden="false" name="BS_RE_OpsYr4" vbProcedure="false">Cash_Flow!$K$44</definedName>
    <definedName function="false" hidden="false" name="BS_RE_OpsYr5" vbProcedure="false">Cash_Flow!$L$44</definedName>
    <definedName function="false" hidden="false" name="BS_RE_OpsYr6" vbProcedure="false">Cash_Flow!$M$44</definedName>
    <definedName function="false" hidden="false" name="BS_RE_OpsYr7" vbProcedure="false">Cash_Flow!$N$44</definedName>
    <definedName function="false" hidden="false" name="BS_RE_OpsYr8" vbProcedure="false">Cash_Flow!$O$44</definedName>
    <definedName function="false" hidden="false" name="BS_RE_OpsYr9" vbProcedure="false">Cash_Flow!$P$44</definedName>
    <definedName function="false" hidden="false" name="BS_Total_Assets_OpsYr1" vbProcedure="false">Cash_Flow!$H$40</definedName>
    <definedName function="false" hidden="false" name="BS_Total_Assets_OpsYr10" vbProcedure="false">Cash_Flow!$Q$40</definedName>
    <definedName function="false" hidden="false" name="BS_Total_Assets_OpsYr11" vbProcedure="false">Cash_Flow!$R$40</definedName>
    <definedName function="false" hidden="false" name="BS_Total_Assets_OpsYr12" vbProcedure="false">Cash_Flow!$S$40</definedName>
    <definedName function="false" hidden="false" name="BS_Total_Assets_OpsYr13" vbProcedure="false">Cash_Flow!$T$40</definedName>
    <definedName function="false" hidden="false" name="BS_Total_Assets_OpsYr14" vbProcedure="false">Cash_Flow!$U$40</definedName>
    <definedName function="false" hidden="false" name="BS_Total_Assets_OpsYr15" vbProcedure="false">Cash_Flow!$V$40</definedName>
    <definedName function="false" hidden="false" name="BS_Total_Assets_OpsYr16" vbProcedure="false">Cash_Flow!$W$40</definedName>
    <definedName function="false" hidden="false" name="BS_Total_Assets_OpsYr17" vbProcedure="false">Cash_Flow!$X$40</definedName>
    <definedName function="false" hidden="false" name="BS_Total_Assets_OpsYr18" vbProcedure="false">Cash_Flow!$Y$40</definedName>
    <definedName function="false" hidden="false" name="BS_Total_Assets_OpsYr19" vbProcedure="false">Cash_Flow!$Z$40</definedName>
    <definedName function="false" hidden="false" name="BS_Total_Assets_OpsYr2" vbProcedure="false">Cash_Flow!$I$40</definedName>
    <definedName function="false" hidden="false" name="BS_Total_Assets_OpsYr20" vbProcedure="false">Cash_Flow!$AA$40</definedName>
    <definedName function="false" hidden="false" name="BS_Total_Assets_OpsYr21" vbProcedure="false">Cash_Flow!$AB$40</definedName>
    <definedName function="false" hidden="false" name="BS_Total_Assets_OpsYr22" vbProcedure="false">Cash_Flow!$AC$40</definedName>
    <definedName function="false" hidden="false" name="BS_Total_Assets_OpsYr23" vbProcedure="false">Cash_Flow!$AD$40</definedName>
    <definedName function="false" hidden="false" name="BS_Total_Assets_OpsYr24" vbProcedure="false">Cash_Flow!$AE$40</definedName>
    <definedName function="false" hidden="false" name="BS_Total_Assets_OpsYr25" vbProcedure="false">Cash_Flow!$AF$40</definedName>
    <definedName function="false" hidden="false" name="BS_Total_Assets_OpsYr26" vbProcedure="false">Cash_Flow!$AG$40</definedName>
    <definedName function="false" hidden="false" name="BS_Total_Assets_OpsYr27" vbProcedure="false">Cash_Flow!$AH$40</definedName>
    <definedName function="false" hidden="false" name="BS_Total_Assets_OpsYr28" vbProcedure="false">Cash_Flow!$AI$40</definedName>
    <definedName function="false" hidden="false" name="BS_Total_Assets_OpsYr29" vbProcedure="false">Cash_Flow!$AJ$40</definedName>
    <definedName function="false" hidden="false" name="BS_Total_Assets_OpsYr3" vbProcedure="false">Cash_Flow!$J$40</definedName>
    <definedName function="false" hidden="false" name="BS_Total_Assets_OpsYr30" vbProcedure="false">Cash_Flow!$AK$40</definedName>
    <definedName function="false" hidden="false" name="BS_Total_Assets_OpsYr4" vbProcedure="false">Cash_Flow!$K$40</definedName>
    <definedName function="false" hidden="false" name="BS_Total_Assets_OpsYr5" vbProcedure="false">Cash_Flow!$L$40</definedName>
    <definedName function="false" hidden="false" name="BS_Total_Assets_OpsYr6" vbProcedure="false">Cash_Flow!$M$40</definedName>
    <definedName function="false" hidden="false" name="BS_Total_Assets_OpsYr7" vbProcedure="false">Cash_Flow!$N$40</definedName>
    <definedName function="false" hidden="false" name="BS_Total_Assets_OpsYr8" vbProcedure="false">Cash_Flow!$O$40</definedName>
    <definedName function="false" hidden="false" name="BS_Total_Assets_OpsYr9" vbProcedure="false">Cash_Flow!$P$40</definedName>
    <definedName function="false" hidden="false" name="BS_Total_LE_OpsYr1" vbProcedure="false">Cash_Flow!$H$45</definedName>
    <definedName function="false" hidden="false" name="BS_Total_LE_OpsYr10" vbProcedure="false">Cash_Flow!$Q$45</definedName>
    <definedName function="false" hidden="false" name="BS_Total_LE_OpsYr11" vbProcedure="false">Cash_Flow!$R$45</definedName>
    <definedName function="false" hidden="false" name="BS_Total_LE_OpsYr12" vbProcedure="false">Cash_Flow!$S$45</definedName>
    <definedName function="false" hidden="false" name="BS_Total_LE_OpsYr13" vbProcedure="false">Cash_Flow!$T$45</definedName>
    <definedName function="false" hidden="false" name="BS_Total_LE_OpsYr14" vbProcedure="false">Cash_Flow!$U$45</definedName>
    <definedName function="false" hidden="false" name="BS_Total_LE_OpsYr15" vbProcedure="false">Cash_Flow!$V$45</definedName>
    <definedName function="false" hidden="false" name="BS_Total_LE_OpsYr16" vbProcedure="false">Cash_Flow!$W$45</definedName>
    <definedName function="false" hidden="false" name="BS_Total_LE_OpsYr17" vbProcedure="false">Cash_Flow!$X$45</definedName>
    <definedName function="false" hidden="false" name="BS_Total_LE_OpsYr18" vbProcedure="false">Cash_Flow!$Y$45</definedName>
    <definedName function="false" hidden="false" name="BS_Total_LE_OpsYr19" vbProcedure="false">Cash_Flow!$Z$45</definedName>
    <definedName function="false" hidden="false" name="BS_Total_LE_OpsYr2" vbProcedure="false">Cash_Flow!$I$45</definedName>
    <definedName function="false" hidden="false" name="BS_Total_LE_OpsYr20" vbProcedure="false">Cash_Flow!$AA$45</definedName>
    <definedName function="false" hidden="false" name="BS_Total_LE_OpsYr21" vbProcedure="false">Cash_Flow!$AB$45</definedName>
    <definedName function="false" hidden="false" name="BS_Total_LE_OpsYr22" vbProcedure="false">Cash_Flow!$AC$45</definedName>
    <definedName function="false" hidden="false" name="BS_Total_LE_OpsYr23" vbProcedure="false">Cash_Flow!$AD$45</definedName>
    <definedName function="false" hidden="false" name="BS_Total_LE_OpsYr24" vbProcedure="false">Cash_Flow!$AE$45</definedName>
    <definedName function="false" hidden="false" name="BS_Total_LE_OpsYr25" vbProcedure="false">Cash_Flow!$AF$45</definedName>
    <definedName function="false" hidden="false" name="BS_Total_LE_OpsYr26" vbProcedure="false">Cash_Flow!$AG$45</definedName>
    <definedName function="false" hidden="false" name="BS_Total_LE_OpsYr27" vbProcedure="false">Cash_Flow!$AH$45</definedName>
    <definedName function="false" hidden="false" name="BS_Total_LE_OpsYr28" vbProcedure="false">Cash_Flow!$AI$45</definedName>
    <definedName function="false" hidden="false" name="BS_Total_LE_OpsYr29" vbProcedure="false">Cash_Flow!$AJ$45</definedName>
    <definedName function="false" hidden="false" name="BS_Total_LE_OpsYr3" vbProcedure="false">Cash_Flow!$J$45</definedName>
    <definedName function="false" hidden="false" name="BS_Total_LE_OpsYr30" vbProcedure="false">Cash_Flow!$AK$45</definedName>
    <definedName function="false" hidden="false" name="BS_Total_LE_OpsYr4" vbProcedure="false">Cash_Flow!$K$45</definedName>
    <definedName function="false" hidden="false" name="BS_Total_LE_OpsYr5" vbProcedure="false">Cash_Flow!$L$45</definedName>
    <definedName function="false" hidden="false" name="BS_Total_LE_OpsYr6" vbProcedure="false">Cash_Flow!$M$45</definedName>
    <definedName function="false" hidden="false" name="BS_Total_LE_OpsYr7" vbProcedure="false">Cash_Flow!$N$45</definedName>
    <definedName function="false" hidden="false" name="BS_Total_LE_OpsYr8" vbProcedure="false">Cash_Flow!$O$45</definedName>
    <definedName function="false" hidden="false" name="BS_Total_LE_OpsYr9" vbProcedure="false">Cash_Flow!$P$45</definedName>
    <definedName function="false" hidden="false" name="Capex_Per_KM" vbProcedure="false">Assumptions!$C$17</definedName>
    <definedName function="false" hidden="false" name="Cash_After_DS_OpsYr1" vbProcedure="false">Debt_Schedule!$H$28</definedName>
    <definedName function="false" hidden="false" name="Cash_After_DS_OpsYr10" vbProcedure="false">Debt_Schedule!$Q$28</definedName>
    <definedName function="false" hidden="false" name="Cash_After_DS_OpsYr11" vbProcedure="false">Debt_Schedule!$R$28</definedName>
    <definedName function="false" hidden="false" name="Cash_After_DS_OpsYr12" vbProcedure="false">Debt_Schedule!$S$28</definedName>
    <definedName function="false" hidden="false" name="Cash_After_DS_OpsYr13" vbProcedure="false">Debt_Schedule!$T$28</definedName>
    <definedName function="false" hidden="false" name="Cash_After_DS_OpsYr14" vbProcedure="false">Debt_Schedule!$U$28</definedName>
    <definedName function="false" hidden="false" name="Cash_After_DS_OpsYr15" vbProcedure="false">Debt_Schedule!$V$28</definedName>
    <definedName function="false" hidden="false" name="Cash_After_DS_OpsYr16" vbProcedure="false">Debt_Schedule!$W$28</definedName>
    <definedName function="false" hidden="false" name="Cash_After_DS_OpsYr17" vbProcedure="false">Debt_Schedule!$X$28</definedName>
    <definedName function="false" hidden="false" name="Cash_After_DS_OpsYr18" vbProcedure="false">Debt_Schedule!$Y$28</definedName>
    <definedName function="false" hidden="false" name="Cash_After_DS_OpsYr19" vbProcedure="false">Debt_Schedule!$Z$28</definedName>
    <definedName function="false" hidden="false" name="Cash_After_DS_OpsYr2" vbProcedure="false">Debt_Schedule!$I$28</definedName>
    <definedName function="false" hidden="false" name="Cash_After_DS_OpsYr20" vbProcedure="false">Debt_Schedule!$AA$28</definedName>
    <definedName function="false" hidden="false" name="Cash_After_DS_OpsYr21" vbProcedure="false">Debt_Schedule!$AB$28</definedName>
    <definedName function="false" hidden="false" name="Cash_After_DS_OpsYr22" vbProcedure="false">Debt_Schedule!$AC$28</definedName>
    <definedName function="false" hidden="false" name="Cash_After_DS_OpsYr23" vbProcedure="false">Debt_Schedule!$AD$28</definedName>
    <definedName function="false" hidden="false" name="Cash_After_DS_OpsYr24" vbProcedure="false">Debt_Schedule!$AE$28</definedName>
    <definedName function="false" hidden="false" name="Cash_After_DS_OpsYr25" vbProcedure="false">Debt_Schedule!$AF$28</definedName>
    <definedName function="false" hidden="false" name="Cash_After_DS_OpsYr26" vbProcedure="false">Debt_Schedule!$AG$28</definedName>
    <definedName function="false" hidden="false" name="Cash_After_DS_OpsYr27" vbProcedure="false">Debt_Schedule!$AH$28</definedName>
    <definedName function="false" hidden="false" name="Cash_After_DS_OpsYr28" vbProcedure="false">Debt_Schedule!$AI$28</definedName>
    <definedName function="false" hidden="false" name="Cash_After_DS_OpsYr29" vbProcedure="false">Debt_Schedule!$AJ$28</definedName>
    <definedName function="false" hidden="false" name="Cash_After_DS_OpsYr3" vbProcedure="false">Debt_Schedule!$J$28</definedName>
    <definedName function="false" hidden="false" name="Cash_After_DS_OpsYr30" vbProcedure="false">Debt_Schedule!$AK$28</definedName>
    <definedName function="false" hidden="false" name="Cash_After_DS_OpsYr4" vbProcedure="false">Debt_Schedule!$K$28</definedName>
    <definedName function="false" hidden="false" name="Cash_After_DS_OpsYr5" vbProcedure="false">Debt_Schedule!$L$28</definedName>
    <definedName function="false" hidden="false" name="Cash_After_DS_OpsYr6" vbProcedure="false">Debt_Schedule!$M$28</definedName>
    <definedName function="false" hidden="false" name="Cash_After_DS_OpsYr7" vbProcedure="false">Debt_Schedule!$N$28</definedName>
    <definedName function="false" hidden="false" name="Cash_After_DS_OpsYr8" vbProcedure="false">Debt_Schedule!$O$28</definedName>
    <definedName function="false" hidden="false" name="Cash_After_DS_OpsYr9" vbProcedure="false">Debt_Schedule!$P$28</definedName>
    <definedName function="false" hidden="false" name="CFADS_OpsYr1" vbProcedure="false">Debt_Schedule!$H$14</definedName>
    <definedName function="false" hidden="false" name="CF_Capex_CY1" vbProcedure="false">Cash_Flow!$C$5</definedName>
    <definedName function="false" hidden="false" name="CF_Cash_Close_CY1" vbProcedure="false">Cash_Flow!$C$10</definedName>
    <definedName function="false" hidden="false" name="CF_Cash_Close_CY2" vbProcedure="false">Cash_Flow!$D$10</definedName>
    <definedName function="false" hidden="false" name="CF_Cash_Close_CY3" vbProcedure="false">Cash_Flow!$E$10</definedName>
    <definedName function="false" hidden="false" name="CF_Cash_Close_CY4" vbProcedure="false">Cash_Flow!$F$10</definedName>
    <definedName function="false" hidden="false" name="CF_Cash_Close_CY5" vbProcedure="false">Cash_Flow!$G$10</definedName>
    <definedName function="false" hidden="false" name="CF_Cash_Close_OpsYr1" vbProcedure="false">Cash_Flow!$H$29</definedName>
    <definedName function="false" hidden="false" name="CF_Cash_Close_OpsYr10" vbProcedure="false">Cash_Flow!$Q$29</definedName>
    <definedName function="false" hidden="false" name="CF_Cash_Close_OpsYr11" vbProcedure="false">Cash_Flow!$R$29</definedName>
    <definedName function="false" hidden="false" name="CF_Cash_Close_OpsYr12" vbProcedure="false">Cash_Flow!$S$29</definedName>
    <definedName function="false" hidden="false" name="CF_Cash_Close_OpsYr13" vbProcedure="false">Cash_Flow!$T$29</definedName>
    <definedName function="false" hidden="false" name="CF_Cash_Close_OpsYr14" vbProcedure="false">Cash_Flow!$U$29</definedName>
    <definedName function="false" hidden="false" name="CF_Cash_Close_OpsYr15" vbProcedure="false">Cash_Flow!$V$29</definedName>
    <definedName function="false" hidden="false" name="CF_Cash_Close_OpsYr16" vbProcedure="false">Cash_Flow!$W$29</definedName>
    <definedName function="false" hidden="false" name="CF_Cash_Close_OpsYr17" vbProcedure="false">Cash_Flow!$X$29</definedName>
    <definedName function="false" hidden="false" name="CF_Cash_Close_OpsYr18" vbProcedure="false">Cash_Flow!$Y$29</definedName>
    <definedName function="false" hidden="false" name="CF_Cash_Close_OpsYr19" vbProcedure="false">Cash_Flow!$Z$29</definedName>
    <definedName function="false" hidden="false" name="CF_Cash_Close_OpsYr2" vbProcedure="false">Cash_Flow!$I$29</definedName>
    <definedName function="false" hidden="false" name="CF_Cash_Close_OpsYr20" vbProcedure="false">Cash_Flow!$AA$29</definedName>
    <definedName function="false" hidden="false" name="CF_Cash_Close_OpsYr21" vbProcedure="false">Cash_Flow!$AB$29</definedName>
    <definedName function="false" hidden="false" name="CF_Cash_Close_OpsYr22" vbProcedure="false">Cash_Flow!$AC$29</definedName>
    <definedName function="false" hidden="false" name="CF_Cash_Close_OpsYr23" vbProcedure="false">Cash_Flow!$AD$29</definedName>
    <definedName function="false" hidden="false" name="CF_Cash_Close_OpsYr24" vbProcedure="false">Cash_Flow!$AE$29</definedName>
    <definedName function="false" hidden="false" name="CF_Cash_Close_OpsYr25" vbProcedure="false">Cash_Flow!$AF$29</definedName>
    <definedName function="false" hidden="false" name="CF_Cash_Close_OpsYr26" vbProcedure="false">Cash_Flow!$AG$29</definedName>
    <definedName function="false" hidden="false" name="CF_Cash_Close_OpsYr27" vbProcedure="false">Cash_Flow!$AH$29</definedName>
    <definedName function="false" hidden="false" name="CF_Cash_Close_OpsYr28" vbProcedure="false">Cash_Flow!$AI$29</definedName>
    <definedName function="false" hidden="false" name="CF_Cash_Close_OpsYr29" vbProcedure="false">Cash_Flow!$AJ$29</definedName>
    <definedName function="false" hidden="false" name="CF_Cash_Close_OpsYr3" vbProcedure="false">Cash_Flow!$J$29</definedName>
    <definedName function="false" hidden="false" name="CF_Cash_Close_OpsYr30" vbProcedure="false">Cash_Flow!$AK$29</definedName>
    <definedName function="false" hidden="false" name="CF_Cash_Close_OpsYr4" vbProcedure="false">Cash_Flow!$K$29</definedName>
    <definedName function="false" hidden="false" name="CF_Cash_Close_OpsYr5" vbProcedure="false">Cash_Flow!$L$29</definedName>
    <definedName function="false" hidden="false" name="CF_Cash_Close_OpsYr6" vbProcedure="false">Cash_Flow!$M$29</definedName>
    <definedName function="false" hidden="false" name="CF_Cash_Close_OpsYr7" vbProcedure="false">Cash_Flow!$N$29</definedName>
    <definedName function="false" hidden="false" name="CF_Cash_Close_OpsYr8" vbProcedure="false">Cash_Flow!$O$29</definedName>
    <definedName function="false" hidden="false" name="CF_Cash_Close_OpsYr9" vbProcedure="false">Cash_Flow!$P$29</definedName>
    <definedName function="false" hidden="false" name="CF_Cash_Open_OpsYr1" vbProcedure="false">Cash_Flow!$H$28</definedName>
    <definedName function="false" hidden="false" name="CF_Debt_CY1" vbProcedure="false">Cash_Flow!$C$7</definedName>
    <definedName function="false" hidden="false" name="CF_DSRA_OpsYr1" vbProcedure="false">Cash_Flow!$H$23</definedName>
    <definedName function="false" hidden="false" name="CF_EBITDA_OpsYr1" vbProcedure="false">Cash_Flow!$H$13</definedName>
    <definedName function="false" hidden="false" name="CF_Equity_CY1" vbProcedure="false">Cash_Flow!$C$6</definedName>
    <definedName function="false" hidden="false" name="CF_Equity_Out_OpsYr1" vbProcedure="false">Cash_Flow!$H$24</definedName>
    <definedName function="false" hidden="false" name="CF_FCF_OpsYr1" vbProcedure="false">Cash_Flow!$H$25</definedName>
    <definedName function="false" hidden="false" name="CF_ICF_OpsYr1" vbProcedure="false">Cash_Flow!$H$19</definedName>
    <definedName function="false" hidden="false" name="CF_Interest_OpsYr1" vbProcedure="false">Cash_Flow!$H$21</definedName>
    <definedName function="false" hidden="false" name="CF_Lifecycle_OpsYr1" vbProcedure="false">Cash_Flow!$H$18</definedName>
    <definedName function="false" hidden="false" name="CF_Net_OpsYr1" vbProcedure="false">Cash_Flow!$H$27</definedName>
    <definedName function="false" hidden="false" name="CF_OCF_OpsYr1" vbProcedure="false">Cash_Flow!$H$16</definedName>
    <definedName function="false" hidden="false" name="CF_Principal_OpsYr1" vbProcedure="false">Cash_Flow!$H$22</definedName>
    <definedName function="false" hidden="false" name="CF_Tax_OpsYr1" vbProcedure="false">Cash_Flow!$H$14</definedName>
    <definedName function="false" hidden="false" name="Construction_Period" vbProcedure="false">Assumptions!$C$24</definedName>
    <definedName function="false" hidden="false" name="Constr_Capex_CY1" vbProcedure="false">Construction!$C$10</definedName>
    <definedName function="false" hidden="false" name="Constr_Capex_CY2" vbProcedure="false">Construction!$D$10</definedName>
    <definedName function="false" hidden="false" name="Constr_Capex_CY3" vbProcedure="false">Construction!$E$10</definedName>
    <definedName function="false" hidden="false" name="Constr_Capex_CY4" vbProcedure="false">Construction!$F$10</definedName>
    <definedName function="false" hidden="false" name="Constr_Capex_CY5" vbProcedure="false">Construction!$G$10</definedName>
    <definedName function="false" hidden="false" name="Constr_Cum_IDC" vbProcedure="false">Construction!$G$22</definedName>
    <definedName function="false" hidden="false" name="Constr_Debt_Close_CY1" vbProcedure="false">Construction!$C$21</definedName>
    <definedName function="false" hidden="false" name="Constr_Debt_Close_CY2" vbProcedure="false">Construction!$D$21</definedName>
    <definedName function="false" hidden="false" name="Constr_Debt_Close_CY3" vbProcedure="false">Construction!$E$21</definedName>
    <definedName function="false" hidden="false" name="Constr_Debt_Close_CY4" vbProcedure="false">Construction!$F$21</definedName>
    <definedName function="false" hidden="false" name="Constr_Debt_Close_CY5" vbProcedure="false">Construction!$G$21</definedName>
    <definedName function="false" hidden="false" name="Constr_Debt_CY1" vbProcedure="false">Construction!$C$14</definedName>
    <definedName function="false" hidden="false" name="Constr_Debt_CY2" vbProcedure="false">Construction!$D$14</definedName>
    <definedName function="false" hidden="false" name="Constr_Debt_CY3" vbProcedure="false">Construction!$E$14</definedName>
    <definedName function="false" hidden="false" name="Constr_Debt_CY4" vbProcedure="false">Construction!$F$14</definedName>
    <definedName function="false" hidden="false" name="Constr_Debt_CY5" vbProcedure="false">Construction!$G$14</definedName>
    <definedName function="false" hidden="false" name="Constr_Debt_Open_CY1" vbProcedure="false">Construction!$C$18</definedName>
    <definedName function="false" hidden="false" name="Constr_Debt_Open_CY2" vbProcedure="false">Construction!$D$18</definedName>
    <definedName function="false" hidden="false" name="Constr_Debt_Open_CY3" vbProcedure="false">Construction!$E$18</definedName>
    <definedName function="false" hidden="false" name="Constr_Debt_Open_CY4" vbProcedure="false">Construction!$F$18</definedName>
    <definedName function="false" hidden="false" name="Constr_Debt_Open_CY5" vbProcedure="false">Construction!$G$18</definedName>
    <definedName function="false" hidden="false" name="Constr_DSRA_Prefund" vbProcedure="false">Construction!$G$15</definedName>
    <definedName function="false" hidden="false" name="Constr_Equity_CY1" vbProcedure="false">Construction!$C$13</definedName>
    <definedName function="false" hidden="false" name="Constr_Equity_CY2" vbProcedure="false">Construction!$D$13</definedName>
    <definedName function="false" hidden="false" name="Constr_Equity_CY3" vbProcedure="false">Construction!$E$13</definedName>
    <definedName function="false" hidden="false" name="Constr_Equity_CY4" vbProcedure="false">Construction!$F$13</definedName>
    <definedName function="false" hidden="false" name="Constr_Equity_CY5" vbProcedure="false">Construction!$G$13</definedName>
    <definedName function="false" hidden="false" name="Constr_IDC_CY1" vbProcedure="false">Construction!$C$20</definedName>
    <definedName function="false" hidden="false" name="Constr_IDC_CY2" vbProcedure="false">Construction!$D$20</definedName>
    <definedName function="false" hidden="false" name="Constr_IDC_CY3" vbProcedure="false">Construction!$E$20</definedName>
    <definedName function="false" hidden="false" name="Constr_IDC_CY4" vbProcedure="false">Construction!$F$20</definedName>
    <definedName function="false" hidden="false" name="Constr_IDC_CY5" vbProcedure="false">Construction!$G$20</definedName>
    <definedName function="false" hidden="false" name="Constr_Total_Debt_CY1" vbProcedure="false">Construction!$C$16</definedName>
    <definedName function="false" hidden="false" name="Constr_Total_Debt_CY2" vbProcedure="false">Construction!$D$16</definedName>
    <definedName function="false" hidden="false" name="Constr_Total_Debt_CY3" vbProcedure="false">Construction!$E$16</definedName>
    <definedName function="false" hidden="false" name="Constr_Total_Debt_CY4" vbProcedure="false">Construction!$F$16</definedName>
    <definedName function="false" hidden="false" name="Constr_Total_Debt_CY5" vbProcedure="false">Construction!$G$16</definedName>
    <definedName function="false" hidden="false" name="Contingency_Pct" vbProcedure="false">Assumptions!$C$18</definedName>
    <definedName function="false" hidden="false" name="Debt_At_COD" vbProcedure="false">Debt_Schedule!$C$5</definedName>
    <definedName function="false" hidden="false" name="Debt_Closing_OpsYr1" vbProcedure="false">Debt_Schedule!$H$19</definedName>
    <definedName function="false" hidden="false" name="Debt_Closing_OpsYr10" vbProcedure="false">Debt_Schedule!$Q$19</definedName>
    <definedName function="false" hidden="false" name="Debt_Closing_OpsYr11" vbProcedure="false">Debt_Schedule!$R$19</definedName>
    <definedName function="false" hidden="false" name="Debt_Closing_OpsYr12" vbProcedure="false">Debt_Schedule!$S$19</definedName>
    <definedName function="false" hidden="false" name="Debt_Closing_OpsYr13" vbProcedure="false">Debt_Schedule!$T$19</definedName>
    <definedName function="false" hidden="false" name="Debt_Closing_OpsYr14" vbProcedure="false">Debt_Schedule!$U$19</definedName>
    <definedName function="false" hidden="false" name="Debt_Closing_OpsYr15" vbProcedure="false">Debt_Schedule!$V$19</definedName>
    <definedName function="false" hidden="false" name="Debt_Closing_OpsYr16" vbProcedure="false">Debt_Schedule!$W$19</definedName>
    <definedName function="false" hidden="false" name="Debt_Closing_OpsYr17" vbProcedure="false">Debt_Schedule!$X$19</definedName>
    <definedName function="false" hidden="false" name="Debt_Closing_OpsYr18" vbProcedure="false">Debt_Schedule!$Y$19</definedName>
    <definedName function="false" hidden="false" name="Debt_Closing_OpsYr19" vbProcedure="false">Debt_Schedule!$Z$19</definedName>
    <definedName function="false" hidden="false" name="Debt_Closing_OpsYr2" vbProcedure="false">Debt_Schedule!$I$19</definedName>
    <definedName function="false" hidden="false" name="Debt_Closing_OpsYr20" vbProcedure="false">Debt_Schedule!$AA$19</definedName>
    <definedName function="false" hidden="false" name="Debt_Closing_OpsYr21" vbProcedure="false">Debt_Schedule!$AB$19</definedName>
    <definedName function="false" hidden="false" name="Debt_Closing_OpsYr22" vbProcedure="false">Debt_Schedule!$AC$19</definedName>
    <definedName function="false" hidden="false" name="Debt_Closing_OpsYr23" vbProcedure="false">Debt_Schedule!$AD$19</definedName>
    <definedName function="false" hidden="false" name="Debt_Closing_OpsYr24" vbProcedure="false">Debt_Schedule!$AE$19</definedName>
    <definedName function="false" hidden="false" name="Debt_Closing_OpsYr25" vbProcedure="false">Debt_Schedule!$AF$19</definedName>
    <definedName function="false" hidden="false" name="Debt_Closing_OpsYr26" vbProcedure="false">Debt_Schedule!$AG$19</definedName>
    <definedName function="false" hidden="false" name="Debt_Closing_OpsYr27" vbProcedure="false">Debt_Schedule!$AH$19</definedName>
    <definedName function="false" hidden="false" name="Debt_Closing_OpsYr28" vbProcedure="false">Debt_Schedule!$AI$19</definedName>
    <definedName function="false" hidden="false" name="Debt_Closing_OpsYr29" vbProcedure="false">Debt_Schedule!$AJ$19</definedName>
    <definedName function="false" hidden="false" name="Debt_Closing_OpsYr3" vbProcedure="false">Debt_Schedule!$J$19</definedName>
    <definedName function="false" hidden="false" name="Debt_Closing_OpsYr30" vbProcedure="false">Debt_Schedule!$AK$19</definedName>
    <definedName function="false" hidden="false" name="Debt_Closing_OpsYr4" vbProcedure="false">Debt_Schedule!$K$19</definedName>
    <definedName function="false" hidden="false" name="Debt_Closing_OpsYr5" vbProcedure="false">Debt_Schedule!$L$19</definedName>
    <definedName function="false" hidden="false" name="Debt_Closing_OpsYr6" vbProcedure="false">Debt_Schedule!$M$19</definedName>
    <definedName function="false" hidden="false" name="Debt_Closing_OpsYr7" vbProcedure="false">Debt_Schedule!$N$19</definedName>
    <definedName function="false" hidden="false" name="Debt_Closing_OpsYr8" vbProcedure="false">Debt_Schedule!$O$19</definedName>
    <definedName function="false" hidden="false" name="Debt_Closing_OpsYr9" vbProcedure="false">Debt_Schedule!$P$19</definedName>
    <definedName function="false" hidden="false" name="Debt_Interest_OpsYr1" vbProcedure="false">Debt_Schedule!$H$17</definedName>
    <definedName function="false" hidden="false" name="Debt_Opening_OpsYr1" vbProcedure="false">Debt_Schedule!$H$16</definedName>
    <definedName function="false" hidden="false" name="Debt_Opening_OpsYr10" vbProcedure="false">Debt_Schedule!$Q$16</definedName>
    <definedName function="false" hidden="false" name="Debt_Opening_OpsYr11" vbProcedure="false">Debt_Schedule!$R$16</definedName>
    <definedName function="false" hidden="false" name="Debt_Opening_OpsYr12" vbProcedure="false">Debt_Schedule!$S$16</definedName>
    <definedName function="false" hidden="false" name="Debt_Opening_OpsYr13" vbProcedure="false">Debt_Schedule!$T$16</definedName>
    <definedName function="false" hidden="false" name="Debt_Opening_OpsYr14" vbProcedure="false">Debt_Schedule!$U$16</definedName>
    <definedName function="false" hidden="false" name="Debt_Opening_OpsYr15" vbProcedure="false">Debt_Schedule!$V$16</definedName>
    <definedName function="false" hidden="false" name="Debt_Opening_OpsYr16" vbProcedure="false">Debt_Schedule!$W$16</definedName>
    <definedName function="false" hidden="false" name="Debt_Opening_OpsYr17" vbProcedure="false">Debt_Schedule!$X$16</definedName>
    <definedName function="false" hidden="false" name="Debt_Opening_OpsYr18" vbProcedure="false">Debt_Schedule!$Y$16</definedName>
    <definedName function="false" hidden="false" name="Debt_Opening_OpsYr19" vbProcedure="false">Debt_Schedule!$Z$16</definedName>
    <definedName function="false" hidden="false" name="Debt_Opening_OpsYr2" vbProcedure="false">Debt_Schedule!$I$16</definedName>
    <definedName function="false" hidden="false" name="Debt_Opening_OpsYr20" vbProcedure="false">Debt_Schedule!$AA$16</definedName>
    <definedName function="false" hidden="false" name="Debt_Opening_OpsYr21" vbProcedure="false">Debt_Schedule!$AB$16</definedName>
    <definedName function="false" hidden="false" name="Debt_Opening_OpsYr22" vbProcedure="false">Debt_Schedule!$AC$16</definedName>
    <definedName function="false" hidden="false" name="Debt_Opening_OpsYr23" vbProcedure="false">Debt_Schedule!$AD$16</definedName>
    <definedName function="false" hidden="false" name="Debt_Opening_OpsYr24" vbProcedure="false">Debt_Schedule!$AE$16</definedName>
    <definedName function="false" hidden="false" name="Debt_Opening_OpsYr25" vbProcedure="false">Debt_Schedule!$AF$16</definedName>
    <definedName function="false" hidden="false" name="Debt_Opening_OpsYr26" vbProcedure="false">Debt_Schedule!$AG$16</definedName>
    <definedName function="false" hidden="false" name="Debt_Opening_OpsYr27" vbProcedure="false">Debt_Schedule!$AH$16</definedName>
    <definedName function="false" hidden="false" name="Debt_Opening_OpsYr28" vbProcedure="false">Debt_Schedule!$AI$16</definedName>
    <definedName function="false" hidden="false" name="Debt_Opening_OpsYr29" vbProcedure="false">Debt_Schedule!$AJ$16</definedName>
    <definedName function="false" hidden="false" name="Debt_Opening_OpsYr3" vbProcedure="false">Debt_Schedule!$J$16</definedName>
    <definedName function="false" hidden="false" name="Debt_Opening_OpsYr30" vbProcedure="false">Debt_Schedule!$AK$16</definedName>
    <definedName function="false" hidden="false" name="Debt_Opening_OpsYr4" vbProcedure="false">Debt_Schedule!$K$16</definedName>
    <definedName function="false" hidden="false" name="Debt_Opening_OpsYr5" vbProcedure="false">Debt_Schedule!$L$16</definedName>
    <definedName function="false" hidden="false" name="Debt_Opening_OpsYr6" vbProcedure="false">Debt_Schedule!$M$16</definedName>
    <definedName function="false" hidden="false" name="Debt_Opening_OpsYr7" vbProcedure="false">Debt_Schedule!$N$16</definedName>
    <definedName function="false" hidden="false" name="Debt_Opening_OpsYr8" vbProcedure="false">Debt_Schedule!$O$16</definedName>
    <definedName function="false" hidden="false" name="Debt_Opening_OpsYr9" vbProcedure="false">Debt_Schedule!$P$16</definedName>
    <definedName function="false" hidden="false" name="Debt_Payoff_Year" vbProcedure="false">Returns!$C$21</definedName>
    <definedName function="false" hidden="false" name="Debt_Repayment_OpsYr1" vbProcedure="false">Debt_Schedule!$H$18</definedName>
    <definedName function="false" hidden="false" name="Debt_Repayment_OpsYr10" vbProcedure="false">Debt_Schedule!$Q$18</definedName>
    <definedName function="false" hidden="false" name="Debt_Repayment_OpsYr11" vbProcedure="false">Debt_Schedule!$R$18</definedName>
    <definedName function="false" hidden="false" name="Debt_Repayment_OpsYr12" vbProcedure="false">Debt_Schedule!$S$18</definedName>
    <definedName function="false" hidden="false" name="Debt_Repayment_OpsYr13" vbProcedure="false">Debt_Schedule!$T$18</definedName>
    <definedName function="false" hidden="false" name="Debt_Repayment_OpsYr14" vbProcedure="false">Debt_Schedule!$U$18</definedName>
    <definedName function="false" hidden="false" name="Debt_Repayment_OpsYr15" vbProcedure="false">Debt_Schedule!$V$18</definedName>
    <definedName function="false" hidden="false" name="Debt_Repayment_OpsYr16" vbProcedure="false">Debt_Schedule!$W$18</definedName>
    <definedName function="false" hidden="false" name="Debt_Repayment_OpsYr17" vbProcedure="false">Debt_Schedule!$X$18</definedName>
    <definedName function="false" hidden="false" name="Debt_Repayment_OpsYr18" vbProcedure="false">Debt_Schedule!$Y$18</definedName>
    <definedName function="false" hidden="false" name="Debt_Repayment_OpsYr19" vbProcedure="false">Debt_Schedule!$Z$18</definedName>
    <definedName function="false" hidden="false" name="Debt_Repayment_OpsYr2" vbProcedure="false">Debt_Schedule!$I$18</definedName>
    <definedName function="false" hidden="false" name="Debt_Repayment_OpsYr20" vbProcedure="false">Debt_Schedule!$AA$18</definedName>
    <definedName function="false" hidden="false" name="Debt_Repayment_OpsYr21" vbProcedure="false">Debt_Schedule!$AB$18</definedName>
    <definedName function="false" hidden="false" name="Debt_Repayment_OpsYr22" vbProcedure="false">Debt_Schedule!$AC$18</definedName>
    <definedName function="false" hidden="false" name="Debt_Repayment_OpsYr23" vbProcedure="false">Debt_Schedule!$AD$18</definedName>
    <definedName function="false" hidden="false" name="Debt_Repayment_OpsYr24" vbProcedure="false">Debt_Schedule!$AE$18</definedName>
    <definedName function="false" hidden="false" name="Debt_Repayment_OpsYr25" vbProcedure="false">Debt_Schedule!$AF$18</definedName>
    <definedName function="false" hidden="false" name="Debt_Repayment_OpsYr26" vbProcedure="false">Debt_Schedule!$AG$18</definedName>
    <definedName function="false" hidden="false" name="Debt_Repayment_OpsYr27" vbProcedure="false">Debt_Schedule!$AH$18</definedName>
    <definedName function="false" hidden="false" name="Debt_Repayment_OpsYr28" vbProcedure="false">Debt_Schedule!$AI$18</definedName>
    <definedName function="false" hidden="false" name="Debt_Repayment_OpsYr29" vbProcedure="false">Debt_Schedule!$AJ$18</definedName>
    <definedName function="false" hidden="false" name="Debt_Repayment_OpsYr3" vbProcedure="false">Debt_Schedule!$J$18</definedName>
    <definedName function="false" hidden="false" name="Debt_Repayment_OpsYr30" vbProcedure="false">Debt_Schedule!$AK$18</definedName>
    <definedName function="false" hidden="false" name="Debt_Repayment_OpsYr4" vbProcedure="false">Debt_Schedule!$K$18</definedName>
    <definedName function="false" hidden="false" name="Debt_Repayment_OpsYr5" vbProcedure="false">Debt_Schedule!$L$18</definedName>
    <definedName function="false" hidden="false" name="Debt_Repayment_OpsYr6" vbProcedure="false">Debt_Schedule!$M$18</definedName>
    <definedName function="false" hidden="false" name="Debt_Repayment_OpsYr7" vbProcedure="false">Debt_Schedule!$N$18</definedName>
    <definedName function="false" hidden="false" name="Debt_Repayment_OpsYr8" vbProcedure="false">Debt_Schedule!$O$18</definedName>
    <definedName function="false" hidden="false" name="Debt_Repayment_OpsYr9" vbProcedure="false">Debt_Schedule!$P$18</definedName>
    <definedName function="false" hidden="false" name="Debt_Service_OpsYr1" vbProcedure="false">Debt_Schedule!$H$20</definedName>
    <definedName function="false" hidden="false" name="Debt_Service_OpsYr10" vbProcedure="false">Debt_Schedule!$Q$20</definedName>
    <definedName function="false" hidden="false" name="Debt_Service_OpsYr11" vbProcedure="false">Debt_Schedule!$R$20</definedName>
    <definedName function="false" hidden="false" name="Debt_Service_OpsYr12" vbProcedure="false">Debt_Schedule!$S$20</definedName>
    <definedName function="false" hidden="false" name="Debt_Service_OpsYr13" vbProcedure="false">Debt_Schedule!$T$20</definedName>
    <definedName function="false" hidden="false" name="Debt_Service_OpsYr14" vbProcedure="false">Debt_Schedule!$U$20</definedName>
    <definedName function="false" hidden="false" name="Debt_Service_OpsYr15" vbProcedure="false">Debt_Schedule!$V$20</definedName>
    <definedName function="false" hidden="false" name="Debt_Service_OpsYr16" vbProcedure="false">Debt_Schedule!$W$20</definedName>
    <definedName function="false" hidden="false" name="Debt_Service_OpsYr17" vbProcedure="false">Debt_Schedule!$X$20</definedName>
    <definedName function="false" hidden="false" name="Debt_Service_OpsYr18" vbProcedure="false">Debt_Schedule!$Y$20</definedName>
    <definedName function="false" hidden="false" name="Debt_Service_OpsYr19" vbProcedure="false">Debt_Schedule!$Z$20</definedName>
    <definedName function="false" hidden="false" name="Debt_Service_OpsYr2" vbProcedure="false">Debt_Schedule!$I$20</definedName>
    <definedName function="false" hidden="false" name="Debt_Service_OpsYr20" vbProcedure="false">Debt_Schedule!$AA$20</definedName>
    <definedName function="false" hidden="false" name="Debt_Service_OpsYr21" vbProcedure="false">Debt_Schedule!$AB$20</definedName>
    <definedName function="false" hidden="false" name="Debt_Service_OpsYr22" vbProcedure="false">Debt_Schedule!$AC$20</definedName>
    <definedName function="false" hidden="false" name="Debt_Service_OpsYr23" vbProcedure="false">Debt_Schedule!$AD$20</definedName>
    <definedName function="false" hidden="false" name="Debt_Service_OpsYr24" vbProcedure="false">Debt_Schedule!$AE$20</definedName>
    <definedName function="false" hidden="false" name="Debt_Service_OpsYr25" vbProcedure="false">Debt_Schedule!$AF$20</definedName>
    <definedName function="false" hidden="false" name="Debt_Service_OpsYr26" vbProcedure="false">Debt_Schedule!$AG$20</definedName>
    <definedName function="false" hidden="false" name="Debt_Service_OpsYr27" vbProcedure="false">Debt_Schedule!$AH$20</definedName>
    <definedName function="false" hidden="false" name="Debt_Service_OpsYr28" vbProcedure="false">Debt_Schedule!$AI$20</definedName>
    <definedName function="false" hidden="false" name="Debt_Service_OpsYr29" vbProcedure="false">Debt_Schedule!$AJ$20</definedName>
    <definedName function="false" hidden="false" name="Debt_Service_OpsYr3" vbProcedure="false">Debt_Schedule!$J$20</definedName>
    <definedName function="false" hidden="false" name="Debt_Service_OpsYr30" vbProcedure="false">Debt_Schedule!$AK$20</definedName>
    <definedName function="false" hidden="false" name="Debt_Service_OpsYr4" vbProcedure="false">Debt_Schedule!$K$20</definedName>
    <definedName function="false" hidden="false" name="Debt_Service_OpsYr5" vbProcedure="false">Debt_Schedule!$L$20</definedName>
    <definedName function="false" hidden="false" name="Debt_Service_OpsYr6" vbProcedure="false">Debt_Schedule!$M$20</definedName>
    <definedName function="false" hidden="false" name="Debt_Service_OpsYr7" vbProcedure="false">Debt_Schedule!$N$20</definedName>
    <definedName function="false" hidden="false" name="Debt_Service_OpsYr8" vbProcedure="false">Debt_Schedule!$O$20</definedName>
    <definedName function="false" hidden="false" name="Debt_Service_OpsYr9" vbProcedure="false">Debt_Schedule!$P$20</definedName>
    <definedName function="false" hidden="false" name="Debt_Tenor" vbProcedure="false">Assumptions!$C$45</definedName>
    <definedName function="false" hidden="false" name="Depreciation_Life" vbProcedure="false">Assumptions!$C$50</definedName>
    <definedName function="false" hidden="false" name="Discount_Rate" vbProcedure="false">Assumptions!$C$14</definedName>
    <definedName function="false" hidden="false" name="Distributable_OpsYr1" vbProcedure="false">Debt_Schedule!$H$31</definedName>
    <definedName function="false" hidden="false" name="Distributable_OpsYr10" vbProcedure="false">Debt_Schedule!$Q$31</definedName>
    <definedName function="false" hidden="false" name="Distributable_OpsYr11" vbProcedure="false">Debt_Schedule!$R$31</definedName>
    <definedName function="false" hidden="false" name="Distributable_OpsYr12" vbProcedure="false">Debt_Schedule!$S$31</definedName>
    <definedName function="false" hidden="false" name="Distributable_OpsYr13" vbProcedure="false">Debt_Schedule!$T$31</definedName>
    <definedName function="false" hidden="false" name="Distributable_OpsYr14" vbProcedure="false">Debt_Schedule!$U$31</definedName>
    <definedName function="false" hidden="false" name="Distributable_OpsYr15" vbProcedure="false">Debt_Schedule!$V$31</definedName>
    <definedName function="false" hidden="false" name="Distributable_OpsYr16" vbProcedure="false">Debt_Schedule!$W$31</definedName>
    <definedName function="false" hidden="false" name="Distributable_OpsYr17" vbProcedure="false">Debt_Schedule!$X$31</definedName>
    <definedName function="false" hidden="false" name="Distributable_OpsYr18" vbProcedure="false">Debt_Schedule!$Y$31</definedName>
    <definedName function="false" hidden="false" name="Distributable_OpsYr19" vbProcedure="false">Debt_Schedule!$Z$31</definedName>
    <definedName function="false" hidden="false" name="Distributable_OpsYr2" vbProcedure="false">Debt_Schedule!$I$31</definedName>
    <definedName function="false" hidden="false" name="Distributable_OpsYr20" vbProcedure="false">Debt_Schedule!$AA$31</definedName>
    <definedName function="false" hidden="false" name="Distributable_OpsYr21" vbProcedure="false">Debt_Schedule!$AB$31</definedName>
    <definedName function="false" hidden="false" name="Distributable_OpsYr22" vbProcedure="false">Debt_Schedule!$AC$31</definedName>
    <definedName function="false" hidden="false" name="Distributable_OpsYr23" vbProcedure="false">Debt_Schedule!$AD$31</definedName>
    <definedName function="false" hidden="false" name="Distributable_OpsYr24" vbProcedure="false">Debt_Schedule!$AE$31</definedName>
    <definedName function="false" hidden="false" name="Distributable_OpsYr25" vbProcedure="false">Debt_Schedule!$AF$31</definedName>
    <definedName function="false" hidden="false" name="Distributable_OpsYr26" vbProcedure="false">Debt_Schedule!$AG$31</definedName>
    <definedName function="false" hidden="false" name="Distributable_OpsYr27" vbProcedure="false">Debt_Schedule!$AH$31</definedName>
    <definedName function="false" hidden="false" name="Distributable_OpsYr28" vbProcedure="false">Debt_Schedule!$AI$31</definedName>
    <definedName function="false" hidden="false" name="Distributable_OpsYr29" vbProcedure="false">Debt_Schedule!$AJ$31</definedName>
    <definedName function="false" hidden="false" name="Distributable_OpsYr3" vbProcedure="false">Debt_Schedule!$J$31</definedName>
    <definedName function="false" hidden="false" name="Distributable_OpsYr30" vbProcedure="false">Debt_Schedule!$AK$31</definedName>
    <definedName function="false" hidden="false" name="Distributable_OpsYr4" vbProcedure="false">Debt_Schedule!$K$31</definedName>
    <definedName function="false" hidden="false" name="Distributable_OpsYr5" vbProcedure="false">Debt_Schedule!$L$31</definedName>
    <definedName function="false" hidden="false" name="Distributable_OpsYr6" vbProcedure="false">Debt_Schedule!$M$31</definedName>
    <definedName function="false" hidden="false" name="Distributable_OpsYr7" vbProcedure="false">Debt_Schedule!$N$31</definedName>
    <definedName function="false" hidden="false" name="Distributable_OpsYr8" vbProcedure="false">Debt_Schedule!$O$31</definedName>
    <definedName function="false" hidden="false" name="Distributable_OpsYr9" vbProcedure="false">Debt_Schedule!$P$31</definedName>
    <definedName function="false" hidden="false" name="DSCR_Minimum" vbProcedure="false">Assumptions!$C$47</definedName>
    <definedName function="false" hidden="false" name="DSCR_OpsYr1" vbProcedure="false">Debt_Schedule!$H$21</definedName>
    <definedName function="false" hidden="false" name="DSCR_OpsYr10" vbProcedure="false">Debt_Schedule!$Q$21</definedName>
    <definedName function="false" hidden="false" name="DSCR_OpsYr11" vbProcedure="false">Debt_Schedule!$R$21</definedName>
    <definedName function="false" hidden="false" name="DSCR_OpsYr12" vbProcedure="false">Debt_Schedule!$S$21</definedName>
    <definedName function="false" hidden="false" name="DSCR_OpsYr13" vbProcedure="false">Debt_Schedule!$T$21</definedName>
    <definedName function="false" hidden="false" name="DSCR_OpsYr14" vbProcedure="false">Debt_Schedule!$U$21</definedName>
    <definedName function="false" hidden="false" name="DSCR_OpsYr15" vbProcedure="false">Debt_Schedule!$V$21</definedName>
    <definedName function="false" hidden="false" name="DSCR_OpsYr16" vbProcedure="false">Debt_Schedule!$W$21</definedName>
    <definedName function="false" hidden="false" name="DSCR_OpsYr17" vbProcedure="false">Debt_Schedule!$X$21</definedName>
    <definedName function="false" hidden="false" name="DSCR_OpsYr18" vbProcedure="false">Debt_Schedule!$Y$21</definedName>
    <definedName function="false" hidden="false" name="DSCR_OpsYr19" vbProcedure="false">Debt_Schedule!$Z$21</definedName>
    <definedName function="false" hidden="false" name="DSCR_OpsYr2" vbProcedure="false">Debt_Schedule!$I$21</definedName>
    <definedName function="false" hidden="false" name="DSCR_OpsYr20" vbProcedure="false">Debt_Schedule!$AA$21</definedName>
    <definedName function="false" hidden="false" name="DSCR_OpsYr21" vbProcedure="false">Debt_Schedule!$AB$21</definedName>
    <definedName function="false" hidden="false" name="DSCR_OpsYr22" vbProcedure="false">Debt_Schedule!$AC$21</definedName>
    <definedName function="false" hidden="false" name="DSCR_OpsYr23" vbProcedure="false">Debt_Schedule!$AD$21</definedName>
    <definedName function="false" hidden="false" name="DSCR_OpsYr24" vbProcedure="false">Debt_Schedule!$AE$21</definedName>
    <definedName function="false" hidden="false" name="DSCR_OpsYr25" vbProcedure="false">Debt_Schedule!$AF$21</definedName>
    <definedName function="false" hidden="false" name="DSCR_OpsYr26" vbProcedure="false">Debt_Schedule!$AG$21</definedName>
    <definedName function="false" hidden="false" name="DSCR_OpsYr27" vbProcedure="false">Debt_Schedule!$AH$21</definedName>
    <definedName function="false" hidden="false" name="DSCR_OpsYr28" vbProcedure="false">Debt_Schedule!$AI$21</definedName>
    <definedName function="false" hidden="false" name="DSCR_OpsYr29" vbProcedure="false">Debt_Schedule!$AJ$21</definedName>
    <definedName function="false" hidden="false" name="DSCR_OpsYr3" vbProcedure="false">Debt_Schedule!$J$21</definedName>
    <definedName function="false" hidden="false" name="DSCR_OpsYr30" vbProcedure="false">Debt_Schedule!$AK$21</definedName>
    <definedName function="false" hidden="false" name="DSCR_OpsYr4" vbProcedure="false">Debt_Schedule!$K$21</definedName>
    <definedName function="false" hidden="false" name="DSCR_OpsYr5" vbProcedure="false">Debt_Schedule!$L$21</definedName>
    <definedName function="false" hidden="false" name="DSCR_OpsYr6" vbProcedure="false">Debt_Schedule!$M$21</definedName>
    <definedName function="false" hidden="false" name="DSCR_OpsYr7" vbProcedure="false">Debt_Schedule!$N$21</definedName>
    <definedName function="false" hidden="false" name="DSCR_OpsYr8" vbProcedure="false">Debt_Schedule!$O$21</definedName>
    <definedName function="false" hidden="false" name="DSCR_OpsYr9" vbProcedure="false">Debt_Schedule!$P$21</definedName>
    <definedName function="false" hidden="false" name="DSCR_Target" vbProcedure="false">Assumptions!$C$46</definedName>
    <definedName function="false" hidden="false" name="DSRA_Closing_OpsYr1" vbProcedure="false">Debt_Schedule!$H$26</definedName>
    <definedName function="false" hidden="false" name="DSRA_Closing_OpsYr10" vbProcedure="false">Debt_Schedule!$Q$26</definedName>
    <definedName function="false" hidden="false" name="DSRA_Closing_OpsYr11" vbProcedure="false">Debt_Schedule!$R$26</definedName>
    <definedName function="false" hidden="false" name="DSRA_Closing_OpsYr12" vbProcedure="false">Debt_Schedule!$S$26</definedName>
    <definedName function="false" hidden="false" name="DSRA_Closing_OpsYr13" vbProcedure="false">Debt_Schedule!$T$26</definedName>
    <definedName function="false" hidden="false" name="DSRA_Closing_OpsYr14" vbProcedure="false">Debt_Schedule!$U$26</definedName>
    <definedName function="false" hidden="false" name="DSRA_Closing_OpsYr15" vbProcedure="false">Debt_Schedule!$V$26</definedName>
    <definedName function="false" hidden="false" name="DSRA_Closing_OpsYr16" vbProcedure="false">Debt_Schedule!$W$26</definedName>
    <definedName function="false" hidden="false" name="DSRA_Closing_OpsYr17" vbProcedure="false">Debt_Schedule!$X$26</definedName>
    <definedName function="false" hidden="false" name="DSRA_Closing_OpsYr18" vbProcedure="false">Debt_Schedule!$Y$26</definedName>
    <definedName function="false" hidden="false" name="DSRA_Closing_OpsYr19" vbProcedure="false">Debt_Schedule!$Z$26</definedName>
    <definedName function="false" hidden="false" name="DSRA_Closing_OpsYr2" vbProcedure="false">Debt_Schedule!$I$26</definedName>
    <definedName function="false" hidden="false" name="DSRA_Closing_OpsYr20" vbProcedure="false">Debt_Schedule!$AA$26</definedName>
    <definedName function="false" hidden="false" name="DSRA_Closing_OpsYr21" vbProcedure="false">Debt_Schedule!$AB$26</definedName>
    <definedName function="false" hidden="false" name="DSRA_Closing_OpsYr22" vbProcedure="false">Debt_Schedule!$AC$26</definedName>
    <definedName function="false" hidden="false" name="DSRA_Closing_OpsYr23" vbProcedure="false">Debt_Schedule!$AD$26</definedName>
    <definedName function="false" hidden="false" name="DSRA_Closing_OpsYr24" vbProcedure="false">Debt_Schedule!$AE$26</definedName>
    <definedName function="false" hidden="false" name="DSRA_Closing_OpsYr25" vbProcedure="false">Debt_Schedule!$AF$26</definedName>
    <definedName function="false" hidden="false" name="DSRA_Closing_OpsYr26" vbProcedure="false">Debt_Schedule!$AG$26</definedName>
    <definedName function="false" hidden="false" name="DSRA_Closing_OpsYr27" vbProcedure="false">Debt_Schedule!$AH$26</definedName>
    <definedName function="false" hidden="false" name="DSRA_Closing_OpsYr28" vbProcedure="false">Debt_Schedule!$AI$26</definedName>
    <definedName function="false" hidden="false" name="DSRA_Closing_OpsYr29" vbProcedure="false">Debt_Schedule!$AJ$26</definedName>
    <definedName function="false" hidden="false" name="DSRA_Closing_OpsYr3" vbProcedure="false">Debt_Schedule!$J$26</definedName>
    <definedName function="false" hidden="false" name="DSRA_Closing_OpsYr30" vbProcedure="false">Debt_Schedule!$AK$26</definedName>
    <definedName function="false" hidden="false" name="DSRA_Closing_OpsYr4" vbProcedure="false">Debt_Schedule!$K$26</definedName>
    <definedName function="false" hidden="false" name="DSRA_Closing_OpsYr5" vbProcedure="false">Debt_Schedule!$L$26</definedName>
    <definedName function="false" hidden="false" name="DSRA_Closing_OpsYr6" vbProcedure="false">Debt_Schedule!$M$26</definedName>
    <definedName function="false" hidden="false" name="DSRA_Closing_OpsYr7" vbProcedure="false">Debt_Schedule!$N$26</definedName>
    <definedName function="false" hidden="false" name="DSRA_Closing_OpsYr8" vbProcedure="false">Debt_Schedule!$O$26</definedName>
    <definedName function="false" hidden="false" name="DSRA_Closing_OpsYr9" vbProcedure="false">Debt_Schedule!$P$26</definedName>
    <definedName function="false" hidden="false" name="DSRA_Months" vbProcedure="false">Assumptions!$C$49</definedName>
    <definedName function="false" hidden="false" name="DSRA_Opening_OpsYr1" vbProcedure="false">Debt_Schedule!$H$24</definedName>
    <definedName function="false" hidden="false" name="DSRA_Opening_OpsYr10" vbProcedure="false">Debt_Schedule!$Q$24</definedName>
    <definedName function="false" hidden="false" name="DSRA_Opening_OpsYr11" vbProcedure="false">Debt_Schedule!$R$24</definedName>
    <definedName function="false" hidden="false" name="DSRA_Opening_OpsYr12" vbProcedure="false">Debt_Schedule!$S$24</definedName>
    <definedName function="false" hidden="false" name="DSRA_Opening_OpsYr13" vbProcedure="false">Debt_Schedule!$T$24</definedName>
    <definedName function="false" hidden="false" name="DSRA_Opening_OpsYr14" vbProcedure="false">Debt_Schedule!$U$24</definedName>
    <definedName function="false" hidden="false" name="DSRA_Opening_OpsYr15" vbProcedure="false">Debt_Schedule!$V$24</definedName>
    <definedName function="false" hidden="false" name="DSRA_Opening_OpsYr16" vbProcedure="false">Debt_Schedule!$W$24</definedName>
    <definedName function="false" hidden="false" name="DSRA_Opening_OpsYr17" vbProcedure="false">Debt_Schedule!$X$24</definedName>
    <definedName function="false" hidden="false" name="DSRA_Opening_OpsYr18" vbProcedure="false">Debt_Schedule!$Y$24</definedName>
    <definedName function="false" hidden="false" name="DSRA_Opening_OpsYr19" vbProcedure="false">Debt_Schedule!$Z$24</definedName>
    <definedName function="false" hidden="false" name="DSRA_Opening_OpsYr2" vbProcedure="false">Debt_Schedule!$I$24</definedName>
    <definedName function="false" hidden="false" name="DSRA_Opening_OpsYr20" vbProcedure="false">Debt_Schedule!$AA$24</definedName>
    <definedName function="false" hidden="false" name="DSRA_Opening_OpsYr21" vbProcedure="false">Debt_Schedule!$AB$24</definedName>
    <definedName function="false" hidden="false" name="DSRA_Opening_OpsYr22" vbProcedure="false">Debt_Schedule!$AC$24</definedName>
    <definedName function="false" hidden="false" name="DSRA_Opening_OpsYr23" vbProcedure="false">Debt_Schedule!$AD$24</definedName>
    <definedName function="false" hidden="false" name="DSRA_Opening_OpsYr24" vbProcedure="false">Debt_Schedule!$AE$24</definedName>
    <definedName function="false" hidden="false" name="DSRA_Opening_OpsYr25" vbProcedure="false">Debt_Schedule!$AF$24</definedName>
    <definedName function="false" hidden="false" name="DSRA_Opening_OpsYr26" vbProcedure="false">Debt_Schedule!$AG$24</definedName>
    <definedName function="false" hidden="false" name="DSRA_Opening_OpsYr27" vbProcedure="false">Debt_Schedule!$AH$24</definedName>
    <definedName function="false" hidden="false" name="DSRA_Opening_OpsYr28" vbProcedure="false">Debt_Schedule!$AI$24</definedName>
    <definedName function="false" hidden="false" name="DSRA_Opening_OpsYr29" vbProcedure="false">Debt_Schedule!$AJ$24</definedName>
    <definedName function="false" hidden="false" name="DSRA_Opening_OpsYr3" vbProcedure="false">Debt_Schedule!$J$24</definedName>
    <definedName function="false" hidden="false" name="DSRA_Opening_OpsYr30" vbProcedure="false">Debt_Schedule!$AK$24</definedName>
    <definedName function="false" hidden="false" name="DSRA_Opening_OpsYr4" vbProcedure="false">Debt_Schedule!$K$24</definedName>
    <definedName function="false" hidden="false" name="DSRA_Opening_OpsYr5" vbProcedure="false">Debt_Schedule!$L$24</definedName>
    <definedName function="false" hidden="false" name="DSRA_Opening_OpsYr6" vbProcedure="false">Debt_Schedule!$M$24</definedName>
    <definedName function="false" hidden="false" name="DSRA_Opening_OpsYr7" vbProcedure="false">Debt_Schedule!$N$24</definedName>
    <definedName function="false" hidden="false" name="DSRA_Opening_OpsYr8" vbProcedure="false">Debt_Schedule!$O$24</definedName>
    <definedName function="false" hidden="false" name="DSRA_Opening_OpsYr9" vbProcedure="false">Debt_Schedule!$P$24</definedName>
    <definedName function="false" hidden="false" name="DSRA_Prefund_Estimate" vbProcedure="false">Assumptions!$C$54</definedName>
    <definedName function="false" hidden="false" name="DSRA_Target_At_COD" vbProcedure="false">Debt_Schedule!$C$7</definedName>
    <definedName function="false" hidden="false" name="DSRA_Target_OpsYr1" vbProcedure="false">Debt_Schedule!$H$23</definedName>
    <definedName function="false" hidden="false" name="DSRA_Target_OpsYr10" vbProcedure="false">Debt_Schedule!$Q$23</definedName>
    <definedName function="false" hidden="false" name="DSRA_Target_OpsYr11" vbProcedure="false">Debt_Schedule!$R$23</definedName>
    <definedName function="false" hidden="false" name="DSRA_Target_OpsYr12" vbProcedure="false">Debt_Schedule!$S$23</definedName>
    <definedName function="false" hidden="false" name="DSRA_Target_OpsYr13" vbProcedure="false">Debt_Schedule!$T$23</definedName>
    <definedName function="false" hidden="false" name="DSRA_Target_OpsYr14" vbProcedure="false">Debt_Schedule!$U$23</definedName>
    <definedName function="false" hidden="false" name="DSRA_Target_OpsYr15" vbProcedure="false">Debt_Schedule!$V$23</definedName>
    <definedName function="false" hidden="false" name="DSRA_Target_OpsYr16" vbProcedure="false">Debt_Schedule!$W$23</definedName>
    <definedName function="false" hidden="false" name="DSRA_Target_OpsYr17" vbProcedure="false">Debt_Schedule!$X$23</definedName>
    <definedName function="false" hidden="false" name="DSRA_Target_OpsYr18" vbProcedure="false">Debt_Schedule!$Y$23</definedName>
    <definedName function="false" hidden="false" name="DSRA_Target_OpsYr19" vbProcedure="false">Debt_Schedule!$Z$23</definedName>
    <definedName function="false" hidden="false" name="DSRA_Target_OpsYr2" vbProcedure="false">Debt_Schedule!$I$23</definedName>
    <definedName function="false" hidden="false" name="DSRA_Target_OpsYr20" vbProcedure="false">Debt_Schedule!$AA$23</definedName>
    <definedName function="false" hidden="false" name="DSRA_Target_OpsYr21" vbProcedure="false">Debt_Schedule!$AB$23</definedName>
    <definedName function="false" hidden="false" name="DSRA_Target_OpsYr22" vbProcedure="false">Debt_Schedule!$AC$23</definedName>
    <definedName function="false" hidden="false" name="DSRA_Target_OpsYr23" vbProcedure="false">Debt_Schedule!$AD$23</definedName>
    <definedName function="false" hidden="false" name="DSRA_Target_OpsYr24" vbProcedure="false">Debt_Schedule!$AE$23</definedName>
    <definedName function="false" hidden="false" name="DSRA_Target_OpsYr25" vbProcedure="false">Debt_Schedule!$AF$23</definedName>
    <definedName function="false" hidden="false" name="DSRA_Target_OpsYr26" vbProcedure="false">Debt_Schedule!$AG$23</definedName>
    <definedName function="false" hidden="false" name="DSRA_Target_OpsYr27" vbProcedure="false">Debt_Schedule!$AH$23</definedName>
    <definedName function="false" hidden="false" name="DSRA_Target_OpsYr28" vbProcedure="false">Debt_Schedule!$AI$23</definedName>
    <definedName function="false" hidden="false" name="DSRA_Target_OpsYr29" vbProcedure="false">Debt_Schedule!$AJ$23</definedName>
    <definedName function="false" hidden="false" name="DSRA_Target_OpsYr3" vbProcedure="false">Debt_Schedule!$J$23</definedName>
    <definedName function="false" hidden="false" name="DSRA_Target_OpsYr30" vbProcedure="false">Debt_Schedule!$AK$23</definedName>
    <definedName function="false" hidden="false" name="DSRA_Target_OpsYr4" vbProcedure="false">Debt_Schedule!$K$23</definedName>
    <definedName function="false" hidden="false" name="DSRA_Target_OpsYr5" vbProcedure="false">Debt_Schedule!$L$23</definedName>
    <definedName function="false" hidden="false" name="DSRA_Target_OpsYr6" vbProcedure="false">Debt_Schedule!$M$23</definedName>
    <definedName function="false" hidden="false" name="DSRA_Target_OpsYr7" vbProcedure="false">Debt_Schedule!$N$23</definedName>
    <definedName function="false" hidden="false" name="DSRA_Target_OpsYr8" vbProcedure="false">Debt_Schedule!$O$23</definedName>
    <definedName function="false" hidden="false" name="DSRA_Target_OpsYr9" vbProcedure="false">Debt_Schedule!$P$23</definedName>
    <definedName function="false" hidden="false" name="DSRA_Transfer_OpsYr1" vbProcedure="false">Debt_Schedule!$H$25</definedName>
    <definedName function="false" hidden="false" name="DSRA_Transfer_OpsYr10" vbProcedure="false">Debt_Schedule!$Q$25</definedName>
    <definedName function="false" hidden="false" name="DSRA_Transfer_OpsYr11" vbProcedure="false">Debt_Schedule!$R$25</definedName>
    <definedName function="false" hidden="false" name="DSRA_Transfer_OpsYr12" vbProcedure="false">Debt_Schedule!$S$25</definedName>
    <definedName function="false" hidden="false" name="DSRA_Transfer_OpsYr13" vbProcedure="false">Debt_Schedule!$T$25</definedName>
    <definedName function="false" hidden="false" name="DSRA_Transfer_OpsYr14" vbProcedure="false">Debt_Schedule!$U$25</definedName>
    <definedName function="false" hidden="false" name="DSRA_Transfer_OpsYr15" vbProcedure="false">Debt_Schedule!$V$25</definedName>
    <definedName function="false" hidden="false" name="DSRA_Transfer_OpsYr16" vbProcedure="false">Debt_Schedule!$W$25</definedName>
    <definedName function="false" hidden="false" name="DSRA_Transfer_OpsYr17" vbProcedure="false">Debt_Schedule!$X$25</definedName>
    <definedName function="false" hidden="false" name="DSRA_Transfer_OpsYr18" vbProcedure="false">Debt_Schedule!$Y$25</definedName>
    <definedName function="false" hidden="false" name="DSRA_Transfer_OpsYr19" vbProcedure="false">Debt_Schedule!$Z$25</definedName>
    <definedName function="false" hidden="false" name="DSRA_Transfer_OpsYr2" vbProcedure="false">Debt_Schedule!$I$25</definedName>
    <definedName function="false" hidden="false" name="DSRA_Transfer_OpsYr20" vbProcedure="false">Debt_Schedule!$AA$25</definedName>
    <definedName function="false" hidden="false" name="DSRA_Transfer_OpsYr21" vbProcedure="false">Debt_Schedule!$AB$25</definedName>
    <definedName function="false" hidden="false" name="DSRA_Transfer_OpsYr22" vbProcedure="false">Debt_Schedule!$AC$25</definedName>
    <definedName function="false" hidden="false" name="DSRA_Transfer_OpsYr23" vbProcedure="false">Debt_Schedule!$AD$25</definedName>
    <definedName function="false" hidden="false" name="DSRA_Transfer_OpsYr24" vbProcedure="false">Debt_Schedule!$AE$25</definedName>
    <definedName function="false" hidden="false" name="DSRA_Transfer_OpsYr25" vbProcedure="false">Debt_Schedule!$AF$25</definedName>
    <definedName function="false" hidden="false" name="DSRA_Transfer_OpsYr26" vbProcedure="false">Debt_Schedule!$AG$25</definedName>
    <definedName function="false" hidden="false" name="DSRA_Transfer_OpsYr27" vbProcedure="false">Debt_Schedule!$AH$25</definedName>
    <definedName function="false" hidden="false" name="DSRA_Transfer_OpsYr28" vbProcedure="false">Debt_Schedule!$AI$25</definedName>
    <definedName function="false" hidden="false" name="DSRA_Transfer_OpsYr29" vbProcedure="false">Debt_Schedule!$AJ$25</definedName>
    <definedName function="false" hidden="false" name="DSRA_Transfer_OpsYr3" vbProcedure="false">Debt_Schedule!$J$25</definedName>
    <definedName function="false" hidden="false" name="DSRA_Transfer_OpsYr30" vbProcedure="false">Debt_Schedule!$AK$25</definedName>
    <definedName function="false" hidden="false" name="DSRA_Transfer_OpsYr4" vbProcedure="false">Debt_Schedule!$K$25</definedName>
    <definedName function="false" hidden="false" name="DSRA_Transfer_OpsYr5" vbProcedure="false">Debt_Schedule!$L$25</definedName>
    <definedName function="false" hidden="false" name="DSRA_Transfer_OpsYr6" vbProcedure="false">Debt_Schedule!$M$25</definedName>
    <definedName function="false" hidden="false" name="DSRA_Transfer_OpsYr7" vbProcedure="false">Debt_Schedule!$N$25</definedName>
    <definedName function="false" hidden="false" name="DSRA_Transfer_OpsYr8" vbProcedure="false">Debt_Schedule!$O$25</definedName>
    <definedName function="false" hidden="false" name="DSRA_Transfer_OpsYr9" vbProcedure="false">Debt_Schedule!$P$25</definedName>
    <definedName function="false" hidden="false" name="DS_EBITDA_OpsYr1" vbProcedure="false">Debt_Schedule!$H$12</definedName>
    <definedName function="false" hidden="false" name="DS_Lifecycle_OpsYr1" vbProcedure="false">Debt_Schedule!$H$29</definedName>
    <definedName function="false" hidden="false" name="DS_Opex_OpsYr1" vbProcedure="false">Debt_Schedule!$H$11</definedName>
    <definedName function="false" hidden="false" name="DS_Revenue_OpsYr1" vbProcedure="false">Debt_Schedule!$H$10</definedName>
    <definedName function="false" hidden="false" name="DS_Tax_OpsYr1" vbProcedure="false">Debt_Schedule!$H$13</definedName>
    <definedName function="false" hidden="false" name="EBITDA_Margin_Yr1" vbProcedure="false">Returns!$C$23</definedName>
    <definedName function="false" hidden="false" name="Equity_Dist_OpsYr1" vbProcedure="false">Debt_Schedule!$H$32</definedName>
    <definedName function="false" hidden="false" name="Equity_Dist_OpsYr10" vbProcedure="false">Debt_Schedule!$Q$32</definedName>
    <definedName function="false" hidden="false" name="Equity_Dist_OpsYr11" vbProcedure="false">Debt_Schedule!$R$32</definedName>
    <definedName function="false" hidden="false" name="Equity_Dist_OpsYr12" vbProcedure="false">Debt_Schedule!$S$32</definedName>
    <definedName function="false" hidden="false" name="Equity_Dist_OpsYr13" vbProcedure="false">Debt_Schedule!$T$32</definedName>
    <definedName function="false" hidden="false" name="Equity_Dist_OpsYr14" vbProcedure="false">Debt_Schedule!$U$32</definedName>
    <definedName function="false" hidden="false" name="Equity_Dist_OpsYr15" vbProcedure="false">Debt_Schedule!$V$32</definedName>
    <definedName function="false" hidden="false" name="Equity_Dist_OpsYr16" vbProcedure="false">Debt_Schedule!$W$32</definedName>
    <definedName function="false" hidden="false" name="Equity_Dist_OpsYr17" vbProcedure="false">Debt_Schedule!$X$32</definedName>
    <definedName function="false" hidden="false" name="Equity_Dist_OpsYr18" vbProcedure="false">Debt_Schedule!$Y$32</definedName>
    <definedName function="false" hidden="false" name="Equity_Dist_OpsYr19" vbProcedure="false">Debt_Schedule!$Z$32</definedName>
    <definedName function="false" hidden="false" name="Equity_Dist_OpsYr2" vbProcedure="false">Debt_Schedule!$I$32</definedName>
    <definedName function="false" hidden="false" name="Equity_Dist_OpsYr20" vbProcedure="false">Debt_Schedule!$AA$32</definedName>
    <definedName function="false" hidden="false" name="Equity_Dist_OpsYr21" vbProcedure="false">Debt_Schedule!$AB$32</definedName>
    <definedName function="false" hidden="false" name="Equity_Dist_OpsYr22" vbProcedure="false">Debt_Schedule!$AC$32</definedName>
    <definedName function="false" hidden="false" name="Equity_Dist_OpsYr23" vbProcedure="false">Debt_Schedule!$AD$32</definedName>
    <definedName function="false" hidden="false" name="Equity_Dist_OpsYr24" vbProcedure="false">Debt_Schedule!$AE$32</definedName>
    <definedName function="false" hidden="false" name="Equity_Dist_OpsYr25" vbProcedure="false">Debt_Schedule!$AF$32</definedName>
    <definedName function="false" hidden="false" name="Equity_Dist_OpsYr26" vbProcedure="false">Debt_Schedule!$AG$32</definedName>
    <definedName function="false" hidden="false" name="Equity_Dist_OpsYr27" vbProcedure="false">Debt_Schedule!$AH$32</definedName>
    <definedName function="false" hidden="false" name="Equity_Dist_OpsYr28" vbProcedure="false">Debt_Schedule!$AI$32</definedName>
    <definedName function="false" hidden="false" name="Equity_Dist_OpsYr29" vbProcedure="false">Debt_Schedule!$AJ$32</definedName>
    <definedName function="false" hidden="false" name="Equity_Dist_OpsYr3" vbProcedure="false">Debt_Schedule!$J$32</definedName>
    <definedName function="false" hidden="false" name="Equity_Dist_OpsYr30" vbProcedure="false">Debt_Schedule!$AK$32</definedName>
    <definedName function="false" hidden="false" name="Equity_Dist_OpsYr4" vbProcedure="false">Debt_Schedule!$K$32</definedName>
    <definedName function="false" hidden="false" name="Equity_Dist_OpsYr5" vbProcedure="false">Debt_Schedule!$L$32</definedName>
    <definedName function="false" hidden="false" name="Equity_Dist_OpsYr6" vbProcedure="false">Debt_Schedule!$M$32</definedName>
    <definedName function="false" hidden="false" name="Equity_Dist_OpsYr7" vbProcedure="false">Debt_Schedule!$N$32</definedName>
    <definedName function="false" hidden="false" name="Equity_Dist_OpsYr8" vbProcedure="false">Debt_Schedule!$O$32</definedName>
    <definedName function="false" hidden="false" name="Equity_Dist_OpsYr9" vbProcedure="false">Debt_Schedule!$P$32</definedName>
    <definedName function="false" hidden="false" name="Equity_IRR" vbProcedure="false">Returns!$C$16</definedName>
    <definedName function="false" hidden="false" name="Equity_NPV" vbProcedure="false">Returns!$C$18</definedName>
    <definedName function="false" hidden="false" name="Equity_Payback" vbProcedure="false">Returns!$C$22</definedName>
    <definedName function="false" hidden="false" name="Fare_Escalation" vbProcedure="false">Assumptions!$C$30</definedName>
    <definedName function="false" hidden="false" name="Gearing_At_COD" vbProcedure="false">Returns!$C$25</definedName>
    <definedName function="false" hidden="false" name="Gearing_Pct" vbProcedure="false">Assumptions!$C$43</definedName>
    <definedName function="false" hidden="false" name="Grace_Period" vbProcedure="false">Assumptions!$C$48</definedName>
    <definedName function="false" hidden="false" name="Inflation_Rate" vbProcedure="false">Assumptions!$C$12</definedName>
    <definedName function="false" hidden="false" name="Interest_At_COD" vbProcedure="false">Debt_Schedule!$C$6</definedName>
    <definedName function="false" hidden="false" name="Interest_Rate" vbProcedure="false">Assumptions!$C$44</definedName>
    <definedName function="false" hidden="false" name="IS_Depreciation_OpsYr1" vbProcedure="false">Income_Statement!$H$9</definedName>
    <definedName function="false" hidden="false" name="IS_Depreciation_OpsYr10" vbProcedure="false">Income_Statement!$Q$9</definedName>
    <definedName function="false" hidden="false" name="IS_Depreciation_OpsYr11" vbProcedure="false">Income_Statement!$R$9</definedName>
    <definedName function="false" hidden="false" name="IS_Depreciation_OpsYr12" vbProcedure="false">Income_Statement!$S$9</definedName>
    <definedName function="false" hidden="false" name="IS_Depreciation_OpsYr13" vbProcedure="false">Income_Statement!$T$9</definedName>
    <definedName function="false" hidden="false" name="IS_Depreciation_OpsYr14" vbProcedure="false">Income_Statement!$U$9</definedName>
    <definedName function="false" hidden="false" name="IS_Depreciation_OpsYr15" vbProcedure="false">Income_Statement!$V$9</definedName>
    <definedName function="false" hidden="false" name="IS_Depreciation_OpsYr16" vbProcedure="false">Income_Statement!$W$9</definedName>
    <definedName function="false" hidden="false" name="IS_Depreciation_OpsYr17" vbProcedure="false">Income_Statement!$X$9</definedName>
    <definedName function="false" hidden="false" name="IS_Depreciation_OpsYr18" vbProcedure="false">Income_Statement!$Y$9</definedName>
    <definedName function="false" hidden="false" name="IS_Depreciation_OpsYr19" vbProcedure="false">Income_Statement!$Z$9</definedName>
    <definedName function="false" hidden="false" name="IS_Depreciation_OpsYr2" vbProcedure="false">Income_Statement!$I$9</definedName>
    <definedName function="false" hidden="false" name="IS_Depreciation_OpsYr20" vbProcedure="false">Income_Statement!$AA$9</definedName>
    <definedName function="false" hidden="false" name="IS_Depreciation_OpsYr21" vbProcedure="false">Income_Statement!$AB$9</definedName>
    <definedName function="false" hidden="false" name="IS_Depreciation_OpsYr22" vbProcedure="false">Income_Statement!$AC$9</definedName>
    <definedName function="false" hidden="false" name="IS_Depreciation_OpsYr23" vbProcedure="false">Income_Statement!$AD$9</definedName>
    <definedName function="false" hidden="false" name="IS_Depreciation_OpsYr24" vbProcedure="false">Income_Statement!$AE$9</definedName>
    <definedName function="false" hidden="false" name="IS_Depreciation_OpsYr25" vbProcedure="false">Income_Statement!$AF$9</definedName>
    <definedName function="false" hidden="false" name="IS_Depreciation_OpsYr26" vbProcedure="false">Income_Statement!$AG$9</definedName>
    <definedName function="false" hidden="false" name="IS_Depreciation_OpsYr27" vbProcedure="false">Income_Statement!$AH$9</definedName>
    <definedName function="false" hidden="false" name="IS_Depreciation_OpsYr28" vbProcedure="false">Income_Statement!$AI$9</definedName>
    <definedName function="false" hidden="false" name="IS_Depreciation_OpsYr29" vbProcedure="false">Income_Statement!$AJ$9</definedName>
    <definedName function="false" hidden="false" name="IS_Depreciation_OpsYr3" vbProcedure="false">Income_Statement!$J$9</definedName>
    <definedName function="false" hidden="false" name="IS_Depreciation_OpsYr30" vbProcedure="false">Income_Statement!$AK$9</definedName>
    <definedName function="false" hidden="false" name="IS_Depreciation_OpsYr4" vbProcedure="false">Income_Statement!$K$9</definedName>
    <definedName function="false" hidden="false" name="IS_Depreciation_OpsYr5" vbProcedure="false">Income_Statement!$L$9</definedName>
    <definedName function="false" hidden="false" name="IS_Depreciation_OpsYr6" vbProcedure="false">Income_Statement!$M$9</definedName>
    <definedName function="false" hidden="false" name="IS_Depreciation_OpsYr7" vbProcedure="false">Income_Statement!$N$9</definedName>
    <definedName function="false" hidden="false" name="IS_Depreciation_OpsYr8" vbProcedure="false">Income_Statement!$O$9</definedName>
    <definedName function="false" hidden="false" name="IS_Depreciation_OpsYr9" vbProcedure="false">Income_Statement!$P$9</definedName>
    <definedName function="false" hidden="false" name="IS_EBITDA_OpsYr1" vbProcedure="false">Income_Statement!$H$7</definedName>
    <definedName function="false" hidden="false" name="IS_EBITDA_OpsYr10" vbProcedure="false">Income_Statement!$Q$7</definedName>
    <definedName function="false" hidden="false" name="IS_EBITDA_OpsYr11" vbProcedure="false">Income_Statement!$R$7</definedName>
    <definedName function="false" hidden="false" name="IS_EBITDA_OpsYr12" vbProcedure="false">Income_Statement!$S$7</definedName>
    <definedName function="false" hidden="false" name="IS_EBITDA_OpsYr13" vbProcedure="false">Income_Statement!$T$7</definedName>
    <definedName function="false" hidden="false" name="IS_EBITDA_OpsYr14" vbProcedure="false">Income_Statement!$U$7</definedName>
    <definedName function="false" hidden="false" name="IS_EBITDA_OpsYr15" vbProcedure="false">Income_Statement!$V$7</definedName>
    <definedName function="false" hidden="false" name="IS_EBITDA_OpsYr16" vbProcedure="false">Income_Statement!$W$7</definedName>
    <definedName function="false" hidden="false" name="IS_EBITDA_OpsYr17" vbProcedure="false">Income_Statement!$X$7</definedName>
    <definedName function="false" hidden="false" name="IS_EBITDA_OpsYr18" vbProcedure="false">Income_Statement!$Y$7</definedName>
    <definedName function="false" hidden="false" name="IS_EBITDA_OpsYr19" vbProcedure="false">Income_Statement!$Z$7</definedName>
    <definedName function="false" hidden="false" name="IS_EBITDA_OpsYr2" vbProcedure="false">Income_Statement!$I$7</definedName>
    <definedName function="false" hidden="false" name="IS_EBITDA_OpsYr20" vbProcedure="false">Income_Statement!$AA$7</definedName>
    <definedName function="false" hidden="false" name="IS_EBITDA_OpsYr21" vbProcedure="false">Income_Statement!$AB$7</definedName>
    <definedName function="false" hidden="false" name="IS_EBITDA_OpsYr22" vbProcedure="false">Income_Statement!$AC$7</definedName>
    <definedName function="false" hidden="false" name="IS_EBITDA_OpsYr23" vbProcedure="false">Income_Statement!$AD$7</definedName>
    <definedName function="false" hidden="false" name="IS_EBITDA_OpsYr24" vbProcedure="false">Income_Statement!$AE$7</definedName>
    <definedName function="false" hidden="false" name="IS_EBITDA_OpsYr25" vbProcedure="false">Income_Statement!$AF$7</definedName>
    <definedName function="false" hidden="false" name="IS_EBITDA_OpsYr26" vbProcedure="false">Income_Statement!$AG$7</definedName>
    <definedName function="false" hidden="false" name="IS_EBITDA_OpsYr27" vbProcedure="false">Income_Statement!$AH$7</definedName>
    <definedName function="false" hidden="false" name="IS_EBITDA_OpsYr28" vbProcedure="false">Income_Statement!$AI$7</definedName>
    <definedName function="false" hidden="false" name="IS_EBITDA_OpsYr29" vbProcedure="false">Income_Statement!$AJ$7</definedName>
    <definedName function="false" hidden="false" name="IS_EBITDA_OpsYr3" vbProcedure="false">Income_Statement!$J$7</definedName>
    <definedName function="false" hidden="false" name="IS_EBITDA_OpsYr30" vbProcedure="false">Income_Statement!$AK$7</definedName>
    <definedName function="false" hidden="false" name="IS_EBITDA_OpsYr4" vbProcedure="false">Income_Statement!$K$7</definedName>
    <definedName function="false" hidden="false" name="IS_EBITDA_OpsYr5" vbProcedure="false">Income_Statement!$L$7</definedName>
    <definedName function="false" hidden="false" name="IS_EBITDA_OpsYr6" vbProcedure="false">Income_Statement!$M$7</definedName>
    <definedName function="false" hidden="false" name="IS_EBITDA_OpsYr7" vbProcedure="false">Income_Statement!$N$7</definedName>
    <definedName function="false" hidden="false" name="IS_EBITDA_OpsYr8" vbProcedure="false">Income_Statement!$O$7</definedName>
    <definedName function="false" hidden="false" name="IS_EBITDA_OpsYr9" vbProcedure="false">Income_Statement!$P$7</definedName>
    <definedName function="false" hidden="false" name="IS_EBIT_OpsYr1" vbProcedure="false">Income_Statement!$H$10</definedName>
    <definedName function="false" hidden="false" name="IS_EBIT_OpsYr10" vbProcedure="false">Income_Statement!$Q$10</definedName>
    <definedName function="false" hidden="false" name="IS_EBIT_OpsYr11" vbProcedure="false">Income_Statement!$R$10</definedName>
    <definedName function="false" hidden="false" name="IS_EBIT_OpsYr12" vbProcedure="false">Income_Statement!$S$10</definedName>
    <definedName function="false" hidden="false" name="IS_EBIT_OpsYr13" vbProcedure="false">Income_Statement!$T$10</definedName>
    <definedName function="false" hidden="false" name="IS_EBIT_OpsYr14" vbProcedure="false">Income_Statement!$U$10</definedName>
    <definedName function="false" hidden="false" name="IS_EBIT_OpsYr15" vbProcedure="false">Income_Statement!$V$10</definedName>
    <definedName function="false" hidden="false" name="IS_EBIT_OpsYr16" vbProcedure="false">Income_Statement!$W$10</definedName>
    <definedName function="false" hidden="false" name="IS_EBIT_OpsYr17" vbProcedure="false">Income_Statement!$X$10</definedName>
    <definedName function="false" hidden="false" name="IS_EBIT_OpsYr18" vbProcedure="false">Income_Statement!$Y$10</definedName>
    <definedName function="false" hidden="false" name="IS_EBIT_OpsYr19" vbProcedure="false">Income_Statement!$Z$10</definedName>
    <definedName function="false" hidden="false" name="IS_EBIT_OpsYr2" vbProcedure="false">Income_Statement!$I$10</definedName>
    <definedName function="false" hidden="false" name="IS_EBIT_OpsYr20" vbProcedure="false">Income_Statement!$AA$10</definedName>
    <definedName function="false" hidden="false" name="IS_EBIT_OpsYr21" vbProcedure="false">Income_Statement!$AB$10</definedName>
    <definedName function="false" hidden="false" name="IS_EBIT_OpsYr22" vbProcedure="false">Income_Statement!$AC$10</definedName>
    <definedName function="false" hidden="false" name="IS_EBIT_OpsYr23" vbProcedure="false">Income_Statement!$AD$10</definedName>
    <definedName function="false" hidden="false" name="IS_EBIT_OpsYr24" vbProcedure="false">Income_Statement!$AE$10</definedName>
    <definedName function="false" hidden="false" name="IS_EBIT_OpsYr25" vbProcedure="false">Income_Statement!$AF$10</definedName>
    <definedName function="false" hidden="false" name="IS_EBIT_OpsYr26" vbProcedure="false">Income_Statement!$AG$10</definedName>
    <definedName function="false" hidden="false" name="IS_EBIT_OpsYr27" vbProcedure="false">Income_Statement!$AH$10</definedName>
    <definedName function="false" hidden="false" name="IS_EBIT_OpsYr28" vbProcedure="false">Income_Statement!$AI$10</definedName>
    <definedName function="false" hidden="false" name="IS_EBIT_OpsYr29" vbProcedure="false">Income_Statement!$AJ$10</definedName>
    <definedName function="false" hidden="false" name="IS_EBIT_OpsYr3" vbProcedure="false">Income_Statement!$J$10</definedName>
    <definedName function="false" hidden="false" name="IS_EBIT_OpsYr30" vbProcedure="false">Income_Statement!$AK$10</definedName>
    <definedName function="false" hidden="false" name="IS_EBIT_OpsYr4" vbProcedure="false">Income_Statement!$K$10</definedName>
    <definedName function="false" hidden="false" name="IS_EBIT_OpsYr5" vbProcedure="false">Income_Statement!$L$10</definedName>
    <definedName function="false" hidden="false" name="IS_EBIT_OpsYr6" vbProcedure="false">Income_Statement!$M$10</definedName>
    <definedName function="false" hidden="false" name="IS_EBIT_OpsYr7" vbProcedure="false">Income_Statement!$N$10</definedName>
    <definedName function="false" hidden="false" name="IS_EBIT_OpsYr8" vbProcedure="false">Income_Statement!$O$10</definedName>
    <definedName function="false" hidden="false" name="IS_EBIT_OpsYr9" vbProcedure="false">Income_Statement!$P$10</definedName>
    <definedName function="false" hidden="false" name="IS_EBT_OpsYr1" vbProcedure="false">Income_Statement!$H$12</definedName>
    <definedName function="false" hidden="false" name="IS_EBT_OpsYr10" vbProcedure="false">Income_Statement!$Q$12</definedName>
    <definedName function="false" hidden="false" name="IS_EBT_OpsYr11" vbProcedure="false">Income_Statement!$R$12</definedName>
    <definedName function="false" hidden="false" name="IS_EBT_OpsYr12" vbProcedure="false">Income_Statement!$S$12</definedName>
    <definedName function="false" hidden="false" name="IS_EBT_OpsYr13" vbProcedure="false">Income_Statement!$T$12</definedName>
    <definedName function="false" hidden="false" name="IS_EBT_OpsYr14" vbProcedure="false">Income_Statement!$U$12</definedName>
    <definedName function="false" hidden="false" name="IS_EBT_OpsYr15" vbProcedure="false">Income_Statement!$V$12</definedName>
    <definedName function="false" hidden="false" name="IS_EBT_OpsYr16" vbProcedure="false">Income_Statement!$W$12</definedName>
    <definedName function="false" hidden="false" name="IS_EBT_OpsYr17" vbProcedure="false">Income_Statement!$X$12</definedName>
    <definedName function="false" hidden="false" name="IS_EBT_OpsYr18" vbProcedure="false">Income_Statement!$Y$12</definedName>
    <definedName function="false" hidden="false" name="IS_EBT_OpsYr19" vbProcedure="false">Income_Statement!$Z$12</definedName>
    <definedName function="false" hidden="false" name="IS_EBT_OpsYr2" vbProcedure="false">Income_Statement!$I$12</definedName>
    <definedName function="false" hidden="false" name="IS_EBT_OpsYr20" vbProcedure="false">Income_Statement!$AA$12</definedName>
    <definedName function="false" hidden="false" name="IS_EBT_OpsYr21" vbProcedure="false">Income_Statement!$AB$12</definedName>
    <definedName function="false" hidden="false" name="IS_EBT_OpsYr22" vbProcedure="false">Income_Statement!$AC$12</definedName>
    <definedName function="false" hidden="false" name="IS_EBT_OpsYr23" vbProcedure="false">Income_Statement!$AD$12</definedName>
    <definedName function="false" hidden="false" name="IS_EBT_OpsYr24" vbProcedure="false">Income_Statement!$AE$12</definedName>
    <definedName function="false" hidden="false" name="IS_EBT_OpsYr25" vbProcedure="false">Income_Statement!$AF$12</definedName>
    <definedName function="false" hidden="false" name="IS_EBT_OpsYr26" vbProcedure="false">Income_Statement!$AG$12</definedName>
    <definedName function="false" hidden="false" name="IS_EBT_OpsYr27" vbProcedure="false">Income_Statement!$AH$12</definedName>
    <definedName function="false" hidden="false" name="IS_EBT_OpsYr28" vbProcedure="false">Income_Statement!$AI$12</definedName>
    <definedName function="false" hidden="false" name="IS_EBT_OpsYr29" vbProcedure="false">Income_Statement!$AJ$12</definedName>
    <definedName function="false" hidden="false" name="IS_EBT_OpsYr3" vbProcedure="false">Income_Statement!$J$12</definedName>
    <definedName function="false" hidden="false" name="IS_EBT_OpsYr30" vbProcedure="false">Income_Statement!$AK$12</definedName>
    <definedName function="false" hidden="false" name="IS_EBT_OpsYr4" vbProcedure="false">Income_Statement!$K$12</definedName>
    <definedName function="false" hidden="false" name="IS_EBT_OpsYr5" vbProcedure="false">Income_Statement!$L$12</definedName>
    <definedName function="false" hidden="false" name="IS_EBT_OpsYr6" vbProcedure="false">Income_Statement!$M$12</definedName>
    <definedName function="false" hidden="false" name="IS_EBT_OpsYr7" vbProcedure="false">Income_Statement!$N$12</definedName>
    <definedName function="false" hidden="false" name="IS_EBT_OpsYr8" vbProcedure="false">Income_Statement!$O$12</definedName>
    <definedName function="false" hidden="false" name="IS_EBT_OpsYr9" vbProcedure="false">Income_Statement!$P$12</definedName>
    <definedName function="false" hidden="false" name="IS_Interest_OpsYr1" vbProcedure="false">Income_Statement!$H$11</definedName>
    <definedName function="false" hidden="false" name="IS_Interest_OpsYr10" vbProcedure="false">Income_Statement!$Q$11</definedName>
    <definedName function="false" hidden="false" name="IS_Interest_OpsYr11" vbProcedure="false">Income_Statement!$R$11</definedName>
    <definedName function="false" hidden="false" name="IS_Interest_OpsYr12" vbProcedure="false">Income_Statement!$S$11</definedName>
    <definedName function="false" hidden="false" name="IS_Interest_OpsYr13" vbProcedure="false">Income_Statement!$T$11</definedName>
    <definedName function="false" hidden="false" name="IS_Interest_OpsYr14" vbProcedure="false">Income_Statement!$U$11</definedName>
    <definedName function="false" hidden="false" name="IS_Interest_OpsYr15" vbProcedure="false">Income_Statement!$V$11</definedName>
    <definedName function="false" hidden="false" name="IS_Interest_OpsYr16" vbProcedure="false">Income_Statement!$W$11</definedName>
    <definedName function="false" hidden="false" name="IS_Interest_OpsYr17" vbProcedure="false">Income_Statement!$X$11</definedName>
    <definedName function="false" hidden="false" name="IS_Interest_OpsYr18" vbProcedure="false">Income_Statement!$Y$11</definedName>
    <definedName function="false" hidden="false" name="IS_Interest_OpsYr19" vbProcedure="false">Income_Statement!$Z$11</definedName>
    <definedName function="false" hidden="false" name="IS_Interest_OpsYr2" vbProcedure="false">Income_Statement!$I$11</definedName>
    <definedName function="false" hidden="false" name="IS_Interest_OpsYr20" vbProcedure="false">Income_Statement!$AA$11</definedName>
    <definedName function="false" hidden="false" name="IS_Interest_OpsYr21" vbProcedure="false">Income_Statement!$AB$11</definedName>
    <definedName function="false" hidden="false" name="IS_Interest_OpsYr22" vbProcedure="false">Income_Statement!$AC$11</definedName>
    <definedName function="false" hidden="false" name="IS_Interest_OpsYr23" vbProcedure="false">Income_Statement!$AD$11</definedName>
    <definedName function="false" hidden="false" name="IS_Interest_OpsYr24" vbProcedure="false">Income_Statement!$AE$11</definedName>
    <definedName function="false" hidden="false" name="IS_Interest_OpsYr25" vbProcedure="false">Income_Statement!$AF$11</definedName>
    <definedName function="false" hidden="false" name="IS_Interest_OpsYr26" vbProcedure="false">Income_Statement!$AG$11</definedName>
    <definedName function="false" hidden="false" name="IS_Interest_OpsYr27" vbProcedure="false">Income_Statement!$AH$11</definedName>
    <definedName function="false" hidden="false" name="IS_Interest_OpsYr28" vbProcedure="false">Income_Statement!$AI$11</definedName>
    <definedName function="false" hidden="false" name="IS_Interest_OpsYr29" vbProcedure="false">Income_Statement!$AJ$11</definedName>
    <definedName function="false" hidden="false" name="IS_Interest_OpsYr3" vbProcedure="false">Income_Statement!$J$11</definedName>
    <definedName function="false" hidden="false" name="IS_Interest_OpsYr30" vbProcedure="false">Income_Statement!$AK$11</definedName>
    <definedName function="false" hidden="false" name="IS_Interest_OpsYr4" vbProcedure="false">Income_Statement!$K$11</definedName>
    <definedName function="false" hidden="false" name="IS_Interest_OpsYr5" vbProcedure="false">Income_Statement!$L$11</definedName>
    <definedName function="false" hidden="false" name="IS_Interest_OpsYr6" vbProcedure="false">Income_Statement!$M$11</definedName>
    <definedName function="false" hidden="false" name="IS_Interest_OpsYr7" vbProcedure="false">Income_Statement!$N$11</definedName>
    <definedName function="false" hidden="false" name="IS_Interest_OpsYr8" vbProcedure="false">Income_Statement!$O$11</definedName>
    <definedName function="false" hidden="false" name="IS_Interest_OpsYr9" vbProcedure="false">Income_Statement!$P$11</definedName>
    <definedName function="false" hidden="false" name="IS_Lifecycle_OpsYr1" vbProcedure="false">Income_Statement!$H$8</definedName>
    <definedName function="false" hidden="false" name="IS_Lifecycle_OpsYr10" vbProcedure="false">Income_Statement!$Q$8</definedName>
    <definedName function="false" hidden="false" name="IS_Lifecycle_OpsYr11" vbProcedure="false">Income_Statement!$R$8</definedName>
    <definedName function="false" hidden="false" name="IS_Lifecycle_OpsYr12" vbProcedure="false">Income_Statement!$S$8</definedName>
    <definedName function="false" hidden="false" name="IS_Lifecycle_OpsYr13" vbProcedure="false">Income_Statement!$T$8</definedName>
    <definedName function="false" hidden="false" name="IS_Lifecycle_OpsYr14" vbProcedure="false">Income_Statement!$U$8</definedName>
    <definedName function="false" hidden="false" name="IS_Lifecycle_OpsYr15" vbProcedure="false">Income_Statement!$V$8</definedName>
    <definedName function="false" hidden="false" name="IS_Lifecycle_OpsYr16" vbProcedure="false">Income_Statement!$W$8</definedName>
    <definedName function="false" hidden="false" name="IS_Lifecycle_OpsYr17" vbProcedure="false">Income_Statement!$X$8</definedName>
    <definedName function="false" hidden="false" name="IS_Lifecycle_OpsYr18" vbProcedure="false">Income_Statement!$Y$8</definedName>
    <definedName function="false" hidden="false" name="IS_Lifecycle_OpsYr19" vbProcedure="false">Income_Statement!$Z$8</definedName>
    <definedName function="false" hidden="false" name="IS_Lifecycle_OpsYr2" vbProcedure="false">Income_Statement!$I$8</definedName>
    <definedName function="false" hidden="false" name="IS_Lifecycle_OpsYr20" vbProcedure="false">Income_Statement!$AA$8</definedName>
    <definedName function="false" hidden="false" name="IS_Lifecycle_OpsYr21" vbProcedure="false">Income_Statement!$AB$8</definedName>
    <definedName function="false" hidden="false" name="IS_Lifecycle_OpsYr22" vbProcedure="false">Income_Statement!$AC$8</definedName>
    <definedName function="false" hidden="false" name="IS_Lifecycle_OpsYr23" vbProcedure="false">Income_Statement!$AD$8</definedName>
    <definedName function="false" hidden="false" name="IS_Lifecycle_OpsYr24" vbProcedure="false">Income_Statement!$AE$8</definedName>
    <definedName function="false" hidden="false" name="IS_Lifecycle_OpsYr25" vbProcedure="false">Income_Statement!$AF$8</definedName>
    <definedName function="false" hidden="false" name="IS_Lifecycle_OpsYr26" vbProcedure="false">Income_Statement!$AG$8</definedName>
    <definedName function="false" hidden="false" name="IS_Lifecycle_OpsYr27" vbProcedure="false">Income_Statement!$AH$8</definedName>
    <definedName function="false" hidden="false" name="IS_Lifecycle_OpsYr28" vbProcedure="false">Income_Statement!$AI$8</definedName>
    <definedName function="false" hidden="false" name="IS_Lifecycle_OpsYr29" vbProcedure="false">Income_Statement!$AJ$8</definedName>
    <definedName function="false" hidden="false" name="IS_Lifecycle_OpsYr3" vbProcedure="false">Income_Statement!$J$8</definedName>
    <definedName function="false" hidden="false" name="IS_Lifecycle_OpsYr30" vbProcedure="false">Income_Statement!$AK$8</definedName>
    <definedName function="false" hidden="false" name="IS_Lifecycle_OpsYr4" vbProcedure="false">Income_Statement!$K$8</definedName>
    <definedName function="false" hidden="false" name="IS_Lifecycle_OpsYr5" vbProcedure="false">Income_Statement!$L$8</definedName>
    <definedName function="false" hidden="false" name="IS_Lifecycle_OpsYr6" vbProcedure="false">Income_Statement!$M$8</definedName>
    <definedName function="false" hidden="false" name="IS_Lifecycle_OpsYr7" vbProcedure="false">Income_Statement!$N$8</definedName>
    <definedName function="false" hidden="false" name="IS_Lifecycle_OpsYr8" vbProcedure="false">Income_Statement!$O$8</definedName>
    <definedName function="false" hidden="false" name="IS_Lifecycle_OpsYr9" vbProcedure="false">Income_Statement!$P$8</definedName>
    <definedName function="false" hidden="false" name="IS_NI_OpsYr1" vbProcedure="false">Income_Statement!$H$21</definedName>
    <definedName function="false" hidden="false" name="IS_NI_OpsYr10" vbProcedure="false">Income_Statement!$Q$21</definedName>
    <definedName function="false" hidden="false" name="IS_NI_OpsYr11" vbProcedure="false">Income_Statement!$R$21</definedName>
    <definedName function="false" hidden="false" name="IS_NI_OpsYr12" vbProcedure="false">Income_Statement!$S$21</definedName>
    <definedName function="false" hidden="false" name="IS_NI_OpsYr13" vbProcedure="false">Income_Statement!$T$21</definedName>
    <definedName function="false" hidden="false" name="IS_NI_OpsYr14" vbProcedure="false">Income_Statement!$U$21</definedName>
    <definedName function="false" hidden="false" name="IS_NI_OpsYr15" vbProcedure="false">Income_Statement!$V$21</definedName>
    <definedName function="false" hidden="false" name="IS_NI_OpsYr16" vbProcedure="false">Income_Statement!$W$21</definedName>
    <definedName function="false" hidden="false" name="IS_NI_OpsYr17" vbProcedure="false">Income_Statement!$X$21</definedName>
    <definedName function="false" hidden="false" name="IS_NI_OpsYr18" vbProcedure="false">Income_Statement!$Y$21</definedName>
    <definedName function="false" hidden="false" name="IS_NI_OpsYr19" vbProcedure="false">Income_Statement!$Z$21</definedName>
    <definedName function="false" hidden="false" name="IS_NI_OpsYr2" vbProcedure="false">Income_Statement!$I$21</definedName>
    <definedName function="false" hidden="false" name="IS_NI_OpsYr20" vbProcedure="false">Income_Statement!$AA$21</definedName>
    <definedName function="false" hidden="false" name="IS_NI_OpsYr21" vbProcedure="false">Income_Statement!$AB$21</definedName>
    <definedName function="false" hidden="false" name="IS_NI_OpsYr22" vbProcedure="false">Income_Statement!$AC$21</definedName>
    <definedName function="false" hidden="false" name="IS_NI_OpsYr23" vbProcedure="false">Income_Statement!$AD$21</definedName>
    <definedName function="false" hidden="false" name="IS_NI_OpsYr24" vbProcedure="false">Income_Statement!$AE$21</definedName>
    <definedName function="false" hidden="false" name="IS_NI_OpsYr25" vbProcedure="false">Income_Statement!$AF$21</definedName>
    <definedName function="false" hidden="false" name="IS_NI_OpsYr26" vbProcedure="false">Income_Statement!$AG$21</definedName>
    <definedName function="false" hidden="false" name="IS_NI_OpsYr27" vbProcedure="false">Income_Statement!$AH$21</definedName>
    <definedName function="false" hidden="false" name="IS_NI_OpsYr28" vbProcedure="false">Income_Statement!$AI$21</definedName>
    <definedName function="false" hidden="false" name="IS_NI_OpsYr29" vbProcedure="false">Income_Statement!$AJ$21</definedName>
    <definedName function="false" hidden="false" name="IS_NI_OpsYr3" vbProcedure="false">Income_Statement!$J$21</definedName>
    <definedName function="false" hidden="false" name="IS_NI_OpsYr30" vbProcedure="false">Income_Statement!$AK$21</definedName>
    <definedName function="false" hidden="false" name="IS_NI_OpsYr4" vbProcedure="false">Income_Statement!$K$21</definedName>
    <definedName function="false" hidden="false" name="IS_NI_OpsYr5" vbProcedure="false">Income_Statement!$L$21</definedName>
    <definedName function="false" hidden="false" name="IS_NI_OpsYr6" vbProcedure="false">Income_Statement!$M$21</definedName>
    <definedName function="false" hidden="false" name="IS_NI_OpsYr7" vbProcedure="false">Income_Statement!$N$21</definedName>
    <definedName function="false" hidden="false" name="IS_NI_OpsYr8" vbProcedure="false">Income_Statement!$O$21</definedName>
    <definedName function="false" hidden="false" name="IS_NI_OpsYr9" vbProcedure="false">Income_Statement!$P$21</definedName>
    <definedName function="false" hidden="false" name="IS_Opex_OpsYr1" vbProcedure="false">Income_Statement!$H$6</definedName>
    <definedName function="false" hidden="false" name="IS_Opex_OpsYr10" vbProcedure="false">Income_Statement!$Q$6</definedName>
    <definedName function="false" hidden="false" name="IS_Opex_OpsYr11" vbProcedure="false">Income_Statement!$R$6</definedName>
    <definedName function="false" hidden="false" name="IS_Opex_OpsYr12" vbProcedure="false">Income_Statement!$S$6</definedName>
    <definedName function="false" hidden="false" name="IS_Opex_OpsYr13" vbProcedure="false">Income_Statement!$T$6</definedName>
    <definedName function="false" hidden="false" name="IS_Opex_OpsYr14" vbProcedure="false">Income_Statement!$U$6</definedName>
    <definedName function="false" hidden="false" name="IS_Opex_OpsYr15" vbProcedure="false">Income_Statement!$V$6</definedName>
    <definedName function="false" hidden="false" name="IS_Opex_OpsYr16" vbProcedure="false">Income_Statement!$W$6</definedName>
    <definedName function="false" hidden="false" name="IS_Opex_OpsYr17" vbProcedure="false">Income_Statement!$X$6</definedName>
    <definedName function="false" hidden="false" name="IS_Opex_OpsYr18" vbProcedure="false">Income_Statement!$Y$6</definedName>
    <definedName function="false" hidden="false" name="IS_Opex_OpsYr19" vbProcedure="false">Income_Statement!$Z$6</definedName>
    <definedName function="false" hidden="false" name="IS_Opex_OpsYr2" vbProcedure="false">Income_Statement!$I$6</definedName>
    <definedName function="false" hidden="false" name="IS_Opex_OpsYr20" vbProcedure="false">Income_Statement!$AA$6</definedName>
    <definedName function="false" hidden="false" name="IS_Opex_OpsYr21" vbProcedure="false">Income_Statement!$AB$6</definedName>
    <definedName function="false" hidden="false" name="IS_Opex_OpsYr22" vbProcedure="false">Income_Statement!$AC$6</definedName>
    <definedName function="false" hidden="false" name="IS_Opex_OpsYr23" vbProcedure="false">Income_Statement!$AD$6</definedName>
    <definedName function="false" hidden="false" name="IS_Opex_OpsYr24" vbProcedure="false">Income_Statement!$AE$6</definedName>
    <definedName function="false" hidden="false" name="IS_Opex_OpsYr25" vbProcedure="false">Income_Statement!$AF$6</definedName>
    <definedName function="false" hidden="false" name="IS_Opex_OpsYr26" vbProcedure="false">Income_Statement!$AG$6</definedName>
    <definedName function="false" hidden="false" name="IS_Opex_OpsYr27" vbProcedure="false">Income_Statement!$AH$6</definedName>
    <definedName function="false" hidden="false" name="IS_Opex_OpsYr28" vbProcedure="false">Income_Statement!$AI$6</definedName>
    <definedName function="false" hidden="false" name="IS_Opex_OpsYr29" vbProcedure="false">Income_Statement!$AJ$6</definedName>
    <definedName function="false" hidden="false" name="IS_Opex_OpsYr3" vbProcedure="false">Income_Statement!$J$6</definedName>
    <definedName function="false" hidden="false" name="IS_Opex_OpsYr30" vbProcedure="false">Income_Statement!$AK$6</definedName>
    <definedName function="false" hidden="false" name="IS_Opex_OpsYr4" vbProcedure="false">Income_Statement!$K$6</definedName>
    <definedName function="false" hidden="false" name="IS_Opex_OpsYr5" vbProcedure="false">Income_Statement!$L$6</definedName>
    <definedName function="false" hidden="false" name="IS_Opex_OpsYr6" vbProcedure="false">Income_Statement!$M$6</definedName>
    <definedName function="false" hidden="false" name="IS_Opex_OpsYr7" vbProcedure="false">Income_Statement!$N$6</definedName>
    <definedName function="false" hidden="false" name="IS_Opex_OpsYr8" vbProcedure="false">Income_Statement!$O$6</definedName>
    <definedName function="false" hidden="false" name="IS_Opex_OpsYr9" vbProcedure="false">Income_Statement!$P$6</definedName>
    <definedName function="false" hidden="false" name="IS_Revenue_OpsYr1" vbProcedure="false">Income_Statement!$H$5</definedName>
    <definedName function="false" hidden="false" name="IS_Revenue_OpsYr10" vbProcedure="false">Income_Statement!$Q$5</definedName>
    <definedName function="false" hidden="false" name="IS_Revenue_OpsYr11" vbProcedure="false">Income_Statement!$R$5</definedName>
    <definedName function="false" hidden="false" name="IS_Revenue_OpsYr12" vbProcedure="false">Income_Statement!$S$5</definedName>
    <definedName function="false" hidden="false" name="IS_Revenue_OpsYr13" vbProcedure="false">Income_Statement!$T$5</definedName>
    <definedName function="false" hidden="false" name="IS_Revenue_OpsYr14" vbProcedure="false">Income_Statement!$U$5</definedName>
    <definedName function="false" hidden="false" name="IS_Revenue_OpsYr15" vbProcedure="false">Income_Statement!$V$5</definedName>
    <definedName function="false" hidden="false" name="IS_Revenue_OpsYr16" vbProcedure="false">Income_Statement!$W$5</definedName>
    <definedName function="false" hidden="false" name="IS_Revenue_OpsYr17" vbProcedure="false">Income_Statement!$X$5</definedName>
    <definedName function="false" hidden="false" name="IS_Revenue_OpsYr18" vbProcedure="false">Income_Statement!$Y$5</definedName>
    <definedName function="false" hidden="false" name="IS_Revenue_OpsYr19" vbProcedure="false">Income_Statement!$Z$5</definedName>
    <definedName function="false" hidden="false" name="IS_Revenue_OpsYr2" vbProcedure="false">Income_Statement!$I$5</definedName>
    <definedName function="false" hidden="false" name="IS_Revenue_OpsYr20" vbProcedure="false">Income_Statement!$AA$5</definedName>
    <definedName function="false" hidden="false" name="IS_Revenue_OpsYr21" vbProcedure="false">Income_Statement!$AB$5</definedName>
    <definedName function="false" hidden="false" name="IS_Revenue_OpsYr22" vbProcedure="false">Income_Statement!$AC$5</definedName>
    <definedName function="false" hidden="false" name="IS_Revenue_OpsYr23" vbProcedure="false">Income_Statement!$AD$5</definedName>
    <definedName function="false" hidden="false" name="IS_Revenue_OpsYr24" vbProcedure="false">Income_Statement!$AE$5</definedName>
    <definedName function="false" hidden="false" name="IS_Revenue_OpsYr25" vbProcedure="false">Income_Statement!$AF$5</definedName>
    <definedName function="false" hidden="false" name="IS_Revenue_OpsYr26" vbProcedure="false">Income_Statement!$AG$5</definedName>
    <definedName function="false" hidden="false" name="IS_Revenue_OpsYr27" vbProcedure="false">Income_Statement!$AH$5</definedName>
    <definedName function="false" hidden="false" name="IS_Revenue_OpsYr28" vbProcedure="false">Income_Statement!$AI$5</definedName>
    <definedName function="false" hidden="false" name="IS_Revenue_OpsYr29" vbProcedure="false">Income_Statement!$AJ$5</definedName>
    <definedName function="false" hidden="false" name="IS_Revenue_OpsYr3" vbProcedure="false">Income_Statement!$J$5</definedName>
    <definedName function="false" hidden="false" name="IS_Revenue_OpsYr30" vbProcedure="false">Income_Statement!$AK$5</definedName>
    <definedName function="false" hidden="false" name="IS_Revenue_OpsYr4" vbProcedure="false">Income_Statement!$K$5</definedName>
    <definedName function="false" hidden="false" name="IS_Revenue_OpsYr5" vbProcedure="false">Income_Statement!$L$5</definedName>
    <definedName function="false" hidden="false" name="IS_Revenue_OpsYr6" vbProcedure="false">Income_Statement!$M$5</definedName>
    <definedName function="false" hidden="false" name="IS_Revenue_OpsYr7" vbProcedure="false">Income_Statement!$N$5</definedName>
    <definedName function="false" hidden="false" name="IS_Revenue_OpsYr8" vbProcedure="false">Income_Statement!$O$5</definedName>
    <definedName function="false" hidden="false" name="IS_Revenue_OpsYr9" vbProcedure="false">Income_Statement!$P$5</definedName>
    <definedName function="false" hidden="false" name="IS_RE_OpsYr1" vbProcedure="false">Income_Statement!$H$22</definedName>
    <definedName function="false" hidden="false" name="IS_RE_OpsYr10" vbProcedure="false">Income_Statement!$Q$22</definedName>
    <definedName function="false" hidden="false" name="IS_RE_OpsYr11" vbProcedure="false">Income_Statement!$R$22</definedName>
    <definedName function="false" hidden="false" name="IS_RE_OpsYr12" vbProcedure="false">Income_Statement!$S$22</definedName>
    <definedName function="false" hidden="false" name="IS_RE_OpsYr13" vbProcedure="false">Income_Statement!$T$22</definedName>
    <definedName function="false" hidden="false" name="IS_RE_OpsYr14" vbProcedure="false">Income_Statement!$U$22</definedName>
    <definedName function="false" hidden="false" name="IS_RE_OpsYr15" vbProcedure="false">Income_Statement!$V$22</definedName>
    <definedName function="false" hidden="false" name="IS_RE_OpsYr16" vbProcedure="false">Income_Statement!$W$22</definedName>
    <definedName function="false" hidden="false" name="IS_RE_OpsYr17" vbProcedure="false">Income_Statement!$X$22</definedName>
    <definedName function="false" hidden="false" name="IS_RE_OpsYr18" vbProcedure="false">Income_Statement!$Y$22</definedName>
    <definedName function="false" hidden="false" name="IS_RE_OpsYr19" vbProcedure="false">Income_Statement!$Z$22</definedName>
    <definedName function="false" hidden="false" name="IS_RE_OpsYr2" vbProcedure="false">Income_Statement!$I$22</definedName>
    <definedName function="false" hidden="false" name="IS_RE_OpsYr20" vbProcedure="false">Income_Statement!$AA$22</definedName>
    <definedName function="false" hidden="false" name="IS_RE_OpsYr21" vbProcedure="false">Income_Statement!$AB$22</definedName>
    <definedName function="false" hidden="false" name="IS_RE_OpsYr22" vbProcedure="false">Income_Statement!$AC$22</definedName>
    <definedName function="false" hidden="false" name="IS_RE_OpsYr23" vbProcedure="false">Income_Statement!$AD$22</definedName>
    <definedName function="false" hidden="false" name="IS_RE_OpsYr24" vbProcedure="false">Income_Statement!$AE$22</definedName>
    <definedName function="false" hidden="false" name="IS_RE_OpsYr25" vbProcedure="false">Income_Statement!$AF$22</definedName>
    <definedName function="false" hidden="false" name="IS_RE_OpsYr26" vbProcedure="false">Income_Statement!$AG$22</definedName>
    <definedName function="false" hidden="false" name="IS_RE_OpsYr27" vbProcedure="false">Income_Statement!$AH$22</definedName>
    <definedName function="false" hidden="false" name="IS_RE_OpsYr28" vbProcedure="false">Income_Statement!$AI$22</definedName>
    <definedName function="false" hidden="false" name="IS_RE_OpsYr29" vbProcedure="false">Income_Statement!$AJ$22</definedName>
    <definedName function="false" hidden="false" name="IS_RE_OpsYr3" vbProcedure="false">Income_Statement!$J$22</definedName>
    <definedName function="false" hidden="false" name="IS_RE_OpsYr30" vbProcedure="false">Income_Statement!$AK$22</definedName>
    <definedName function="false" hidden="false" name="IS_RE_OpsYr4" vbProcedure="false">Income_Statement!$K$22</definedName>
    <definedName function="false" hidden="false" name="IS_RE_OpsYr5" vbProcedure="false">Income_Statement!$L$22</definedName>
    <definedName function="false" hidden="false" name="IS_RE_OpsYr6" vbProcedure="false">Income_Statement!$M$22</definedName>
    <definedName function="false" hidden="false" name="IS_RE_OpsYr7" vbProcedure="false">Income_Statement!$N$22</definedName>
    <definedName function="false" hidden="false" name="IS_RE_OpsYr8" vbProcedure="false">Income_Statement!$O$22</definedName>
    <definedName function="false" hidden="false" name="IS_RE_OpsYr9" vbProcedure="false">Income_Statement!$P$22</definedName>
    <definedName function="false" hidden="false" name="IS_Tax_OpsYr1" vbProcedure="false">Income_Statement!$H$19</definedName>
    <definedName function="false" hidden="false" name="IS_Tax_OpsYr10" vbProcedure="false">Income_Statement!$Q$19</definedName>
    <definedName function="false" hidden="false" name="IS_Tax_OpsYr11" vbProcedure="false">Income_Statement!$R$19</definedName>
    <definedName function="false" hidden="false" name="IS_Tax_OpsYr12" vbProcedure="false">Income_Statement!$S$19</definedName>
    <definedName function="false" hidden="false" name="IS_Tax_OpsYr13" vbProcedure="false">Income_Statement!$T$19</definedName>
    <definedName function="false" hidden="false" name="IS_Tax_OpsYr14" vbProcedure="false">Income_Statement!$U$19</definedName>
    <definedName function="false" hidden="false" name="IS_Tax_OpsYr15" vbProcedure="false">Income_Statement!$V$19</definedName>
    <definedName function="false" hidden="false" name="IS_Tax_OpsYr16" vbProcedure="false">Income_Statement!$W$19</definedName>
    <definedName function="false" hidden="false" name="IS_Tax_OpsYr17" vbProcedure="false">Income_Statement!$X$19</definedName>
    <definedName function="false" hidden="false" name="IS_Tax_OpsYr18" vbProcedure="false">Income_Statement!$Y$19</definedName>
    <definedName function="false" hidden="false" name="IS_Tax_OpsYr19" vbProcedure="false">Income_Statement!$Z$19</definedName>
    <definedName function="false" hidden="false" name="IS_Tax_OpsYr2" vbProcedure="false">Income_Statement!$I$19</definedName>
    <definedName function="false" hidden="false" name="IS_Tax_OpsYr20" vbProcedure="false">Income_Statement!$AA$19</definedName>
    <definedName function="false" hidden="false" name="IS_Tax_OpsYr21" vbProcedure="false">Income_Statement!$AB$19</definedName>
    <definedName function="false" hidden="false" name="IS_Tax_OpsYr22" vbProcedure="false">Income_Statement!$AC$19</definedName>
    <definedName function="false" hidden="false" name="IS_Tax_OpsYr23" vbProcedure="false">Income_Statement!$AD$19</definedName>
    <definedName function="false" hidden="false" name="IS_Tax_OpsYr24" vbProcedure="false">Income_Statement!$AE$19</definedName>
    <definedName function="false" hidden="false" name="IS_Tax_OpsYr25" vbProcedure="false">Income_Statement!$AF$19</definedName>
    <definedName function="false" hidden="false" name="IS_Tax_OpsYr26" vbProcedure="false">Income_Statement!$AG$19</definedName>
    <definedName function="false" hidden="false" name="IS_Tax_OpsYr27" vbProcedure="false">Income_Statement!$AH$19</definedName>
    <definedName function="false" hidden="false" name="IS_Tax_OpsYr28" vbProcedure="false">Income_Statement!$AI$19</definedName>
    <definedName function="false" hidden="false" name="IS_Tax_OpsYr29" vbProcedure="false">Income_Statement!$AJ$19</definedName>
    <definedName function="false" hidden="false" name="IS_Tax_OpsYr3" vbProcedure="false">Income_Statement!$J$19</definedName>
    <definedName function="false" hidden="false" name="IS_Tax_OpsYr30" vbProcedure="false">Income_Statement!$AK$19</definedName>
    <definedName function="false" hidden="false" name="IS_Tax_OpsYr4" vbProcedure="false">Income_Statement!$K$19</definedName>
    <definedName function="false" hidden="false" name="IS_Tax_OpsYr5" vbProcedure="false">Income_Statement!$L$19</definedName>
    <definedName function="false" hidden="false" name="IS_Tax_OpsYr6" vbProcedure="false">Income_Statement!$M$19</definedName>
    <definedName function="false" hidden="false" name="IS_Tax_OpsYr7" vbProcedure="false">Income_Statement!$N$19</definedName>
    <definedName function="false" hidden="false" name="IS_Tax_OpsYr8" vbProcedure="false">Income_Statement!$O$19</definedName>
    <definedName function="false" hidden="false" name="IS_Tax_OpsYr9" vbProcedure="false">Income_Statement!$P$19</definedName>
    <definedName function="false" hidden="false" name="IS_Tax_Paid_OpsYr1" vbProcedure="false">Income_Statement!$H$20</definedName>
    <definedName function="false" hidden="false" name="IS_Tax_Paid_OpsYr10" vbProcedure="false">Income_Statement!$Q$20</definedName>
    <definedName function="false" hidden="false" name="IS_Tax_Paid_OpsYr11" vbProcedure="false">Income_Statement!$R$20</definedName>
    <definedName function="false" hidden="false" name="IS_Tax_Paid_OpsYr12" vbProcedure="false">Income_Statement!$S$20</definedName>
    <definedName function="false" hidden="false" name="IS_Tax_Paid_OpsYr13" vbProcedure="false">Income_Statement!$T$20</definedName>
    <definedName function="false" hidden="false" name="IS_Tax_Paid_OpsYr14" vbProcedure="false">Income_Statement!$U$20</definedName>
    <definedName function="false" hidden="false" name="IS_Tax_Paid_OpsYr15" vbProcedure="false">Income_Statement!$V$20</definedName>
    <definedName function="false" hidden="false" name="IS_Tax_Paid_OpsYr16" vbProcedure="false">Income_Statement!$W$20</definedName>
    <definedName function="false" hidden="false" name="IS_Tax_Paid_OpsYr17" vbProcedure="false">Income_Statement!$X$20</definedName>
    <definedName function="false" hidden="false" name="IS_Tax_Paid_OpsYr18" vbProcedure="false">Income_Statement!$Y$20</definedName>
    <definedName function="false" hidden="false" name="IS_Tax_Paid_OpsYr19" vbProcedure="false">Income_Statement!$Z$20</definedName>
    <definedName function="false" hidden="false" name="IS_Tax_Paid_OpsYr2" vbProcedure="false">Income_Statement!$I$20</definedName>
    <definedName function="false" hidden="false" name="IS_Tax_Paid_OpsYr20" vbProcedure="false">Income_Statement!$AA$20</definedName>
    <definedName function="false" hidden="false" name="IS_Tax_Paid_OpsYr21" vbProcedure="false">Income_Statement!$AB$20</definedName>
    <definedName function="false" hidden="false" name="IS_Tax_Paid_OpsYr22" vbProcedure="false">Income_Statement!$AC$20</definedName>
    <definedName function="false" hidden="false" name="IS_Tax_Paid_OpsYr23" vbProcedure="false">Income_Statement!$AD$20</definedName>
    <definedName function="false" hidden="false" name="IS_Tax_Paid_OpsYr24" vbProcedure="false">Income_Statement!$AE$20</definedName>
    <definedName function="false" hidden="false" name="IS_Tax_Paid_OpsYr25" vbProcedure="false">Income_Statement!$AF$20</definedName>
    <definedName function="false" hidden="false" name="IS_Tax_Paid_OpsYr26" vbProcedure="false">Income_Statement!$AG$20</definedName>
    <definedName function="false" hidden="false" name="IS_Tax_Paid_OpsYr27" vbProcedure="false">Income_Statement!$AH$20</definedName>
    <definedName function="false" hidden="false" name="IS_Tax_Paid_OpsYr28" vbProcedure="false">Income_Statement!$AI$20</definedName>
    <definedName function="false" hidden="false" name="IS_Tax_Paid_OpsYr29" vbProcedure="false">Income_Statement!$AJ$20</definedName>
    <definedName function="false" hidden="false" name="IS_Tax_Paid_OpsYr3" vbProcedure="false">Income_Statement!$J$20</definedName>
    <definedName function="false" hidden="false" name="IS_Tax_Paid_OpsYr30" vbProcedure="false">Income_Statement!$AK$20</definedName>
    <definedName function="false" hidden="false" name="IS_Tax_Paid_OpsYr4" vbProcedure="false">Income_Statement!$K$20</definedName>
    <definedName function="false" hidden="false" name="IS_Tax_Paid_OpsYr5" vbProcedure="false">Income_Statement!$L$20</definedName>
    <definedName function="false" hidden="false" name="IS_Tax_Paid_OpsYr6" vbProcedure="false">Income_Statement!$M$20</definedName>
    <definedName function="false" hidden="false" name="IS_Tax_Paid_OpsYr7" vbProcedure="false">Income_Statement!$N$20</definedName>
    <definedName function="false" hidden="false" name="IS_Tax_Paid_OpsYr8" vbProcedure="false">Income_Statement!$O$20</definedName>
    <definedName function="false" hidden="false" name="IS_Tax_Paid_OpsYr9" vbProcedure="false">Income_Statement!$P$20</definedName>
    <definedName function="false" hidden="false" name="Lifecycle_Annual_OpsYr1" vbProcedure="false">Opex!$H$7</definedName>
    <definedName function="false" hidden="false" name="Lifecycle_Pct" vbProcedure="false">Assumptions!$C$39</definedName>
    <definedName function="false" hidden="false" name="Lifecycle_Spike1" vbProcedure="false">Assumptions!$C$40</definedName>
    <definedName function="false" hidden="false" name="Lifecycle_Spike2" vbProcedure="false">Assumptions!$C$41</definedName>
    <definedName function="false" hidden="false" name="Lifecycle_Spike_OpsYr1" vbProcedure="false">Opex!$H$8</definedName>
    <definedName function="false" hidden="false" name="Lifecycle_Total_OpsYr1" vbProcedure="false">Opex!$H$9</definedName>
    <definedName function="false" hidden="false" name="Mature_Ridership" vbProcedure="false">Assumptions!$C$28</definedName>
    <definedName function="false" hidden="false" name="Min_DSCR" vbProcedure="false">Returns!$C$19</definedName>
    <definedName function="false" hidden="false" name="NOL_Addition_OpsYr1" vbProcedure="false">Income_Statement!$H$15</definedName>
    <definedName function="false" hidden="false" name="NOL_At_COD" vbProcedure="false">Income_Statement!$C$13</definedName>
    <definedName function="false" hidden="false" name="NOL_Carryforward_Yrs" vbProcedure="false">Assumptions!$C$52</definedName>
    <definedName function="false" hidden="false" name="NOL_Closing_OpsYr1" vbProcedure="false">Income_Statement!$H$17</definedName>
    <definedName function="false" hidden="false" name="NOL_Closing_OpsYr10" vbProcedure="false">Income_Statement!$Q$17</definedName>
    <definedName function="false" hidden="false" name="NOL_Closing_OpsYr11" vbProcedure="false">Income_Statement!$R$17</definedName>
    <definedName function="false" hidden="false" name="NOL_Closing_OpsYr12" vbProcedure="false">Income_Statement!$S$17</definedName>
    <definedName function="false" hidden="false" name="NOL_Closing_OpsYr13" vbProcedure="false">Income_Statement!$T$17</definedName>
    <definedName function="false" hidden="false" name="NOL_Closing_OpsYr14" vbProcedure="false">Income_Statement!$U$17</definedName>
    <definedName function="false" hidden="false" name="NOL_Closing_OpsYr15" vbProcedure="false">Income_Statement!$V$17</definedName>
    <definedName function="false" hidden="false" name="NOL_Closing_OpsYr16" vbProcedure="false">Income_Statement!$W$17</definedName>
    <definedName function="false" hidden="false" name="NOL_Closing_OpsYr17" vbProcedure="false">Income_Statement!$X$17</definedName>
    <definedName function="false" hidden="false" name="NOL_Closing_OpsYr18" vbProcedure="false">Income_Statement!$Y$17</definedName>
    <definedName function="false" hidden="false" name="NOL_Closing_OpsYr19" vbProcedure="false">Income_Statement!$Z$17</definedName>
    <definedName function="false" hidden="false" name="NOL_Closing_OpsYr2" vbProcedure="false">Income_Statement!$I$17</definedName>
    <definedName function="false" hidden="false" name="NOL_Closing_OpsYr20" vbProcedure="false">Income_Statement!$AA$17</definedName>
    <definedName function="false" hidden="false" name="NOL_Closing_OpsYr21" vbProcedure="false">Income_Statement!$AB$17</definedName>
    <definedName function="false" hidden="false" name="NOL_Closing_OpsYr22" vbProcedure="false">Income_Statement!$AC$17</definedName>
    <definedName function="false" hidden="false" name="NOL_Closing_OpsYr23" vbProcedure="false">Income_Statement!$AD$17</definedName>
    <definedName function="false" hidden="false" name="NOL_Closing_OpsYr24" vbProcedure="false">Income_Statement!$AE$17</definedName>
    <definedName function="false" hidden="false" name="NOL_Closing_OpsYr25" vbProcedure="false">Income_Statement!$AF$17</definedName>
    <definedName function="false" hidden="false" name="NOL_Closing_OpsYr26" vbProcedure="false">Income_Statement!$AG$17</definedName>
    <definedName function="false" hidden="false" name="NOL_Closing_OpsYr27" vbProcedure="false">Income_Statement!$AH$17</definedName>
    <definedName function="false" hidden="false" name="NOL_Closing_OpsYr28" vbProcedure="false">Income_Statement!$AI$17</definedName>
    <definedName function="false" hidden="false" name="NOL_Closing_OpsYr29" vbProcedure="false">Income_Statement!$AJ$17</definedName>
    <definedName function="false" hidden="false" name="NOL_Closing_OpsYr3" vbProcedure="false">Income_Statement!$J$17</definedName>
    <definedName function="false" hidden="false" name="NOL_Closing_OpsYr30" vbProcedure="false">Income_Statement!$AK$17</definedName>
    <definedName function="false" hidden="false" name="NOL_Closing_OpsYr4" vbProcedure="false">Income_Statement!$K$17</definedName>
    <definedName function="false" hidden="false" name="NOL_Closing_OpsYr5" vbProcedure="false">Income_Statement!$L$17</definedName>
    <definedName function="false" hidden="false" name="NOL_Closing_OpsYr6" vbProcedure="false">Income_Statement!$M$17</definedName>
    <definedName function="false" hidden="false" name="NOL_Closing_OpsYr7" vbProcedure="false">Income_Statement!$N$17</definedName>
    <definedName function="false" hidden="false" name="NOL_Closing_OpsYr8" vbProcedure="false">Income_Statement!$O$17</definedName>
    <definedName function="false" hidden="false" name="NOL_Closing_OpsYr9" vbProcedure="false">Income_Statement!$P$17</definedName>
    <definedName function="false" hidden="false" name="NOL_Opening_OpsYr1" vbProcedure="false">Income_Statement!$H$14</definedName>
    <definedName function="false" hidden="false" name="NOL_Opening_OpsYr10" vbProcedure="false">Income_Statement!$Q$14</definedName>
    <definedName function="false" hidden="false" name="NOL_Opening_OpsYr11" vbProcedure="false">Income_Statement!$R$14</definedName>
    <definedName function="false" hidden="false" name="NOL_Opening_OpsYr12" vbProcedure="false">Income_Statement!$S$14</definedName>
    <definedName function="false" hidden="false" name="NOL_Opening_OpsYr13" vbProcedure="false">Income_Statement!$T$14</definedName>
    <definedName function="false" hidden="false" name="NOL_Opening_OpsYr14" vbProcedure="false">Income_Statement!$U$14</definedName>
    <definedName function="false" hidden="false" name="NOL_Opening_OpsYr15" vbProcedure="false">Income_Statement!$V$14</definedName>
    <definedName function="false" hidden="false" name="NOL_Opening_OpsYr16" vbProcedure="false">Income_Statement!$W$14</definedName>
    <definedName function="false" hidden="false" name="NOL_Opening_OpsYr17" vbProcedure="false">Income_Statement!$X$14</definedName>
    <definedName function="false" hidden="false" name="NOL_Opening_OpsYr18" vbProcedure="false">Income_Statement!$Y$14</definedName>
    <definedName function="false" hidden="false" name="NOL_Opening_OpsYr19" vbProcedure="false">Income_Statement!$Z$14</definedName>
    <definedName function="false" hidden="false" name="NOL_Opening_OpsYr2" vbProcedure="false">Income_Statement!$I$14</definedName>
    <definedName function="false" hidden="false" name="NOL_Opening_OpsYr20" vbProcedure="false">Income_Statement!$AA$14</definedName>
    <definedName function="false" hidden="false" name="NOL_Opening_OpsYr21" vbProcedure="false">Income_Statement!$AB$14</definedName>
    <definedName function="false" hidden="false" name="NOL_Opening_OpsYr22" vbProcedure="false">Income_Statement!$AC$14</definedName>
    <definedName function="false" hidden="false" name="NOL_Opening_OpsYr23" vbProcedure="false">Income_Statement!$AD$14</definedName>
    <definedName function="false" hidden="false" name="NOL_Opening_OpsYr24" vbProcedure="false">Income_Statement!$AE$14</definedName>
    <definedName function="false" hidden="false" name="NOL_Opening_OpsYr25" vbProcedure="false">Income_Statement!$AF$14</definedName>
    <definedName function="false" hidden="false" name="NOL_Opening_OpsYr26" vbProcedure="false">Income_Statement!$AG$14</definedName>
    <definedName function="false" hidden="false" name="NOL_Opening_OpsYr27" vbProcedure="false">Income_Statement!$AH$14</definedName>
    <definedName function="false" hidden="false" name="NOL_Opening_OpsYr28" vbProcedure="false">Income_Statement!$AI$14</definedName>
    <definedName function="false" hidden="false" name="NOL_Opening_OpsYr29" vbProcedure="false">Income_Statement!$AJ$14</definedName>
    <definedName function="false" hidden="false" name="NOL_Opening_OpsYr3" vbProcedure="false">Income_Statement!$J$14</definedName>
    <definedName function="false" hidden="false" name="NOL_Opening_OpsYr30" vbProcedure="false">Income_Statement!$AK$14</definedName>
    <definedName function="false" hidden="false" name="NOL_Opening_OpsYr4" vbProcedure="false">Income_Statement!$K$14</definedName>
    <definedName function="false" hidden="false" name="NOL_Opening_OpsYr5" vbProcedure="false">Income_Statement!$L$14</definedName>
    <definedName function="false" hidden="false" name="NOL_Opening_OpsYr6" vbProcedure="false">Income_Statement!$M$14</definedName>
    <definedName function="false" hidden="false" name="NOL_Opening_OpsYr7" vbProcedure="false">Income_Statement!$N$14</definedName>
    <definedName function="false" hidden="false" name="NOL_Opening_OpsYr8" vbProcedure="false">Income_Statement!$O$14</definedName>
    <definedName function="false" hidden="false" name="NOL_Opening_OpsYr9" vbProcedure="false">Income_Statement!$P$14</definedName>
    <definedName function="false" hidden="false" name="NOL_Utilised_OpsYr1" vbProcedure="false">Income_Statement!$H$16</definedName>
    <definedName function="false" hidden="false" name="NOL_Utilised_OpsYr10" vbProcedure="false">Income_Statement!$Q$16</definedName>
    <definedName function="false" hidden="false" name="NOL_Utilised_OpsYr11" vbProcedure="false">Income_Statement!$R$16</definedName>
    <definedName function="false" hidden="false" name="NOL_Utilised_OpsYr12" vbProcedure="false">Income_Statement!$S$16</definedName>
    <definedName function="false" hidden="false" name="NOL_Utilised_OpsYr13" vbProcedure="false">Income_Statement!$T$16</definedName>
    <definedName function="false" hidden="false" name="NOL_Utilised_OpsYr14" vbProcedure="false">Income_Statement!$U$16</definedName>
    <definedName function="false" hidden="false" name="NOL_Utilised_OpsYr15" vbProcedure="false">Income_Statement!$V$16</definedName>
    <definedName function="false" hidden="false" name="NOL_Utilised_OpsYr16" vbProcedure="false">Income_Statement!$W$16</definedName>
    <definedName function="false" hidden="false" name="NOL_Utilised_OpsYr17" vbProcedure="false">Income_Statement!$X$16</definedName>
    <definedName function="false" hidden="false" name="NOL_Utilised_OpsYr18" vbProcedure="false">Income_Statement!$Y$16</definedName>
    <definedName function="false" hidden="false" name="NOL_Utilised_OpsYr19" vbProcedure="false">Income_Statement!$Z$16</definedName>
    <definedName function="false" hidden="false" name="NOL_Utilised_OpsYr2" vbProcedure="false">Income_Statement!$I$16</definedName>
    <definedName function="false" hidden="false" name="NOL_Utilised_OpsYr20" vbProcedure="false">Income_Statement!$AA$16</definedName>
    <definedName function="false" hidden="false" name="NOL_Utilised_OpsYr21" vbProcedure="false">Income_Statement!$AB$16</definedName>
    <definedName function="false" hidden="false" name="NOL_Utilised_OpsYr22" vbProcedure="false">Income_Statement!$AC$16</definedName>
    <definedName function="false" hidden="false" name="NOL_Utilised_OpsYr23" vbProcedure="false">Income_Statement!$AD$16</definedName>
    <definedName function="false" hidden="false" name="NOL_Utilised_OpsYr24" vbProcedure="false">Income_Statement!$AE$16</definedName>
    <definedName function="false" hidden="false" name="NOL_Utilised_OpsYr25" vbProcedure="false">Income_Statement!$AF$16</definedName>
    <definedName function="false" hidden="false" name="NOL_Utilised_OpsYr26" vbProcedure="false">Income_Statement!$AG$16</definedName>
    <definedName function="false" hidden="false" name="NOL_Utilised_OpsYr27" vbProcedure="false">Income_Statement!$AH$16</definedName>
    <definedName function="false" hidden="false" name="NOL_Utilised_OpsYr28" vbProcedure="false">Income_Statement!$AI$16</definedName>
    <definedName function="false" hidden="false" name="NOL_Utilised_OpsYr29" vbProcedure="false">Income_Statement!$AJ$16</definedName>
    <definedName function="false" hidden="false" name="NOL_Utilised_OpsYr3" vbProcedure="false">Income_Statement!$J$16</definedName>
    <definedName function="false" hidden="false" name="NOL_Utilised_OpsYr30" vbProcedure="false">Income_Statement!$AK$16</definedName>
    <definedName function="false" hidden="false" name="NOL_Utilised_OpsYr4" vbProcedure="false">Income_Statement!$K$16</definedName>
    <definedName function="false" hidden="false" name="NOL_Utilised_OpsYr5" vbProcedure="false">Income_Statement!$L$16</definedName>
    <definedName function="false" hidden="false" name="NOL_Utilised_OpsYr6" vbProcedure="false">Income_Statement!$M$16</definedName>
    <definedName function="false" hidden="false" name="NOL_Utilised_OpsYr7" vbProcedure="false">Income_Statement!$N$16</definedName>
    <definedName function="false" hidden="false" name="NOL_Utilised_OpsYr8" vbProcedure="false">Income_Statement!$O$16</definedName>
    <definedName function="false" hidden="false" name="NOL_Utilised_OpsYr9" vbProcedure="false">Income_Statement!$P$16</definedName>
    <definedName function="false" hidden="false" name="Opex_Base" vbProcedure="false">Assumptions!$C$37</definedName>
    <definedName function="false" hidden="false" name="Opex_Escalation" vbProcedure="false">Assumptions!$C$38</definedName>
    <definedName function="false" hidden="false" name="Opex_Total_OpsYr1" vbProcedure="false">Opex!$H$5</definedName>
    <definedName function="false" hidden="false" name="PPE_At_COD" vbProcedure="false">Construction!$G$25</definedName>
    <definedName function="false" hidden="false" name="Project_IRR" vbProcedure="false">Returns!$C$17</definedName>
    <definedName function="false" hidden="false" name="Ramp_Year1" vbProcedure="false">Assumptions!$C$33</definedName>
    <definedName function="false" hidden="false" name="Ramp_Year2" vbProcedure="false">Assumptions!$C$34</definedName>
    <definedName function="false" hidden="false" name="Ramp_Year3" vbProcedure="false">Assumptions!$C$35</definedName>
    <definedName function="false" hidden="false" name="Ret_DSCR_OpsYr1" vbProcedure="false">Returns!$H$13</definedName>
    <definedName function="false" hidden="false" name="Ret_Equity_CF_CY1" vbProcedure="false">Returns!$C$7</definedName>
    <definedName function="false" hidden="false" name="Ret_Equity_In_CY1" vbProcedure="false">Returns!$C$5</definedName>
    <definedName function="false" hidden="false" name="Ret_Equity_Out_OpsYr1" vbProcedure="false">Returns!$H$6</definedName>
    <definedName function="false" hidden="false" name="Ret_Project_CF_CY1" vbProcedure="false">Returns!$C$11</definedName>
    <definedName function="false" hidden="false" name="Route_Length_KM" vbProcedure="false">Assumptions!$C$16</definedName>
    <definedName function="false" hidden="false" name="SCurve_CY1" vbProcedure="false">Assumptions!$C$19</definedName>
    <definedName function="false" hidden="false" name="SCurve_CY2" vbProcedure="false">Assumptions!$C$20</definedName>
    <definedName function="false" hidden="false" name="SCurve_CY3" vbProcedure="false">Assumptions!$C$21</definedName>
    <definedName function="false" hidden="false" name="SCurve_CY4" vbProcedure="false">Assumptions!$C$22</definedName>
    <definedName function="false" hidden="false" name="SCurve_CY5" vbProcedure="false">Assumptions!$C$23</definedName>
    <definedName function="false" hidden="false" name="Taxable_OpsYr1" vbProcedure="false">Income_Statement!$H$18</definedName>
    <definedName function="false" hidden="false" name="Taxable_OpsYr10" vbProcedure="false">Income_Statement!$Q$18</definedName>
    <definedName function="false" hidden="false" name="Taxable_OpsYr11" vbProcedure="false">Income_Statement!$R$18</definedName>
    <definedName function="false" hidden="false" name="Taxable_OpsYr12" vbProcedure="false">Income_Statement!$S$18</definedName>
    <definedName function="false" hidden="false" name="Taxable_OpsYr13" vbProcedure="false">Income_Statement!$T$18</definedName>
    <definedName function="false" hidden="false" name="Taxable_OpsYr14" vbProcedure="false">Income_Statement!$U$18</definedName>
    <definedName function="false" hidden="false" name="Taxable_OpsYr15" vbProcedure="false">Income_Statement!$V$18</definedName>
    <definedName function="false" hidden="false" name="Taxable_OpsYr16" vbProcedure="false">Income_Statement!$W$18</definedName>
    <definedName function="false" hidden="false" name="Taxable_OpsYr17" vbProcedure="false">Income_Statement!$X$18</definedName>
    <definedName function="false" hidden="false" name="Taxable_OpsYr18" vbProcedure="false">Income_Statement!$Y$18</definedName>
    <definedName function="false" hidden="false" name="Taxable_OpsYr19" vbProcedure="false">Income_Statement!$Z$18</definedName>
    <definedName function="false" hidden="false" name="Taxable_OpsYr2" vbProcedure="false">Income_Statement!$I$18</definedName>
    <definedName function="false" hidden="false" name="Taxable_OpsYr20" vbProcedure="false">Income_Statement!$AA$18</definedName>
    <definedName function="false" hidden="false" name="Taxable_OpsYr21" vbProcedure="false">Income_Statement!$AB$18</definedName>
    <definedName function="false" hidden="false" name="Taxable_OpsYr22" vbProcedure="false">Income_Statement!$AC$18</definedName>
    <definedName function="false" hidden="false" name="Taxable_OpsYr23" vbProcedure="false">Income_Statement!$AD$18</definedName>
    <definedName function="false" hidden="false" name="Taxable_OpsYr24" vbProcedure="false">Income_Statement!$AE$18</definedName>
    <definedName function="false" hidden="false" name="Taxable_OpsYr25" vbProcedure="false">Income_Statement!$AF$18</definedName>
    <definedName function="false" hidden="false" name="Taxable_OpsYr26" vbProcedure="false">Income_Statement!$AG$18</definedName>
    <definedName function="false" hidden="false" name="Taxable_OpsYr27" vbProcedure="false">Income_Statement!$AH$18</definedName>
    <definedName function="false" hidden="false" name="Taxable_OpsYr28" vbProcedure="false">Income_Statement!$AI$18</definedName>
    <definedName function="false" hidden="false" name="Taxable_OpsYr29" vbProcedure="false">Income_Statement!$AJ$18</definedName>
    <definedName function="false" hidden="false" name="Taxable_OpsYr3" vbProcedure="false">Income_Statement!$J$18</definedName>
    <definedName function="false" hidden="false" name="Taxable_OpsYr30" vbProcedure="false">Income_Statement!$AK$18</definedName>
    <definedName function="false" hidden="false" name="Taxable_OpsYr4" vbProcedure="false">Income_Statement!$K$18</definedName>
    <definedName function="false" hidden="false" name="Taxable_OpsYr5" vbProcedure="false">Income_Statement!$L$18</definedName>
    <definedName function="false" hidden="false" name="Taxable_OpsYr6" vbProcedure="false">Income_Statement!$M$18</definedName>
    <definedName function="false" hidden="false" name="Taxable_OpsYr7" vbProcedure="false">Income_Statement!$N$18</definedName>
    <definedName function="false" hidden="false" name="Taxable_OpsYr8" vbProcedure="false">Income_Statement!$O$18</definedName>
    <definedName function="false" hidden="false" name="Taxable_OpsYr9" vbProcedure="false">Income_Statement!$P$18</definedName>
    <definedName function="false" hidden="false" name="Tax_Rate" vbProcedure="false">Assumptions!$C$13</definedName>
    <definedName function="false" hidden="false" name="Total_Equity_Invested" vbProcedure="false">Returns!$C$24</definedName>
    <definedName function="false" hidden="false" name="Total_Project_Cost" vbProcedure="false">Construction!$G$24</definedName>
    <definedName function="false" hidden="false" name="TR_Ancillary_OpsYr1" vbProcedure="false">Traffic_Revenue!$H$12</definedName>
    <definedName function="false" hidden="false" name="TR_Avail_OpsYr1" vbProcedure="false">Traffic_Revenue!$H$5</definedName>
    <definedName function="false" hidden="false" name="TR_Farebox_OpsYr1" vbProcedure="false">Traffic_Revenue!$H$10</definedName>
    <definedName function="false" hidden="false" name="TR_Fare_OpsYr1" vbProcedure="false">Traffic_Revenue!$H$9</definedName>
    <definedName function="false" hidden="false" name="TR_Ridership_OpsYr1" vbProcedure="false">Traffic_Revenue!$H$8</definedName>
    <definedName function="false" hidden="false" name="TR_Total_OpsYr1" vbProcedure="false">Traffic_Revenue!$H$14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<sst xmlns="http://schemas.openxmlformats.org/spreadsheetml/2006/main" count="595" uniqueCount="355">
  <si>
    <t xml:space="preserve">Rail Concession — PPP BOT Model</t>
  </si>
  <si>
    <t xml:space="preserve">FINAMODEL.com</t>
  </si>
  <si>
    <t xml:space="preserve">Project Finance Model | 5-Year Construction + 30-Year Concession</t>
  </si>
  <si>
    <t xml:space="preserve">Template ID: rail-concession | Version 3 | 2026-04-18</t>
  </si>
  <si>
    <t xml:space="preserve">Model Structure:</t>
  </si>
  <si>
    <t xml:space="preserve">Cover</t>
  </si>
  <si>
    <t xml:space="preserve">Title, project summary, TOC</t>
  </si>
  <si>
    <t xml:space="preserve">Assumptions</t>
  </si>
  <si>
    <t xml:space="preserve">All hardcoded inputs and flags</t>
  </si>
  <si>
    <t xml:space="preserve">Construction</t>
  </si>
  <si>
    <t xml:space="preserve">S-curve capex, IDC, funding draws</t>
  </si>
  <si>
    <t xml:space="preserve">Traffic_Revenue</t>
  </si>
  <si>
    <t xml:space="preserve">Availability + farebox + ancillary</t>
  </si>
  <si>
    <t xml:space="preserve">Opex</t>
  </si>
  <si>
    <t xml:space="preserve">Fixed opex and lifecycle capex</t>
  </si>
  <si>
    <t xml:space="preserve">Debt_Schedule</t>
  </si>
  <si>
    <t xml:space="preserve">Senior debt, DSRA, sculpted repay</t>
  </si>
  <si>
    <t xml:space="preserve">Income_Statement</t>
  </si>
  <si>
    <t xml:space="preserve">P&amp;L: Revenue - Opex - D&amp;A - Tax</t>
  </si>
  <si>
    <t xml:space="preserve">Cash_Flow</t>
  </si>
  <si>
    <t xml:space="preserve">OCF, investing, financing + BS</t>
  </si>
  <si>
    <t xml:space="preserve">Returns</t>
  </si>
  <si>
    <t xml:space="preserve">IRR, DSCR, payback, equity metrics</t>
  </si>
  <si>
    <t xml:space="preserve">Checks</t>
  </si>
  <si>
    <t xml:space="preserve">BS balance, DSCR covenant checks</t>
  </si>
  <si>
    <t xml:space="preserve">Economics (Base Case):</t>
  </si>
  <si>
    <t xml:space="preserve">Min DSCR</t>
  </si>
  <si>
    <t xml:space="preserve">&gt;= 1.20x (sculpting target 1.25x)</t>
  </si>
  <si>
    <t xml:space="preserve">EBITDA Margin Y1</t>
  </si>
  <si>
    <t xml:space="preserve">~74% (availability payment floor)</t>
  </si>
  <si>
    <t xml:space="preserve">Equity IRR</t>
  </si>
  <si>
    <t xml:space="preserve">~11-13%</t>
  </si>
  <si>
    <t xml:space="preserve">Debt repaid by</t>
  </si>
  <si>
    <t xml:space="preserve">OpsYr 25</t>
  </si>
  <si>
    <t xml:space="preserve">Total Capex</t>
  </si>
  <si>
    <t xml:space="preserve">$805M + IDC ~$65M = ~$870M TPC</t>
  </si>
  <si>
    <t xml:space="preserve">Gearing at COD</t>
  </si>
  <si>
    <t xml:space="preserve">68% debt / TPC</t>
  </si>
  <si>
    <t xml:space="preserve">Concession term</t>
  </si>
  <si>
    <t xml:space="preserve">30 operating years</t>
  </si>
  <si>
    <t xml:space="preserve">DSRA</t>
  </si>
  <si>
    <t xml:space="preserve">6 months, pre-funded from debt at COD</t>
  </si>
  <si>
    <t xml:space="preserve">About this model</t>
  </si>
  <si>
    <t xml:space="preserve">Evaluate railway infrastructure BOT (Build-Operate-Transfer) concessions with mixed revenue (availability payments, farebox revenue, ancillary services) and long-term debt amortisation. This template models 5 years of construction with S-curve capex spending and interest capitalization, then 30 years of operations with passenger volume ramps (new infrastructure typically reaches 80â100% of mature ridership in 3â4 years), ticket revenue escalation, and government availability payments calibrated to guarantee minimum DSCR. Operating costs include track maintenance, rolling stock maintenance, staffing, and energy.
The workbook contains a construction schedule with equity/debt drawdown pacing, a traffic forecast with ramp profiles and yield assumptions, a revenue sheet combining availability payments (government guarantee), farebox (ridership Ã fare), and ancillary income, an opex model with CPI escalation, and a debt schedule with grace periods (interest-only for 2 years) then sculpted amortisation to target DSCR 1.20â1.25x. DSRA is pre-funded at commercial operations date. The model handles lifecycle capex (periodic overhauls) separately from maintenance capex. Returns sheets calculate project IRR (unlevered) and equity IRR (levered), with DSCR and leverage tracking.
Target users are infrastructure GPs, pension funds, development banks (World Bank, EBRD, ADB), and project finance lenders evaluating railway, light rail, and transit concessions valued at $500M to $5B+.</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</si>
  <si>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</si>
  <si>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</si>
  <si>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</si>
  <si>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</si>
  <si>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</si>
  <si>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</si>
  <si>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</si>
  <si>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</si>
  <si>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</si>
  <si>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</si>
  <si>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</si>
  <si>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</si>
  <si>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</si>
  <si>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</si>
  <si>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</si>
  <si>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</si>
  <si>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</si>
  <si>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</si>
  <si>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</si>
  <si>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</si>
  <si>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</si>
  <si>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All model inputs — edit column C only</t>
  </si>
  <si>
    <t xml:space="preserve">Parameter</t>
  </si>
  <si>
    <t xml:space="preserve">Value</t>
  </si>
  <si>
    <t xml:space="preserve">Unit</t>
  </si>
  <si>
    <t xml:space="preserve">Notes</t>
  </si>
  <si>
    <t xml:space="preserve">A. Period Flags</t>
  </si>
  <si>
    <t xml:space="preserve">Is_Ops_Period</t>
  </si>
  <si>
    <t xml:space="preserve">Ops_Year_Index</t>
  </si>
  <si>
    <t xml:space="preserve">Constr_Year_Index</t>
  </si>
  <si>
    <t xml:space="preserve">Period_Number</t>
  </si>
  <si>
    <t xml:space="preserve">B. Macro Assumptions</t>
  </si>
  <si>
    <t xml:space="preserve">Inflation Rate</t>
  </si>
  <si>
    <t xml:space="preserve">%</t>
  </si>
  <si>
    <t xml:space="preserve">CPI escalation for costs and availability</t>
  </si>
  <si>
    <t xml:space="preserve">Tax Rate</t>
  </si>
  <si>
    <t xml:space="preserve">Corporate income tax rate</t>
  </si>
  <si>
    <t xml:space="preserve">Discount Rate</t>
  </si>
  <si>
    <t xml:space="preserve">For NPV calculations on Returns sheet</t>
  </si>
  <si>
    <t xml:space="preserve">C. Construction Assumptions</t>
  </si>
  <si>
    <t xml:space="preserve">Route Length</t>
  </si>
  <si>
    <t xml:space="preserve">km</t>
  </si>
  <si>
    <t xml:space="preserve">Route length</t>
  </si>
  <si>
    <t xml:space="preserve">Capex per km</t>
  </si>
  <si>
    <t xml:space="preserve">USD/km</t>
  </si>
  <si>
    <t xml:space="preserve">Light rail benchmark</t>
  </si>
  <si>
    <t xml:space="preserve">Contingency %</t>
  </si>
  <si>
    <t xml:space="preserve">15% of base capex</t>
  </si>
  <si>
    <t xml:space="preserve">S-Curve CY1</t>
  </si>
  <si>
    <t xml:space="preserve">8% of total in CY1</t>
  </si>
  <si>
    <t xml:space="preserve">S-Curve CY2</t>
  </si>
  <si>
    <t xml:space="preserve">18% in CY2</t>
  </si>
  <si>
    <t xml:space="preserve">S-Curve CY3</t>
  </si>
  <si>
    <t xml:space="preserve">40% in CY3</t>
  </si>
  <si>
    <t xml:space="preserve">S-Curve CY4</t>
  </si>
  <si>
    <t xml:space="preserve">22% in CY4</t>
  </si>
  <si>
    <t xml:space="preserve">S-Curve CY5</t>
  </si>
  <si>
    <t xml:space="preserve">12% in CY5</t>
  </si>
  <si>
    <t xml:space="preserve">Construction Period</t>
  </si>
  <si>
    <t xml:space="preserve">Years</t>
  </si>
  <si>
    <t xml:space="preserve">Years from groundbreaking to COD</t>
  </si>
  <si>
    <t xml:space="preserve">D. Revenue Assumptions</t>
  </si>
  <si>
    <t xml:space="preserve">Avail Payment Base</t>
  </si>
  <si>
    <t xml:space="preserve">USD/yr</t>
  </si>
  <si>
    <t xml:space="preserve">Year 1 availability payment</t>
  </si>
  <si>
    <t xml:space="preserve">Avail Escalation</t>
  </si>
  <si>
    <t xml:space="preserve">Annual CPI escalation</t>
  </si>
  <si>
    <t xml:space="preserve">Mature Ridership</t>
  </si>
  <si>
    <t xml:space="preserve">Pax/yr</t>
  </si>
  <si>
    <t xml:space="preserve">Year 4+ annual ridership</t>
  </si>
  <si>
    <t xml:space="preserve">Avg Fare</t>
  </si>
  <si>
    <t xml:space="preserve">USD/pax</t>
  </si>
  <si>
    <t xml:space="preserve">Average fare in Year 1</t>
  </si>
  <si>
    <t xml:space="preserve">Fare Escalation</t>
  </si>
  <si>
    <t xml:space="preserve">Annual fare escalation</t>
  </si>
  <si>
    <t xml:space="preserve">Ancillary Base</t>
  </si>
  <si>
    <t xml:space="preserve">Year 1 ancillary revenue</t>
  </si>
  <si>
    <t xml:space="preserve">Ancillary Growth</t>
  </si>
  <si>
    <t xml:space="preserve">Annual ancillary growth</t>
  </si>
  <si>
    <t xml:space="preserve">Ramp Year1</t>
  </si>
  <si>
    <t xml:space="preserve">Ridership ramp: Year 1 = 50% of mature</t>
  </si>
  <si>
    <t xml:space="preserve">Ramp Year2</t>
  </si>
  <si>
    <t xml:space="preserve">Ridership ramp: Year 2 = 68% of mature</t>
  </si>
  <si>
    <t xml:space="preserve">Ramp Year3</t>
  </si>
  <si>
    <t xml:space="preserve">Ridership ramp: Year 3 = 84% of mature</t>
  </si>
  <si>
    <t xml:space="preserve">E. Opex Assumptions</t>
  </si>
  <si>
    <t xml:space="preserve">Opex Base</t>
  </si>
  <si>
    <t xml:space="preserve">Year 1 total opex</t>
  </si>
  <si>
    <t xml:space="preserve">Opex Escalation</t>
  </si>
  <si>
    <t xml:space="preserve">Blended annual escalation</t>
  </si>
  <si>
    <t xml:space="preserve">Lifecycle %</t>
  </si>
  <si>
    <t xml:space="preserve">Annual lifecycle % of base capex</t>
  </si>
  <si>
    <t xml:space="preserve">Lifecycle Spike1</t>
  </si>
  <si>
    <t xml:space="preserve">USD</t>
  </si>
  <si>
    <t xml:space="preserve">OpsYr15 overhaul amount</t>
  </si>
  <si>
    <t xml:space="preserve">Lifecycle Spike2</t>
  </si>
  <si>
    <t xml:space="preserve">OpsYr25 overhaul amount</t>
  </si>
  <si>
    <t xml:space="preserve">F. Debt Assumptions</t>
  </si>
  <si>
    <t xml:space="preserve">Gearing %</t>
  </si>
  <si>
    <t xml:space="preserve">Debt / Total Project Cost</t>
  </si>
  <si>
    <t xml:space="preserve">Interest Rate</t>
  </si>
  <si>
    <t xml:space="preserve">All-in rate (4.31% 10Y + 119bps)</t>
  </si>
  <si>
    <t xml:space="preserve">Debt Tenor</t>
  </si>
  <si>
    <t xml:space="preserve">Tenor from COD</t>
  </si>
  <si>
    <t xml:space="preserve">DSCR Target</t>
  </si>
  <si>
    <t xml:space="preserve">x</t>
  </si>
  <si>
    <t xml:space="preserve">Sculpting target DSCR</t>
  </si>
  <si>
    <t xml:space="preserve">DSCR Minimum</t>
  </si>
  <si>
    <t xml:space="preserve">Covenant minimum</t>
  </si>
  <si>
    <t xml:space="preserve">Grace Period</t>
  </si>
  <si>
    <t xml:space="preserve">Interest-only years at start of ops</t>
  </si>
  <si>
    <t xml:space="preserve">DSRA Months</t>
  </si>
  <si>
    <t xml:space="preserve">Months</t>
  </si>
  <si>
    <t xml:space="preserve">Months of forward debt service</t>
  </si>
  <si>
    <t xml:space="preserve">Depreciation Life</t>
  </si>
  <si>
    <t xml:space="preserve">Straight-line over concession life</t>
  </si>
  <si>
    <t xml:space="preserve">G. NOL</t>
  </si>
  <si>
    <t xml:space="preserve">NOL Carryforward Yrs</t>
  </si>
  <si>
    <t xml:space="preserve">Max years to carry forward NOL</t>
  </si>
  <si>
    <t xml:space="preserve">H. Structural Estimates</t>
  </si>
  <si>
    <t xml:space="preserve">DSRA Prefund Estimate</t>
  </si>
  <si>
    <t xml:space="preserve">Static estimate of DSRA at COD; avoids circular ref with Debt_Schedule</t>
  </si>
  <si>
    <t xml:space="preserve">Construction Schedule</t>
  </si>
  <si>
    <t xml:space="preserve">S-Curve Capex | IDC Accrual | Funding Drawdowns</t>
  </si>
  <si>
    <t xml:space="preserve">CY1</t>
  </si>
  <si>
    <t xml:space="preserve">CY2</t>
  </si>
  <si>
    <t xml:space="preserve">CY3</t>
  </si>
  <si>
    <t xml:space="preserve">CY4</t>
  </si>
  <si>
    <t xml:space="preserve">CY5</t>
  </si>
  <si>
    <t xml:space="preserve">Base Capex</t>
  </si>
  <si>
    <t xml:space="preserve">Contingency</t>
  </si>
  <si>
    <t xml:space="preserve">Total Capex Budget</t>
  </si>
  <si>
    <t xml:space="preserve">S-Curve %</t>
  </si>
  <si>
    <t xml:space="preserve">Annual Capex Draw</t>
  </si>
  <si>
    <t xml:space="preserve">Cumulative Capex</t>
  </si>
  <si>
    <t xml:space="preserve">Funding Drawdowns</t>
  </si>
  <si>
    <t xml:space="preserve">Equity Draw</t>
  </si>
  <si>
    <t xml:space="preserve">Debt Draw (capex)</t>
  </si>
  <si>
    <t xml:space="preserve">DSRA Prefund Draw</t>
  </si>
  <si>
    <t xml:space="preserve">Total Debt Draw</t>
  </si>
  <si>
    <t xml:space="preserve">IDC Roll-Forward (Option B — Non-Cash Accrual)</t>
  </si>
  <si>
    <t xml:space="preserve">Debt Opening</t>
  </si>
  <si>
    <t xml:space="preserve">Debt Drawdown</t>
  </si>
  <si>
    <t xml:space="preserve">IDC Accrued (non-cash)</t>
  </si>
  <si>
    <t xml:space="preserve">Debt Closing</t>
  </si>
  <si>
    <t xml:space="preserve">Cumulative IDC</t>
  </si>
  <si>
    <t xml:space="preserve">PP&amp;E at COD</t>
  </si>
  <si>
    <t xml:space="preserve">Total Project Cost</t>
  </si>
  <si>
    <t xml:space="preserve">Traffic Revenue</t>
  </si>
  <si>
    <t xml:space="preserve">Availability Payment | Farebox Revenue | Ancillary Revenue</t>
  </si>
  <si>
    <t xml:space="preserve">OY1</t>
  </si>
  <si>
    <t xml:space="preserve">OY2</t>
  </si>
  <si>
    <t xml:space="preserve">OY3</t>
  </si>
  <si>
    <t xml:space="preserve">OY4</t>
  </si>
  <si>
    <t xml:space="preserve">OY5</t>
  </si>
  <si>
    <t xml:space="preserve">OY6</t>
  </si>
  <si>
    <t xml:space="preserve">OY7</t>
  </si>
  <si>
    <t xml:space="preserve">OY8</t>
  </si>
  <si>
    <t xml:space="preserve">OY9</t>
  </si>
  <si>
    <t xml:space="preserve">OY10</t>
  </si>
  <si>
    <t xml:space="preserve">OY11</t>
  </si>
  <si>
    <t xml:space="preserve">OY12</t>
  </si>
  <si>
    <t xml:space="preserve">OY13</t>
  </si>
  <si>
    <t xml:space="preserve">OY14</t>
  </si>
  <si>
    <t xml:space="preserve">OY15</t>
  </si>
  <si>
    <t xml:space="preserve">OY16</t>
  </si>
  <si>
    <t xml:space="preserve">OY17</t>
  </si>
  <si>
    <t xml:space="preserve">OY18</t>
  </si>
  <si>
    <t xml:space="preserve">OY19</t>
  </si>
  <si>
    <t xml:space="preserve">OY20</t>
  </si>
  <si>
    <t xml:space="preserve">OY21</t>
  </si>
  <si>
    <t xml:space="preserve">OY22</t>
  </si>
  <si>
    <t xml:space="preserve">OY23</t>
  </si>
  <si>
    <t xml:space="preserve">OY24</t>
  </si>
  <si>
    <t xml:space="preserve">OY25</t>
  </si>
  <si>
    <t xml:space="preserve">OY26</t>
  </si>
  <si>
    <t xml:space="preserve">OY27</t>
  </si>
  <si>
    <t xml:space="preserve">OY28</t>
  </si>
  <si>
    <t xml:space="preserve">OY29</t>
  </si>
  <si>
    <t xml:space="preserve">OY30</t>
  </si>
  <si>
    <t xml:space="preserve">Availability Payment</t>
  </si>
  <si>
    <t xml:space="preserve">Farebox Revenue</t>
  </si>
  <si>
    <t xml:space="preserve">Ramp-up Factor</t>
  </si>
  <si>
    <t xml:space="preserve">Annual Ridership</t>
  </si>
  <si>
    <t xml:space="preserve">Average Fare</t>
  </si>
  <si>
    <t xml:space="preserve">Ancillary Revenue</t>
  </si>
  <si>
    <t xml:space="preserve">Total Revenue</t>
  </si>
  <si>
    <t xml:space="preserve">TOTAL REVENUE</t>
  </si>
  <si>
    <t xml:space="preserve">Operating Expenditure</t>
  </si>
  <si>
    <t xml:space="preserve">Fixed Opex | Annual Lifecycle | Overhaul Spikes</t>
  </si>
  <si>
    <t xml:space="preserve">Total Opex</t>
  </si>
  <si>
    <t xml:space="preserve">Lifecycle Capex</t>
  </si>
  <si>
    <t xml:space="preserve">Annual Lifecycle</t>
  </si>
  <si>
    <t xml:space="preserve">Lifecycle Spike</t>
  </si>
  <si>
    <t xml:space="preserve">Total Lifecycle</t>
  </si>
  <si>
    <t xml:space="preserve">Debt Schedule</t>
  </si>
  <si>
    <t xml:space="preserve">DSRA Target | CFADS | Sculpted Repayment | Distributions</t>
  </si>
  <si>
    <t xml:space="preserve">Opening Debt at COD</t>
  </si>
  <si>
    <t xml:space="preserve">Annual Interest at COD</t>
  </si>
  <si>
    <t xml:space="preserve">DSRA Target at COD</t>
  </si>
  <si>
    <t xml:space="preserve">CFADS Computation (excl. lifecycle)</t>
  </si>
  <si>
    <t xml:space="preserve">Revenue</t>
  </si>
  <si>
    <t xml:space="preserve">EBITDA</t>
  </si>
  <si>
    <t xml:space="preserve">Tax Paid</t>
  </si>
  <si>
    <t xml:space="preserve">CFADS excl. lifecycle</t>
  </si>
  <si>
    <t xml:space="preserve">Senior Debt Roll-Forward</t>
  </si>
  <si>
    <t xml:space="preserve">Interest Expense</t>
  </si>
  <si>
    <t xml:space="preserve">Sculpted Repayment</t>
  </si>
  <si>
    <t xml:space="preserve">Total Debt Service</t>
  </si>
  <si>
    <t xml:space="preserve">DSCR</t>
  </si>
  <si>
    <t xml:space="preserve">DSRA Roll-Forward</t>
  </si>
  <si>
    <t xml:space="preserve">DSRA Target</t>
  </si>
  <si>
    <t xml:space="preserve">DSRA Opening</t>
  </si>
  <si>
    <t xml:space="preserve">DSRA Transfer</t>
  </si>
  <si>
    <t xml:space="preserve">DSRA Closing</t>
  </si>
  <si>
    <t xml:space="preserve">Cash Waterfall</t>
  </si>
  <si>
    <t xml:space="preserve">Cash after DS</t>
  </si>
  <si>
    <t xml:space="preserve">DSRA Movement</t>
  </si>
  <si>
    <t xml:space="preserve">Distributable Cash</t>
  </si>
  <si>
    <t xml:space="preserve">Equity Distribution</t>
  </si>
  <si>
    <t xml:space="preserve">Income Statement</t>
  </si>
  <si>
    <t xml:space="preserve">Revenue - Opex - Lifecycle - Depreciation - Interest - Tax</t>
  </si>
  <si>
    <t xml:space="preserve">Depreciation</t>
  </si>
  <si>
    <t xml:space="preserve">EBIT</t>
  </si>
  <si>
    <t xml:space="preserve">EBT</t>
  </si>
  <si>
    <t xml:space="preserve">NOL Carryforward &amp; Tax</t>
  </si>
  <si>
    <t xml:space="preserve">  NOL Opening</t>
  </si>
  <si>
    <t xml:space="preserve">  NOL Addition</t>
  </si>
  <si>
    <t xml:space="preserve">  NOL Utilised</t>
  </si>
  <si>
    <t xml:space="preserve">  NOL Closing</t>
  </si>
  <si>
    <t xml:space="preserve">  Taxable Income</t>
  </si>
  <si>
    <t xml:space="preserve">  Tax Expense</t>
  </si>
  <si>
    <t xml:space="preserve">NET INCOME</t>
  </si>
  <si>
    <t xml:space="preserve">Retained Earnings</t>
  </si>
  <si>
    <t xml:space="preserve">Cash Flow Statement + Balance Sheet</t>
  </si>
  <si>
    <t xml:space="preserve">OCF | Investing | Financing | Net Cash | Balance Sheet</t>
  </si>
  <si>
    <t xml:space="preserve">Capex</t>
  </si>
  <si>
    <t xml:space="preserve">Equity Injected</t>
  </si>
  <si>
    <t xml:space="preserve">Debt Drawn</t>
  </si>
  <si>
    <t xml:space="preserve">Net Cash (constr)</t>
  </si>
  <si>
    <t xml:space="preserve">Cash Opening</t>
  </si>
  <si>
    <t xml:space="preserve">Cash Closing</t>
  </si>
  <si>
    <t xml:space="preserve">Operating Cash Flow</t>
  </si>
  <si>
    <t xml:space="preserve">Investing Cash Flow</t>
  </si>
  <si>
    <t xml:space="preserve">Lifecycle Capex (in OCF — zero here)</t>
  </si>
  <si>
    <t xml:space="preserve">Financing Cash Flow</t>
  </si>
  <si>
    <t xml:space="preserve">Interest Paid</t>
  </si>
  <si>
    <t xml:space="preserve">Principal Repaid</t>
  </si>
  <si>
    <t xml:space="preserve">Net Cash &amp; Balances</t>
  </si>
  <si>
    <t xml:space="preserve">Net Cash Movement</t>
  </si>
  <si>
    <t xml:space="preserve">BALANCE SHEET</t>
  </si>
  <si>
    <t xml:space="preserve">Balance Sheet</t>
  </si>
  <si>
    <t xml:space="preserve">  Cash</t>
  </si>
  <si>
    <t xml:space="preserve">  Restricted Cash (DSRA)</t>
  </si>
  <si>
    <t xml:space="preserve">  PP&amp;E Opening</t>
  </si>
  <si>
    <t xml:space="preserve">  Accumulated Depr</t>
  </si>
  <si>
    <t xml:space="preserve">  PP&amp;E Net</t>
  </si>
  <si>
    <t xml:space="preserve">TOTAL ASSETS</t>
  </si>
  <si>
    <t xml:space="preserve">Liabilities &amp; Equity</t>
  </si>
  <si>
    <t xml:space="preserve">  Senior Debt</t>
  </si>
  <si>
    <t xml:space="preserve">  Equity Contributed</t>
  </si>
  <si>
    <t xml:space="preserve">  Retained Earnings</t>
  </si>
  <si>
    <t xml:space="preserve">TOTAL L+E</t>
  </si>
  <si>
    <t xml:space="preserve">Balance Check (=0)</t>
  </si>
  <si>
    <t xml:space="preserve">Returns Analysis</t>
  </si>
  <si>
    <t xml:space="preserve">Equity IRR | Project IRR | DSCR | Payback</t>
  </si>
  <si>
    <t xml:space="preserve">Equity Injection</t>
  </si>
  <si>
    <t xml:space="preserve">Net Equity CF</t>
  </si>
  <si>
    <t xml:space="preserve">Project Cash Flows (Unlevered)</t>
  </si>
  <si>
    <t xml:space="preserve">Capex / Investment</t>
  </si>
  <si>
    <t xml:space="preserve">CFADS (pre-debt)</t>
  </si>
  <si>
    <t xml:space="preserve">Net Project CF</t>
  </si>
  <si>
    <t xml:space="preserve">DSCR by Period</t>
  </si>
  <si>
    <t xml:space="preserve">Summary Metrics</t>
  </si>
  <si>
    <t xml:space="preserve">Project IRR</t>
  </si>
  <si>
    <t xml:space="preserve">NPV (Equity, 10%)</t>
  </si>
  <si>
    <t xml:space="preserve">Avg DSCR</t>
  </si>
  <si>
    <t xml:space="preserve">Debt Payoff Year</t>
  </si>
  <si>
    <t xml:space="preserve">Equity Payback Year</t>
  </si>
  <si>
    <t xml:space="preserve">EBITDA Margin (OpsYr1)</t>
  </si>
  <si>
    <t xml:space="preserve">Total Equity Invested</t>
  </si>
  <si>
    <t xml:space="preserve">Cumulative Equity CF</t>
  </si>
  <si>
    <t xml:space="preserve">Model Checks</t>
  </si>
  <si>
    <t xml:space="preserve">All checks must be TRUE for model to be valid</t>
  </si>
  <si>
    <t xml:space="preserve">Check</t>
  </si>
  <si>
    <t xml:space="preserve">Result</t>
  </si>
  <si>
    <t xml:space="preserve">BS Balance (all ops yrs)</t>
  </si>
  <si>
    <t xml:space="preserve">Total Assets = Total L+E every period</t>
  </si>
  <si>
    <t xml:space="preserve">Min DSCR &gt;= 1.20x</t>
  </si>
  <si>
    <t xml:space="preserve">Covenant check; Min_DSCR from Returns sheet</t>
  </si>
  <si>
    <t xml:space="preserve">Debt Repaid (OpsYr25)</t>
  </si>
  <si>
    <t xml:space="preserve">Senior debt fully repaid within tenor</t>
  </si>
  <si>
    <t xml:space="preserve">Cash Never Negative</t>
  </si>
  <si>
    <t xml:space="preserve">Closing cash &gt;= 0 all periods</t>
  </si>
  <si>
    <t xml:space="preserve">DSRA Funded (&gt;= 95%)</t>
  </si>
  <si>
    <t xml:space="preserve">DSRA closing &gt;= 95% of COD target throughout ops</t>
  </si>
  <si>
    <t xml:space="preserve">S-Curve = 100%</t>
  </si>
  <si>
    <t xml:space="preserve">5 S-curve percentages must sum to 1.00</t>
  </si>
  <si>
    <t xml:space="preserve">Construction Sources = Uses</t>
  </si>
  <si>
    <t xml:space="preserve">Debt_At_COD matches Constr_Debt_Close_CY5</t>
  </si>
  <si>
    <t xml:space="preserve">Equity IRR Numeric</t>
  </si>
  <si>
    <t xml:space="preserve">IRR must converge to a number</t>
  </si>
  <si>
    <t xml:space="preserve">Project IRR Numeric</t>
  </si>
  <si>
    <t xml:space="preserve">Project IRR must converge</t>
  </si>
  <si>
    <t xml:space="preserve">No Distributions (Grace Yrs)</t>
  </si>
  <si>
    <t xml:space="preserve">No equity dist in OpsYr1-2 (grace period)</t>
  </si>
  <si>
    <t xml:space="preserve">EBITDA Margin OpsYr1 &gt;= 40%</t>
  </si>
  <si>
    <t xml:space="preserve">Availability payment ensures floor</t>
  </si>
  <si>
    <t xml:space="preserve">PP&amp;E Fully Depreciated</t>
  </si>
  <si>
    <t xml:space="preserve">Net PPE ~0 by end of concession (OpsYr30)</t>
  </si>
  <si>
    <t xml:space="preserve">Debt Tenor (yrs)</t>
  </si>
</sst>
</file>

<file path=xl/styles.xml><?xml version="1.0" encoding="utf-8"?>
<styleSheet xmlns="http://schemas.openxmlformats.org/spreadsheetml/2006/main">
  <numFmts count="5">
    <numFmt numFmtId="164" formatCode="General"/>
    <numFmt numFmtId="165" formatCode="0"/>
    <numFmt numFmtId="166" formatCode="0.00%"/>
    <numFmt numFmtId="167" formatCode="#,##0.00"/>
    <numFmt numFmtId="168" formatCode="0.00\x"/>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sz val="10"/>
      <name val="Arial"/>
      <family val="0"/>
      <charset val="1"/>
    </font>
    <font>
      <b val="true"/>
      <sz val="10"/>
      <name val="Arial"/>
      <family val="0"/>
      <charset val="1"/>
    </font>
    <font>
      <i val="true"/>
      <sz val="10"/>
      <color rgb="FF595959"/>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0"/>
      <color rgb="FFFFFFFF"/>
      <name val="Arial"/>
      <family val="0"/>
      <charset val="1"/>
    </font>
    <font>
      <sz val="10"/>
      <color rgb="FF2E75B6"/>
      <name val="Arial"/>
      <family val="0"/>
      <charset val="1"/>
    </font>
    <font>
      <b val="true"/>
      <sz val="12"/>
      <color rgb="FF1F4E79"/>
      <name val="Arial"/>
      <family val="0"/>
      <charset val="1"/>
    </font>
  </fonts>
  <fills count="14">
    <fill>
      <patternFill patternType="none"/>
    </fill>
    <fill>
      <patternFill patternType="gray125"/>
    </fill>
    <fill>
      <patternFill patternType="solid">
        <fgColor theme="3"/>
        <bgColor rgb="FF1F4E79"/>
      </patternFill>
    </fill>
    <fill>
      <patternFill patternType="solid">
        <fgColor rgb="FFED7D31"/>
        <bgColor rgb="FFFF8080"/>
      </patternFill>
    </fill>
    <fill>
      <patternFill patternType="solid">
        <fgColor rgb="FF70AD47"/>
        <bgColor rgb="FF339966"/>
      </patternFill>
    </fill>
    <fill>
      <patternFill patternType="solid">
        <fgColor rgb="FFFFC000"/>
        <bgColor rgb="FFFF9900"/>
      </patternFill>
    </fill>
    <fill>
      <patternFill patternType="solid">
        <fgColor rgb="FF4472C4"/>
        <bgColor rgb="FF2E75B6"/>
      </patternFill>
    </fill>
    <fill>
      <patternFill patternType="solid">
        <fgColor rgb="FFFFFFFF"/>
        <bgColor rgb="FFF2F2F2"/>
      </patternFill>
    </fill>
    <fill>
      <patternFill patternType="solid">
        <fgColor rgb="FFFF0000"/>
        <bgColor rgb="FF993300"/>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
      <patternFill patternType="solid">
        <fgColor rgb="FF2E75B6"/>
        <bgColor rgb="FF4472C4"/>
      </patternFill>
    </fill>
    <fill>
      <patternFill patternType="solid">
        <fgColor rgb="FFFFF2CC"/>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7" fillId="10"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0" fillId="11"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2" fillId="12" borderId="0" xfId="0" applyFont="true" applyBorder="false" applyAlignment="true" applyProtection="false">
      <alignment horizontal="left" vertical="center" textRotation="0" wrapText="false" indent="0" shrinkToFit="false"/>
      <protection locked="true" hidden="false"/>
    </xf>
    <xf numFmtId="164" fontId="22" fillId="12" borderId="0" xfId="0" applyFont="true" applyBorder="false" applyAlignment="true" applyProtection="false">
      <alignment horizontal="center" vertical="center" textRotation="0" wrapText="false" indent="0" shrinkToFit="false"/>
      <protection locked="true" hidden="false"/>
    </xf>
    <xf numFmtId="164" fontId="8" fillId="1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5" fontId="9" fillId="0" borderId="0" xfId="0" applyFont="true" applyBorder="false" applyAlignment="true" applyProtection="false">
      <alignment horizontal="center" vertical="center" textRotation="0" wrapText="false" indent="0" shrinkToFit="false"/>
      <protection locked="true" hidden="false"/>
    </xf>
    <xf numFmtId="166" fontId="23" fillId="13"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5" fontId="23" fillId="13" borderId="0" xfId="0" applyFont="true" applyBorder="false" applyAlignment="true" applyProtection="false">
      <alignment horizontal="right" vertical="center" textRotation="0" wrapText="false" indent="0" shrinkToFit="false"/>
      <protection locked="true" hidden="false"/>
    </xf>
    <xf numFmtId="167" fontId="23" fillId="13" borderId="0" xfId="0" applyFont="true" applyBorder="false" applyAlignment="true" applyProtection="false">
      <alignment horizontal="right" vertical="center" textRotation="0" wrapText="false" indent="0" shrinkToFit="false"/>
      <protection locked="true" hidden="false"/>
    </xf>
    <xf numFmtId="168" fontId="23" fillId="13" borderId="0" xfId="0" applyFont="true" applyBorder="false" applyAlignment="true" applyProtection="false">
      <alignment horizontal="right" vertical="center" textRotation="0" wrapText="false" indent="0" shrinkToFit="false"/>
      <protection locked="true" hidden="false"/>
    </xf>
    <xf numFmtId="164" fontId="22" fillId="9" borderId="0" xfId="0" applyFont="true" applyBorder="false" applyAlignment="true" applyProtection="false">
      <alignment horizontal="center" vertical="center" textRotation="0" wrapText="false" indent="0" shrinkToFit="false"/>
      <protection locked="true" hidden="false"/>
    </xf>
    <xf numFmtId="164" fontId="9" fillId="12" borderId="0" xfId="0" applyFont="true" applyBorder="false" applyAlignment="true" applyProtection="false">
      <alignment horizontal="left" vertical="center" textRotation="0" wrapText="false" indent="0" shrinkToFit="false"/>
      <protection locked="true" hidden="false"/>
    </xf>
    <xf numFmtId="167" fontId="9" fillId="12"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7" fontId="10" fillId="0" borderId="2" xfId="0" applyFont="true" applyBorder="tru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7" fontId="10" fillId="0" borderId="3" xfId="0" applyFont="true" applyBorder="tru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7" fontId="10" fillId="12" borderId="0" xfId="0" applyFont="true" applyBorder="false" applyAlignment="true" applyProtection="false">
      <alignment horizontal="righ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4" fontId="22" fillId="1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2E75B6"/>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5"/>
    <col collapsed="false" customWidth="true" hidden="false" outlineLevel="0" max="3" min="3" style="0" width="22"/>
    <col collapsed="false" customWidth="true" hidden="false" outlineLevel="0" max="4" min="4"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5</v>
      </c>
      <c r="C8" s="8" t="s">
        <v>6</v>
      </c>
      <c r="D8" s="9"/>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7</v>
      </c>
      <c r="C9" s="8" t="s">
        <v>8</v>
      </c>
      <c r="D9" s="9"/>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9</v>
      </c>
      <c r="C10" s="8" t="s">
        <v>10</v>
      </c>
      <c r="D10" s="10"/>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6" t="s">
        <v>11</v>
      </c>
      <c r="C11" s="8" t="s">
        <v>12</v>
      </c>
      <c r="D11" s="11"/>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6" t="s">
        <v>13</v>
      </c>
      <c r="C12" s="8" t="s">
        <v>14</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15</v>
      </c>
      <c r="C13" s="8" t="s">
        <v>16</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6" t="s">
        <v>17</v>
      </c>
      <c r="C14" s="8" t="s">
        <v>18</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6" t="s">
        <v>19</v>
      </c>
      <c r="C15" s="8" t="s">
        <v>20</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21</v>
      </c>
      <c r="C16" s="8" t="s">
        <v>22</v>
      </c>
      <c r="D16" s="11"/>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23</v>
      </c>
      <c r="C17" s="8" t="s">
        <v>24</v>
      </c>
      <c r="D17" s="1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25</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26</v>
      </c>
      <c r="C20" s="8" t="s">
        <v>27</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6" t="s">
        <v>28</v>
      </c>
      <c r="C21" s="8" t="s">
        <v>29</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6" t="s">
        <v>30</v>
      </c>
      <c r="C22" s="8" t="s">
        <v>31</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6" t="s">
        <v>32</v>
      </c>
      <c r="C23" s="8" t="s">
        <v>33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6" t="s">
        <v>34</v>
      </c>
      <c r="C24" s="8" t="s">
        <v>35</v>
      </c>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6" t="s">
        <v>36</v>
      </c>
      <c r="C25" s="8" t="s">
        <v>37</v>
      </c>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6" t="s">
        <v>38</v>
      </c>
      <c r="C26" s="8" t="s">
        <v>39</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6" t="s">
        <v>40</v>
      </c>
      <c r="C27" s="8" t="s">
        <v>41</v>
      </c>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6" t="s">
        <v>42</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220.5" hidden="false" customHeight="true" outlineLevel="0" collapsed="false">
      <c r="A31" s="5"/>
      <c r="B31" s="18" t="s">
        <v>43</v>
      </c>
      <c r="C31" s="18"/>
      <c r="D31" s="18"/>
      <c r="E31" s="18"/>
      <c r="F31" s="18"/>
      <c r="G31" s="18"/>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6" t="s">
        <v>44</v>
      </c>
      <c r="C33" s="17"/>
      <c r="D33" s="17"/>
      <c r="E33" s="17"/>
      <c r="F33" s="17"/>
      <c r="G33" s="17"/>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8" t="s">
        <v>45</v>
      </c>
      <c r="C34" s="18"/>
      <c r="D34" s="18"/>
      <c r="E34" s="18"/>
      <c r="F34" s="18"/>
      <c r="G34" s="18"/>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9" t="s">
        <v>46</v>
      </c>
      <c r="C35" s="19"/>
      <c r="D35" s="19"/>
      <c r="E35" s="19"/>
      <c r="F35" s="19"/>
      <c r="G35" s="19"/>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20" t="s">
        <v>47</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K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308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309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310</v>
      </c>
      <c r="C5" s="44" t="n">
        <f aca="false">-Constr_Equity_CY1</f>
        <v>-20608000</v>
      </c>
      <c r="D5" s="44" t="n">
        <f aca="false">-Constr_Equity_CY2</f>
        <v>-46368000</v>
      </c>
      <c r="E5" s="44" t="n">
        <f aca="false">-Constr_Equity_CY3</f>
        <v>-103040000</v>
      </c>
      <c r="F5" s="44" t="n">
        <f aca="false">-Constr_Equity_CY4</f>
        <v>-56672000</v>
      </c>
      <c r="G5" s="44" t="n">
        <f aca="false">-Constr_Equity_CY5</f>
        <v>-30912000</v>
      </c>
      <c r="H5" s="44" t="n">
        <f aca="false">0</f>
        <v>0</v>
      </c>
      <c r="I5" s="44" t="n">
        <f aca="false">0</f>
        <v>0</v>
      </c>
      <c r="J5" s="44" t="n">
        <f aca="false">0</f>
        <v>0</v>
      </c>
      <c r="K5" s="44" t="n">
        <f aca="false">0</f>
        <v>0</v>
      </c>
      <c r="L5" s="44" t="n">
        <f aca="false">0</f>
        <v>0</v>
      </c>
      <c r="M5" s="44" t="n">
        <f aca="false">0</f>
        <v>0</v>
      </c>
      <c r="N5" s="44" t="n">
        <f aca="false">0</f>
        <v>0</v>
      </c>
      <c r="O5" s="44" t="n">
        <f aca="false">0</f>
        <v>0</v>
      </c>
      <c r="P5" s="44" t="n">
        <f aca="false">0</f>
        <v>0</v>
      </c>
      <c r="Q5" s="44" t="n">
        <f aca="false">0</f>
        <v>0</v>
      </c>
      <c r="R5" s="44" t="n">
        <f aca="false">0</f>
        <v>0</v>
      </c>
      <c r="S5" s="44" t="n">
        <f aca="false">0</f>
        <v>0</v>
      </c>
      <c r="T5" s="44" t="n">
        <f aca="false">0</f>
        <v>0</v>
      </c>
      <c r="U5" s="44" t="n">
        <f aca="false">0</f>
        <v>0</v>
      </c>
      <c r="V5" s="44" t="n">
        <f aca="false">0</f>
        <v>0</v>
      </c>
      <c r="W5" s="44" t="n">
        <f aca="false">0</f>
        <v>0</v>
      </c>
      <c r="X5" s="44" t="n">
        <f aca="false">0</f>
        <v>0</v>
      </c>
      <c r="Y5" s="44" t="n">
        <f aca="false">0</f>
        <v>0</v>
      </c>
      <c r="Z5" s="44" t="n">
        <f aca="false">0</f>
        <v>0</v>
      </c>
      <c r="AA5" s="44" t="n">
        <f aca="false">0</f>
        <v>0</v>
      </c>
      <c r="AB5" s="44" t="n">
        <f aca="false">0</f>
        <v>0</v>
      </c>
      <c r="AC5" s="44" t="n">
        <f aca="false">0</f>
        <v>0</v>
      </c>
      <c r="AD5" s="44" t="n">
        <f aca="false">0</f>
        <v>0</v>
      </c>
      <c r="AE5" s="44" t="n">
        <f aca="false">0</f>
        <v>0</v>
      </c>
      <c r="AF5" s="44" t="n">
        <f aca="false">0</f>
        <v>0</v>
      </c>
      <c r="AG5" s="44" t="n">
        <f aca="false">0</f>
        <v>0</v>
      </c>
      <c r="AH5" s="44" t="n">
        <f aca="false">0</f>
        <v>0</v>
      </c>
      <c r="AI5" s="44" t="n">
        <f aca="false">0</f>
        <v>0</v>
      </c>
      <c r="AJ5" s="44" t="n">
        <f aca="false">0</f>
        <v>0</v>
      </c>
      <c r="AK5" s="44" t="n">
        <f aca="false">0</f>
        <v>0</v>
      </c>
    </row>
    <row r="6" customFormat="false" ht="15" hidden="false" customHeight="false" outlineLevel="0" collapsed="false">
      <c r="A6" s="5"/>
      <c r="B6" s="34" t="s">
        <v>263</v>
      </c>
      <c r="C6" s="45" t="n">
        <f aca="false">0</f>
        <v>0</v>
      </c>
      <c r="D6" s="45" t="n">
        <f aca="false">0</f>
        <v>0</v>
      </c>
      <c r="E6" s="45" t="n">
        <f aca="false">0</f>
        <v>0</v>
      </c>
      <c r="F6" s="45" t="n">
        <f aca="false">0</f>
        <v>0</v>
      </c>
      <c r="G6" s="45" t="n">
        <f aca="false">0</f>
        <v>0</v>
      </c>
      <c r="H6" s="45" t="n">
        <f aca="false">Equity_Dist_OpsYr1</f>
        <v>0</v>
      </c>
      <c r="I6" s="45" t="n">
        <f aca="false">Equity_Dist_OpsYr2</f>
        <v>0</v>
      </c>
      <c r="J6" s="45" t="n">
        <f aca="false">Equity_Dist_OpsYr3</f>
        <v>0</v>
      </c>
      <c r="K6" s="45" t="n">
        <f aca="false">Equity_Dist_OpsYr4</f>
        <v>0</v>
      </c>
      <c r="L6" s="45" t="n">
        <f aca="false">Equity_Dist_OpsYr5</f>
        <v>0</v>
      </c>
      <c r="M6" s="45" t="n">
        <f aca="false">Equity_Dist_OpsYr6</f>
        <v>0</v>
      </c>
      <c r="N6" s="45" t="n">
        <f aca="false">Equity_Dist_OpsYr7</f>
        <v>0</v>
      </c>
      <c r="O6" s="45" t="n">
        <f aca="false">Equity_Dist_OpsYr8</f>
        <v>37211.2131191641</v>
      </c>
      <c r="P6" s="45" t="n">
        <f aca="false">Equity_Dist_OpsYr9</f>
        <v>391616.185630053</v>
      </c>
      <c r="Q6" s="45" t="n">
        <f aca="false">Equity_Dist_OpsYr10</f>
        <v>754985.523219194</v>
      </c>
      <c r="R6" s="45" t="n">
        <f aca="false">Equity_Dist_OpsYr11</f>
        <v>1127546.46223651</v>
      </c>
      <c r="S6" s="45" t="n">
        <f aca="false">Equity_Dist_OpsYr12</f>
        <v>1509532.01375736</v>
      </c>
      <c r="T6" s="45" t="n">
        <f aca="false">Equity_Dist_OpsYr13</f>
        <v>1901181.11076517</v>
      </c>
      <c r="U6" s="45" t="n">
        <f aca="false">Equity_Dist_OpsYr14</f>
        <v>2302738.75909812</v>
      </c>
      <c r="V6" s="45" t="n">
        <f aca="false">Equity_Dist_OpsYr15</f>
        <v>0</v>
      </c>
      <c r="W6" s="45" t="n">
        <f aca="false">Equity_Dist_OpsYr16</f>
        <v>3136591.03016885</v>
      </c>
      <c r="X6" s="45" t="n">
        <f aca="false">Equity_Dist_OpsYr17</f>
        <v>3569407.44202239</v>
      </c>
      <c r="Y6" s="45" t="n">
        <f aca="false">Equity_Dist_OpsYr18</f>
        <v>4013176.31325527</v>
      </c>
      <c r="Z6" s="45" t="n">
        <f aca="false">Equity_Dist_OpsYr19</f>
        <v>59435913.341753</v>
      </c>
      <c r="AA6" s="45" t="n">
        <f aca="false">Equity_Dist_OpsYr20</f>
        <v>92192644.3113352</v>
      </c>
      <c r="AB6" s="45" t="n">
        <f aca="false">Equity_Dist_OpsYr21</f>
        <v>73557347.0254066</v>
      </c>
      <c r="AC6" s="45" t="n">
        <f aca="false">Equity_Dist_OpsYr22</f>
        <v>75491978.9708181</v>
      </c>
      <c r="AD6" s="45" t="n">
        <f aca="false">Equity_Dist_OpsYr23</f>
        <v>77475586.2774065</v>
      </c>
      <c r="AE6" s="45" t="n">
        <f aca="false">Equity_Dist_OpsYr24</f>
        <v>79509411.6160775</v>
      </c>
      <c r="AF6" s="45" t="n">
        <f aca="false">Equity_Dist_OpsYr25</f>
        <v>51594729.2731159</v>
      </c>
      <c r="AG6" s="45" t="n">
        <f aca="false">Equity_Dist_OpsYr26</f>
        <v>83732845.9570277</v>
      </c>
      <c r="AH6" s="45" t="n">
        <f aca="false">Equity_Dist_OpsYr27</f>
        <v>85925101.6260482</v>
      </c>
      <c r="AI6" s="45" t="n">
        <f aca="false">Equity_Dist_OpsYr28</f>
        <v>88172870.3368455</v>
      </c>
      <c r="AJ6" s="45" t="n">
        <f aca="false">Equity_Dist_OpsYr29</f>
        <v>90477561.1149655</v>
      </c>
      <c r="AK6" s="45" t="n">
        <f aca="false">Equity_Dist_OpsYr30</f>
        <v>92840618.847578</v>
      </c>
    </row>
    <row r="7" customFormat="false" ht="15" hidden="false" customHeight="false" outlineLevel="0" collapsed="false">
      <c r="A7" s="5"/>
      <c r="B7" s="46" t="s">
        <v>311</v>
      </c>
      <c r="C7" s="47" t="n">
        <f aca="false">C5+C6</f>
        <v>-20608000</v>
      </c>
      <c r="D7" s="47" t="n">
        <f aca="false">D5+D6</f>
        <v>-46368000</v>
      </c>
      <c r="E7" s="47" t="n">
        <f aca="false">E5+E6</f>
        <v>-103040000</v>
      </c>
      <c r="F7" s="47" t="n">
        <f aca="false">F5+F6</f>
        <v>-56672000</v>
      </c>
      <c r="G7" s="47" t="n">
        <f aca="false">G5+G6</f>
        <v>-30912000</v>
      </c>
      <c r="H7" s="47" t="n">
        <f aca="false">H5+H6</f>
        <v>0</v>
      </c>
      <c r="I7" s="47" t="n">
        <f aca="false">I5+I6</f>
        <v>0</v>
      </c>
      <c r="J7" s="47" t="n">
        <f aca="false">J5+J6</f>
        <v>0</v>
      </c>
      <c r="K7" s="47" t="n">
        <f aca="false">K5+K6</f>
        <v>0</v>
      </c>
      <c r="L7" s="47" t="n">
        <f aca="false">L5+L6</f>
        <v>0</v>
      </c>
      <c r="M7" s="47" t="n">
        <f aca="false">M5+M6</f>
        <v>0</v>
      </c>
      <c r="N7" s="47" t="n">
        <f aca="false">N5+N6</f>
        <v>0</v>
      </c>
      <c r="O7" s="47" t="n">
        <f aca="false">O5+O6</f>
        <v>37211.2131191641</v>
      </c>
      <c r="P7" s="47" t="n">
        <f aca="false">P5+P6</f>
        <v>391616.185630053</v>
      </c>
      <c r="Q7" s="47" t="n">
        <f aca="false">Q5+Q6</f>
        <v>754985.523219194</v>
      </c>
      <c r="R7" s="47" t="n">
        <f aca="false">R5+R6</f>
        <v>1127546.46223651</v>
      </c>
      <c r="S7" s="47" t="n">
        <f aca="false">S5+S6</f>
        <v>1509532.01375736</v>
      </c>
      <c r="T7" s="47" t="n">
        <f aca="false">T5+T6</f>
        <v>1901181.11076517</v>
      </c>
      <c r="U7" s="47" t="n">
        <f aca="false">U5+U6</f>
        <v>2302738.75909812</v>
      </c>
      <c r="V7" s="47" t="n">
        <f aca="false">V5+V6</f>
        <v>0</v>
      </c>
      <c r="W7" s="47" t="n">
        <f aca="false">W5+W6</f>
        <v>3136591.03016885</v>
      </c>
      <c r="X7" s="47" t="n">
        <f aca="false">X5+X6</f>
        <v>3569407.44202239</v>
      </c>
      <c r="Y7" s="47" t="n">
        <f aca="false">Y5+Y6</f>
        <v>4013176.31325527</v>
      </c>
      <c r="Z7" s="47" t="n">
        <f aca="false">Z5+Z6</f>
        <v>59435913.341753</v>
      </c>
      <c r="AA7" s="47" t="n">
        <f aca="false">AA5+AA6</f>
        <v>92192644.3113352</v>
      </c>
      <c r="AB7" s="47" t="n">
        <f aca="false">AB5+AB6</f>
        <v>73557347.0254066</v>
      </c>
      <c r="AC7" s="47" t="n">
        <f aca="false">AC5+AC6</f>
        <v>75491978.9708181</v>
      </c>
      <c r="AD7" s="47" t="n">
        <f aca="false">AD5+AD6</f>
        <v>77475586.2774065</v>
      </c>
      <c r="AE7" s="47" t="n">
        <f aca="false">AE5+AE6</f>
        <v>79509411.6160775</v>
      </c>
      <c r="AF7" s="47" t="n">
        <f aca="false">AF5+AF6</f>
        <v>51594729.2731159</v>
      </c>
      <c r="AG7" s="47" t="n">
        <f aca="false">AG5+AG6</f>
        <v>83732845.9570277</v>
      </c>
      <c r="AH7" s="47" t="n">
        <f aca="false">AH5+AH6</f>
        <v>85925101.6260482</v>
      </c>
      <c r="AI7" s="47" t="n">
        <f aca="false">AI5+AI6</f>
        <v>88172870.3368455</v>
      </c>
      <c r="AJ7" s="47" t="n">
        <f aca="false">AJ5+AJ6</f>
        <v>90477561.1149655</v>
      </c>
      <c r="AK7" s="47" t="n">
        <f aca="false">AK5+AK6</f>
        <v>92840618.847578</v>
      </c>
    </row>
    <row r="8" customFormat="false" ht="15" hidden="false" customHeight="false" outlineLevel="0" collapsed="false">
      <c r="A8" s="5"/>
      <c r="B8" s="31" t="s">
        <v>312</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customFormat="false" ht="15" hidden="false" customHeight="false" outlineLevel="0" collapsed="false">
      <c r="A9" s="5"/>
      <c r="B9" s="34" t="s">
        <v>313</v>
      </c>
      <c r="C9" s="45" t="n">
        <f aca="false">-Constr_Capex_CY1</f>
        <v>-64400000</v>
      </c>
      <c r="D9" s="45" t="n">
        <f aca="false">-Constr_Capex_CY2</f>
        <v>-144900000</v>
      </c>
      <c r="E9" s="45" t="n">
        <f aca="false">-Constr_Capex_CY3</f>
        <v>-322000000</v>
      </c>
      <c r="F9" s="45" t="n">
        <f aca="false">-Constr_Capex_CY4</f>
        <v>-177100000</v>
      </c>
      <c r="G9" s="45" t="n">
        <f aca="false">-Constr_Capex_CY5</f>
        <v>-96600000</v>
      </c>
      <c r="H9" s="45" t="n">
        <f aca="false">0</f>
        <v>0</v>
      </c>
      <c r="I9" s="45" t="n">
        <f aca="false">0</f>
        <v>0</v>
      </c>
      <c r="J9" s="45" t="n">
        <f aca="false">0</f>
        <v>0</v>
      </c>
      <c r="K9" s="45" t="n">
        <f aca="false">0</f>
        <v>0</v>
      </c>
      <c r="L9" s="45" t="n">
        <f aca="false">0</f>
        <v>0</v>
      </c>
      <c r="M9" s="45" t="n">
        <f aca="false">0</f>
        <v>0</v>
      </c>
      <c r="N9" s="45" t="n">
        <f aca="false">0</f>
        <v>0</v>
      </c>
      <c r="O9" s="45" t="n">
        <f aca="false">0</f>
        <v>0</v>
      </c>
      <c r="P9" s="45" t="n">
        <f aca="false">0</f>
        <v>0</v>
      </c>
      <c r="Q9" s="45" t="n">
        <f aca="false">0</f>
        <v>0</v>
      </c>
      <c r="R9" s="45" t="n">
        <f aca="false">0</f>
        <v>0</v>
      </c>
      <c r="S9" s="45" t="n">
        <f aca="false">0</f>
        <v>0</v>
      </c>
      <c r="T9" s="45" t="n">
        <f aca="false">0</f>
        <v>0</v>
      </c>
      <c r="U9" s="45" t="n">
        <f aca="false">0</f>
        <v>0</v>
      </c>
      <c r="V9" s="45" t="n">
        <f aca="false">0</f>
        <v>0</v>
      </c>
      <c r="W9" s="45" t="n">
        <f aca="false">0</f>
        <v>0</v>
      </c>
      <c r="X9" s="45" t="n">
        <f aca="false">0</f>
        <v>0</v>
      </c>
      <c r="Y9" s="45" t="n">
        <f aca="false">0</f>
        <v>0</v>
      </c>
      <c r="Z9" s="45" t="n">
        <f aca="false">0</f>
        <v>0</v>
      </c>
      <c r="AA9" s="45" t="n">
        <f aca="false">0</f>
        <v>0</v>
      </c>
      <c r="AB9" s="45" t="n">
        <f aca="false">0</f>
        <v>0</v>
      </c>
      <c r="AC9" s="45" t="n">
        <f aca="false">0</f>
        <v>0</v>
      </c>
      <c r="AD9" s="45" t="n">
        <f aca="false">0</f>
        <v>0</v>
      </c>
      <c r="AE9" s="45" t="n">
        <f aca="false">0</f>
        <v>0</v>
      </c>
      <c r="AF9" s="45" t="n">
        <f aca="false">0</f>
        <v>0</v>
      </c>
      <c r="AG9" s="45" t="n">
        <f aca="false">0</f>
        <v>0</v>
      </c>
      <c r="AH9" s="45" t="n">
        <f aca="false">0</f>
        <v>0</v>
      </c>
      <c r="AI9" s="45" t="n">
        <f aca="false">0</f>
        <v>0</v>
      </c>
      <c r="AJ9" s="45" t="n">
        <f aca="false">0</f>
        <v>0</v>
      </c>
      <c r="AK9" s="45" t="n">
        <f aca="false">0</f>
        <v>0</v>
      </c>
    </row>
    <row r="10" customFormat="false" ht="15" hidden="false" customHeight="false" outlineLevel="0" collapsed="false">
      <c r="A10" s="5"/>
      <c r="B10" s="34" t="s">
        <v>314</v>
      </c>
      <c r="C10" s="45" t="n">
        <f aca="false">0</f>
        <v>0</v>
      </c>
      <c r="D10" s="45" t="n">
        <f aca="false">0</f>
        <v>0</v>
      </c>
      <c r="E10" s="45" t="n">
        <f aca="false">0</f>
        <v>0</v>
      </c>
      <c r="F10" s="45" t="n">
        <f aca="false">0</f>
        <v>0</v>
      </c>
      <c r="G10" s="45" t="n">
        <f aca="false">0</f>
        <v>0</v>
      </c>
      <c r="H10" s="45" t="n">
        <f aca="false">Debt_Schedule!H$14</f>
        <v>44500000</v>
      </c>
      <c r="I10" s="45" t="n">
        <f aca="false">Debt_Schedule!I$14</f>
        <v>52085000</v>
      </c>
      <c r="J10" s="45" t="n">
        <f aca="false">Debt_Schedule!J$14</f>
        <v>59286075</v>
      </c>
      <c r="K10" s="45" t="n">
        <f aca="false">Debt_Schedule!K$14</f>
        <v>66814727.875</v>
      </c>
      <c r="L10" s="45" t="n">
        <f aca="false">Debt_Schedule!L$14</f>
        <v>68501486.976875</v>
      </c>
      <c r="M10" s="45" t="n">
        <f aca="false">Debt_Schedule!M$14</f>
        <v>70230906.7834468</v>
      </c>
      <c r="N10" s="45" t="n">
        <f aca="false">Debt_Schedule!N$14</f>
        <v>72004068.5641475</v>
      </c>
      <c r="O10" s="45" t="n">
        <f aca="false">Debt_Schedule!O$14</f>
        <v>73822081.0626991</v>
      </c>
      <c r="P10" s="45" t="n">
        <f aca="false">Debt_Schedule!P$14</f>
        <v>75686081.197248</v>
      </c>
      <c r="Q10" s="45" t="n">
        <f aca="false">Debt_Schedule!Q$14</f>
        <v>77597234.7784</v>
      </c>
      <c r="R10" s="45" t="n">
        <f aca="false">Debt_Schedule!R$14</f>
        <v>79556737.2456174</v>
      </c>
      <c r="S10" s="45" t="n">
        <f aca="false">Debt_Schedule!S$14</f>
        <v>81565814.422448</v>
      </c>
      <c r="T10" s="45" t="n">
        <f aca="false">Debt_Schedule!T$14</f>
        <v>83625723.29107</v>
      </c>
      <c r="U10" s="45" t="n">
        <f aca="false">Debt_Schedule!U$14</f>
        <v>85737752.7866495</v>
      </c>
      <c r="V10" s="45" t="n">
        <f aca="false">Debt_Schedule!V$14</f>
        <v>87903224.6120175</v>
      </c>
      <c r="W10" s="45" t="n">
        <f aca="false">Debt_Schedule!W$14</f>
        <v>90123494.0731907</v>
      </c>
      <c r="X10" s="45" t="n">
        <f aca="false">Debt_Schedule!X$14</f>
        <v>92399950.9362695</v>
      </c>
      <c r="Y10" s="45" t="n">
        <f aca="false">Debt_Schedule!Y$14</f>
        <v>94734020.3062627</v>
      </c>
      <c r="Z10" s="45" t="n">
        <f aca="false">Debt_Schedule!Z$14</f>
        <v>97108802.3564047</v>
      </c>
      <c r="AA10" s="45" t="n">
        <f aca="false">Debt_Schedule!AA$14</f>
        <v>85670478.5989496</v>
      </c>
      <c r="AB10" s="45" t="n">
        <f aca="false">Debt_Schedule!AB$14</f>
        <v>87557347.0254066</v>
      </c>
      <c r="AC10" s="45" t="n">
        <f aca="false">Debt_Schedule!AC$14</f>
        <v>89491978.9708181</v>
      </c>
      <c r="AD10" s="45" t="n">
        <f aca="false">Debt_Schedule!AD$14</f>
        <v>91475586.2774065</v>
      </c>
      <c r="AE10" s="45" t="n">
        <f aca="false">Debt_Schedule!AE$14</f>
        <v>93509411.6160775</v>
      </c>
      <c r="AF10" s="45" t="n">
        <f aca="false">Debt_Schedule!AF$14</f>
        <v>105594729.273116</v>
      </c>
      <c r="AG10" s="45" t="n">
        <f aca="false">Debt_Schedule!AG$14</f>
        <v>97732845.9570277</v>
      </c>
      <c r="AH10" s="45" t="n">
        <f aca="false">Debt_Schedule!AH$14</f>
        <v>99925101.6260482</v>
      </c>
      <c r="AI10" s="45" t="n">
        <f aca="false">Debt_Schedule!AI$14</f>
        <v>102172870.336846</v>
      </c>
      <c r="AJ10" s="45" t="n">
        <f aca="false">Debt_Schedule!AJ$14</f>
        <v>104477561.114966</v>
      </c>
      <c r="AK10" s="45" t="n">
        <f aca="false">Debt_Schedule!AK$14</f>
        <v>106840618.847578</v>
      </c>
    </row>
    <row r="11" customFormat="false" ht="15" hidden="false" customHeight="false" outlineLevel="0" collapsed="false">
      <c r="A11" s="5"/>
      <c r="B11" s="46" t="s">
        <v>315</v>
      </c>
      <c r="C11" s="47" t="n">
        <f aca="false">C9+C10</f>
        <v>-64400000</v>
      </c>
      <c r="D11" s="47" t="n">
        <f aca="false">D9+D10</f>
        <v>-144900000</v>
      </c>
      <c r="E11" s="47" t="n">
        <f aca="false">E9+E10</f>
        <v>-322000000</v>
      </c>
      <c r="F11" s="47" t="n">
        <f aca="false">F9+F10</f>
        <v>-177100000</v>
      </c>
      <c r="G11" s="47" t="n">
        <f aca="false">G9+G10</f>
        <v>-96600000</v>
      </c>
      <c r="H11" s="47" t="n">
        <f aca="false">H9+H10</f>
        <v>44500000</v>
      </c>
      <c r="I11" s="47" t="n">
        <f aca="false">I9+I10</f>
        <v>52085000</v>
      </c>
      <c r="J11" s="47" t="n">
        <f aca="false">J9+J10</f>
        <v>59286075</v>
      </c>
      <c r="K11" s="47" t="n">
        <f aca="false">K9+K10</f>
        <v>66814727.875</v>
      </c>
      <c r="L11" s="47" t="n">
        <f aca="false">L9+L10</f>
        <v>68501486.976875</v>
      </c>
      <c r="M11" s="47" t="n">
        <f aca="false">M9+M10</f>
        <v>70230906.7834468</v>
      </c>
      <c r="N11" s="47" t="n">
        <f aca="false">N9+N10</f>
        <v>72004068.5641475</v>
      </c>
      <c r="O11" s="47" t="n">
        <f aca="false">O9+O10</f>
        <v>73822081.0626991</v>
      </c>
      <c r="P11" s="47" t="n">
        <f aca="false">P9+P10</f>
        <v>75686081.197248</v>
      </c>
      <c r="Q11" s="47" t="n">
        <f aca="false">Q9+Q10</f>
        <v>77597234.7784</v>
      </c>
      <c r="R11" s="47" t="n">
        <f aca="false">R9+R10</f>
        <v>79556737.2456174</v>
      </c>
      <c r="S11" s="47" t="n">
        <f aca="false">S9+S10</f>
        <v>81565814.422448</v>
      </c>
      <c r="T11" s="47" t="n">
        <f aca="false">T9+T10</f>
        <v>83625723.29107</v>
      </c>
      <c r="U11" s="47" t="n">
        <f aca="false">U9+U10</f>
        <v>85737752.7866495</v>
      </c>
      <c r="V11" s="47" t="n">
        <f aca="false">V9+V10</f>
        <v>87903224.6120175</v>
      </c>
      <c r="W11" s="47" t="n">
        <f aca="false">W9+W10</f>
        <v>90123494.0731907</v>
      </c>
      <c r="X11" s="47" t="n">
        <f aca="false">X9+X10</f>
        <v>92399950.9362695</v>
      </c>
      <c r="Y11" s="47" t="n">
        <f aca="false">Y9+Y10</f>
        <v>94734020.3062627</v>
      </c>
      <c r="Z11" s="47" t="n">
        <f aca="false">Z9+Z10</f>
        <v>97108802.3564047</v>
      </c>
      <c r="AA11" s="47" t="n">
        <f aca="false">AA9+AA10</f>
        <v>85670478.5989496</v>
      </c>
      <c r="AB11" s="47" t="n">
        <f aca="false">AB9+AB10</f>
        <v>87557347.0254066</v>
      </c>
      <c r="AC11" s="47" t="n">
        <f aca="false">AC9+AC10</f>
        <v>89491978.9708181</v>
      </c>
      <c r="AD11" s="47" t="n">
        <f aca="false">AD9+AD10</f>
        <v>91475586.2774065</v>
      </c>
      <c r="AE11" s="47" t="n">
        <f aca="false">AE9+AE10</f>
        <v>93509411.6160775</v>
      </c>
      <c r="AF11" s="47" t="n">
        <f aca="false">AF9+AF10</f>
        <v>105594729.273116</v>
      </c>
      <c r="AG11" s="47" t="n">
        <f aca="false">AG9+AG10</f>
        <v>97732845.9570277</v>
      </c>
      <c r="AH11" s="47" t="n">
        <f aca="false">AH9+AH10</f>
        <v>99925101.6260482</v>
      </c>
      <c r="AI11" s="47" t="n">
        <f aca="false">AI9+AI10</f>
        <v>102172870.336846</v>
      </c>
      <c r="AJ11" s="47" t="n">
        <f aca="false">AJ9+AJ10</f>
        <v>104477561.114966</v>
      </c>
      <c r="AK11" s="47" t="n">
        <f aca="false">AK9+AK10</f>
        <v>106840618.847578</v>
      </c>
    </row>
    <row r="12" customFormat="false" ht="15" hidden="false" customHeight="false" outlineLevel="0" collapsed="false">
      <c r="A12" s="5"/>
      <c r="B12" s="31" t="s">
        <v>316</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customFormat="false" ht="15" hidden="false" customHeight="false" outlineLevel="0" collapsed="false">
      <c r="A13" s="5"/>
      <c r="B13" s="34" t="s">
        <v>253</v>
      </c>
      <c r="C13" s="53" t="str">
        <f aca="false">""</f>
        <v/>
      </c>
      <c r="D13" s="53" t="str">
        <f aca="false">""</f>
        <v/>
      </c>
      <c r="E13" s="53" t="str">
        <f aca="false">""</f>
        <v/>
      </c>
      <c r="F13" s="53" t="str">
        <f aca="false">""</f>
        <v/>
      </c>
      <c r="G13" s="53" t="str">
        <f aca="false">""</f>
        <v/>
      </c>
      <c r="H13" s="53" t="n">
        <f aca="false">DSCR_OpsYr1</f>
        <v>1.23406292159033</v>
      </c>
      <c r="I13" s="53" t="n">
        <f aca="false">DSCR_OpsYr2</f>
        <v>1.44440825328163</v>
      </c>
      <c r="J13" s="53" t="n">
        <f aca="false">DSCR_OpsYr3</f>
        <v>1.25</v>
      </c>
      <c r="K13" s="53" t="n">
        <f aca="false">DSCR_OpsYr4</f>
        <v>1.25</v>
      </c>
      <c r="L13" s="53" t="n">
        <f aca="false">DSCR_OpsYr5</f>
        <v>1.25</v>
      </c>
      <c r="M13" s="53" t="n">
        <f aca="false">DSCR_OpsYr6</f>
        <v>1.25</v>
      </c>
      <c r="N13" s="53" t="n">
        <f aca="false">DSCR_OpsYr7</f>
        <v>1.25</v>
      </c>
      <c r="O13" s="53" t="n">
        <f aca="false">DSCR_OpsYr8</f>
        <v>1.25</v>
      </c>
      <c r="P13" s="53" t="n">
        <f aca="false">DSCR_OpsYr9</f>
        <v>1.25</v>
      </c>
      <c r="Q13" s="53" t="n">
        <f aca="false">DSCR_OpsYr10</f>
        <v>1.25</v>
      </c>
      <c r="R13" s="53" t="n">
        <f aca="false">DSCR_OpsYr11</f>
        <v>1.25</v>
      </c>
      <c r="S13" s="53" t="n">
        <f aca="false">DSCR_OpsYr12</f>
        <v>1.25</v>
      </c>
      <c r="T13" s="53" t="n">
        <f aca="false">DSCR_OpsYr13</f>
        <v>1.25</v>
      </c>
      <c r="U13" s="53" t="n">
        <f aca="false">DSCR_OpsYr14</f>
        <v>1.25</v>
      </c>
      <c r="V13" s="53" t="n">
        <f aca="false">DSCR_OpsYr15</f>
        <v>1.25</v>
      </c>
      <c r="W13" s="53" t="n">
        <f aca="false">DSCR_OpsYr16</f>
        <v>1.25</v>
      </c>
      <c r="X13" s="53" t="n">
        <f aca="false">DSCR_OpsYr17</f>
        <v>1.25</v>
      </c>
      <c r="Y13" s="53" t="n">
        <f aca="false">DSCR_OpsYr18</f>
        <v>1.25</v>
      </c>
      <c r="Z13" s="53" t="n">
        <f aca="false">DSCR_OpsYr19</f>
        <v>2.36594918190816</v>
      </c>
      <c r="AA13" s="53" t="str">
        <f aca="false">DSCR_OpsYr20</f>
        <v/>
      </c>
      <c r="AB13" s="53" t="str">
        <f aca="false">DSCR_OpsYr21</f>
        <v/>
      </c>
      <c r="AC13" s="53" t="str">
        <f aca="false">DSCR_OpsYr22</f>
        <v/>
      </c>
      <c r="AD13" s="53" t="str">
        <f aca="false">DSCR_OpsYr23</f>
        <v/>
      </c>
      <c r="AE13" s="53" t="str">
        <f aca="false">DSCR_OpsYr24</f>
        <v/>
      </c>
      <c r="AF13" s="53" t="str">
        <f aca="false">DSCR_OpsYr25</f>
        <v/>
      </c>
      <c r="AG13" s="53" t="str">
        <f aca="false">DSCR_OpsYr26</f>
        <v/>
      </c>
      <c r="AH13" s="53" t="str">
        <f aca="false">DSCR_OpsYr27</f>
        <v/>
      </c>
      <c r="AI13" s="53" t="str">
        <f aca="false">DSCR_OpsYr28</f>
        <v/>
      </c>
      <c r="AJ13" s="53" t="str">
        <f aca="false">DSCR_OpsYr29</f>
        <v/>
      </c>
      <c r="AK13" s="53" t="str">
        <f aca="false">DSCR_OpsYr30</f>
        <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customFormat="false" ht="15" hidden="false" customHeight="false" outlineLevel="0" collapsed="false">
      <c r="A15" s="5"/>
      <c r="B15" s="31" t="s">
        <v>317</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customFormat="false" ht="15" hidden="false" customHeight="false" outlineLevel="0" collapsed="false">
      <c r="A16" s="5"/>
      <c r="B16" s="49" t="s">
        <v>30</v>
      </c>
      <c r="C16" s="56" t="n">
        <f aca="false">IFERROR(IRR(C7:AK7,0.12),"N/A")</f>
        <v>0.0520287467541893</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customFormat="false" ht="15" hidden="false" customHeight="false" outlineLevel="0" collapsed="false">
      <c r="A17" s="5"/>
      <c r="B17" s="49" t="s">
        <v>318</v>
      </c>
      <c r="C17" s="56" t="n">
        <f aca="false">IFERROR(IRR(C11:AK11,0.1),"N/A")</f>
        <v>0.0716240932272099</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customFormat="false" ht="15" hidden="false" customHeight="false" outlineLevel="0" collapsed="false">
      <c r="A18" s="5"/>
      <c r="B18" s="49" t="s">
        <v>319</v>
      </c>
      <c r="C18" s="50" t="n">
        <f aca="false">NPV(Discount_Rate,D7:AK7)+C7</f>
        <v>-143677734.041453</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customFormat="false" ht="15" hidden="false" customHeight="false" outlineLevel="0" collapsed="false">
      <c r="A19" s="5"/>
      <c r="B19" s="49" t="s">
        <v>26</v>
      </c>
      <c r="C19" s="57" t="n">
        <f aca="false">IFERROR(MIN(H13:AK13),0)</f>
        <v>1.23406292159033</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customFormat="false" ht="15" hidden="false" customHeight="false" outlineLevel="0" collapsed="false">
      <c r="A20" s="5"/>
      <c r="B20" s="49" t="s">
        <v>320</v>
      </c>
      <c r="C20" s="57" t="n">
        <f aca="false">IFERROR(AVERAGE(H13:AK13),0)</f>
        <v>1.31812738719895</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customFormat="false" ht="15" hidden="false" customHeight="false" outlineLevel="0" collapsed="false">
      <c r="A21" s="5"/>
      <c r="B21" s="49" t="s">
        <v>321</v>
      </c>
      <c r="C21" s="58" t="n">
        <f aca="false">IFERROR(MATCH(TRUE(),Debt_Schedule!H19:AK19&lt;=1,0)+Construction_Period,"N/A")</f>
        <v>24</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customFormat="false" ht="15" hidden="false" customHeight="false" outlineLevel="0" collapsed="false">
      <c r="A22" s="5"/>
      <c r="B22" s="49" t="s">
        <v>322</v>
      </c>
      <c r="C22" s="58" t="n">
        <f aca="false">IFERROR(MATCH(TRUE(),H27:AK27&gt;=0,0)+Construction_Period,"N/A")</f>
        <v>27</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customFormat="false" ht="15" hidden="false" customHeight="false" outlineLevel="0" collapsed="false">
      <c r="A23" s="5"/>
      <c r="B23" s="49" t="s">
        <v>323</v>
      </c>
      <c r="C23" s="56" t="n">
        <f aca="false">IS_EBITDA_OpsYr1/IS_Revenue_OpsYr1</f>
        <v>0.735537190082645</v>
      </c>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customFormat="false" ht="15" hidden="false" customHeight="false" outlineLevel="0" collapsed="false">
      <c r="A24" s="5"/>
      <c r="B24" s="49" t="s">
        <v>324</v>
      </c>
      <c r="C24" s="50" t="n">
        <f aca="false">ABS(SUM(C7:G7))</f>
        <v>257600000</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customFormat="false" ht="15" hidden="false" customHeight="false" outlineLevel="0" collapsed="false">
      <c r="A25" s="5"/>
      <c r="B25" s="49" t="s">
        <v>36</v>
      </c>
      <c r="C25" s="56" t="n">
        <f aca="false">Debt_At_COD/Total_Project_Cost</f>
        <v>0.729957295975575</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customFormat="false" ht="15" hidden="false" customHeight="false" outlineLevel="0" collapsed="false">
      <c r="A26" s="5"/>
      <c r="B26" s="31" t="s">
        <v>325</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customFormat="false" ht="15" hidden="false" customHeight="false" outlineLevel="0" collapsed="false">
      <c r="A27" s="5"/>
      <c r="B27" s="34" t="s">
        <v>325</v>
      </c>
      <c r="C27" s="45" t="n">
        <f aca="false">C7</f>
        <v>-20608000</v>
      </c>
      <c r="D27" s="45" t="n">
        <f aca="false">C27+D7</f>
        <v>-66976000</v>
      </c>
      <c r="E27" s="45" t="n">
        <f aca="false">D27+E7</f>
        <v>-170016000</v>
      </c>
      <c r="F27" s="45" t="n">
        <f aca="false">E27+F7</f>
        <v>-226688000</v>
      </c>
      <c r="G27" s="45" t="n">
        <f aca="false">F27+G7</f>
        <v>-257600000</v>
      </c>
      <c r="H27" s="45" t="n">
        <f aca="false">G27+H7</f>
        <v>-257600000</v>
      </c>
      <c r="I27" s="45" t="n">
        <f aca="false">H27+I7</f>
        <v>-257600000</v>
      </c>
      <c r="J27" s="45" t="n">
        <f aca="false">I27+J7</f>
        <v>-257600000</v>
      </c>
      <c r="K27" s="45" t="n">
        <f aca="false">J27+K7</f>
        <v>-257600000</v>
      </c>
      <c r="L27" s="45" t="n">
        <f aca="false">K27+L7</f>
        <v>-257600000</v>
      </c>
      <c r="M27" s="45" t="n">
        <f aca="false">L27+M7</f>
        <v>-257600000</v>
      </c>
      <c r="N27" s="45" t="n">
        <f aca="false">M27+N7</f>
        <v>-257600000</v>
      </c>
      <c r="O27" s="45" t="n">
        <f aca="false">N27+O7</f>
        <v>-257562788.786881</v>
      </c>
      <c r="P27" s="45" t="n">
        <f aca="false">O27+P7</f>
        <v>-257171172.601251</v>
      </c>
      <c r="Q27" s="45" t="n">
        <f aca="false">P27+Q7</f>
        <v>-256416187.078032</v>
      </c>
      <c r="R27" s="45" t="n">
        <f aca="false">Q27+R7</f>
        <v>-255288640.615795</v>
      </c>
      <c r="S27" s="45" t="n">
        <f aca="false">R27+S7</f>
        <v>-253779108.602038</v>
      </c>
      <c r="T27" s="45" t="n">
        <f aca="false">S27+T7</f>
        <v>-251877927.491273</v>
      </c>
      <c r="U27" s="45" t="n">
        <f aca="false">T27+U7</f>
        <v>-249575188.732174</v>
      </c>
      <c r="V27" s="45" t="n">
        <f aca="false">U27+V7</f>
        <v>-249575188.732174</v>
      </c>
      <c r="W27" s="45" t="n">
        <f aca="false">V27+W7</f>
        <v>-246438597.702006</v>
      </c>
      <c r="X27" s="45" t="n">
        <f aca="false">W27+X7</f>
        <v>-242869190.259983</v>
      </c>
      <c r="Y27" s="45" t="n">
        <f aca="false">X27+Y7</f>
        <v>-238856013.946728</v>
      </c>
      <c r="Z27" s="45" t="n">
        <f aca="false">Y27+Z7</f>
        <v>-179420100.604975</v>
      </c>
      <c r="AA27" s="45" t="n">
        <f aca="false">Z27+AA7</f>
        <v>-87227456.2936397</v>
      </c>
      <c r="AB27" s="45" t="n">
        <f aca="false">AA27+AB7</f>
        <v>-13670109.2682331</v>
      </c>
      <c r="AC27" s="45" t="n">
        <f aca="false">AB27+AC7</f>
        <v>61821869.702585</v>
      </c>
      <c r="AD27" s="45" t="n">
        <f aca="false">AC27+AD7</f>
        <v>139297455.979991</v>
      </c>
      <c r="AE27" s="45" t="n">
        <f aca="false">AD27+AE7</f>
        <v>218806867.596069</v>
      </c>
      <c r="AF27" s="45" t="n">
        <f aca="false">AE27+AF7</f>
        <v>270401596.869185</v>
      </c>
      <c r="AG27" s="45" t="n">
        <f aca="false">AF27+AG7</f>
        <v>354134442.826213</v>
      </c>
      <c r="AH27" s="45" t="n">
        <f aca="false">AG27+AH7</f>
        <v>440059544.452261</v>
      </c>
      <c r="AI27" s="45" t="n">
        <f aca="false">AH27+AI7</f>
        <v>528232414.789106</v>
      </c>
      <c r="AJ27" s="45" t="n">
        <f aca="false">AI27+AJ7</f>
        <v>618709975.904072</v>
      </c>
      <c r="AK27" s="45" t="n">
        <f aca="false">AJ27+AK7</f>
        <v>711550594.75165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45"/>
  </cols>
  <sheetData>
    <row r="1" customFormat="false" ht="15" hidden="false" customHeight="false" outlineLevel="0" collapsed="false">
      <c r="A1" s="5"/>
      <c r="B1" s="5"/>
      <c r="C1" s="5"/>
      <c r="D1" s="5"/>
    </row>
    <row r="2" customFormat="false" ht="22.05" hidden="false" customHeight="false" outlineLevel="0" collapsed="false">
      <c r="A2" s="5"/>
      <c r="B2" s="29" t="s">
        <v>326</v>
      </c>
      <c r="C2" s="5"/>
      <c r="D2" s="5"/>
    </row>
    <row r="3" customFormat="false" ht="15" hidden="false" customHeight="false" outlineLevel="0" collapsed="false">
      <c r="A3" s="5"/>
      <c r="B3" s="30" t="s">
        <v>327</v>
      </c>
      <c r="C3" s="5"/>
      <c r="D3" s="5"/>
    </row>
    <row r="4" customFormat="false" ht="15" hidden="false" customHeight="false" outlineLevel="0" collapsed="false">
      <c r="A4" s="5"/>
      <c r="B4" s="59" t="s">
        <v>328</v>
      </c>
      <c r="C4" s="32" t="s">
        <v>329</v>
      </c>
      <c r="D4" s="59" t="s">
        <v>69</v>
      </c>
    </row>
    <row r="5" customFormat="false" ht="15" hidden="false" customHeight="false" outlineLevel="0" collapsed="false">
      <c r="A5" s="5"/>
      <c r="B5" s="34" t="s">
        <v>330</v>
      </c>
      <c r="C5" s="60" t="b">
        <f aca="false">SUMPRODUCT((ABS(Cash_Flow!H46:AK46)&gt;1)*1)=0</f>
        <v>1</v>
      </c>
      <c r="D5" s="61" t="s">
        <v>331</v>
      </c>
    </row>
    <row r="6" customFormat="false" ht="15" hidden="false" customHeight="false" outlineLevel="0" collapsed="false">
      <c r="A6" s="5"/>
      <c r="B6" s="34" t="s">
        <v>332</v>
      </c>
      <c r="C6" s="60" t="b">
        <f aca="false">Min_DSCR&gt;=DSCR_Minimum</f>
        <v>1</v>
      </c>
      <c r="D6" s="61" t="s">
        <v>333</v>
      </c>
    </row>
    <row r="7" customFormat="false" ht="15" hidden="false" customHeight="false" outlineLevel="0" collapsed="false">
      <c r="A7" s="5"/>
      <c r="B7" s="34" t="s">
        <v>334</v>
      </c>
      <c r="C7" s="60" t="b">
        <f aca="false">Debt_Closing_OpsYr25&lt;=1</f>
        <v>1</v>
      </c>
      <c r="D7" s="61" t="s">
        <v>335</v>
      </c>
    </row>
    <row r="8" customFormat="false" ht="15" hidden="false" customHeight="false" outlineLevel="0" collapsed="false">
      <c r="A8" s="5"/>
      <c r="B8" s="34" t="s">
        <v>336</v>
      </c>
      <c r="C8" s="60" t="b">
        <f aca="false">MIN(Cash_Flow!C10:G10,Cash_Flow!H29:AK29)&gt;=0</f>
        <v>0</v>
      </c>
      <c r="D8" s="61" t="s">
        <v>337</v>
      </c>
    </row>
    <row r="9" customFormat="false" ht="15" hidden="false" customHeight="false" outlineLevel="0" collapsed="false">
      <c r="A9" s="5"/>
      <c r="B9" s="34" t="s">
        <v>338</v>
      </c>
      <c r="C9" s="60" t="b">
        <f aca="false">MIN(Debt_Schedule!H26:AK26)&gt;=DSRA_Target_At_COD*0.95</f>
        <v>0</v>
      </c>
      <c r="D9" s="61" t="s">
        <v>339</v>
      </c>
    </row>
    <row r="10" customFormat="false" ht="15" hidden="false" customHeight="false" outlineLevel="0" collapsed="false">
      <c r="A10" s="5"/>
      <c r="B10" s="34" t="s">
        <v>340</v>
      </c>
      <c r="C10" s="60" t="b">
        <f aca="false">ABS(SCurve_CY1+SCurve_CY2+SCurve_CY3+SCurve_CY4+SCurve_CY5-1)&lt;0.001</f>
        <v>1</v>
      </c>
      <c r="D10" s="61" t="s">
        <v>341</v>
      </c>
    </row>
    <row r="11" customFormat="false" ht="15" hidden="false" customHeight="false" outlineLevel="0" collapsed="false">
      <c r="A11" s="5"/>
      <c r="B11" s="34" t="s">
        <v>342</v>
      </c>
      <c r="C11" s="60" t="b">
        <f aca="false">ABS(SUM(Debt_Schedule!C5)-Constr_Debt_Close_CY5)&lt;1</f>
        <v>1</v>
      </c>
      <c r="D11" s="61" t="s">
        <v>343</v>
      </c>
    </row>
    <row r="12" customFormat="false" ht="15" hidden="false" customHeight="false" outlineLevel="0" collapsed="false">
      <c r="A12" s="5"/>
      <c r="B12" s="34" t="s">
        <v>344</v>
      </c>
      <c r="C12" s="60" t="b">
        <f aca="false">ISNUMBER(Equity_IRR)</f>
        <v>1</v>
      </c>
      <c r="D12" s="61" t="s">
        <v>345</v>
      </c>
    </row>
    <row r="13" customFormat="false" ht="15" hidden="false" customHeight="false" outlineLevel="0" collapsed="false">
      <c r="A13" s="5"/>
      <c r="B13" s="34" t="s">
        <v>346</v>
      </c>
      <c r="C13" s="60" t="b">
        <f aca="false">ISNUMBER(Project_IRR)</f>
        <v>1</v>
      </c>
      <c r="D13" s="61" t="s">
        <v>347</v>
      </c>
    </row>
    <row r="14" customFormat="false" ht="15" hidden="false" customHeight="false" outlineLevel="0" collapsed="false">
      <c r="A14" s="5"/>
      <c r="B14" s="34" t="s">
        <v>348</v>
      </c>
      <c r="C14" s="60" t="b">
        <f aca="false">Equity_Dist_OpsYr1+Equity_Dist_OpsYr2=0</f>
        <v>1</v>
      </c>
      <c r="D14" s="61" t="s">
        <v>349</v>
      </c>
    </row>
    <row r="15" customFormat="false" ht="15" hidden="false" customHeight="false" outlineLevel="0" collapsed="false">
      <c r="A15" s="5"/>
      <c r="B15" s="34" t="s">
        <v>350</v>
      </c>
      <c r="C15" s="60" t="b">
        <f aca="false">EBITDA_Margin_Yr1&gt;=0.4</f>
        <v>1</v>
      </c>
      <c r="D15" s="61" t="s">
        <v>351</v>
      </c>
    </row>
    <row r="16" customFormat="false" ht="15" hidden="false" customHeight="false" outlineLevel="0" collapsed="false">
      <c r="A16" s="5"/>
      <c r="B16" s="34" t="s">
        <v>352</v>
      </c>
      <c r="C16" s="60" t="b">
        <f aca="false">ABS(Cash_Flow!AK39)&lt;1000</f>
        <v>1</v>
      </c>
      <c r="D16" s="61" t="s">
        <v>353</v>
      </c>
    </row>
    <row r="18" customFormat="false" ht="15" hidden="false" customHeight="false" outlineLevel="0" collapsed="false">
      <c r="B18" s="34" t="s">
        <v>354</v>
      </c>
      <c r="C18" s="58" t="n">
        <f aca="false">Debt_Tenor</f>
        <v>25</v>
      </c>
    </row>
    <row r="19" customFormat="false" ht="15" hidden="false" customHeight="false" outlineLevel="0" collapsed="false">
      <c r="B19" s="34" t="s">
        <v>76</v>
      </c>
      <c r="C19" s="56" t="n">
        <f aca="false">Inflation_Rate</f>
        <v>0.025</v>
      </c>
    </row>
    <row r="20" customFormat="false" ht="15" hidden="false" customHeight="false" outlineLevel="0" collapsed="false">
      <c r="B20" s="34" t="s">
        <v>161</v>
      </c>
      <c r="C20" s="58" t="n">
        <f aca="false">NOL_Carryforward_Yrs</f>
        <v>20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1" t="s">
        <v>48</v>
      </c>
    </row>
    <row r="3" customFormat="false" ht="3.75" hidden="false" customHeight="true" outlineLevel="0" collapsed="false">
      <c r="A3" s="5"/>
      <c r="B3" s="22"/>
    </row>
    <row r="4" customFormat="false" ht="15" hidden="false" customHeight="false" outlineLevel="0" collapsed="false">
      <c r="A4" s="5"/>
      <c r="B4" s="5"/>
    </row>
    <row r="5" customFormat="false" ht="19.5" hidden="false" customHeight="true" outlineLevel="0" collapsed="false">
      <c r="A5" s="5"/>
      <c r="B5" s="23" t="s">
        <v>49</v>
      </c>
    </row>
    <row r="6" customFormat="false" ht="48" hidden="false" customHeight="true" outlineLevel="0" collapsed="false">
      <c r="A6" s="5"/>
      <c r="B6" s="24" t="s">
        <v>50</v>
      </c>
    </row>
    <row r="7" customFormat="false" ht="15" hidden="false" customHeight="false" outlineLevel="0" collapsed="false">
      <c r="A7" s="5"/>
      <c r="B7" s="5"/>
    </row>
    <row r="8" customFormat="false" ht="19.5" hidden="false" customHeight="true" outlineLevel="0" collapsed="false">
      <c r="A8" s="5"/>
      <c r="B8" s="23" t="s">
        <v>51</v>
      </c>
    </row>
    <row r="9" customFormat="false" ht="61.5" hidden="false" customHeight="true" outlineLevel="0" collapsed="false">
      <c r="A9" s="5"/>
      <c r="B9" s="24" t="s">
        <v>52</v>
      </c>
    </row>
    <row r="10" customFormat="false" ht="15" hidden="false" customHeight="false" outlineLevel="0" collapsed="false">
      <c r="A10" s="5"/>
      <c r="B10" s="5"/>
    </row>
    <row r="11" customFormat="false" ht="19.5" hidden="false" customHeight="true" outlineLevel="0" collapsed="false">
      <c r="A11" s="5"/>
      <c r="B11" s="23" t="s">
        <v>53</v>
      </c>
    </row>
    <row r="12" customFormat="false" ht="75.75" hidden="false" customHeight="true" outlineLevel="0" collapsed="false">
      <c r="A12" s="5"/>
      <c r="B12" s="24" t="s">
        <v>54</v>
      </c>
    </row>
    <row r="13" customFormat="false" ht="15" hidden="false" customHeight="false" outlineLevel="0" collapsed="false">
      <c r="A13" s="5"/>
      <c r="B13" s="5"/>
    </row>
    <row r="14" customFormat="false" ht="19.5" hidden="false" customHeight="true" outlineLevel="0" collapsed="false">
      <c r="A14" s="5"/>
      <c r="B14" s="23" t="s">
        <v>55</v>
      </c>
    </row>
    <row r="15" customFormat="false" ht="61.5" hidden="false" customHeight="true" outlineLevel="0" collapsed="false">
      <c r="A15" s="5"/>
      <c r="B15" s="24" t="s">
        <v>56</v>
      </c>
    </row>
    <row r="16" customFormat="false" ht="15" hidden="false" customHeight="false" outlineLevel="0" collapsed="false">
      <c r="A16" s="5"/>
      <c r="B16" s="5"/>
    </row>
    <row r="17" customFormat="false" ht="19.5" hidden="false" customHeight="true" outlineLevel="0" collapsed="false">
      <c r="A17" s="5"/>
      <c r="B17" s="23" t="s">
        <v>57</v>
      </c>
    </row>
    <row r="18" customFormat="false" ht="33.75" hidden="false" customHeight="true" outlineLevel="0" collapsed="false">
      <c r="A18" s="5"/>
      <c r="B18" s="24" t="s">
        <v>58</v>
      </c>
    </row>
    <row r="19" customFormat="false" ht="15" hidden="false" customHeight="false" outlineLevel="0" collapsed="false">
      <c r="A19" s="5"/>
      <c r="B19" s="5"/>
    </row>
    <row r="20" customFormat="false" ht="19.5" hidden="false" customHeight="true" outlineLevel="0" collapsed="false">
      <c r="A20" s="5"/>
      <c r="B20" s="23" t="s">
        <v>59</v>
      </c>
    </row>
    <row r="21" customFormat="false" ht="33.75" hidden="false" customHeight="true" outlineLevel="0" collapsed="false">
      <c r="A21" s="5"/>
      <c r="B21" s="24" t="s">
        <v>60</v>
      </c>
    </row>
    <row r="22" customFormat="false" ht="15" hidden="false" customHeight="false" outlineLevel="0" collapsed="false">
      <c r="A22" s="5"/>
      <c r="B22" s="5"/>
    </row>
    <row r="23" customFormat="false" ht="21.75" hidden="false" customHeight="true" outlineLevel="0" collapsed="false">
      <c r="A23" s="5"/>
      <c r="B23" s="25" t="s">
        <v>61</v>
      </c>
    </row>
    <row r="24" customFormat="false" ht="15" hidden="false" customHeight="false" outlineLevel="0" collapsed="false">
      <c r="A24" s="5"/>
      <c r="B24" s="5"/>
    </row>
    <row r="25" customFormat="false" ht="18" hidden="false" customHeight="true" outlineLevel="0" collapsed="false">
      <c r="A25" s="5"/>
      <c r="B25" s="26" t="s">
        <v>62</v>
      </c>
    </row>
    <row r="26" customFormat="false" ht="201.75" hidden="false" customHeight="true" outlineLevel="0" collapsed="false">
      <c r="A26" s="5"/>
      <c r="B26" s="27" t="s">
        <v>63</v>
      </c>
    </row>
    <row r="27" customFormat="false" ht="15" hidden="false" customHeight="false" outlineLevel="0" collapsed="false">
      <c r="A27" s="5"/>
      <c r="B27" s="5"/>
    </row>
    <row r="28" customFormat="false" ht="18" hidden="false" customHeight="true" outlineLevel="0" collapsed="false">
      <c r="A28" s="5"/>
      <c r="B28" s="28" t="s">
        <v>64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K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65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31" t="s">
        <v>66</v>
      </c>
      <c r="C4" s="32" t="s">
        <v>67</v>
      </c>
      <c r="D4" s="32" t="s">
        <v>68</v>
      </c>
      <c r="E4" s="32" t="s">
        <v>69</v>
      </c>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customFormat="false" ht="15" hidden="false" customHeight="false" outlineLevel="0" collapsed="false">
      <c r="A6" s="5"/>
      <c r="B6" s="31" t="s">
        <v>70</v>
      </c>
      <c r="C6" s="33"/>
      <c r="D6" s="33"/>
      <c r="E6" s="33"/>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customFormat="false" ht="15" hidden="false" customHeight="false" outlineLevel="0" collapsed="false">
      <c r="A7" s="5"/>
      <c r="B7" s="34" t="s">
        <v>71</v>
      </c>
      <c r="C7" s="35" t="b">
        <f aca="false">FALSE()</f>
        <v>0</v>
      </c>
      <c r="D7" s="35" t="b">
        <f aca="false">FALSE()</f>
        <v>0</v>
      </c>
      <c r="E7" s="35" t="b">
        <f aca="false">FALSE()</f>
        <v>0</v>
      </c>
      <c r="F7" s="35" t="b">
        <f aca="false">FALSE()</f>
        <v>0</v>
      </c>
      <c r="G7" s="35" t="b">
        <f aca="false">FALSE()</f>
        <v>0</v>
      </c>
      <c r="H7" s="35" t="b">
        <f aca="false">TRUE()</f>
        <v>1</v>
      </c>
      <c r="I7" s="35" t="b">
        <f aca="false">TRUE()</f>
        <v>1</v>
      </c>
      <c r="J7" s="35" t="b">
        <f aca="false">TRUE()</f>
        <v>1</v>
      </c>
      <c r="K7" s="35" t="b">
        <f aca="false">TRUE()</f>
        <v>1</v>
      </c>
      <c r="L7" s="35" t="b">
        <f aca="false">TRUE()</f>
        <v>1</v>
      </c>
      <c r="M7" s="35" t="b">
        <f aca="false">TRUE()</f>
        <v>1</v>
      </c>
      <c r="N7" s="35" t="b">
        <f aca="false">TRUE()</f>
        <v>1</v>
      </c>
      <c r="O7" s="35" t="b">
        <f aca="false">TRUE()</f>
        <v>1</v>
      </c>
      <c r="P7" s="35" t="b">
        <f aca="false">TRUE()</f>
        <v>1</v>
      </c>
      <c r="Q7" s="35" t="b">
        <f aca="false">TRUE()</f>
        <v>1</v>
      </c>
      <c r="R7" s="35" t="b">
        <f aca="false">TRUE()</f>
        <v>1</v>
      </c>
      <c r="S7" s="35" t="b">
        <f aca="false">TRUE()</f>
        <v>1</v>
      </c>
      <c r="T7" s="35" t="b">
        <f aca="false">TRUE()</f>
        <v>1</v>
      </c>
      <c r="U7" s="35" t="b">
        <f aca="false">TRUE()</f>
        <v>1</v>
      </c>
      <c r="V7" s="35" t="b">
        <f aca="false">TRUE()</f>
        <v>1</v>
      </c>
      <c r="W7" s="35" t="b">
        <f aca="false">TRUE()</f>
        <v>1</v>
      </c>
      <c r="X7" s="35" t="b">
        <f aca="false">TRUE()</f>
        <v>1</v>
      </c>
      <c r="Y7" s="35" t="b">
        <f aca="false">TRUE()</f>
        <v>1</v>
      </c>
      <c r="Z7" s="35" t="b">
        <f aca="false">TRUE()</f>
        <v>1</v>
      </c>
      <c r="AA7" s="35" t="b">
        <f aca="false">TRUE()</f>
        <v>1</v>
      </c>
      <c r="AB7" s="35" t="b">
        <f aca="false">TRUE()</f>
        <v>1</v>
      </c>
      <c r="AC7" s="35" t="b">
        <f aca="false">TRUE()</f>
        <v>1</v>
      </c>
      <c r="AD7" s="35" t="b">
        <f aca="false">TRUE()</f>
        <v>1</v>
      </c>
      <c r="AE7" s="35" t="b">
        <f aca="false">TRUE()</f>
        <v>1</v>
      </c>
      <c r="AF7" s="35" t="b">
        <f aca="false">TRUE()</f>
        <v>1</v>
      </c>
      <c r="AG7" s="35" t="b">
        <f aca="false">TRUE()</f>
        <v>1</v>
      </c>
      <c r="AH7" s="35" t="b">
        <f aca="false">TRUE()</f>
        <v>1</v>
      </c>
      <c r="AI7" s="35" t="b">
        <f aca="false">TRUE()</f>
        <v>1</v>
      </c>
      <c r="AJ7" s="35" t="b">
        <f aca="false">TRUE()</f>
        <v>1</v>
      </c>
      <c r="AK7" s="35" t="b">
        <f aca="false">TRUE()</f>
        <v>1</v>
      </c>
    </row>
    <row r="8" customFormat="false" ht="15" hidden="false" customHeight="false" outlineLevel="0" collapsed="false">
      <c r="A8" s="5"/>
      <c r="B8" s="34" t="s">
        <v>72</v>
      </c>
      <c r="C8" s="36" t="n">
        <v>0</v>
      </c>
      <c r="D8" s="36" t="n">
        <v>0</v>
      </c>
      <c r="E8" s="36" t="n">
        <v>0</v>
      </c>
      <c r="F8" s="36" t="n">
        <v>0</v>
      </c>
      <c r="G8" s="36" t="n">
        <v>0</v>
      </c>
      <c r="H8" s="36" t="n">
        <v>1</v>
      </c>
      <c r="I8" s="36" t="n">
        <v>2</v>
      </c>
      <c r="J8" s="36" t="n">
        <v>3</v>
      </c>
      <c r="K8" s="36" t="n">
        <v>4</v>
      </c>
      <c r="L8" s="36" t="n">
        <v>5</v>
      </c>
      <c r="M8" s="36" t="n">
        <v>6</v>
      </c>
      <c r="N8" s="36" t="n">
        <v>7</v>
      </c>
      <c r="O8" s="36" t="n">
        <v>8</v>
      </c>
      <c r="P8" s="36" t="n">
        <v>9</v>
      </c>
      <c r="Q8" s="36" t="n">
        <v>10</v>
      </c>
      <c r="R8" s="36" t="n">
        <v>11</v>
      </c>
      <c r="S8" s="36" t="n">
        <v>12</v>
      </c>
      <c r="T8" s="36" t="n">
        <v>13</v>
      </c>
      <c r="U8" s="36" t="n">
        <v>14</v>
      </c>
      <c r="V8" s="36" t="n">
        <v>15</v>
      </c>
      <c r="W8" s="36" t="n">
        <v>16</v>
      </c>
      <c r="X8" s="36" t="n">
        <v>17</v>
      </c>
      <c r="Y8" s="36" t="n">
        <v>18</v>
      </c>
      <c r="Z8" s="36" t="n">
        <v>19</v>
      </c>
      <c r="AA8" s="36" t="n">
        <v>20</v>
      </c>
      <c r="AB8" s="36" t="n">
        <v>21</v>
      </c>
      <c r="AC8" s="36" t="n">
        <v>22</v>
      </c>
      <c r="AD8" s="36" t="n">
        <v>23</v>
      </c>
      <c r="AE8" s="36" t="n">
        <v>24</v>
      </c>
      <c r="AF8" s="36" t="n">
        <v>25</v>
      </c>
      <c r="AG8" s="36" t="n">
        <v>26</v>
      </c>
      <c r="AH8" s="36" t="n">
        <v>27</v>
      </c>
      <c r="AI8" s="36" t="n">
        <v>28</v>
      </c>
      <c r="AJ8" s="36" t="n">
        <v>29</v>
      </c>
      <c r="AK8" s="36" t="n">
        <v>30</v>
      </c>
    </row>
    <row r="9" customFormat="false" ht="15" hidden="false" customHeight="false" outlineLevel="0" collapsed="false">
      <c r="A9" s="5"/>
      <c r="B9" s="34" t="s">
        <v>73</v>
      </c>
      <c r="C9" s="36" t="n">
        <v>1</v>
      </c>
      <c r="D9" s="36" t="n">
        <v>2</v>
      </c>
      <c r="E9" s="36" t="n">
        <v>3</v>
      </c>
      <c r="F9" s="36" t="n">
        <v>4</v>
      </c>
      <c r="G9" s="36" t="n">
        <v>5</v>
      </c>
      <c r="H9" s="36" t="n">
        <v>0</v>
      </c>
      <c r="I9" s="36" t="n">
        <v>0</v>
      </c>
      <c r="J9" s="36" t="n">
        <v>0</v>
      </c>
      <c r="K9" s="36" t="n">
        <v>0</v>
      </c>
      <c r="L9" s="36" t="n">
        <v>0</v>
      </c>
      <c r="M9" s="36" t="n">
        <v>0</v>
      </c>
      <c r="N9" s="36" t="n">
        <v>0</v>
      </c>
      <c r="O9" s="36" t="n">
        <v>0</v>
      </c>
      <c r="P9" s="36" t="n">
        <v>0</v>
      </c>
      <c r="Q9" s="36" t="n">
        <v>0</v>
      </c>
      <c r="R9" s="36" t="n">
        <v>0</v>
      </c>
      <c r="S9" s="36" t="n">
        <v>0</v>
      </c>
      <c r="T9" s="36" t="n">
        <v>0</v>
      </c>
      <c r="U9" s="36" t="n">
        <v>0</v>
      </c>
      <c r="V9" s="36" t="n">
        <v>0</v>
      </c>
      <c r="W9" s="36" t="n">
        <v>0</v>
      </c>
      <c r="X9" s="36" t="n">
        <v>0</v>
      </c>
      <c r="Y9" s="36" t="n">
        <v>0</v>
      </c>
      <c r="Z9" s="36" t="n">
        <v>0</v>
      </c>
      <c r="AA9" s="36" t="n">
        <v>0</v>
      </c>
      <c r="AB9" s="36" t="n">
        <v>0</v>
      </c>
      <c r="AC9" s="36" t="n">
        <v>0</v>
      </c>
      <c r="AD9" s="36" t="n">
        <v>0</v>
      </c>
      <c r="AE9" s="36" t="n">
        <v>0</v>
      </c>
      <c r="AF9" s="36" t="n">
        <v>0</v>
      </c>
      <c r="AG9" s="36" t="n">
        <v>0</v>
      </c>
      <c r="AH9" s="36" t="n">
        <v>0</v>
      </c>
      <c r="AI9" s="36" t="n">
        <v>0</v>
      </c>
      <c r="AJ9" s="36" t="n">
        <v>0</v>
      </c>
      <c r="AK9" s="36" t="n">
        <v>0</v>
      </c>
    </row>
    <row r="10" customFormat="false" ht="15" hidden="false" customHeight="false" outlineLevel="0" collapsed="false">
      <c r="A10" s="5"/>
      <c r="B10" s="34" t="s">
        <v>74</v>
      </c>
      <c r="C10" s="36" t="n">
        <v>1</v>
      </c>
      <c r="D10" s="36" t="n">
        <v>2</v>
      </c>
      <c r="E10" s="36" t="n">
        <v>3</v>
      </c>
      <c r="F10" s="36" t="n">
        <v>4</v>
      </c>
      <c r="G10" s="36" t="n">
        <v>5</v>
      </c>
      <c r="H10" s="36" t="n">
        <v>6</v>
      </c>
      <c r="I10" s="36" t="n">
        <v>7</v>
      </c>
      <c r="J10" s="36" t="n">
        <v>8</v>
      </c>
      <c r="K10" s="36" t="n">
        <v>9</v>
      </c>
      <c r="L10" s="36" t="n">
        <v>10</v>
      </c>
      <c r="M10" s="36" t="n">
        <v>11</v>
      </c>
      <c r="N10" s="36" t="n">
        <v>12</v>
      </c>
      <c r="O10" s="36" t="n">
        <v>13</v>
      </c>
      <c r="P10" s="36" t="n">
        <v>14</v>
      </c>
      <c r="Q10" s="36" t="n">
        <v>15</v>
      </c>
      <c r="R10" s="36" t="n">
        <v>16</v>
      </c>
      <c r="S10" s="36" t="n">
        <v>17</v>
      </c>
      <c r="T10" s="36" t="n">
        <v>18</v>
      </c>
      <c r="U10" s="36" t="n">
        <v>19</v>
      </c>
      <c r="V10" s="36" t="n">
        <v>20</v>
      </c>
      <c r="W10" s="36" t="n">
        <v>21</v>
      </c>
      <c r="X10" s="36" t="n">
        <v>22</v>
      </c>
      <c r="Y10" s="36" t="n">
        <v>23</v>
      </c>
      <c r="Z10" s="36" t="n">
        <v>24</v>
      </c>
      <c r="AA10" s="36" t="n">
        <v>25</v>
      </c>
      <c r="AB10" s="36" t="n">
        <v>26</v>
      </c>
      <c r="AC10" s="36" t="n">
        <v>27</v>
      </c>
      <c r="AD10" s="36" t="n">
        <v>28</v>
      </c>
      <c r="AE10" s="36" t="n">
        <v>29</v>
      </c>
      <c r="AF10" s="36" t="n">
        <v>30</v>
      </c>
      <c r="AG10" s="36" t="n">
        <v>31</v>
      </c>
      <c r="AH10" s="36" t="n">
        <v>32</v>
      </c>
      <c r="AI10" s="36" t="n">
        <v>33</v>
      </c>
      <c r="AJ10" s="36" t="n">
        <v>34</v>
      </c>
      <c r="AK10" s="36" t="n">
        <v>35</v>
      </c>
    </row>
    <row r="11" customFormat="false" ht="15" hidden="false" customHeight="false" outlineLevel="0" collapsed="false">
      <c r="A11" s="5"/>
      <c r="B11" s="31" t="s">
        <v>75</v>
      </c>
      <c r="C11" s="33"/>
      <c r="D11" s="33"/>
      <c r="E11" s="33"/>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customFormat="false" ht="15" hidden="false" customHeight="false" outlineLevel="0" collapsed="false">
      <c r="A12" s="5"/>
      <c r="B12" s="34" t="s">
        <v>76</v>
      </c>
      <c r="C12" s="37" t="n">
        <v>0.025</v>
      </c>
      <c r="D12" s="38" t="s">
        <v>77</v>
      </c>
      <c r="E12" s="8" t="s">
        <v>78</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customFormat="false" ht="15" hidden="false" customHeight="false" outlineLevel="0" collapsed="false">
      <c r="A13" s="5"/>
      <c r="B13" s="34" t="s">
        <v>79</v>
      </c>
      <c r="C13" s="37" t="n">
        <v>0.25</v>
      </c>
      <c r="D13" s="38" t="s">
        <v>77</v>
      </c>
      <c r="E13" s="8" t="s">
        <v>80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customFormat="false" ht="15" hidden="false" customHeight="false" outlineLevel="0" collapsed="false">
      <c r="A14" s="5"/>
      <c r="B14" s="34" t="s">
        <v>81</v>
      </c>
      <c r="C14" s="37" t="n">
        <v>0.1</v>
      </c>
      <c r="D14" s="38" t="s">
        <v>77</v>
      </c>
      <c r="E14" s="8" t="s">
        <v>82</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customFormat="false" ht="15" hidden="false" customHeight="false" outlineLevel="0" collapsed="false">
      <c r="A15" s="5"/>
      <c r="B15" s="31" t="s">
        <v>83</v>
      </c>
      <c r="C15" s="33"/>
      <c r="D15" s="33"/>
      <c r="E15" s="33"/>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customFormat="false" ht="15" hidden="false" customHeight="false" outlineLevel="0" collapsed="false">
      <c r="A16" s="5"/>
      <c r="B16" s="34" t="s">
        <v>84</v>
      </c>
      <c r="C16" s="39" t="n">
        <v>20</v>
      </c>
      <c r="D16" s="38" t="s">
        <v>85</v>
      </c>
      <c r="E16" s="8" t="s">
        <v>86</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customFormat="false" ht="15" hidden="false" customHeight="false" outlineLevel="0" collapsed="false">
      <c r="A17" s="5"/>
      <c r="B17" s="34" t="s">
        <v>87</v>
      </c>
      <c r="C17" s="40" t="n">
        <v>35000000</v>
      </c>
      <c r="D17" s="38" t="s">
        <v>88</v>
      </c>
      <c r="E17" s="8" t="s">
        <v>89</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customFormat="false" ht="15" hidden="false" customHeight="false" outlineLevel="0" collapsed="false">
      <c r="A18" s="5"/>
      <c r="B18" s="34" t="s">
        <v>90</v>
      </c>
      <c r="C18" s="37" t="n">
        <v>0.15</v>
      </c>
      <c r="D18" s="38" t="s">
        <v>77</v>
      </c>
      <c r="E18" s="8" t="s">
        <v>91</v>
      </c>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customFormat="false" ht="15" hidden="false" customHeight="false" outlineLevel="0" collapsed="false">
      <c r="A19" s="5"/>
      <c r="B19" s="34" t="s">
        <v>92</v>
      </c>
      <c r="C19" s="37" t="n">
        <v>0.08</v>
      </c>
      <c r="D19" s="38" t="s">
        <v>77</v>
      </c>
      <c r="E19" s="8" t="s">
        <v>93</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customFormat="false" ht="15" hidden="false" customHeight="false" outlineLevel="0" collapsed="false">
      <c r="A20" s="5"/>
      <c r="B20" s="34" t="s">
        <v>94</v>
      </c>
      <c r="C20" s="37" t="n">
        <v>0.18</v>
      </c>
      <c r="D20" s="38" t="s">
        <v>77</v>
      </c>
      <c r="E20" s="8" t="s">
        <v>95</v>
      </c>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customFormat="false" ht="15" hidden="false" customHeight="false" outlineLevel="0" collapsed="false">
      <c r="A21" s="5"/>
      <c r="B21" s="34" t="s">
        <v>96</v>
      </c>
      <c r="C21" s="37" t="n">
        <v>0.4</v>
      </c>
      <c r="D21" s="38" t="s">
        <v>77</v>
      </c>
      <c r="E21" s="8" t="s">
        <v>97</v>
      </c>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customFormat="false" ht="15" hidden="false" customHeight="false" outlineLevel="0" collapsed="false">
      <c r="A22" s="5"/>
      <c r="B22" s="34" t="s">
        <v>98</v>
      </c>
      <c r="C22" s="37" t="n">
        <v>0.22</v>
      </c>
      <c r="D22" s="38" t="s">
        <v>77</v>
      </c>
      <c r="E22" s="8" t="s">
        <v>99</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customFormat="false" ht="15" hidden="false" customHeight="false" outlineLevel="0" collapsed="false">
      <c r="A23" s="5"/>
      <c r="B23" s="34" t="s">
        <v>100</v>
      </c>
      <c r="C23" s="37" t="n">
        <v>0.12</v>
      </c>
      <c r="D23" s="38" t="s">
        <v>77</v>
      </c>
      <c r="E23" s="8" t="s">
        <v>101</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customFormat="false" ht="15" hidden="false" customHeight="false" outlineLevel="0" collapsed="false">
      <c r="A24" s="5"/>
      <c r="B24" s="34" t="s">
        <v>102</v>
      </c>
      <c r="C24" s="39" t="n">
        <v>5</v>
      </c>
      <c r="D24" s="38" t="s">
        <v>103</v>
      </c>
      <c r="E24" s="8" t="s">
        <v>104</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customFormat="false" ht="15" hidden="false" customHeight="false" outlineLevel="0" collapsed="false">
      <c r="A25" s="5"/>
      <c r="B25" s="31" t="s">
        <v>105</v>
      </c>
      <c r="C25" s="33"/>
      <c r="D25" s="33"/>
      <c r="E25" s="33"/>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customFormat="false" ht="15" hidden="false" customHeight="false" outlineLevel="0" collapsed="false">
      <c r="A26" s="5"/>
      <c r="B26" s="34" t="s">
        <v>106</v>
      </c>
      <c r="C26" s="40" t="n">
        <v>40000000</v>
      </c>
      <c r="D26" s="38" t="s">
        <v>107</v>
      </c>
      <c r="E26" s="8" t="s">
        <v>108</v>
      </c>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customFormat="false" ht="15" hidden="false" customHeight="false" outlineLevel="0" collapsed="false">
      <c r="A27" s="5"/>
      <c r="B27" s="34" t="s">
        <v>109</v>
      </c>
      <c r="C27" s="37" t="n">
        <v>0.025</v>
      </c>
      <c r="D27" s="38" t="s">
        <v>77</v>
      </c>
      <c r="E27" s="8" t="s">
        <v>110</v>
      </c>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customFormat="false" ht="15" hidden="false" customHeight="false" outlineLevel="0" collapsed="false">
      <c r="A28" s="5"/>
      <c r="B28" s="34" t="s">
        <v>111</v>
      </c>
      <c r="C28" s="40" t="n">
        <v>10000000</v>
      </c>
      <c r="D28" s="38" t="s">
        <v>112</v>
      </c>
      <c r="E28" s="8" t="s">
        <v>113</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customFormat="false" ht="15" hidden="false" customHeight="false" outlineLevel="0" collapsed="false">
      <c r="A29" s="5"/>
      <c r="B29" s="34" t="s">
        <v>114</v>
      </c>
      <c r="C29" s="40" t="n">
        <v>3.5</v>
      </c>
      <c r="D29" s="38" t="s">
        <v>115</v>
      </c>
      <c r="E29" s="8" t="s">
        <v>116</v>
      </c>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customFormat="false" ht="15" hidden="false" customHeight="false" outlineLevel="0" collapsed="false">
      <c r="A30" s="5"/>
      <c r="B30" s="34" t="s">
        <v>117</v>
      </c>
      <c r="C30" s="37" t="n">
        <v>0.025</v>
      </c>
      <c r="D30" s="38" t="s">
        <v>77</v>
      </c>
      <c r="E30" s="8" t="s">
        <v>118</v>
      </c>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customFormat="false" ht="15" hidden="false" customHeight="false" outlineLevel="0" collapsed="false">
      <c r="A31" s="5"/>
      <c r="B31" s="34" t="s">
        <v>119</v>
      </c>
      <c r="C31" s="40" t="n">
        <v>3000000</v>
      </c>
      <c r="D31" s="38" t="s">
        <v>107</v>
      </c>
      <c r="E31" s="8" t="s">
        <v>120</v>
      </c>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customFormat="false" ht="15" hidden="false" customHeight="false" outlineLevel="0" collapsed="false">
      <c r="A32" s="5"/>
      <c r="B32" s="34" t="s">
        <v>121</v>
      </c>
      <c r="C32" s="37" t="n">
        <v>0.03</v>
      </c>
      <c r="D32" s="38" t="s">
        <v>77</v>
      </c>
      <c r="E32" s="8" t="s">
        <v>122</v>
      </c>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customFormat="false" ht="15" hidden="false" customHeight="false" outlineLevel="0" collapsed="false">
      <c r="A33" s="5"/>
      <c r="B33" s="34" t="s">
        <v>123</v>
      </c>
      <c r="C33" s="37" t="n">
        <v>0.5</v>
      </c>
      <c r="D33" s="38" t="s">
        <v>77</v>
      </c>
      <c r="E33" s="8" t="s">
        <v>124</v>
      </c>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customFormat="false" ht="15" hidden="false" customHeight="false" outlineLevel="0" collapsed="false">
      <c r="A34" s="5"/>
      <c r="B34" s="34" t="s">
        <v>125</v>
      </c>
      <c r="C34" s="37" t="n">
        <v>0.68</v>
      </c>
      <c r="D34" s="38" t="s">
        <v>77</v>
      </c>
      <c r="E34" s="8" t="s">
        <v>126</v>
      </c>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customFormat="false" ht="15" hidden="false" customHeight="false" outlineLevel="0" collapsed="false">
      <c r="A35" s="5"/>
      <c r="B35" s="34" t="s">
        <v>127</v>
      </c>
      <c r="C35" s="37" t="n">
        <v>0.84</v>
      </c>
      <c r="D35" s="38" t="s">
        <v>77</v>
      </c>
      <c r="E35" s="8" t="s">
        <v>128</v>
      </c>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customFormat="false" ht="15" hidden="false" customHeight="false" outlineLevel="0" collapsed="false">
      <c r="A36" s="5"/>
      <c r="B36" s="31" t="s">
        <v>129</v>
      </c>
      <c r="C36" s="33"/>
      <c r="D36" s="33"/>
      <c r="E36" s="33"/>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customFormat="false" ht="15" hidden="false" customHeight="false" outlineLevel="0" collapsed="false">
      <c r="A37" s="5"/>
      <c r="B37" s="34" t="s">
        <v>130</v>
      </c>
      <c r="C37" s="40" t="n">
        <v>16000000</v>
      </c>
      <c r="D37" s="38" t="s">
        <v>107</v>
      </c>
      <c r="E37" s="8" t="s">
        <v>131</v>
      </c>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customFormat="false" ht="15" hidden="false" customHeight="false" outlineLevel="0" collapsed="false">
      <c r="A38" s="5"/>
      <c r="B38" s="34" t="s">
        <v>132</v>
      </c>
      <c r="C38" s="37" t="n">
        <v>0.025</v>
      </c>
      <c r="D38" s="38" t="s">
        <v>77</v>
      </c>
      <c r="E38" s="8" t="s">
        <v>133</v>
      </c>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customFormat="false" ht="15" hidden="false" customHeight="false" outlineLevel="0" collapsed="false">
      <c r="A39" s="5"/>
      <c r="B39" s="34" t="s">
        <v>134</v>
      </c>
      <c r="C39" s="37" t="n">
        <v>0.02</v>
      </c>
      <c r="D39" s="38" t="s">
        <v>77</v>
      </c>
      <c r="E39" s="8" t="s">
        <v>135</v>
      </c>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customFormat="false" ht="15" hidden="false" customHeight="false" outlineLevel="0" collapsed="false">
      <c r="A40" s="5"/>
      <c r="B40" s="34" t="s">
        <v>136</v>
      </c>
      <c r="C40" s="40" t="n">
        <v>60000000</v>
      </c>
      <c r="D40" s="38" t="s">
        <v>137</v>
      </c>
      <c r="E40" s="8" t="s">
        <v>138</v>
      </c>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customFormat="false" ht="15" hidden="false" customHeight="false" outlineLevel="0" collapsed="false">
      <c r="A41" s="5"/>
      <c r="B41" s="34" t="s">
        <v>139</v>
      </c>
      <c r="C41" s="40" t="n">
        <v>40000000</v>
      </c>
      <c r="D41" s="38" t="s">
        <v>137</v>
      </c>
      <c r="E41" s="8" t="s">
        <v>140</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customFormat="false" ht="15" hidden="false" customHeight="false" outlineLevel="0" collapsed="false">
      <c r="A42" s="5"/>
      <c r="B42" s="31" t="s">
        <v>141</v>
      </c>
      <c r="C42" s="33"/>
      <c r="D42" s="33"/>
      <c r="E42" s="33"/>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customFormat="false" ht="15" hidden="false" customHeight="false" outlineLevel="0" collapsed="false">
      <c r="A43" s="5"/>
      <c r="B43" s="34" t="s">
        <v>142</v>
      </c>
      <c r="C43" s="37" t="n">
        <v>0.68</v>
      </c>
      <c r="D43" s="38" t="s">
        <v>77</v>
      </c>
      <c r="E43" s="8" t="s">
        <v>143</v>
      </c>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customFormat="false" ht="15" hidden="false" customHeight="false" outlineLevel="0" collapsed="false">
      <c r="A44" s="5"/>
      <c r="B44" s="34" t="s">
        <v>144</v>
      </c>
      <c r="C44" s="37" t="n">
        <v>0.055</v>
      </c>
      <c r="D44" s="38" t="s">
        <v>77</v>
      </c>
      <c r="E44" s="8" t="s">
        <v>145</v>
      </c>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customFormat="false" ht="15" hidden="false" customHeight="false" outlineLevel="0" collapsed="false">
      <c r="A45" s="5"/>
      <c r="B45" s="34" t="s">
        <v>146</v>
      </c>
      <c r="C45" s="39" t="n">
        <v>25</v>
      </c>
      <c r="D45" s="38" t="s">
        <v>103</v>
      </c>
      <c r="E45" s="8" t="s">
        <v>147</v>
      </c>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customFormat="false" ht="15" hidden="false" customHeight="false" outlineLevel="0" collapsed="false">
      <c r="A46" s="5"/>
      <c r="B46" s="34" t="s">
        <v>148</v>
      </c>
      <c r="C46" s="41" t="n">
        <v>1.25</v>
      </c>
      <c r="D46" s="38" t="s">
        <v>149</v>
      </c>
      <c r="E46" s="8" t="s">
        <v>150</v>
      </c>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customFormat="false" ht="15" hidden="false" customHeight="false" outlineLevel="0" collapsed="false">
      <c r="A47" s="5"/>
      <c r="B47" s="34" t="s">
        <v>151</v>
      </c>
      <c r="C47" s="41" t="n">
        <v>1.2</v>
      </c>
      <c r="D47" s="38" t="s">
        <v>149</v>
      </c>
      <c r="E47" s="8" t="s">
        <v>152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customFormat="false" ht="15" hidden="false" customHeight="false" outlineLevel="0" collapsed="false">
      <c r="A48" s="5"/>
      <c r="B48" s="34" t="s">
        <v>153</v>
      </c>
      <c r="C48" s="39" t="n">
        <v>2</v>
      </c>
      <c r="D48" s="38" t="s">
        <v>103</v>
      </c>
      <c r="E48" s="8" t="s">
        <v>154</v>
      </c>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customFormat="false" ht="15" hidden="false" customHeight="false" outlineLevel="0" collapsed="false">
      <c r="A49" s="5"/>
      <c r="B49" s="34" t="s">
        <v>155</v>
      </c>
      <c r="C49" s="39" t="n">
        <v>6</v>
      </c>
      <c r="D49" s="38" t="s">
        <v>156</v>
      </c>
      <c r="E49" s="8" t="s">
        <v>157</v>
      </c>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customFormat="false" ht="15" hidden="false" customHeight="false" outlineLevel="0" collapsed="false">
      <c r="A50" s="5"/>
      <c r="B50" s="34" t="s">
        <v>158</v>
      </c>
      <c r="C50" s="39" t="n">
        <v>30</v>
      </c>
      <c r="D50" s="38" t="s">
        <v>103</v>
      </c>
      <c r="E50" s="8" t="s">
        <v>159</v>
      </c>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customFormat="false" ht="15" hidden="false" customHeight="false" outlineLevel="0" collapsed="false">
      <c r="A51" s="5"/>
      <c r="B51" s="31" t="s">
        <v>160</v>
      </c>
      <c r="C51" s="33"/>
      <c r="D51" s="33"/>
      <c r="E51" s="33"/>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customFormat="false" ht="15" hidden="false" customHeight="false" outlineLevel="0" collapsed="false">
      <c r="A52" s="5"/>
      <c r="B52" s="34" t="s">
        <v>161</v>
      </c>
      <c r="C52" s="39" t="n">
        <v>20</v>
      </c>
      <c r="D52" s="38" t="s">
        <v>103</v>
      </c>
      <c r="E52" s="8" t="s">
        <v>162</v>
      </c>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customFormat="false" ht="15" hidden="false" customHeight="false" outlineLevel="0" collapsed="false">
      <c r="A53" s="5"/>
      <c r="B53" s="31" t="s">
        <v>163</v>
      </c>
      <c r="C53" s="33"/>
      <c r="D53" s="33"/>
      <c r="E53" s="33"/>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customFormat="false" ht="15" hidden="false" customHeight="false" outlineLevel="0" collapsed="false">
      <c r="A54" s="5"/>
      <c r="B54" s="34" t="s">
        <v>164</v>
      </c>
      <c r="C54" s="40" t="n">
        <f aca="false">Route_Length_KM*Capex_Per_KM*(1+Contingency_Pct)*Gearing_Pct*Interest_Rate*(DSRA_Months/12)</f>
        <v>15053500</v>
      </c>
      <c r="D54" s="38" t="s">
        <v>137</v>
      </c>
      <c r="E54" s="8" t="s">
        <v>165</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9" t="s">
        <v>166</v>
      </c>
      <c r="C2" s="5"/>
      <c r="D2" s="5"/>
      <c r="E2" s="5"/>
      <c r="F2" s="5"/>
      <c r="G2" s="5"/>
    </row>
    <row r="3" customFormat="false" ht="15" hidden="false" customHeight="false" outlineLevel="0" collapsed="false">
      <c r="A3" s="5"/>
      <c r="B3" s="30" t="s">
        <v>167</v>
      </c>
      <c r="C3" s="5"/>
      <c r="D3" s="5"/>
      <c r="E3" s="5"/>
      <c r="F3" s="5"/>
      <c r="G3" s="5"/>
    </row>
    <row r="4" customFormat="false" ht="15" hidden="false" customHeight="false" outlineLevel="0" collapsed="false">
      <c r="A4" s="5"/>
      <c r="B4" s="17"/>
      <c r="C4" s="42" t="s">
        <v>168</v>
      </c>
      <c r="D4" s="42" t="s">
        <v>169</v>
      </c>
      <c r="E4" s="42" t="s">
        <v>170</v>
      </c>
      <c r="F4" s="42" t="s">
        <v>171</v>
      </c>
      <c r="G4" s="42" t="s">
        <v>172</v>
      </c>
    </row>
    <row r="5" customFormat="false" ht="15" hidden="false" customHeight="false" outlineLevel="0" collapsed="false">
      <c r="A5" s="5"/>
      <c r="B5" s="43" t="s">
        <v>173</v>
      </c>
      <c r="C5" s="44" t="n">
        <f aca="false">Route_Length_KM*Capex_Per_KM</f>
        <v>700000000</v>
      </c>
      <c r="D5" s="44" t="n">
        <f aca="false">Route_Length_KM*Capex_Per_KM</f>
        <v>700000000</v>
      </c>
      <c r="E5" s="44" t="n">
        <f aca="false">Route_Length_KM*Capex_Per_KM</f>
        <v>700000000</v>
      </c>
      <c r="F5" s="44" t="n">
        <f aca="false">Route_Length_KM*Capex_Per_KM</f>
        <v>700000000</v>
      </c>
      <c r="G5" s="44" t="n">
        <f aca="false">Route_Length_KM*Capex_Per_KM</f>
        <v>700000000</v>
      </c>
    </row>
    <row r="6" customFormat="false" ht="15" hidden="false" customHeight="false" outlineLevel="0" collapsed="false">
      <c r="A6" s="5"/>
      <c r="B6" s="34" t="s">
        <v>174</v>
      </c>
      <c r="C6" s="45" t="n">
        <f aca="false">Construction!C5*Contingency_Pct</f>
        <v>105000000</v>
      </c>
      <c r="D6" s="45" t="n">
        <f aca="false">Construction!C5*Contingency_Pct</f>
        <v>105000000</v>
      </c>
      <c r="E6" s="45" t="n">
        <f aca="false">Construction!C5*Contingency_Pct</f>
        <v>105000000</v>
      </c>
      <c r="F6" s="45" t="n">
        <f aca="false">Construction!C5*Contingency_Pct</f>
        <v>105000000</v>
      </c>
      <c r="G6" s="45" t="n">
        <f aca="false">Construction!C5*Contingency_Pct</f>
        <v>105000000</v>
      </c>
    </row>
    <row r="7" customFormat="false" ht="15" hidden="false" customHeight="false" outlineLevel="0" collapsed="false">
      <c r="A7" s="5"/>
      <c r="B7" s="46" t="s">
        <v>175</v>
      </c>
      <c r="C7" s="47" t="n">
        <f aca="false">Construction!C5+Construction!C6</f>
        <v>805000000</v>
      </c>
      <c r="D7" s="47" t="n">
        <f aca="false">Construction!C5+Construction!C6</f>
        <v>805000000</v>
      </c>
      <c r="E7" s="47" t="n">
        <f aca="false">Construction!C5+Construction!C6</f>
        <v>805000000</v>
      </c>
      <c r="F7" s="47" t="n">
        <f aca="false">Construction!C5+Construction!C6</f>
        <v>805000000</v>
      </c>
      <c r="G7" s="47" t="n">
        <f aca="false">Construction!C5+Construction!C6</f>
        <v>805000000</v>
      </c>
    </row>
    <row r="8" customFormat="false" ht="15" hidden="false" customHeight="false" outlineLevel="0" collapsed="false">
      <c r="A8" s="5"/>
      <c r="B8" s="5"/>
      <c r="C8" s="5"/>
      <c r="D8" s="5"/>
      <c r="E8" s="5"/>
      <c r="F8" s="5"/>
      <c r="G8" s="5"/>
    </row>
    <row r="9" customFormat="false" ht="15" hidden="false" customHeight="false" outlineLevel="0" collapsed="false">
      <c r="A9" s="5"/>
      <c r="B9" s="34" t="s">
        <v>176</v>
      </c>
      <c r="C9" s="48" t="n">
        <f aca="false">SCurve_CY1</f>
        <v>0.08</v>
      </c>
      <c r="D9" s="48" t="n">
        <f aca="false">SCurve_CY2</f>
        <v>0.18</v>
      </c>
      <c r="E9" s="48" t="n">
        <f aca="false">SCurve_CY3</f>
        <v>0.4</v>
      </c>
      <c r="F9" s="48" t="n">
        <f aca="false">SCurve_CY4</f>
        <v>0.22</v>
      </c>
      <c r="G9" s="48" t="n">
        <f aca="false">SCurve_CY5</f>
        <v>0.12</v>
      </c>
    </row>
    <row r="10" customFormat="false" ht="15" hidden="false" customHeight="false" outlineLevel="0" collapsed="false">
      <c r="A10" s="5"/>
      <c r="B10" s="34" t="s">
        <v>177</v>
      </c>
      <c r="C10" s="45" t="n">
        <f aca="false">Construction!C7*SCurve_CY1</f>
        <v>64400000</v>
      </c>
      <c r="D10" s="45" t="n">
        <f aca="false">Construction!C7*SCurve_CY2</f>
        <v>144900000</v>
      </c>
      <c r="E10" s="45" t="n">
        <f aca="false">Construction!C7*SCurve_CY3</f>
        <v>322000000</v>
      </c>
      <c r="F10" s="45" t="n">
        <f aca="false">Construction!C7*SCurve_CY4</f>
        <v>177100000</v>
      </c>
      <c r="G10" s="45" t="n">
        <f aca="false">Construction!C7*SCurve_CY5</f>
        <v>96600000</v>
      </c>
    </row>
    <row r="11" customFormat="false" ht="15" hidden="false" customHeight="false" outlineLevel="0" collapsed="false">
      <c r="A11" s="5"/>
      <c r="B11" s="34" t="s">
        <v>178</v>
      </c>
      <c r="C11" s="45" t="n">
        <f aca="false">Construction!C10</f>
        <v>64400000</v>
      </c>
      <c r="D11" s="45" t="n">
        <f aca="false">C11+D10</f>
        <v>209300000</v>
      </c>
      <c r="E11" s="45" t="n">
        <f aca="false">D11+E10</f>
        <v>531300000</v>
      </c>
      <c r="F11" s="45" t="n">
        <f aca="false">E11+F10</f>
        <v>708400000</v>
      </c>
      <c r="G11" s="45" t="n">
        <f aca="false">F11+G10</f>
        <v>805000000</v>
      </c>
    </row>
    <row r="12" customFormat="false" ht="15" hidden="false" customHeight="false" outlineLevel="0" collapsed="false">
      <c r="A12" s="5"/>
      <c r="B12" s="31" t="s">
        <v>179</v>
      </c>
      <c r="C12" s="33"/>
      <c r="D12" s="33"/>
      <c r="E12" s="33"/>
      <c r="F12" s="33"/>
      <c r="G12" s="33"/>
    </row>
    <row r="13" customFormat="false" ht="15" hidden="false" customHeight="false" outlineLevel="0" collapsed="false">
      <c r="A13" s="5"/>
      <c r="B13" s="34" t="s">
        <v>180</v>
      </c>
      <c r="C13" s="45" t="n">
        <f aca="false">Constr_Capex_CY1*(1-Gearing_Pct)</f>
        <v>20608000</v>
      </c>
      <c r="D13" s="45" t="n">
        <f aca="false">Constr_Capex_CY2*(1-Gearing_Pct)</f>
        <v>46368000</v>
      </c>
      <c r="E13" s="45" t="n">
        <f aca="false">Constr_Capex_CY3*(1-Gearing_Pct)</f>
        <v>103040000</v>
      </c>
      <c r="F13" s="45" t="n">
        <f aca="false">Constr_Capex_CY4*(1-Gearing_Pct)</f>
        <v>56672000</v>
      </c>
      <c r="G13" s="45" t="n">
        <f aca="false">Constr_Capex_CY5*(1-Gearing_Pct)</f>
        <v>30912000</v>
      </c>
    </row>
    <row r="14" customFormat="false" ht="15" hidden="false" customHeight="false" outlineLevel="0" collapsed="false">
      <c r="A14" s="5"/>
      <c r="B14" s="34" t="s">
        <v>181</v>
      </c>
      <c r="C14" s="45" t="n">
        <f aca="false">Constr_Capex_CY1*Gearing_Pct</f>
        <v>43792000</v>
      </c>
      <c r="D14" s="45" t="n">
        <f aca="false">Constr_Capex_CY2*Gearing_Pct</f>
        <v>98532000</v>
      </c>
      <c r="E14" s="45" t="n">
        <f aca="false">Constr_Capex_CY3*Gearing_Pct</f>
        <v>218960000</v>
      </c>
      <c r="F14" s="45" t="n">
        <f aca="false">Constr_Capex_CY4*Gearing_Pct</f>
        <v>120428000</v>
      </c>
      <c r="G14" s="45" t="n">
        <f aca="false">Constr_Capex_CY5*Gearing_Pct</f>
        <v>65688000</v>
      </c>
    </row>
    <row r="15" customFormat="false" ht="15" hidden="false" customHeight="false" outlineLevel="0" collapsed="false">
      <c r="A15" s="5"/>
      <c r="B15" s="34" t="s">
        <v>182</v>
      </c>
      <c r="C15" s="45" t="n">
        <f aca="false">0</f>
        <v>0</v>
      </c>
      <c r="D15" s="45" t="n">
        <f aca="false">0</f>
        <v>0</v>
      </c>
      <c r="E15" s="45" t="n">
        <f aca="false">0</f>
        <v>0</v>
      </c>
      <c r="F15" s="45" t="n">
        <f aca="false">0</f>
        <v>0</v>
      </c>
      <c r="G15" s="45" t="n">
        <f aca="false">DSRA_Prefund_Estimate</f>
        <v>15053500</v>
      </c>
    </row>
    <row r="16" customFormat="false" ht="15" hidden="false" customHeight="false" outlineLevel="0" collapsed="false">
      <c r="A16" s="5"/>
      <c r="B16" s="46" t="s">
        <v>183</v>
      </c>
      <c r="C16" s="47" t="n">
        <f aca="false">Constr_Debt_CY1+C15</f>
        <v>43792000</v>
      </c>
      <c r="D16" s="47" t="n">
        <f aca="false">Constr_Debt_CY2+D15</f>
        <v>98532000</v>
      </c>
      <c r="E16" s="47" t="n">
        <f aca="false">Constr_Debt_CY3+E15</f>
        <v>218960000</v>
      </c>
      <c r="F16" s="47" t="n">
        <f aca="false">Constr_Debt_CY4+F15</f>
        <v>120428000</v>
      </c>
      <c r="G16" s="47" t="n">
        <f aca="false">Constr_Debt_CY5+G15</f>
        <v>80741500</v>
      </c>
    </row>
    <row r="17" customFormat="false" ht="15" hidden="false" customHeight="false" outlineLevel="0" collapsed="false">
      <c r="A17" s="5"/>
      <c r="B17" s="31" t="s">
        <v>184</v>
      </c>
      <c r="C17" s="33"/>
      <c r="D17" s="33"/>
      <c r="E17" s="33"/>
      <c r="F17" s="33"/>
      <c r="G17" s="33"/>
    </row>
    <row r="18" customFormat="false" ht="15" hidden="false" customHeight="false" outlineLevel="0" collapsed="false">
      <c r="A18" s="5"/>
      <c r="B18" s="34" t="s">
        <v>185</v>
      </c>
      <c r="C18" s="45" t="n">
        <f aca="false">0</f>
        <v>0</v>
      </c>
      <c r="D18" s="45" t="n">
        <f aca="false">Constr_Debt_Close_CY1</f>
        <v>46200560</v>
      </c>
      <c r="E18" s="45" t="n">
        <f aca="false">Constr_Debt_Close_CY2</f>
        <v>152692850.8</v>
      </c>
      <c r="F18" s="45" t="n">
        <f aca="false">Constr_Debt_Close_CY3</f>
        <v>392093757.594</v>
      </c>
      <c r="G18" s="45" t="n">
        <f aca="false">Constr_Debt_Close_CY4</f>
        <v>540710454.26167</v>
      </c>
    </row>
    <row r="19" customFormat="false" ht="15" hidden="false" customHeight="false" outlineLevel="0" collapsed="false">
      <c r="A19" s="5"/>
      <c r="B19" s="34" t="s">
        <v>186</v>
      </c>
      <c r="C19" s="45" t="n">
        <f aca="false">Constr_Total_Debt_CY1</f>
        <v>43792000</v>
      </c>
      <c r="D19" s="45" t="n">
        <f aca="false">Constr_Total_Debt_CY2</f>
        <v>98532000</v>
      </c>
      <c r="E19" s="45" t="n">
        <f aca="false">Constr_Total_Debt_CY3</f>
        <v>218960000</v>
      </c>
      <c r="F19" s="45" t="n">
        <f aca="false">Constr_Total_Debt_CY4</f>
        <v>120428000</v>
      </c>
      <c r="G19" s="45" t="n">
        <f aca="false">Constr_Total_Debt_CY5</f>
        <v>80741500</v>
      </c>
    </row>
    <row r="20" customFormat="false" ht="15" hidden="false" customHeight="false" outlineLevel="0" collapsed="false">
      <c r="A20" s="5"/>
      <c r="B20" s="34" t="s">
        <v>187</v>
      </c>
      <c r="C20" s="45" t="n">
        <f aca="false">(Constr_Debt_Open_CY1+C19)*Interest_Rate</f>
        <v>2408560</v>
      </c>
      <c r="D20" s="45" t="n">
        <f aca="false">(Constr_Debt_Open_CY2+D19)*Interest_Rate</f>
        <v>7960290.8</v>
      </c>
      <c r="E20" s="45" t="n">
        <f aca="false">(Constr_Debt_Open_CY3+E19)*Interest_Rate</f>
        <v>20440906.794</v>
      </c>
      <c r="F20" s="45" t="n">
        <f aca="false">(Constr_Debt_Open_CY4+F19)*Interest_Rate</f>
        <v>28188696.66767</v>
      </c>
      <c r="G20" s="45" t="n">
        <f aca="false">(Constr_Debt_Open_CY5+G19)*Interest_Rate</f>
        <v>34179857.4843919</v>
      </c>
    </row>
    <row r="21" customFormat="false" ht="15" hidden="false" customHeight="false" outlineLevel="0" collapsed="false">
      <c r="A21" s="5"/>
      <c r="B21" s="46" t="s">
        <v>188</v>
      </c>
      <c r="C21" s="47" t="n">
        <f aca="false">Constr_Debt_Open_CY1+C19+Constr_IDC_CY1</f>
        <v>46200560</v>
      </c>
      <c r="D21" s="47" t="n">
        <f aca="false">Constr_Debt_Open_CY2+D19+Constr_IDC_CY2</f>
        <v>152692850.8</v>
      </c>
      <c r="E21" s="47" t="n">
        <f aca="false">Constr_Debt_Open_CY3+E19+Constr_IDC_CY3</f>
        <v>392093757.594</v>
      </c>
      <c r="F21" s="47" t="n">
        <f aca="false">Constr_Debt_Open_CY4+F19+Constr_IDC_CY4</f>
        <v>540710454.26167</v>
      </c>
      <c r="G21" s="47" t="n">
        <f aca="false">Constr_Debt_Open_CY5+G19+Constr_IDC_CY5</f>
        <v>655631811.746062</v>
      </c>
    </row>
    <row r="22" customFormat="false" ht="15" hidden="false" customHeight="false" outlineLevel="0" collapsed="false">
      <c r="A22" s="5"/>
      <c r="B22" s="34" t="s">
        <v>189</v>
      </c>
      <c r="C22" s="45" t="n">
        <f aca="false">Constr_IDC_CY1</f>
        <v>2408560</v>
      </c>
      <c r="D22" s="45" t="n">
        <f aca="false">C22+Constr_IDC_CY2</f>
        <v>10368850.8</v>
      </c>
      <c r="E22" s="45" t="n">
        <f aca="false">D22+Constr_IDC_CY3</f>
        <v>30809757.594</v>
      </c>
      <c r="F22" s="45" t="n">
        <f aca="false">E22+Constr_IDC_CY4</f>
        <v>58998454.26167</v>
      </c>
      <c r="G22" s="45" t="n">
        <f aca="false">F22+Constr_IDC_CY5</f>
        <v>93178311.7460619</v>
      </c>
    </row>
    <row r="23" customFormat="false" ht="15" hidden="false" customHeight="false" outlineLevel="0" collapsed="false">
      <c r="A23" s="5"/>
      <c r="B23" s="31" t="s">
        <v>190</v>
      </c>
      <c r="C23" s="33"/>
      <c r="D23" s="33"/>
      <c r="E23" s="33"/>
      <c r="F23" s="33"/>
      <c r="G23" s="33"/>
    </row>
    <row r="24" customFormat="false" ht="15" hidden="false" customHeight="false" outlineLevel="0" collapsed="false">
      <c r="A24" s="5"/>
      <c r="B24" s="49" t="s">
        <v>191</v>
      </c>
      <c r="C24" s="50" t="n">
        <f aca="false">0</f>
        <v>0</v>
      </c>
      <c r="D24" s="50" t="n">
        <f aca="false">0</f>
        <v>0</v>
      </c>
      <c r="E24" s="50" t="n">
        <f aca="false">0</f>
        <v>0</v>
      </c>
      <c r="F24" s="50" t="n">
        <f aca="false">0</f>
        <v>0</v>
      </c>
      <c r="G24" s="50" t="n">
        <f aca="false">Construction!G7+Constr_Cum_IDC</f>
        <v>898178311.746062</v>
      </c>
    </row>
    <row r="25" customFormat="false" ht="15" hidden="false" customHeight="false" outlineLevel="0" collapsed="false">
      <c r="A25" s="5"/>
      <c r="B25" s="49" t="s">
        <v>190</v>
      </c>
      <c r="C25" s="50" t="n">
        <f aca="false">0</f>
        <v>0</v>
      </c>
      <c r="D25" s="50" t="n">
        <f aca="false">0</f>
        <v>0</v>
      </c>
      <c r="E25" s="50" t="n">
        <f aca="false">0</f>
        <v>0</v>
      </c>
      <c r="F25" s="50" t="n">
        <f aca="false">0</f>
        <v>0</v>
      </c>
      <c r="G25" s="50" t="n">
        <f aca="false">Total_Project_Cost</f>
        <v>898178311.746062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K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192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193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224</v>
      </c>
      <c r="C5" s="44" t="n">
        <f aca="false">0</f>
        <v>0</v>
      </c>
      <c r="D5" s="44" t="n">
        <f aca="false">0</f>
        <v>0</v>
      </c>
      <c r="E5" s="44" t="n">
        <f aca="false">0</f>
        <v>0</v>
      </c>
      <c r="F5" s="44" t="n">
        <f aca="false">0</f>
        <v>0</v>
      </c>
      <c r="G5" s="44" t="n">
        <f aca="false">0</f>
        <v>0</v>
      </c>
      <c r="H5" s="44" t="n">
        <f aca="false">Avail_Payment_Base</f>
        <v>40000000</v>
      </c>
      <c r="I5" s="44" t="n">
        <f aca="false">H5*(1+Avail_Escalation)</f>
        <v>41000000</v>
      </c>
      <c r="J5" s="44" t="n">
        <f aca="false">I5*(1+Avail_Escalation)</f>
        <v>42025000</v>
      </c>
      <c r="K5" s="44" t="n">
        <f aca="false">J5*(1+Avail_Escalation)</f>
        <v>43075625</v>
      </c>
      <c r="L5" s="44" t="n">
        <f aca="false">K5*(1+Avail_Escalation)</f>
        <v>44152515.625</v>
      </c>
      <c r="M5" s="44" t="n">
        <f aca="false">L5*(1+Avail_Escalation)</f>
        <v>45256328.515625</v>
      </c>
      <c r="N5" s="44" t="n">
        <f aca="false">M5*(1+Avail_Escalation)</f>
        <v>46387736.7285156</v>
      </c>
      <c r="O5" s="44" t="n">
        <f aca="false">N5*(1+Avail_Escalation)</f>
        <v>47547430.1467285</v>
      </c>
      <c r="P5" s="44" t="n">
        <f aca="false">O5*(1+Avail_Escalation)</f>
        <v>48736115.9003967</v>
      </c>
      <c r="Q5" s="44" t="n">
        <f aca="false">P5*(1+Avail_Escalation)</f>
        <v>49954518.7979066</v>
      </c>
      <c r="R5" s="44" t="n">
        <f aca="false">Q5*(1+Avail_Escalation)</f>
        <v>51203381.7678543</v>
      </c>
      <c r="S5" s="44" t="n">
        <f aca="false">R5*(1+Avail_Escalation)</f>
        <v>52483466.3120506</v>
      </c>
      <c r="T5" s="44" t="n">
        <f aca="false">S5*(1+Avail_Escalation)</f>
        <v>53795552.9698519</v>
      </c>
      <c r="U5" s="44" t="n">
        <f aca="false">T5*(1+Avail_Escalation)</f>
        <v>55140441.7940982</v>
      </c>
      <c r="V5" s="44" t="n">
        <f aca="false">U5*(1+Avail_Escalation)</f>
        <v>56518952.8389506</v>
      </c>
      <c r="W5" s="44" t="n">
        <f aca="false">V5*(1+Avail_Escalation)</f>
        <v>57931926.6599244</v>
      </c>
      <c r="X5" s="44" t="n">
        <f aca="false">W5*(1+Avail_Escalation)</f>
        <v>59380224.8264225</v>
      </c>
      <c r="Y5" s="44" t="n">
        <f aca="false">X5*(1+Avail_Escalation)</f>
        <v>60864730.447083</v>
      </c>
      <c r="Z5" s="44" t="n">
        <f aca="false">Y5*(1+Avail_Escalation)</f>
        <v>62386348.7082601</v>
      </c>
      <c r="AA5" s="44" t="n">
        <f aca="false">Z5*(1+Avail_Escalation)</f>
        <v>63946007.4259666</v>
      </c>
      <c r="AB5" s="44" t="n">
        <f aca="false">AA5*(1+Avail_Escalation)</f>
        <v>65544657.6116158</v>
      </c>
      <c r="AC5" s="44" t="n">
        <f aca="false">AB5*(1+Avail_Escalation)</f>
        <v>67183274.0519062</v>
      </c>
      <c r="AD5" s="44" t="n">
        <f aca="false">AC5*(1+Avail_Escalation)</f>
        <v>68862855.9032038</v>
      </c>
      <c r="AE5" s="44" t="n">
        <f aca="false">AD5*(1+Avail_Escalation)</f>
        <v>70584427.3007839</v>
      </c>
      <c r="AF5" s="44" t="n">
        <f aca="false">AE5*(1+Avail_Escalation)</f>
        <v>72349037.9833035</v>
      </c>
      <c r="AG5" s="44" t="n">
        <f aca="false">AF5*(1+Avail_Escalation)</f>
        <v>74157763.9328861</v>
      </c>
      <c r="AH5" s="44" t="n">
        <f aca="false">AG5*(1+Avail_Escalation)</f>
        <v>76011708.0312082</v>
      </c>
      <c r="AI5" s="44" t="n">
        <f aca="false">AH5*(1+Avail_Escalation)</f>
        <v>77912000.7319884</v>
      </c>
      <c r="AJ5" s="44" t="n">
        <f aca="false">AI5*(1+Avail_Escalation)</f>
        <v>79859800.7502881</v>
      </c>
      <c r="AK5" s="44" t="n">
        <f aca="false">AJ5*(1+Avail_Escalation)</f>
        <v>81856295.7690453</v>
      </c>
    </row>
    <row r="6" customFormat="false" ht="15" hidden="false" customHeight="false" outlineLevel="0" collapsed="false">
      <c r="A6" s="5"/>
      <c r="B6" s="31" t="s">
        <v>225</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customFormat="false" ht="15" hidden="false" customHeight="false" outlineLevel="0" collapsed="false">
      <c r="A7" s="5"/>
      <c r="B7" s="34" t="s">
        <v>226</v>
      </c>
      <c r="C7" s="48" t="n">
        <f aca="false">0</f>
        <v>0</v>
      </c>
      <c r="D7" s="48" t="n">
        <f aca="false">0</f>
        <v>0</v>
      </c>
      <c r="E7" s="48" t="n">
        <f aca="false">0</f>
        <v>0</v>
      </c>
      <c r="F7" s="48" t="n">
        <f aca="false">0</f>
        <v>0</v>
      </c>
      <c r="G7" s="48" t="n">
        <f aca="false">0</f>
        <v>0</v>
      </c>
      <c r="H7" s="48" t="n">
        <f aca="false">IF(Assumptions!H$8=1,Ramp_Year1,IF(Assumptions!H$8=2,Ramp_Year2,IF(Assumptions!H$8=3,Ramp_Year3,1)))</f>
        <v>0.5</v>
      </c>
      <c r="I7" s="48" t="n">
        <f aca="false">IF(Assumptions!I$8=1,Ramp_Year1,IF(Assumptions!I$8=2,Ramp_Year2,IF(Assumptions!I$8=3,Ramp_Year3,1)))</f>
        <v>0.68</v>
      </c>
      <c r="J7" s="48" t="n">
        <f aca="false">IF(Assumptions!J$8=1,Ramp_Year1,IF(Assumptions!J$8=2,Ramp_Year2,IF(Assumptions!J$8=3,Ramp_Year3,1)))</f>
        <v>0.84</v>
      </c>
      <c r="K7" s="48" t="n">
        <f aca="false">IF(Assumptions!K$8=1,Ramp_Year1,IF(Assumptions!K$8=2,Ramp_Year2,IF(Assumptions!K$8=3,Ramp_Year3,1)))</f>
        <v>1</v>
      </c>
      <c r="L7" s="48" t="n">
        <f aca="false">IF(Assumptions!L$8=1,Ramp_Year1,IF(Assumptions!L$8=2,Ramp_Year2,IF(Assumptions!L$8=3,Ramp_Year3,1)))</f>
        <v>1</v>
      </c>
      <c r="M7" s="48" t="n">
        <f aca="false">IF(Assumptions!M$8=1,Ramp_Year1,IF(Assumptions!M$8=2,Ramp_Year2,IF(Assumptions!M$8=3,Ramp_Year3,1)))</f>
        <v>1</v>
      </c>
      <c r="N7" s="48" t="n">
        <f aca="false">IF(Assumptions!N$8=1,Ramp_Year1,IF(Assumptions!N$8=2,Ramp_Year2,IF(Assumptions!N$8=3,Ramp_Year3,1)))</f>
        <v>1</v>
      </c>
      <c r="O7" s="48" t="n">
        <f aca="false">IF(Assumptions!O$8=1,Ramp_Year1,IF(Assumptions!O$8=2,Ramp_Year2,IF(Assumptions!O$8=3,Ramp_Year3,1)))</f>
        <v>1</v>
      </c>
      <c r="P7" s="48" t="n">
        <f aca="false">IF(Assumptions!P$8=1,Ramp_Year1,IF(Assumptions!P$8=2,Ramp_Year2,IF(Assumptions!P$8=3,Ramp_Year3,1)))</f>
        <v>1</v>
      </c>
      <c r="Q7" s="48" t="n">
        <f aca="false">IF(Assumptions!Q$8=1,Ramp_Year1,IF(Assumptions!Q$8=2,Ramp_Year2,IF(Assumptions!Q$8=3,Ramp_Year3,1)))</f>
        <v>1</v>
      </c>
      <c r="R7" s="48" t="n">
        <f aca="false">IF(Assumptions!R$8=1,Ramp_Year1,IF(Assumptions!R$8=2,Ramp_Year2,IF(Assumptions!R$8=3,Ramp_Year3,1)))</f>
        <v>1</v>
      </c>
      <c r="S7" s="48" t="n">
        <f aca="false">IF(Assumptions!S$8=1,Ramp_Year1,IF(Assumptions!S$8=2,Ramp_Year2,IF(Assumptions!S$8=3,Ramp_Year3,1)))</f>
        <v>1</v>
      </c>
      <c r="T7" s="48" t="n">
        <f aca="false">IF(Assumptions!T$8=1,Ramp_Year1,IF(Assumptions!T$8=2,Ramp_Year2,IF(Assumptions!T$8=3,Ramp_Year3,1)))</f>
        <v>1</v>
      </c>
      <c r="U7" s="48" t="n">
        <f aca="false">IF(Assumptions!U$8=1,Ramp_Year1,IF(Assumptions!U$8=2,Ramp_Year2,IF(Assumptions!U$8=3,Ramp_Year3,1)))</f>
        <v>1</v>
      </c>
      <c r="V7" s="48" t="n">
        <f aca="false">IF(Assumptions!V$8=1,Ramp_Year1,IF(Assumptions!V$8=2,Ramp_Year2,IF(Assumptions!V$8=3,Ramp_Year3,1)))</f>
        <v>1</v>
      </c>
      <c r="W7" s="48" t="n">
        <f aca="false">IF(Assumptions!W$8=1,Ramp_Year1,IF(Assumptions!W$8=2,Ramp_Year2,IF(Assumptions!W$8=3,Ramp_Year3,1)))</f>
        <v>1</v>
      </c>
      <c r="X7" s="48" t="n">
        <f aca="false">IF(Assumptions!X$8=1,Ramp_Year1,IF(Assumptions!X$8=2,Ramp_Year2,IF(Assumptions!X$8=3,Ramp_Year3,1)))</f>
        <v>1</v>
      </c>
      <c r="Y7" s="48" t="n">
        <f aca="false">IF(Assumptions!Y$8=1,Ramp_Year1,IF(Assumptions!Y$8=2,Ramp_Year2,IF(Assumptions!Y$8=3,Ramp_Year3,1)))</f>
        <v>1</v>
      </c>
      <c r="Z7" s="48" t="n">
        <f aca="false">IF(Assumptions!Z$8=1,Ramp_Year1,IF(Assumptions!Z$8=2,Ramp_Year2,IF(Assumptions!Z$8=3,Ramp_Year3,1)))</f>
        <v>1</v>
      </c>
      <c r="AA7" s="48" t="n">
        <f aca="false">IF(Assumptions!AA$8=1,Ramp_Year1,IF(Assumptions!AA$8=2,Ramp_Year2,IF(Assumptions!AA$8=3,Ramp_Year3,1)))</f>
        <v>1</v>
      </c>
      <c r="AB7" s="48" t="n">
        <f aca="false">IF(Assumptions!AB$8=1,Ramp_Year1,IF(Assumptions!AB$8=2,Ramp_Year2,IF(Assumptions!AB$8=3,Ramp_Year3,1)))</f>
        <v>1</v>
      </c>
      <c r="AC7" s="48" t="n">
        <f aca="false">IF(Assumptions!AC$8=1,Ramp_Year1,IF(Assumptions!AC$8=2,Ramp_Year2,IF(Assumptions!AC$8=3,Ramp_Year3,1)))</f>
        <v>1</v>
      </c>
      <c r="AD7" s="48" t="n">
        <f aca="false">IF(Assumptions!AD$8=1,Ramp_Year1,IF(Assumptions!AD$8=2,Ramp_Year2,IF(Assumptions!AD$8=3,Ramp_Year3,1)))</f>
        <v>1</v>
      </c>
      <c r="AE7" s="48" t="n">
        <f aca="false">IF(Assumptions!AE$8=1,Ramp_Year1,IF(Assumptions!AE$8=2,Ramp_Year2,IF(Assumptions!AE$8=3,Ramp_Year3,1)))</f>
        <v>1</v>
      </c>
      <c r="AF7" s="48" t="n">
        <f aca="false">IF(Assumptions!AF$8=1,Ramp_Year1,IF(Assumptions!AF$8=2,Ramp_Year2,IF(Assumptions!AF$8=3,Ramp_Year3,1)))</f>
        <v>1</v>
      </c>
      <c r="AG7" s="48" t="n">
        <f aca="false">IF(Assumptions!AG$8=1,Ramp_Year1,IF(Assumptions!AG$8=2,Ramp_Year2,IF(Assumptions!AG$8=3,Ramp_Year3,1)))</f>
        <v>1</v>
      </c>
      <c r="AH7" s="48" t="n">
        <f aca="false">IF(Assumptions!AH$8=1,Ramp_Year1,IF(Assumptions!AH$8=2,Ramp_Year2,IF(Assumptions!AH$8=3,Ramp_Year3,1)))</f>
        <v>1</v>
      </c>
      <c r="AI7" s="48" t="n">
        <f aca="false">IF(Assumptions!AI$8=1,Ramp_Year1,IF(Assumptions!AI$8=2,Ramp_Year2,IF(Assumptions!AI$8=3,Ramp_Year3,1)))</f>
        <v>1</v>
      </c>
      <c r="AJ7" s="48" t="n">
        <f aca="false">IF(Assumptions!AJ$8=1,Ramp_Year1,IF(Assumptions!AJ$8=2,Ramp_Year2,IF(Assumptions!AJ$8=3,Ramp_Year3,1)))</f>
        <v>1</v>
      </c>
      <c r="AK7" s="48" t="n">
        <f aca="false">IF(Assumptions!AK$8=1,Ramp_Year1,IF(Assumptions!AK$8=2,Ramp_Year2,IF(Assumptions!AK$8=3,Ramp_Year3,1)))</f>
        <v>1</v>
      </c>
    </row>
    <row r="8" customFormat="false" ht="15" hidden="false" customHeight="false" outlineLevel="0" collapsed="false">
      <c r="A8" s="5"/>
      <c r="B8" s="34" t="s">
        <v>227</v>
      </c>
      <c r="C8" s="45" t="n">
        <f aca="false">0</f>
        <v>0</v>
      </c>
      <c r="D8" s="45" t="n">
        <f aca="false">0</f>
        <v>0</v>
      </c>
      <c r="E8" s="45" t="n">
        <f aca="false">0</f>
        <v>0</v>
      </c>
      <c r="F8" s="45" t="n">
        <f aca="false">0</f>
        <v>0</v>
      </c>
      <c r="G8" s="45" t="n">
        <f aca="false">0</f>
        <v>0</v>
      </c>
      <c r="H8" s="45" t="n">
        <f aca="false">Mature_Ridership*H7</f>
        <v>5000000</v>
      </c>
      <c r="I8" s="45" t="n">
        <f aca="false">Mature_Ridership*I7</f>
        <v>6800000</v>
      </c>
      <c r="J8" s="45" t="n">
        <f aca="false">Mature_Ridership*J7</f>
        <v>8400000</v>
      </c>
      <c r="K8" s="45" t="n">
        <f aca="false">Mature_Ridership*K7</f>
        <v>10000000</v>
      </c>
      <c r="L8" s="45" t="n">
        <f aca="false">Mature_Ridership*L7</f>
        <v>10000000</v>
      </c>
      <c r="M8" s="45" t="n">
        <f aca="false">Mature_Ridership*M7</f>
        <v>10000000</v>
      </c>
      <c r="N8" s="45" t="n">
        <f aca="false">Mature_Ridership*N7</f>
        <v>10000000</v>
      </c>
      <c r="O8" s="45" t="n">
        <f aca="false">Mature_Ridership*O7</f>
        <v>10000000</v>
      </c>
      <c r="P8" s="45" t="n">
        <f aca="false">Mature_Ridership*P7</f>
        <v>10000000</v>
      </c>
      <c r="Q8" s="45" t="n">
        <f aca="false">Mature_Ridership*Q7</f>
        <v>10000000</v>
      </c>
      <c r="R8" s="45" t="n">
        <f aca="false">Mature_Ridership*R7</f>
        <v>10000000</v>
      </c>
      <c r="S8" s="45" t="n">
        <f aca="false">Mature_Ridership*S7</f>
        <v>10000000</v>
      </c>
      <c r="T8" s="45" t="n">
        <f aca="false">Mature_Ridership*T7</f>
        <v>10000000</v>
      </c>
      <c r="U8" s="45" t="n">
        <f aca="false">Mature_Ridership*U7</f>
        <v>10000000</v>
      </c>
      <c r="V8" s="45" t="n">
        <f aca="false">Mature_Ridership*V7</f>
        <v>10000000</v>
      </c>
      <c r="W8" s="45" t="n">
        <f aca="false">Mature_Ridership*W7</f>
        <v>10000000</v>
      </c>
      <c r="X8" s="45" t="n">
        <f aca="false">Mature_Ridership*X7</f>
        <v>10000000</v>
      </c>
      <c r="Y8" s="45" t="n">
        <f aca="false">Mature_Ridership*Y7</f>
        <v>10000000</v>
      </c>
      <c r="Z8" s="45" t="n">
        <f aca="false">Mature_Ridership*Z7</f>
        <v>10000000</v>
      </c>
      <c r="AA8" s="45" t="n">
        <f aca="false">Mature_Ridership*AA7</f>
        <v>10000000</v>
      </c>
      <c r="AB8" s="45" t="n">
        <f aca="false">Mature_Ridership*AB7</f>
        <v>10000000</v>
      </c>
      <c r="AC8" s="45" t="n">
        <f aca="false">Mature_Ridership*AC7</f>
        <v>10000000</v>
      </c>
      <c r="AD8" s="45" t="n">
        <f aca="false">Mature_Ridership*AD7</f>
        <v>10000000</v>
      </c>
      <c r="AE8" s="45" t="n">
        <f aca="false">Mature_Ridership*AE7</f>
        <v>10000000</v>
      </c>
      <c r="AF8" s="45" t="n">
        <f aca="false">Mature_Ridership*AF7</f>
        <v>10000000</v>
      </c>
      <c r="AG8" s="45" t="n">
        <f aca="false">Mature_Ridership*AG7</f>
        <v>10000000</v>
      </c>
      <c r="AH8" s="45" t="n">
        <f aca="false">Mature_Ridership*AH7</f>
        <v>10000000</v>
      </c>
      <c r="AI8" s="45" t="n">
        <f aca="false">Mature_Ridership*AI7</f>
        <v>10000000</v>
      </c>
      <c r="AJ8" s="45" t="n">
        <f aca="false">Mature_Ridership*AJ7</f>
        <v>10000000</v>
      </c>
      <c r="AK8" s="45" t="n">
        <f aca="false">Mature_Ridership*AK7</f>
        <v>10000000</v>
      </c>
    </row>
    <row r="9" customFormat="false" ht="15" hidden="false" customHeight="false" outlineLevel="0" collapsed="false">
      <c r="A9" s="5"/>
      <c r="B9" s="34" t="s">
        <v>228</v>
      </c>
      <c r="C9" s="45" t="n">
        <f aca="false">0</f>
        <v>0</v>
      </c>
      <c r="D9" s="45" t="n">
        <f aca="false">0</f>
        <v>0</v>
      </c>
      <c r="E9" s="45" t="n">
        <f aca="false">0</f>
        <v>0</v>
      </c>
      <c r="F9" s="45" t="n">
        <f aca="false">0</f>
        <v>0</v>
      </c>
      <c r="G9" s="45" t="n">
        <f aca="false">0</f>
        <v>0</v>
      </c>
      <c r="H9" s="45" t="n">
        <f aca="false">Avg_Fare</f>
        <v>3.5</v>
      </c>
      <c r="I9" s="45" t="n">
        <f aca="false">H9*(1+Fare_Escalation)</f>
        <v>3.5875</v>
      </c>
      <c r="J9" s="45" t="n">
        <f aca="false">I9*(1+Fare_Escalation)</f>
        <v>3.6771875</v>
      </c>
      <c r="K9" s="45" t="n">
        <f aca="false">J9*(1+Fare_Escalation)</f>
        <v>3.7691171875</v>
      </c>
      <c r="L9" s="45" t="n">
        <f aca="false">K9*(1+Fare_Escalation)</f>
        <v>3.8633451171875</v>
      </c>
      <c r="M9" s="45" t="n">
        <f aca="false">L9*(1+Fare_Escalation)</f>
        <v>3.95992874511719</v>
      </c>
      <c r="N9" s="45" t="n">
        <f aca="false">M9*(1+Fare_Escalation)</f>
        <v>4.05892696374511</v>
      </c>
      <c r="O9" s="45" t="n">
        <f aca="false">N9*(1+Fare_Escalation)</f>
        <v>4.16040013783874</v>
      </c>
      <c r="P9" s="45" t="n">
        <f aca="false">O9*(1+Fare_Escalation)</f>
        <v>4.26441014128471</v>
      </c>
      <c r="Q9" s="45" t="n">
        <f aca="false">P9*(1+Fare_Escalation)</f>
        <v>4.37102039481683</v>
      </c>
      <c r="R9" s="45" t="n">
        <f aca="false">Q9*(1+Fare_Escalation)</f>
        <v>4.48029590468725</v>
      </c>
      <c r="S9" s="45" t="n">
        <f aca="false">R9*(1+Fare_Escalation)</f>
        <v>4.59230330230443</v>
      </c>
      <c r="T9" s="45" t="n">
        <f aca="false">S9*(1+Fare_Escalation)</f>
        <v>4.70711088486204</v>
      </c>
      <c r="U9" s="45" t="n">
        <f aca="false">T9*(1+Fare_Escalation)</f>
        <v>4.82478865698359</v>
      </c>
      <c r="V9" s="45" t="n">
        <f aca="false">U9*(1+Fare_Escalation)</f>
        <v>4.94540837340818</v>
      </c>
      <c r="W9" s="45" t="n">
        <f aca="false">V9*(1+Fare_Escalation)</f>
        <v>5.06904358274338</v>
      </c>
      <c r="X9" s="45" t="n">
        <f aca="false">W9*(1+Fare_Escalation)</f>
        <v>5.19576967231197</v>
      </c>
      <c r="Y9" s="45" t="n">
        <f aca="false">X9*(1+Fare_Escalation)</f>
        <v>5.32566391411977</v>
      </c>
      <c r="Z9" s="45" t="n">
        <f aca="false">Y9*(1+Fare_Escalation)</f>
        <v>5.45880551197276</v>
      </c>
      <c r="AA9" s="45" t="n">
        <f aca="false">Z9*(1+Fare_Escalation)</f>
        <v>5.59527564977208</v>
      </c>
      <c r="AB9" s="45" t="n">
        <f aca="false">AA9*(1+Fare_Escalation)</f>
        <v>5.73515754101638</v>
      </c>
      <c r="AC9" s="45" t="n">
        <f aca="false">AB9*(1+Fare_Escalation)</f>
        <v>5.87853647954179</v>
      </c>
      <c r="AD9" s="45" t="n">
        <f aca="false">AC9*(1+Fare_Escalation)</f>
        <v>6.02549989153033</v>
      </c>
      <c r="AE9" s="45" t="n">
        <f aca="false">AD9*(1+Fare_Escalation)</f>
        <v>6.17613738881859</v>
      </c>
      <c r="AF9" s="45" t="n">
        <f aca="false">AE9*(1+Fare_Escalation)</f>
        <v>6.33054082353906</v>
      </c>
      <c r="AG9" s="45" t="n">
        <f aca="false">AF9*(1+Fare_Escalation)</f>
        <v>6.48880434412753</v>
      </c>
      <c r="AH9" s="45" t="n">
        <f aca="false">AG9*(1+Fare_Escalation)</f>
        <v>6.65102445273072</v>
      </c>
      <c r="AI9" s="45" t="n">
        <f aca="false">AH9*(1+Fare_Escalation)</f>
        <v>6.81730006404899</v>
      </c>
      <c r="AJ9" s="45" t="n">
        <f aca="false">AI9*(1+Fare_Escalation)</f>
        <v>6.98773256565021</v>
      </c>
      <c r="AK9" s="45" t="n">
        <f aca="false">AJ9*(1+Fare_Escalation)</f>
        <v>7.16242587979147</v>
      </c>
    </row>
    <row r="10" customFormat="false" ht="15" hidden="false" customHeight="false" outlineLevel="0" collapsed="false">
      <c r="A10" s="5"/>
      <c r="B10" s="34" t="s">
        <v>225</v>
      </c>
      <c r="C10" s="45" t="n">
        <f aca="false">0</f>
        <v>0</v>
      </c>
      <c r="D10" s="45" t="n">
        <f aca="false">0</f>
        <v>0</v>
      </c>
      <c r="E10" s="45" t="n">
        <f aca="false">0</f>
        <v>0</v>
      </c>
      <c r="F10" s="45" t="n">
        <f aca="false">0</f>
        <v>0</v>
      </c>
      <c r="G10" s="45" t="n">
        <f aca="false">0</f>
        <v>0</v>
      </c>
      <c r="H10" s="45" t="n">
        <f aca="false">H8*H9</f>
        <v>17500000</v>
      </c>
      <c r="I10" s="45" t="n">
        <f aca="false">I8*I9</f>
        <v>24395000</v>
      </c>
      <c r="J10" s="45" t="n">
        <f aca="false">J8*J9</f>
        <v>30888375</v>
      </c>
      <c r="K10" s="45" t="n">
        <f aca="false">K8*K9</f>
        <v>37691171.875</v>
      </c>
      <c r="L10" s="45" t="n">
        <f aca="false">L8*L9</f>
        <v>38633451.171875</v>
      </c>
      <c r="M10" s="45" t="n">
        <f aca="false">M8*M9</f>
        <v>39599287.4511719</v>
      </c>
      <c r="N10" s="45" t="n">
        <f aca="false">N8*N9</f>
        <v>40589269.6374511</v>
      </c>
      <c r="O10" s="45" t="n">
        <f aca="false">O8*O9</f>
        <v>41604001.3783874</v>
      </c>
      <c r="P10" s="45" t="n">
        <f aca="false">P8*P9</f>
        <v>42644101.4128471</v>
      </c>
      <c r="Q10" s="45" t="n">
        <f aca="false">Q8*Q9</f>
        <v>43710203.9481683</v>
      </c>
      <c r="R10" s="45" t="n">
        <f aca="false">R8*R9</f>
        <v>44802959.0468725</v>
      </c>
      <c r="S10" s="45" t="n">
        <f aca="false">S8*S9</f>
        <v>45923033.0230443</v>
      </c>
      <c r="T10" s="45" t="n">
        <f aca="false">T8*T9</f>
        <v>47071108.8486204</v>
      </c>
      <c r="U10" s="45" t="n">
        <f aca="false">U8*U9</f>
        <v>48247886.5698359</v>
      </c>
      <c r="V10" s="45" t="n">
        <f aca="false">V8*V9</f>
        <v>49454083.7340818</v>
      </c>
      <c r="W10" s="45" t="n">
        <f aca="false">W8*W9</f>
        <v>50690435.8274338</v>
      </c>
      <c r="X10" s="45" t="n">
        <f aca="false">X8*X9</f>
        <v>51957696.7231197</v>
      </c>
      <c r="Y10" s="45" t="n">
        <f aca="false">Y8*Y9</f>
        <v>53256639.1411977</v>
      </c>
      <c r="Z10" s="45" t="n">
        <f aca="false">Z8*Z9</f>
        <v>54588055.1197276</v>
      </c>
      <c r="AA10" s="45" t="n">
        <f aca="false">AA8*AA9</f>
        <v>55952756.4977208</v>
      </c>
      <c r="AB10" s="45" t="n">
        <f aca="false">AB8*AB9</f>
        <v>57351575.4101638</v>
      </c>
      <c r="AC10" s="45" t="n">
        <f aca="false">AC8*AC9</f>
        <v>58785364.7954179</v>
      </c>
      <c r="AD10" s="45" t="n">
        <f aca="false">AD8*AD9</f>
        <v>60254998.9153033</v>
      </c>
      <c r="AE10" s="45" t="n">
        <f aca="false">AE8*AE9</f>
        <v>61761373.8881859</v>
      </c>
      <c r="AF10" s="45" t="n">
        <f aca="false">AF8*AF9</f>
        <v>63305408.2353906</v>
      </c>
      <c r="AG10" s="45" t="n">
        <f aca="false">AG8*AG9</f>
        <v>64888043.4412753</v>
      </c>
      <c r="AH10" s="45" t="n">
        <f aca="false">AH8*AH9</f>
        <v>66510244.5273072</v>
      </c>
      <c r="AI10" s="45" t="n">
        <f aca="false">AI8*AI9</f>
        <v>68173000.6404899</v>
      </c>
      <c r="AJ10" s="45" t="n">
        <f aca="false">AJ8*AJ9</f>
        <v>69877325.6565021</v>
      </c>
      <c r="AK10" s="45" t="n">
        <f aca="false">AK8*AK9</f>
        <v>71624258.7979147</v>
      </c>
    </row>
    <row r="11" customFormat="false" ht="15" hidden="false" customHeight="false" outlineLevel="0" collapsed="false">
      <c r="A11" s="5"/>
      <c r="B11" s="31" t="s">
        <v>229</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customFormat="false" ht="15" hidden="false" customHeight="false" outlineLevel="0" collapsed="false">
      <c r="A12" s="5"/>
      <c r="B12" s="34" t="s">
        <v>229</v>
      </c>
      <c r="C12" s="45" t="n">
        <f aca="false">0</f>
        <v>0</v>
      </c>
      <c r="D12" s="45" t="n">
        <f aca="false">0</f>
        <v>0</v>
      </c>
      <c r="E12" s="45" t="n">
        <f aca="false">0</f>
        <v>0</v>
      </c>
      <c r="F12" s="45" t="n">
        <f aca="false">0</f>
        <v>0</v>
      </c>
      <c r="G12" s="45" t="n">
        <f aca="false">0</f>
        <v>0</v>
      </c>
      <c r="H12" s="45" t="n">
        <f aca="false">Ancillary_Base</f>
        <v>3000000</v>
      </c>
      <c r="I12" s="45" t="n">
        <f aca="false">H12*(1+Ancillary_Growth)</f>
        <v>3090000</v>
      </c>
      <c r="J12" s="45" t="n">
        <f aca="false">I12*(1+Ancillary_Growth)</f>
        <v>3182700</v>
      </c>
      <c r="K12" s="45" t="n">
        <f aca="false">J12*(1+Ancillary_Growth)</f>
        <v>3278181</v>
      </c>
      <c r="L12" s="45" t="n">
        <f aca="false">K12*(1+Ancillary_Growth)</f>
        <v>3376526.43</v>
      </c>
      <c r="M12" s="45" t="n">
        <f aca="false">L12*(1+Ancillary_Growth)</f>
        <v>3477822.2229</v>
      </c>
      <c r="N12" s="45" t="n">
        <f aca="false">M12*(1+Ancillary_Growth)</f>
        <v>3582156.889587</v>
      </c>
      <c r="O12" s="45" t="n">
        <f aca="false">N12*(1+Ancillary_Growth)</f>
        <v>3689621.59627461</v>
      </c>
      <c r="P12" s="45" t="n">
        <f aca="false">O12*(1+Ancillary_Growth)</f>
        <v>3800310.24416285</v>
      </c>
      <c r="Q12" s="45" t="n">
        <f aca="false">P12*(1+Ancillary_Growth)</f>
        <v>3914319.55148773</v>
      </c>
      <c r="R12" s="45" t="n">
        <f aca="false">Q12*(1+Ancillary_Growth)</f>
        <v>4031749.13803237</v>
      </c>
      <c r="S12" s="45" t="n">
        <f aca="false">R12*(1+Ancillary_Growth)</f>
        <v>4152701.61217334</v>
      </c>
      <c r="T12" s="45" t="n">
        <f aca="false">S12*(1+Ancillary_Growth)</f>
        <v>4277282.66053854</v>
      </c>
      <c r="U12" s="45" t="n">
        <f aca="false">T12*(1+Ancillary_Growth)</f>
        <v>4405601.14035469</v>
      </c>
      <c r="V12" s="45" t="n">
        <f aca="false">U12*(1+Ancillary_Growth)</f>
        <v>4537769.17456534</v>
      </c>
      <c r="W12" s="45" t="n">
        <f aca="false">V12*(1+Ancillary_Growth)</f>
        <v>4673902.2498023</v>
      </c>
      <c r="X12" s="45" t="n">
        <f aca="false">W12*(1+Ancillary_Growth)</f>
        <v>4814119.31729636</v>
      </c>
      <c r="Y12" s="45" t="n">
        <f aca="false">X12*(1+Ancillary_Growth)</f>
        <v>4958542.89681526</v>
      </c>
      <c r="Z12" s="45" t="n">
        <f aca="false">Y12*(1+Ancillary_Growth)</f>
        <v>5107299.18371971</v>
      </c>
      <c r="AA12" s="45" t="n">
        <f aca="false">Z12*(1+Ancillary_Growth)</f>
        <v>5260518.15923131</v>
      </c>
      <c r="AB12" s="45" t="n">
        <f aca="false">AA12*(1+Ancillary_Growth)</f>
        <v>5418333.70400824</v>
      </c>
      <c r="AC12" s="45" t="n">
        <f aca="false">AB12*(1+Ancillary_Growth)</f>
        <v>5580883.71512849</v>
      </c>
      <c r="AD12" s="45" t="n">
        <f aca="false">AC12*(1+Ancillary_Growth)</f>
        <v>5748310.22658235</v>
      </c>
      <c r="AE12" s="45" t="n">
        <f aca="false">AD12*(1+Ancillary_Growth)</f>
        <v>5920759.53337982</v>
      </c>
      <c r="AF12" s="45" t="n">
        <f aca="false">AE12*(1+Ancillary_Growth)</f>
        <v>6098382.31938121</v>
      </c>
      <c r="AG12" s="45" t="n">
        <f aca="false">AF12*(1+Ancillary_Growth)</f>
        <v>6281333.78896265</v>
      </c>
      <c r="AH12" s="45" t="n">
        <f aca="false">AG12*(1+Ancillary_Growth)</f>
        <v>6469773.80263153</v>
      </c>
      <c r="AI12" s="45" t="n">
        <f aca="false">AH12*(1+Ancillary_Growth)</f>
        <v>6663867.01671047</v>
      </c>
      <c r="AJ12" s="45" t="n">
        <f aca="false">AI12*(1+Ancillary_Growth)</f>
        <v>6863783.02721179</v>
      </c>
      <c r="AK12" s="45" t="n">
        <f aca="false">AJ12*(1+Ancillary_Growth)</f>
        <v>7069696.51802814</v>
      </c>
    </row>
    <row r="13" customFormat="false" ht="15" hidden="false" customHeight="false" outlineLevel="0" collapsed="false">
      <c r="A13" s="5"/>
      <c r="B13" s="31" t="s">
        <v>230</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customFormat="false" ht="15" hidden="false" customHeight="false" outlineLevel="0" collapsed="false">
      <c r="A14" s="5"/>
      <c r="B14" s="51" t="s">
        <v>231</v>
      </c>
      <c r="C14" s="52" t="n">
        <f aca="false">0</f>
        <v>0</v>
      </c>
      <c r="D14" s="52" t="n">
        <f aca="false">0</f>
        <v>0</v>
      </c>
      <c r="E14" s="52" t="n">
        <f aca="false">0</f>
        <v>0</v>
      </c>
      <c r="F14" s="52" t="n">
        <f aca="false">0</f>
        <v>0</v>
      </c>
      <c r="G14" s="52" t="n">
        <f aca="false">0</f>
        <v>0</v>
      </c>
      <c r="H14" s="52" t="n">
        <f aca="false">H5+H10+H12</f>
        <v>60500000</v>
      </c>
      <c r="I14" s="52" t="n">
        <f aca="false">I5+I10+I12</f>
        <v>68485000</v>
      </c>
      <c r="J14" s="52" t="n">
        <f aca="false">J5+J10+J12</f>
        <v>76096075</v>
      </c>
      <c r="K14" s="52" t="n">
        <f aca="false">K5+K10+K12</f>
        <v>84044977.875</v>
      </c>
      <c r="L14" s="52" t="n">
        <f aca="false">L5+L10+L12</f>
        <v>86162493.226875</v>
      </c>
      <c r="M14" s="52" t="n">
        <f aca="false">M5+M10+M12</f>
        <v>88333438.1896968</v>
      </c>
      <c r="N14" s="52" t="n">
        <f aca="false">N5+N10+N12</f>
        <v>90559163.2555537</v>
      </c>
      <c r="O14" s="52" t="n">
        <f aca="false">O5+O10+O12</f>
        <v>92841053.1213905</v>
      </c>
      <c r="P14" s="52" t="n">
        <f aca="false">P5+P10+P12</f>
        <v>95180527.5574067</v>
      </c>
      <c r="Q14" s="52" t="n">
        <f aca="false">Q5+Q10+Q12</f>
        <v>97579042.2975626</v>
      </c>
      <c r="R14" s="52" t="n">
        <f aca="false">R5+R10+R12</f>
        <v>100038089.952759</v>
      </c>
      <c r="S14" s="52" t="n">
        <f aca="false">S5+S10+S12</f>
        <v>102559200.947268</v>
      </c>
      <c r="T14" s="52" t="n">
        <f aca="false">T5+T10+T12</f>
        <v>105143944.479011</v>
      </c>
      <c r="U14" s="52" t="n">
        <f aca="false">U5+U10+U12</f>
        <v>107793929.504289</v>
      </c>
      <c r="V14" s="52" t="n">
        <f aca="false">V5+V10+V12</f>
        <v>110510805.747598</v>
      </c>
      <c r="W14" s="52" t="n">
        <f aca="false">W5+W10+W12</f>
        <v>113296264.737161</v>
      </c>
      <c r="X14" s="52" t="n">
        <f aca="false">X5+X10+X12</f>
        <v>116152040.866839</v>
      </c>
      <c r="Y14" s="52" t="n">
        <f aca="false">Y5+Y10+Y12</f>
        <v>119079912.485096</v>
      </c>
      <c r="Z14" s="52" t="n">
        <f aca="false">Z5+Z10+Z12</f>
        <v>122081703.011707</v>
      </c>
      <c r="AA14" s="52" t="n">
        <f aca="false">AA5+AA10+AA12</f>
        <v>125159282.082919</v>
      </c>
      <c r="AB14" s="52" t="n">
        <f aca="false">AB5+AB10+AB12</f>
        <v>128314566.725788</v>
      </c>
      <c r="AC14" s="52" t="n">
        <f aca="false">AC5+AC10+AC12</f>
        <v>131549522.562453</v>
      </c>
      <c r="AD14" s="52" t="n">
        <f aca="false">AD5+AD10+AD12</f>
        <v>134866165.045089</v>
      </c>
      <c r="AE14" s="52" t="n">
        <f aca="false">AE5+AE10+AE12</f>
        <v>138266560.72235</v>
      </c>
      <c r="AF14" s="52" t="n">
        <f aca="false">AF5+AF10+AF12</f>
        <v>141752828.538075</v>
      </c>
      <c r="AG14" s="52" t="n">
        <f aca="false">AG5+AG10+AG12</f>
        <v>145327141.163124</v>
      </c>
      <c r="AH14" s="52" t="n">
        <f aca="false">AH5+AH10+AH12</f>
        <v>148991726.361147</v>
      </c>
      <c r="AI14" s="52" t="n">
        <f aca="false">AI5+AI10+AI12</f>
        <v>152748868.389189</v>
      </c>
      <c r="AJ14" s="52" t="n">
        <f aca="false">AJ5+AJ10+AJ12</f>
        <v>156600909.434002</v>
      </c>
      <c r="AK14" s="52" t="n">
        <f aca="false">AK5+AK10+AK12</f>
        <v>160550251.084988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K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232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233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234</v>
      </c>
      <c r="C5" s="44" t="n">
        <f aca="false">0</f>
        <v>0</v>
      </c>
      <c r="D5" s="44" t="n">
        <f aca="false">0</f>
        <v>0</v>
      </c>
      <c r="E5" s="44" t="n">
        <f aca="false">0</f>
        <v>0</v>
      </c>
      <c r="F5" s="44" t="n">
        <f aca="false">0</f>
        <v>0</v>
      </c>
      <c r="G5" s="44" t="n">
        <f aca="false">0</f>
        <v>0</v>
      </c>
      <c r="H5" s="44" t="n">
        <f aca="false">-Opex_Base</f>
        <v>-16000000</v>
      </c>
      <c r="I5" s="44" t="n">
        <f aca="false">H5*(1+Opex_Escalation)</f>
        <v>-16400000</v>
      </c>
      <c r="J5" s="44" t="n">
        <f aca="false">I5*(1+Opex_Escalation)</f>
        <v>-16810000</v>
      </c>
      <c r="K5" s="44" t="n">
        <f aca="false">J5*(1+Opex_Escalation)</f>
        <v>-17230250</v>
      </c>
      <c r="L5" s="44" t="n">
        <f aca="false">K5*(1+Opex_Escalation)</f>
        <v>-17661006.25</v>
      </c>
      <c r="M5" s="44" t="n">
        <f aca="false">L5*(1+Opex_Escalation)</f>
        <v>-18102531.40625</v>
      </c>
      <c r="N5" s="44" t="n">
        <f aca="false">M5*(1+Opex_Escalation)</f>
        <v>-18555094.6914062</v>
      </c>
      <c r="O5" s="44" t="n">
        <f aca="false">N5*(1+Opex_Escalation)</f>
        <v>-19018972.0586914</v>
      </c>
      <c r="P5" s="44" t="n">
        <f aca="false">O5*(1+Opex_Escalation)</f>
        <v>-19494446.3601587</v>
      </c>
      <c r="Q5" s="44" t="n">
        <f aca="false">P5*(1+Opex_Escalation)</f>
        <v>-19981807.5191627</v>
      </c>
      <c r="R5" s="44" t="n">
        <f aca="false">Q5*(1+Opex_Escalation)</f>
        <v>-20481352.7071417</v>
      </c>
      <c r="S5" s="44" t="n">
        <f aca="false">R5*(1+Opex_Escalation)</f>
        <v>-20993386.5248203</v>
      </c>
      <c r="T5" s="44" t="n">
        <f aca="false">S5*(1+Opex_Escalation)</f>
        <v>-21518221.1879408</v>
      </c>
      <c r="U5" s="44" t="n">
        <f aca="false">T5*(1+Opex_Escalation)</f>
        <v>-22056176.7176393</v>
      </c>
      <c r="V5" s="44" t="n">
        <f aca="false">U5*(1+Opex_Escalation)</f>
        <v>-22607581.1355803</v>
      </c>
      <c r="W5" s="44" t="n">
        <f aca="false">V5*(1+Opex_Escalation)</f>
        <v>-23172770.6639698</v>
      </c>
      <c r="X5" s="44" t="n">
        <f aca="false">W5*(1+Opex_Escalation)</f>
        <v>-23752089.930569</v>
      </c>
      <c r="Y5" s="44" t="n">
        <f aca="false">X5*(1+Opex_Escalation)</f>
        <v>-24345892.1788332</v>
      </c>
      <c r="Z5" s="44" t="n">
        <f aca="false">Y5*(1+Opex_Escalation)</f>
        <v>-24954539.4833041</v>
      </c>
      <c r="AA5" s="44" t="n">
        <f aca="false">Z5*(1+Opex_Escalation)</f>
        <v>-25578402.9703867</v>
      </c>
      <c r="AB5" s="44" t="n">
        <f aca="false">AA5*(1+Opex_Escalation)</f>
        <v>-26217863.0446463</v>
      </c>
      <c r="AC5" s="44" t="n">
        <f aca="false">AB5*(1+Opex_Escalation)</f>
        <v>-26873309.6207625</v>
      </c>
      <c r="AD5" s="44" t="n">
        <f aca="false">AC5*(1+Opex_Escalation)</f>
        <v>-27545142.3612815</v>
      </c>
      <c r="AE5" s="44" t="n">
        <f aca="false">AD5*(1+Opex_Escalation)</f>
        <v>-28233770.9203136</v>
      </c>
      <c r="AF5" s="44" t="n">
        <f aca="false">AE5*(1+Opex_Escalation)</f>
        <v>-28939615.1933214</v>
      </c>
      <c r="AG5" s="44" t="n">
        <f aca="false">AF5*(1+Opex_Escalation)</f>
        <v>-29663105.5731544</v>
      </c>
      <c r="AH5" s="44" t="n">
        <f aca="false">AG5*(1+Opex_Escalation)</f>
        <v>-30404683.2124833</v>
      </c>
      <c r="AI5" s="44" t="n">
        <f aca="false">AH5*(1+Opex_Escalation)</f>
        <v>-31164800.2927954</v>
      </c>
      <c r="AJ5" s="44" t="n">
        <f aca="false">AI5*(1+Opex_Escalation)</f>
        <v>-31943920.3001153</v>
      </c>
      <c r="AK5" s="44" t="n">
        <f aca="false">AJ5*(1+Opex_Escalation)</f>
        <v>-32742518.3076182</v>
      </c>
    </row>
    <row r="6" customFormat="false" ht="15" hidden="false" customHeight="false" outlineLevel="0" collapsed="false">
      <c r="A6" s="5"/>
      <c r="B6" s="31" t="s">
        <v>235</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customFormat="false" ht="15" hidden="false" customHeight="false" outlineLevel="0" collapsed="false">
      <c r="A7" s="5"/>
      <c r="B7" s="34" t="s">
        <v>236</v>
      </c>
      <c r="C7" s="45" t="n">
        <f aca="false">0</f>
        <v>0</v>
      </c>
      <c r="D7" s="45" t="n">
        <f aca="false">0</f>
        <v>0</v>
      </c>
      <c r="E7" s="45" t="n">
        <f aca="false">0</f>
        <v>0</v>
      </c>
      <c r="F7" s="45" t="n">
        <f aca="false">0</f>
        <v>0</v>
      </c>
      <c r="G7" s="45" t="n">
        <f aca="false">0</f>
        <v>0</v>
      </c>
      <c r="H7" s="45" t="n">
        <f aca="false">-(Construction!C5*Lifecycle_Pct)</f>
        <v>-14000000</v>
      </c>
      <c r="I7" s="45" t="n">
        <f aca="false">-(Construction!C5*Lifecycle_Pct)</f>
        <v>-14000000</v>
      </c>
      <c r="J7" s="45" t="n">
        <f aca="false">-(Construction!C5*Lifecycle_Pct)</f>
        <v>-14000000</v>
      </c>
      <c r="K7" s="45" t="n">
        <f aca="false">-(Construction!C5*Lifecycle_Pct)</f>
        <v>-14000000</v>
      </c>
      <c r="L7" s="45" t="n">
        <f aca="false">-(Construction!C5*Lifecycle_Pct)</f>
        <v>-14000000</v>
      </c>
      <c r="M7" s="45" t="n">
        <f aca="false">-(Construction!C5*Lifecycle_Pct)</f>
        <v>-14000000</v>
      </c>
      <c r="N7" s="45" t="n">
        <f aca="false">-(Construction!C5*Lifecycle_Pct)</f>
        <v>-14000000</v>
      </c>
      <c r="O7" s="45" t="n">
        <f aca="false">-(Construction!C5*Lifecycle_Pct)</f>
        <v>-14000000</v>
      </c>
      <c r="P7" s="45" t="n">
        <f aca="false">-(Construction!C5*Lifecycle_Pct)</f>
        <v>-14000000</v>
      </c>
      <c r="Q7" s="45" t="n">
        <f aca="false">-(Construction!C5*Lifecycle_Pct)</f>
        <v>-14000000</v>
      </c>
      <c r="R7" s="45" t="n">
        <f aca="false">-(Construction!C5*Lifecycle_Pct)</f>
        <v>-14000000</v>
      </c>
      <c r="S7" s="45" t="n">
        <f aca="false">-(Construction!C5*Lifecycle_Pct)</f>
        <v>-14000000</v>
      </c>
      <c r="T7" s="45" t="n">
        <f aca="false">-(Construction!C5*Lifecycle_Pct)</f>
        <v>-14000000</v>
      </c>
      <c r="U7" s="45" t="n">
        <f aca="false">-(Construction!C5*Lifecycle_Pct)</f>
        <v>-14000000</v>
      </c>
      <c r="V7" s="45" t="n">
        <f aca="false">-(Construction!C5*Lifecycle_Pct)</f>
        <v>-14000000</v>
      </c>
      <c r="W7" s="45" t="n">
        <f aca="false">-(Construction!C5*Lifecycle_Pct)</f>
        <v>-14000000</v>
      </c>
      <c r="X7" s="45" t="n">
        <f aca="false">-(Construction!C5*Lifecycle_Pct)</f>
        <v>-14000000</v>
      </c>
      <c r="Y7" s="45" t="n">
        <f aca="false">-(Construction!C5*Lifecycle_Pct)</f>
        <v>-14000000</v>
      </c>
      <c r="Z7" s="45" t="n">
        <f aca="false">-(Construction!C5*Lifecycle_Pct)</f>
        <v>-14000000</v>
      </c>
      <c r="AA7" s="45" t="n">
        <f aca="false">-(Construction!C5*Lifecycle_Pct)</f>
        <v>-14000000</v>
      </c>
      <c r="AB7" s="45" t="n">
        <f aca="false">-(Construction!C5*Lifecycle_Pct)</f>
        <v>-14000000</v>
      </c>
      <c r="AC7" s="45" t="n">
        <f aca="false">-(Construction!C5*Lifecycle_Pct)</f>
        <v>-14000000</v>
      </c>
      <c r="AD7" s="45" t="n">
        <f aca="false">-(Construction!C5*Lifecycle_Pct)</f>
        <v>-14000000</v>
      </c>
      <c r="AE7" s="45" t="n">
        <f aca="false">-(Construction!C5*Lifecycle_Pct)</f>
        <v>-14000000</v>
      </c>
      <c r="AF7" s="45" t="n">
        <f aca="false">-(Construction!C5*Lifecycle_Pct)</f>
        <v>-14000000</v>
      </c>
      <c r="AG7" s="45" t="n">
        <f aca="false">-(Construction!C5*Lifecycle_Pct)</f>
        <v>-14000000</v>
      </c>
      <c r="AH7" s="45" t="n">
        <f aca="false">-(Construction!C5*Lifecycle_Pct)</f>
        <v>-14000000</v>
      </c>
      <c r="AI7" s="45" t="n">
        <f aca="false">-(Construction!C5*Lifecycle_Pct)</f>
        <v>-14000000</v>
      </c>
      <c r="AJ7" s="45" t="n">
        <f aca="false">-(Construction!C5*Lifecycle_Pct)</f>
        <v>-14000000</v>
      </c>
      <c r="AK7" s="45" t="n">
        <f aca="false">-(Construction!C5*Lifecycle_Pct)</f>
        <v>-14000000</v>
      </c>
    </row>
    <row r="8" customFormat="false" ht="15" hidden="false" customHeight="false" outlineLevel="0" collapsed="false">
      <c r="A8" s="5"/>
      <c r="B8" s="34" t="s">
        <v>237</v>
      </c>
      <c r="C8" s="45" t="n">
        <f aca="false">0</f>
        <v>0</v>
      </c>
      <c r="D8" s="45" t="n">
        <f aca="false">0</f>
        <v>0</v>
      </c>
      <c r="E8" s="45" t="n">
        <f aca="false">0</f>
        <v>0</v>
      </c>
      <c r="F8" s="45" t="n">
        <f aca="false">0</f>
        <v>0</v>
      </c>
      <c r="G8" s="45" t="n">
        <f aca="false">0</f>
        <v>0</v>
      </c>
      <c r="H8" s="45" t="n">
        <f aca="false">IF(Assumptions!H$8=15,-Lifecycle_Spike1,IF(Assumptions!H$8=25,-Lifecycle_Spike2,0))</f>
        <v>0</v>
      </c>
      <c r="I8" s="45" t="n">
        <f aca="false">IF(Assumptions!I$8=15,-Lifecycle_Spike1,IF(Assumptions!I$8=25,-Lifecycle_Spike2,0))</f>
        <v>0</v>
      </c>
      <c r="J8" s="45" t="n">
        <f aca="false">IF(Assumptions!J$8=15,-Lifecycle_Spike1,IF(Assumptions!J$8=25,-Lifecycle_Spike2,0))</f>
        <v>0</v>
      </c>
      <c r="K8" s="45" t="n">
        <f aca="false">IF(Assumptions!K$8=15,-Lifecycle_Spike1,IF(Assumptions!K$8=25,-Lifecycle_Spike2,0))</f>
        <v>0</v>
      </c>
      <c r="L8" s="45" t="n">
        <f aca="false">IF(Assumptions!L$8=15,-Lifecycle_Spike1,IF(Assumptions!L$8=25,-Lifecycle_Spike2,0))</f>
        <v>0</v>
      </c>
      <c r="M8" s="45" t="n">
        <f aca="false">IF(Assumptions!M$8=15,-Lifecycle_Spike1,IF(Assumptions!M$8=25,-Lifecycle_Spike2,0))</f>
        <v>0</v>
      </c>
      <c r="N8" s="45" t="n">
        <f aca="false">IF(Assumptions!N$8=15,-Lifecycle_Spike1,IF(Assumptions!N$8=25,-Lifecycle_Spike2,0))</f>
        <v>0</v>
      </c>
      <c r="O8" s="45" t="n">
        <f aca="false">IF(Assumptions!O$8=15,-Lifecycle_Spike1,IF(Assumptions!O$8=25,-Lifecycle_Spike2,0))</f>
        <v>0</v>
      </c>
      <c r="P8" s="45" t="n">
        <f aca="false">IF(Assumptions!P$8=15,-Lifecycle_Spike1,IF(Assumptions!P$8=25,-Lifecycle_Spike2,0))</f>
        <v>0</v>
      </c>
      <c r="Q8" s="45" t="n">
        <f aca="false">IF(Assumptions!Q$8=15,-Lifecycle_Spike1,IF(Assumptions!Q$8=25,-Lifecycle_Spike2,0))</f>
        <v>0</v>
      </c>
      <c r="R8" s="45" t="n">
        <f aca="false">IF(Assumptions!R$8=15,-Lifecycle_Spike1,IF(Assumptions!R$8=25,-Lifecycle_Spike2,0))</f>
        <v>0</v>
      </c>
      <c r="S8" s="45" t="n">
        <f aca="false">IF(Assumptions!S$8=15,-Lifecycle_Spike1,IF(Assumptions!S$8=25,-Lifecycle_Spike2,0))</f>
        <v>0</v>
      </c>
      <c r="T8" s="45" t="n">
        <f aca="false">IF(Assumptions!T$8=15,-Lifecycle_Spike1,IF(Assumptions!T$8=25,-Lifecycle_Spike2,0))</f>
        <v>0</v>
      </c>
      <c r="U8" s="45" t="n">
        <f aca="false">IF(Assumptions!U$8=15,-Lifecycle_Spike1,IF(Assumptions!U$8=25,-Lifecycle_Spike2,0))</f>
        <v>0</v>
      </c>
      <c r="V8" s="45" t="n">
        <f aca="false">IF(Assumptions!V$8=15,-Lifecycle_Spike1,IF(Assumptions!V$8=25,-Lifecycle_Spike2,0))</f>
        <v>-60000000</v>
      </c>
      <c r="W8" s="45" t="n">
        <f aca="false">IF(Assumptions!W$8=15,-Lifecycle_Spike1,IF(Assumptions!W$8=25,-Lifecycle_Spike2,0))</f>
        <v>0</v>
      </c>
      <c r="X8" s="45" t="n">
        <f aca="false">IF(Assumptions!X$8=15,-Lifecycle_Spike1,IF(Assumptions!X$8=25,-Lifecycle_Spike2,0))</f>
        <v>0</v>
      </c>
      <c r="Y8" s="45" t="n">
        <f aca="false">IF(Assumptions!Y$8=15,-Lifecycle_Spike1,IF(Assumptions!Y$8=25,-Lifecycle_Spike2,0))</f>
        <v>0</v>
      </c>
      <c r="Z8" s="45" t="n">
        <f aca="false">IF(Assumptions!Z$8=15,-Lifecycle_Spike1,IF(Assumptions!Z$8=25,-Lifecycle_Spike2,0))</f>
        <v>0</v>
      </c>
      <c r="AA8" s="45" t="n">
        <f aca="false">IF(Assumptions!AA$8=15,-Lifecycle_Spike1,IF(Assumptions!AA$8=25,-Lifecycle_Spike2,0))</f>
        <v>0</v>
      </c>
      <c r="AB8" s="45" t="n">
        <f aca="false">IF(Assumptions!AB$8=15,-Lifecycle_Spike1,IF(Assumptions!AB$8=25,-Lifecycle_Spike2,0))</f>
        <v>0</v>
      </c>
      <c r="AC8" s="45" t="n">
        <f aca="false">IF(Assumptions!AC$8=15,-Lifecycle_Spike1,IF(Assumptions!AC$8=25,-Lifecycle_Spike2,0))</f>
        <v>0</v>
      </c>
      <c r="AD8" s="45" t="n">
        <f aca="false">IF(Assumptions!AD$8=15,-Lifecycle_Spike1,IF(Assumptions!AD$8=25,-Lifecycle_Spike2,0))</f>
        <v>0</v>
      </c>
      <c r="AE8" s="45" t="n">
        <f aca="false">IF(Assumptions!AE$8=15,-Lifecycle_Spike1,IF(Assumptions!AE$8=25,-Lifecycle_Spike2,0))</f>
        <v>0</v>
      </c>
      <c r="AF8" s="45" t="n">
        <f aca="false">IF(Assumptions!AF$8=15,-Lifecycle_Spike1,IF(Assumptions!AF$8=25,-Lifecycle_Spike2,0))</f>
        <v>-40000000</v>
      </c>
      <c r="AG8" s="45" t="n">
        <f aca="false">IF(Assumptions!AG$8=15,-Lifecycle_Spike1,IF(Assumptions!AG$8=25,-Lifecycle_Spike2,0))</f>
        <v>0</v>
      </c>
      <c r="AH8" s="45" t="n">
        <f aca="false">IF(Assumptions!AH$8=15,-Lifecycle_Spike1,IF(Assumptions!AH$8=25,-Lifecycle_Spike2,0))</f>
        <v>0</v>
      </c>
      <c r="AI8" s="45" t="n">
        <f aca="false">IF(Assumptions!AI$8=15,-Lifecycle_Spike1,IF(Assumptions!AI$8=25,-Lifecycle_Spike2,0))</f>
        <v>0</v>
      </c>
      <c r="AJ8" s="45" t="n">
        <f aca="false">IF(Assumptions!AJ$8=15,-Lifecycle_Spike1,IF(Assumptions!AJ$8=25,-Lifecycle_Spike2,0))</f>
        <v>0</v>
      </c>
      <c r="AK8" s="45" t="n">
        <f aca="false">IF(Assumptions!AK$8=15,-Lifecycle_Spike1,IF(Assumptions!AK$8=25,-Lifecycle_Spike2,0))</f>
        <v>0</v>
      </c>
    </row>
    <row r="9" customFormat="false" ht="15" hidden="false" customHeight="false" outlineLevel="0" collapsed="false">
      <c r="A9" s="5"/>
      <c r="B9" s="46" t="s">
        <v>238</v>
      </c>
      <c r="C9" s="47" t="n">
        <f aca="false">0</f>
        <v>0</v>
      </c>
      <c r="D9" s="47" t="n">
        <f aca="false">0</f>
        <v>0</v>
      </c>
      <c r="E9" s="47" t="n">
        <f aca="false">0</f>
        <v>0</v>
      </c>
      <c r="F9" s="47" t="n">
        <f aca="false">0</f>
        <v>0</v>
      </c>
      <c r="G9" s="47" t="n">
        <f aca="false">0</f>
        <v>0</v>
      </c>
      <c r="H9" s="47" t="n">
        <f aca="false">H7+H8</f>
        <v>-14000000</v>
      </c>
      <c r="I9" s="47" t="n">
        <f aca="false">I7+I8</f>
        <v>-14000000</v>
      </c>
      <c r="J9" s="47" t="n">
        <f aca="false">J7+J8</f>
        <v>-14000000</v>
      </c>
      <c r="K9" s="47" t="n">
        <f aca="false">K7+K8</f>
        <v>-14000000</v>
      </c>
      <c r="L9" s="47" t="n">
        <f aca="false">L7+L8</f>
        <v>-14000000</v>
      </c>
      <c r="M9" s="47" t="n">
        <f aca="false">M7+M8</f>
        <v>-14000000</v>
      </c>
      <c r="N9" s="47" t="n">
        <f aca="false">N7+N8</f>
        <v>-14000000</v>
      </c>
      <c r="O9" s="47" t="n">
        <f aca="false">O7+O8</f>
        <v>-14000000</v>
      </c>
      <c r="P9" s="47" t="n">
        <f aca="false">P7+P8</f>
        <v>-14000000</v>
      </c>
      <c r="Q9" s="47" t="n">
        <f aca="false">Q7+Q8</f>
        <v>-14000000</v>
      </c>
      <c r="R9" s="47" t="n">
        <f aca="false">R7+R8</f>
        <v>-14000000</v>
      </c>
      <c r="S9" s="47" t="n">
        <f aca="false">S7+S8</f>
        <v>-14000000</v>
      </c>
      <c r="T9" s="47" t="n">
        <f aca="false">T7+T8</f>
        <v>-14000000</v>
      </c>
      <c r="U9" s="47" t="n">
        <f aca="false">U7+U8</f>
        <v>-14000000</v>
      </c>
      <c r="V9" s="47" t="n">
        <f aca="false">V7+V8</f>
        <v>-74000000</v>
      </c>
      <c r="W9" s="47" t="n">
        <f aca="false">W7+W8</f>
        <v>-14000000</v>
      </c>
      <c r="X9" s="47" t="n">
        <f aca="false">X7+X8</f>
        <v>-14000000</v>
      </c>
      <c r="Y9" s="47" t="n">
        <f aca="false">Y7+Y8</f>
        <v>-14000000</v>
      </c>
      <c r="Z9" s="47" t="n">
        <f aca="false">Z7+Z8</f>
        <v>-14000000</v>
      </c>
      <c r="AA9" s="47" t="n">
        <f aca="false">AA7+AA8</f>
        <v>-14000000</v>
      </c>
      <c r="AB9" s="47" t="n">
        <f aca="false">AB7+AB8</f>
        <v>-14000000</v>
      </c>
      <c r="AC9" s="47" t="n">
        <f aca="false">AC7+AC8</f>
        <v>-14000000</v>
      </c>
      <c r="AD9" s="47" t="n">
        <f aca="false">AD7+AD8</f>
        <v>-14000000</v>
      </c>
      <c r="AE9" s="47" t="n">
        <f aca="false">AE7+AE8</f>
        <v>-14000000</v>
      </c>
      <c r="AF9" s="47" t="n">
        <f aca="false">AF7+AF8</f>
        <v>-54000000</v>
      </c>
      <c r="AG9" s="47" t="n">
        <f aca="false">AG7+AG8</f>
        <v>-14000000</v>
      </c>
      <c r="AH9" s="47" t="n">
        <f aca="false">AH7+AH8</f>
        <v>-14000000</v>
      </c>
      <c r="AI9" s="47" t="n">
        <f aca="false">AI7+AI8</f>
        <v>-14000000</v>
      </c>
      <c r="AJ9" s="47" t="n">
        <f aca="false">AJ7+AJ8</f>
        <v>-14000000</v>
      </c>
      <c r="AK9" s="47" t="n">
        <f aca="false">AK7+AK8</f>
        <v>-14000000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K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239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240</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241</v>
      </c>
      <c r="C5" s="44" t="n">
        <f aca="false">Constr_Debt_Close_CY5</f>
        <v>655631811.746062</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customFormat="false" ht="15" hidden="false" customHeight="false" outlineLevel="0" collapsed="false">
      <c r="A6" s="5"/>
      <c r="B6" s="34" t="s">
        <v>242</v>
      </c>
      <c r="C6" s="45" t="n">
        <f aca="false">Debt_At_COD*Interest_Rate</f>
        <v>36059749.6460334</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customFormat="false" ht="15" hidden="false" customHeight="false" outlineLevel="0" collapsed="false">
      <c r="A7" s="5"/>
      <c r="B7" s="49" t="s">
        <v>243</v>
      </c>
      <c r="C7" s="50" t="n">
        <f aca="false">Interest_At_COD*(DSRA_Months/12)</f>
        <v>18029874.8230167</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customFormat="false" ht="15" hidden="false" customHeight="false" outlineLevel="0" collapsed="false">
      <c r="A9" s="5"/>
      <c r="B9" s="31" t="s">
        <v>244</v>
      </c>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customFormat="false" ht="15" hidden="false" customHeight="false" outlineLevel="0" collapsed="false">
      <c r="A10" s="5"/>
      <c r="B10" s="34" t="s">
        <v>245</v>
      </c>
      <c r="C10" s="45" t="n">
        <f aca="false">0</f>
        <v>0</v>
      </c>
      <c r="D10" s="45" t="n">
        <f aca="false">0</f>
        <v>0</v>
      </c>
      <c r="E10" s="45" t="n">
        <f aca="false">0</f>
        <v>0</v>
      </c>
      <c r="F10" s="45" t="n">
        <f aca="false">0</f>
        <v>0</v>
      </c>
      <c r="G10" s="45" t="n">
        <f aca="false">0</f>
        <v>0</v>
      </c>
      <c r="H10" s="45" t="n">
        <f aca="false">Traffic_Revenue!H$14</f>
        <v>60500000</v>
      </c>
      <c r="I10" s="45" t="n">
        <f aca="false">Traffic_Revenue!I$14</f>
        <v>68485000</v>
      </c>
      <c r="J10" s="45" t="n">
        <f aca="false">Traffic_Revenue!J$14</f>
        <v>76096075</v>
      </c>
      <c r="K10" s="45" t="n">
        <f aca="false">Traffic_Revenue!K$14</f>
        <v>84044977.875</v>
      </c>
      <c r="L10" s="45" t="n">
        <f aca="false">Traffic_Revenue!L$14</f>
        <v>86162493.226875</v>
      </c>
      <c r="M10" s="45" t="n">
        <f aca="false">Traffic_Revenue!M$14</f>
        <v>88333438.1896968</v>
      </c>
      <c r="N10" s="45" t="n">
        <f aca="false">Traffic_Revenue!N$14</f>
        <v>90559163.2555537</v>
      </c>
      <c r="O10" s="45" t="n">
        <f aca="false">Traffic_Revenue!O$14</f>
        <v>92841053.1213905</v>
      </c>
      <c r="P10" s="45" t="n">
        <f aca="false">Traffic_Revenue!P$14</f>
        <v>95180527.5574067</v>
      </c>
      <c r="Q10" s="45" t="n">
        <f aca="false">Traffic_Revenue!Q$14</f>
        <v>97579042.2975626</v>
      </c>
      <c r="R10" s="45" t="n">
        <f aca="false">Traffic_Revenue!R$14</f>
        <v>100038089.952759</v>
      </c>
      <c r="S10" s="45" t="n">
        <f aca="false">Traffic_Revenue!S$14</f>
        <v>102559200.947268</v>
      </c>
      <c r="T10" s="45" t="n">
        <f aca="false">Traffic_Revenue!T$14</f>
        <v>105143944.479011</v>
      </c>
      <c r="U10" s="45" t="n">
        <f aca="false">Traffic_Revenue!U$14</f>
        <v>107793929.504289</v>
      </c>
      <c r="V10" s="45" t="n">
        <f aca="false">Traffic_Revenue!V$14</f>
        <v>110510805.747598</v>
      </c>
      <c r="W10" s="45" t="n">
        <f aca="false">Traffic_Revenue!W$14</f>
        <v>113296264.737161</v>
      </c>
      <c r="X10" s="45" t="n">
        <f aca="false">Traffic_Revenue!X$14</f>
        <v>116152040.866839</v>
      </c>
      <c r="Y10" s="45" t="n">
        <f aca="false">Traffic_Revenue!Y$14</f>
        <v>119079912.485096</v>
      </c>
      <c r="Z10" s="45" t="n">
        <f aca="false">Traffic_Revenue!Z$14</f>
        <v>122081703.011707</v>
      </c>
      <c r="AA10" s="45" t="n">
        <f aca="false">Traffic_Revenue!AA$14</f>
        <v>125159282.082919</v>
      </c>
      <c r="AB10" s="45" t="n">
        <f aca="false">Traffic_Revenue!AB$14</f>
        <v>128314566.725788</v>
      </c>
      <c r="AC10" s="45" t="n">
        <f aca="false">Traffic_Revenue!AC$14</f>
        <v>131549522.562453</v>
      </c>
      <c r="AD10" s="45" t="n">
        <f aca="false">Traffic_Revenue!AD$14</f>
        <v>134866165.045089</v>
      </c>
      <c r="AE10" s="45" t="n">
        <f aca="false">Traffic_Revenue!AE$14</f>
        <v>138266560.72235</v>
      </c>
      <c r="AF10" s="45" t="n">
        <f aca="false">Traffic_Revenue!AF$14</f>
        <v>141752828.538075</v>
      </c>
      <c r="AG10" s="45" t="n">
        <f aca="false">Traffic_Revenue!AG$14</f>
        <v>145327141.163124</v>
      </c>
      <c r="AH10" s="45" t="n">
        <f aca="false">Traffic_Revenue!AH$14</f>
        <v>148991726.361147</v>
      </c>
      <c r="AI10" s="45" t="n">
        <f aca="false">Traffic_Revenue!AI$14</f>
        <v>152748868.389189</v>
      </c>
      <c r="AJ10" s="45" t="n">
        <f aca="false">Traffic_Revenue!AJ$14</f>
        <v>156600909.434002</v>
      </c>
      <c r="AK10" s="45" t="n">
        <f aca="false">Traffic_Revenue!AK$14</f>
        <v>160550251.084988</v>
      </c>
    </row>
    <row r="11" customFormat="false" ht="15" hidden="false" customHeight="false" outlineLevel="0" collapsed="false">
      <c r="A11" s="5"/>
      <c r="B11" s="34" t="s">
        <v>13</v>
      </c>
      <c r="C11" s="45" t="n">
        <f aca="false">0</f>
        <v>0</v>
      </c>
      <c r="D11" s="45" t="n">
        <f aca="false">0</f>
        <v>0</v>
      </c>
      <c r="E11" s="45" t="n">
        <f aca="false">0</f>
        <v>0</v>
      </c>
      <c r="F11" s="45" t="n">
        <f aca="false">0</f>
        <v>0</v>
      </c>
      <c r="G11" s="45" t="n">
        <f aca="false">0</f>
        <v>0</v>
      </c>
      <c r="H11" s="45" t="n">
        <f aca="false">Opex!H$5</f>
        <v>-16000000</v>
      </c>
      <c r="I11" s="45" t="n">
        <f aca="false">Opex!I$5</f>
        <v>-16400000</v>
      </c>
      <c r="J11" s="45" t="n">
        <f aca="false">Opex!J$5</f>
        <v>-16810000</v>
      </c>
      <c r="K11" s="45" t="n">
        <f aca="false">Opex!K$5</f>
        <v>-17230250</v>
      </c>
      <c r="L11" s="45" t="n">
        <f aca="false">Opex!L$5</f>
        <v>-17661006.25</v>
      </c>
      <c r="M11" s="45" t="n">
        <f aca="false">Opex!M$5</f>
        <v>-18102531.40625</v>
      </c>
      <c r="N11" s="45" t="n">
        <f aca="false">Opex!N$5</f>
        <v>-18555094.6914062</v>
      </c>
      <c r="O11" s="45" t="n">
        <f aca="false">Opex!O$5</f>
        <v>-19018972.0586914</v>
      </c>
      <c r="P11" s="45" t="n">
        <f aca="false">Opex!P$5</f>
        <v>-19494446.3601587</v>
      </c>
      <c r="Q11" s="45" t="n">
        <f aca="false">Opex!Q$5</f>
        <v>-19981807.5191627</v>
      </c>
      <c r="R11" s="45" t="n">
        <f aca="false">Opex!R$5</f>
        <v>-20481352.7071417</v>
      </c>
      <c r="S11" s="45" t="n">
        <f aca="false">Opex!S$5</f>
        <v>-20993386.5248203</v>
      </c>
      <c r="T11" s="45" t="n">
        <f aca="false">Opex!T$5</f>
        <v>-21518221.1879408</v>
      </c>
      <c r="U11" s="45" t="n">
        <f aca="false">Opex!U$5</f>
        <v>-22056176.7176393</v>
      </c>
      <c r="V11" s="45" t="n">
        <f aca="false">Opex!V$5</f>
        <v>-22607581.1355803</v>
      </c>
      <c r="W11" s="45" t="n">
        <f aca="false">Opex!W$5</f>
        <v>-23172770.6639698</v>
      </c>
      <c r="X11" s="45" t="n">
        <f aca="false">Opex!X$5</f>
        <v>-23752089.930569</v>
      </c>
      <c r="Y11" s="45" t="n">
        <f aca="false">Opex!Y$5</f>
        <v>-24345892.1788332</v>
      </c>
      <c r="Z11" s="45" t="n">
        <f aca="false">Opex!Z$5</f>
        <v>-24954539.4833041</v>
      </c>
      <c r="AA11" s="45" t="n">
        <f aca="false">Opex!AA$5</f>
        <v>-25578402.9703867</v>
      </c>
      <c r="AB11" s="45" t="n">
        <f aca="false">Opex!AB$5</f>
        <v>-26217863.0446463</v>
      </c>
      <c r="AC11" s="45" t="n">
        <f aca="false">Opex!AC$5</f>
        <v>-26873309.6207625</v>
      </c>
      <c r="AD11" s="45" t="n">
        <f aca="false">Opex!AD$5</f>
        <v>-27545142.3612815</v>
      </c>
      <c r="AE11" s="45" t="n">
        <f aca="false">Opex!AE$5</f>
        <v>-28233770.9203136</v>
      </c>
      <c r="AF11" s="45" t="n">
        <f aca="false">Opex!AF$5</f>
        <v>-28939615.1933214</v>
      </c>
      <c r="AG11" s="45" t="n">
        <f aca="false">Opex!AG$5</f>
        <v>-29663105.5731544</v>
      </c>
      <c r="AH11" s="45" t="n">
        <f aca="false">Opex!AH$5</f>
        <v>-30404683.2124833</v>
      </c>
      <c r="AI11" s="45" t="n">
        <f aca="false">Opex!AI$5</f>
        <v>-31164800.2927954</v>
      </c>
      <c r="AJ11" s="45" t="n">
        <f aca="false">Opex!AJ$5</f>
        <v>-31943920.3001153</v>
      </c>
      <c r="AK11" s="45" t="n">
        <f aca="false">Opex!AK$5</f>
        <v>-32742518.3076182</v>
      </c>
    </row>
    <row r="12" customFormat="false" ht="15" hidden="false" customHeight="false" outlineLevel="0" collapsed="false">
      <c r="A12" s="5"/>
      <c r="B12" s="46" t="s">
        <v>246</v>
      </c>
      <c r="C12" s="47" t="n">
        <f aca="false">0</f>
        <v>0</v>
      </c>
      <c r="D12" s="47" t="n">
        <f aca="false">0</f>
        <v>0</v>
      </c>
      <c r="E12" s="47" t="n">
        <f aca="false">0</f>
        <v>0</v>
      </c>
      <c r="F12" s="47" t="n">
        <f aca="false">0</f>
        <v>0</v>
      </c>
      <c r="G12" s="47" t="n">
        <f aca="false">0</f>
        <v>0</v>
      </c>
      <c r="H12" s="47" t="n">
        <f aca="false">H10+H11</f>
        <v>44500000</v>
      </c>
      <c r="I12" s="47" t="n">
        <f aca="false">I10+I11</f>
        <v>52085000</v>
      </c>
      <c r="J12" s="47" t="n">
        <f aca="false">J10+J11</f>
        <v>59286075</v>
      </c>
      <c r="K12" s="47" t="n">
        <f aca="false">K10+K11</f>
        <v>66814727.875</v>
      </c>
      <c r="L12" s="47" t="n">
        <f aca="false">L10+L11</f>
        <v>68501486.976875</v>
      </c>
      <c r="M12" s="47" t="n">
        <f aca="false">M10+M11</f>
        <v>70230906.7834468</v>
      </c>
      <c r="N12" s="47" t="n">
        <f aca="false">N10+N11</f>
        <v>72004068.5641475</v>
      </c>
      <c r="O12" s="47" t="n">
        <f aca="false">O10+O11</f>
        <v>73822081.0626991</v>
      </c>
      <c r="P12" s="47" t="n">
        <f aca="false">P10+P11</f>
        <v>75686081.197248</v>
      </c>
      <c r="Q12" s="47" t="n">
        <f aca="false">Q10+Q11</f>
        <v>77597234.7784</v>
      </c>
      <c r="R12" s="47" t="n">
        <f aca="false">R10+R11</f>
        <v>79556737.2456174</v>
      </c>
      <c r="S12" s="47" t="n">
        <f aca="false">S10+S11</f>
        <v>81565814.422448</v>
      </c>
      <c r="T12" s="47" t="n">
        <f aca="false">T10+T11</f>
        <v>83625723.29107</v>
      </c>
      <c r="U12" s="47" t="n">
        <f aca="false">U10+U11</f>
        <v>85737752.7866495</v>
      </c>
      <c r="V12" s="47" t="n">
        <f aca="false">V10+V11</f>
        <v>87903224.6120175</v>
      </c>
      <c r="W12" s="47" t="n">
        <f aca="false">W10+W11</f>
        <v>90123494.0731907</v>
      </c>
      <c r="X12" s="47" t="n">
        <f aca="false">X10+X11</f>
        <v>92399950.9362695</v>
      </c>
      <c r="Y12" s="47" t="n">
        <f aca="false">Y10+Y11</f>
        <v>94734020.3062627</v>
      </c>
      <c r="Z12" s="47" t="n">
        <f aca="false">Z10+Z11</f>
        <v>97127163.5284034</v>
      </c>
      <c r="AA12" s="47" t="n">
        <f aca="false">AA10+AA11</f>
        <v>99580879.1125321</v>
      </c>
      <c r="AB12" s="47" t="n">
        <f aca="false">AB10+AB11</f>
        <v>102096703.681142</v>
      </c>
      <c r="AC12" s="47" t="n">
        <f aca="false">AC10+AC11</f>
        <v>104676212.94169</v>
      </c>
      <c r="AD12" s="47" t="n">
        <f aca="false">AD10+AD11</f>
        <v>107321022.683808</v>
      </c>
      <c r="AE12" s="47" t="n">
        <f aca="false">AE10+AE11</f>
        <v>110032789.802036</v>
      </c>
      <c r="AF12" s="47" t="n">
        <f aca="false">AF10+AF11</f>
        <v>112813213.344754</v>
      </c>
      <c r="AG12" s="47" t="n">
        <f aca="false">AG10+AG11</f>
        <v>115664035.58997</v>
      </c>
      <c r="AH12" s="47" t="n">
        <f aca="false">AH10+AH11</f>
        <v>118587043.148664</v>
      </c>
      <c r="AI12" s="47" t="n">
        <f aca="false">AI10+AI11</f>
        <v>121584068.096393</v>
      </c>
      <c r="AJ12" s="47" t="n">
        <f aca="false">AJ10+AJ11</f>
        <v>124656989.133887</v>
      </c>
      <c r="AK12" s="47" t="n">
        <f aca="false">AK10+AK11</f>
        <v>127807732.77737</v>
      </c>
    </row>
    <row r="13" customFormat="false" ht="15" hidden="false" customHeight="false" outlineLevel="0" collapsed="false">
      <c r="A13" s="5"/>
      <c r="B13" s="34" t="s">
        <v>247</v>
      </c>
      <c r="C13" s="45" t="n">
        <f aca="false">0</f>
        <v>0</v>
      </c>
      <c r="D13" s="45" t="n">
        <f aca="false">0</f>
        <v>0</v>
      </c>
      <c r="E13" s="45" t="n">
        <f aca="false">0</f>
        <v>0</v>
      </c>
      <c r="F13" s="45" t="n">
        <f aca="false">0</f>
        <v>0</v>
      </c>
      <c r="G13" s="45" t="n">
        <f aca="false">0</f>
        <v>0</v>
      </c>
      <c r="H13" s="45" t="n">
        <f aca="false">Income_Statement!H$20</f>
        <v>-0</v>
      </c>
      <c r="I13" s="45" t="n">
        <f aca="false">Income_Statement!I$20</f>
        <v>-0</v>
      </c>
      <c r="J13" s="45" t="n">
        <f aca="false">Income_Statement!J$20</f>
        <v>-0</v>
      </c>
      <c r="K13" s="45" t="n">
        <f aca="false">Income_Statement!K$20</f>
        <v>-0</v>
      </c>
      <c r="L13" s="45" t="n">
        <f aca="false">Income_Statement!L$20</f>
        <v>-0</v>
      </c>
      <c r="M13" s="45" t="n">
        <f aca="false">Income_Statement!M$20</f>
        <v>-0</v>
      </c>
      <c r="N13" s="45" t="n">
        <f aca="false">Income_Statement!N$20</f>
        <v>-0</v>
      </c>
      <c r="O13" s="45" t="n">
        <f aca="false">Income_Statement!O$20</f>
        <v>-0</v>
      </c>
      <c r="P13" s="45" t="n">
        <f aca="false">Income_Statement!P$20</f>
        <v>-0</v>
      </c>
      <c r="Q13" s="45" t="n">
        <f aca="false">Income_Statement!Q$20</f>
        <v>-0</v>
      </c>
      <c r="R13" s="45" t="n">
        <f aca="false">Income_Statement!R$20</f>
        <v>-0</v>
      </c>
      <c r="S13" s="45" t="n">
        <f aca="false">Income_Statement!S$20</f>
        <v>-0</v>
      </c>
      <c r="T13" s="45" t="n">
        <f aca="false">Income_Statement!T$20</f>
        <v>-0</v>
      </c>
      <c r="U13" s="45" t="n">
        <f aca="false">Income_Statement!U$20</f>
        <v>-0</v>
      </c>
      <c r="V13" s="45" t="n">
        <f aca="false">Income_Statement!V$20</f>
        <v>-0</v>
      </c>
      <c r="W13" s="45" t="n">
        <f aca="false">Income_Statement!W$20</f>
        <v>-0</v>
      </c>
      <c r="X13" s="45" t="n">
        <f aca="false">Income_Statement!X$20</f>
        <v>-0</v>
      </c>
      <c r="Y13" s="45" t="n">
        <f aca="false">Income_Statement!Y$20</f>
        <v>-0</v>
      </c>
      <c r="Z13" s="45" t="n">
        <f aca="false">Income_Statement!Z$20</f>
        <v>-18361.1719986461</v>
      </c>
      <c r="AA13" s="45" t="n">
        <f aca="false">Income_Statement!AA$20</f>
        <v>-13910400.5135825</v>
      </c>
      <c r="AB13" s="45" t="n">
        <f aca="false">Income_Statement!AB$20</f>
        <v>-14539356.6557349</v>
      </c>
      <c r="AC13" s="45" t="n">
        <f aca="false">Income_Statement!AC$20</f>
        <v>-15184233.970872</v>
      </c>
      <c r="AD13" s="45" t="n">
        <f aca="false">Income_Statement!AD$20</f>
        <v>-15845436.4064015</v>
      </c>
      <c r="AE13" s="45" t="n">
        <f aca="false">Income_Statement!AE$20</f>
        <v>-16523378.1859585</v>
      </c>
      <c r="AF13" s="45" t="n">
        <f aca="false">Income_Statement!AF$20</f>
        <v>-7218484.07163794</v>
      </c>
      <c r="AG13" s="45" t="n">
        <f aca="false">Income_Statement!AG$20</f>
        <v>-17931189.6329419</v>
      </c>
      <c r="AH13" s="45" t="n">
        <f aca="false">Income_Statement!AH$20</f>
        <v>-18661941.5226154</v>
      </c>
      <c r="AI13" s="45" t="n">
        <f aca="false">Income_Statement!AI$20</f>
        <v>-19411197.7595478</v>
      </c>
      <c r="AJ13" s="45" t="n">
        <f aca="false">Income_Statement!AJ$20</f>
        <v>-20179428.0189212</v>
      </c>
      <c r="AK13" s="45" t="n">
        <f aca="false">Income_Statement!AK$20</f>
        <v>-20967113.929792</v>
      </c>
    </row>
    <row r="14" customFormat="false" ht="15" hidden="false" customHeight="false" outlineLevel="0" collapsed="false">
      <c r="A14" s="5"/>
      <c r="B14" s="46" t="s">
        <v>248</v>
      </c>
      <c r="C14" s="47" t="n">
        <f aca="false">0</f>
        <v>0</v>
      </c>
      <c r="D14" s="47" t="n">
        <f aca="false">0</f>
        <v>0</v>
      </c>
      <c r="E14" s="47" t="n">
        <f aca="false">0</f>
        <v>0</v>
      </c>
      <c r="F14" s="47" t="n">
        <f aca="false">0</f>
        <v>0</v>
      </c>
      <c r="G14" s="47" t="n">
        <f aca="false">0</f>
        <v>0</v>
      </c>
      <c r="H14" s="47" t="n">
        <f aca="false">H12+H13</f>
        <v>44500000</v>
      </c>
      <c r="I14" s="47" t="n">
        <f aca="false">I12+I13</f>
        <v>52085000</v>
      </c>
      <c r="J14" s="47" t="n">
        <f aca="false">J12+J13</f>
        <v>59286075</v>
      </c>
      <c r="K14" s="47" t="n">
        <f aca="false">K12+K13</f>
        <v>66814727.875</v>
      </c>
      <c r="L14" s="47" t="n">
        <f aca="false">L12+L13</f>
        <v>68501486.976875</v>
      </c>
      <c r="M14" s="47" t="n">
        <f aca="false">M12+M13</f>
        <v>70230906.7834468</v>
      </c>
      <c r="N14" s="47" t="n">
        <f aca="false">N12+N13</f>
        <v>72004068.5641475</v>
      </c>
      <c r="O14" s="47" t="n">
        <f aca="false">O12+O13</f>
        <v>73822081.0626991</v>
      </c>
      <c r="P14" s="47" t="n">
        <f aca="false">P12+P13</f>
        <v>75686081.197248</v>
      </c>
      <c r="Q14" s="47" t="n">
        <f aca="false">Q12+Q13</f>
        <v>77597234.7784</v>
      </c>
      <c r="R14" s="47" t="n">
        <f aca="false">R12+R13</f>
        <v>79556737.2456174</v>
      </c>
      <c r="S14" s="47" t="n">
        <f aca="false">S12+S13</f>
        <v>81565814.422448</v>
      </c>
      <c r="T14" s="47" t="n">
        <f aca="false">T12+T13</f>
        <v>83625723.29107</v>
      </c>
      <c r="U14" s="47" t="n">
        <f aca="false">U12+U13</f>
        <v>85737752.7866495</v>
      </c>
      <c r="V14" s="47" t="n">
        <f aca="false">V12+V13</f>
        <v>87903224.6120175</v>
      </c>
      <c r="W14" s="47" t="n">
        <f aca="false">W12+W13</f>
        <v>90123494.0731907</v>
      </c>
      <c r="X14" s="47" t="n">
        <f aca="false">X12+X13</f>
        <v>92399950.9362695</v>
      </c>
      <c r="Y14" s="47" t="n">
        <f aca="false">Y12+Y13</f>
        <v>94734020.3062627</v>
      </c>
      <c r="Z14" s="47" t="n">
        <f aca="false">Z12+Z13</f>
        <v>97108802.3564047</v>
      </c>
      <c r="AA14" s="47" t="n">
        <f aca="false">AA12+AA13</f>
        <v>85670478.5989496</v>
      </c>
      <c r="AB14" s="47" t="n">
        <f aca="false">AB12+AB13</f>
        <v>87557347.0254066</v>
      </c>
      <c r="AC14" s="47" t="n">
        <f aca="false">AC12+AC13</f>
        <v>89491978.9708181</v>
      </c>
      <c r="AD14" s="47" t="n">
        <f aca="false">AD12+AD13</f>
        <v>91475586.2774065</v>
      </c>
      <c r="AE14" s="47" t="n">
        <f aca="false">AE12+AE13</f>
        <v>93509411.6160775</v>
      </c>
      <c r="AF14" s="47" t="n">
        <f aca="false">AF12+AF13</f>
        <v>105594729.273116</v>
      </c>
      <c r="AG14" s="47" t="n">
        <f aca="false">AG12+AG13</f>
        <v>97732845.9570277</v>
      </c>
      <c r="AH14" s="47" t="n">
        <f aca="false">AH12+AH13</f>
        <v>99925101.6260482</v>
      </c>
      <c r="AI14" s="47" t="n">
        <f aca="false">AI12+AI13</f>
        <v>102172870.336846</v>
      </c>
      <c r="AJ14" s="47" t="n">
        <f aca="false">AJ12+AJ13</f>
        <v>104477561.114966</v>
      </c>
      <c r="AK14" s="47" t="n">
        <f aca="false">AK12+AK13</f>
        <v>106840618.847578</v>
      </c>
    </row>
    <row r="15" customFormat="false" ht="15" hidden="false" customHeight="false" outlineLevel="0" collapsed="false">
      <c r="A15" s="5"/>
      <c r="B15" s="31" t="s">
        <v>249</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customFormat="false" ht="15" hidden="false" customHeight="false" outlineLevel="0" collapsed="false">
      <c r="A16" s="5"/>
      <c r="B16" s="34" t="s">
        <v>185</v>
      </c>
      <c r="C16" s="45" t="n">
        <f aca="false">0</f>
        <v>0</v>
      </c>
      <c r="D16" s="45" t="n">
        <f aca="false">0</f>
        <v>0</v>
      </c>
      <c r="E16" s="45" t="n">
        <f aca="false">0</f>
        <v>0</v>
      </c>
      <c r="F16" s="45" t="n">
        <f aca="false">0</f>
        <v>0</v>
      </c>
      <c r="G16" s="45" t="n">
        <f aca="false">0</f>
        <v>0</v>
      </c>
      <c r="H16" s="45" t="n">
        <f aca="false">Debt_At_COD</f>
        <v>655631811.746062</v>
      </c>
      <c r="I16" s="45" t="n">
        <f aca="false">Debt_Closing_OpsYr1</f>
        <v>655631811.746062</v>
      </c>
      <c r="J16" s="45" t="n">
        <f aca="false">Debt_Closing_OpsYr2</f>
        <v>655631811.746062</v>
      </c>
      <c r="K16" s="45" t="n">
        <f aca="false">Debt_Closing_OpsYr3</f>
        <v>644262701.392095</v>
      </c>
      <c r="L16" s="45" t="n">
        <f aca="false">Debt_Closing_OpsYr4</f>
        <v>626245367.668661</v>
      </c>
      <c r="M16" s="45" t="n">
        <f aca="false">Debt_Closing_OpsYr5</f>
        <v>605887673.308937</v>
      </c>
      <c r="N16" s="45" t="n">
        <f aca="false">Debt_Closing_OpsYr6</f>
        <v>583026769.914171</v>
      </c>
      <c r="O16" s="45" t="n">
        <f aca="false">Debt_Closing_OpsYr7</f>
        <v>557489987.408132</v>
      </c>
      <c r="P16" s="45" t="n">
        <f aca="false">Debt_Closing_OpsYr8</f>
        <v>529094271.86542</v>
      </c>
      <c r="Q16" s="45" t="n">
        <f aca="false">Debt_Closing_OpsYr9</f>
        <v>497645591.86022</v>
      </c>
      <c r="R16" s="45" t="n">
        <f aca="false">Debt_Closing_OpsYr10</f>
        <v>462938311.589812</v>
      </c>
      <c r="S16" s="45" t="n">
        <f aca="false">Debt_Closing_OpsYr11</f>
        <v>424754528.930758</v>
      </c>
      <c r="T16" s="45" t="n">
        <f aca="false">Debt_Closing_OpsYr12</f>
        <v>382863376.483991</v>
      </c>
      <c r="U16" s="45" t="n">
        <f aca="false">Debt_Closing_OpsYr13</f>
        <v>337020283.557755</v>
      </c>
      <c r="V16" s="45" t="n">
        <f aca="false">Debt_Closing_OpsYr14</f>
        <v>286966196.924112</v>
      </c>
      <c r="W16" s="45" t="n">
        <f aca="false">Debt_Closing_OpsYr15</f>
        <v>232426758.065324</v>
      </c>
      <c r="X16" s="45" t="n">
        <f aca="false">Debt_Closing_OpsYr16</f>
        <v>173111434.500364</v>
      </c>
      <c r="Y16" s="45" t="n">
        <f aca="false">Debt_Closing_OpsYr17</f>
        <v>108712602.648869</v>
      </c>
      <c r="Z16" s="45" t="n">
        <f aca="false">Debt_Closing_OpsYr18</f>
        <v>38904579.5495462</v>
      </c>
      <c r="AA16" s="45" t="n">
        <f aca="false">Debt_Closing_OpsYr19</f>
        <v>0</v>
      </c>
      <c r="AB16" s="45" t="n">
        <f aca="false">Debt_Closing_OpsYr20</f>
        <v>0</v>
      </c>
      <c r="AC16" s="45" t="n">
        <f aca="false">Debt_Closing_OpsYr21</f>
        <v>0</v>
      </c>
      <c r="AD16" s="45" t="n">
        <f aca="false">Debt_Closing_OpsYr22</f>
        <v>0</v>
      </c>
      <c r="AE16" s="45" t="n">
        <f aca="false">Debt_Closing_OpsYr23</f>
        <v>0</v>
      </c>
      <c r="AF16" s="45" t="n">
        <f aca="false">Debt_Closing_OpsYr24</f>
        <v>0</v>
      </c>
      <c r="AG16" s="45" t="n">
        <f aca="false">Debt_Closing_OpsYr25</f>
        <v>0</v>
      </c>
      <c r="AH16" s="45" t="n">
        <f aca="false">Debt_Closing_OpsYr26</f>
        <v>0</v>
      </c>
      <c r="AI16" s="45" t="n">
        <f aca="false">Debt_Closing_OpsYr27</f>
        <v>0</v>
      </c>
      <c r="AJ16" s="45" t="n">
        <f aca="false">Debt_Closing_OpsYr28</f>
        <v>0</v>
      </c>
      <c r="AK16" s="45" t="n">
        <f aca="false">Debt_Closing_OpsYr29</f>
        <v>0</v>
      </c>
    </row>
    <row r="17" customFormat="false" ht="15" hidden="false" customHeight="false" outlineLevel="0" collapsed="false">
      <c r="A17" s="5"/>
      <c r="B17" s="34" t="s">
        <v>250</v>
      </c>
      <c r="C17" s="45" t="n">
        <f aca="false">0</f>
        <v>0</v>
      </c>
      <c r="D17" s="45" t="n">
        <f aca="false">0</f>
        <v>0</v>
      </c>
      <c r="E17" s="45" t="n">
        <f aca="false">0</f>
        <v>0</v>
      </c>
      <c r="F17" s="45" t="n">
        <f aca="false">0</f>
        <v>0</v>
      </c>
      <c r="G17" s="45" t="n">
        <f aca="false">0</f>
        <v>0</v>
      </c>
      <c r="H17" s="45" t="n">
        <f aca="false">Debt_Opening_OpsYr1*Interest_Rate</f>
        <v>36059749.6460334</v>
      </c>
      <c r="I17" s="45" t="n">
        <f aca="false">Debt_Opening_OpsYr2*Interest_Rate</f>
        <v>36059749.6460334</v>
      </c>
      <c r="J17" s="45" t="n">
        <f aca="false">Debt_Opening_OpsYr3*Interest_Rate</f>
        <v>36059749.6460334</v>
      </c>
      <c r="K17" s="45" t="n">
        <f aca="false">Debt_Opening_OpsYr4*Interest_Rate</f>
        <v>35434448.5765652</v>
      </c>
      <c r="L17" s="45" t="n">
        <f aca="false">Debt_Opening_OpsYr5*Interest_Rate</f>
        <v>34443495.2217763</v>
      </c>
      <c r="M17" s="45" t="n">
        <f aca="false">Debt_Opening_OpsYr6*Interest_Rate</f>
        <v>33323822.0319915</v>
      </c>
      <c r="N17" s="45" t="n">
        <f aca="false">Debt_Opening_OpsYr7*Interest_Rate</f>
        <v>32066472.3452794</v>
      </c>
      <c r="O17" s="45" t="n">
        <f aca="false">Debt_Opening_OpsYr8*Interest_Rate</f>
        <v>30661949.3074473</v>
      </c>
      <c r="P17" s="45" t="n">
        <f aca="false">Debt_Opening_OpsYr9*Interest_Rate</f>
        <v>29100184.9525981</v>
      </c>
      <c r="Q17" s="45" t="n">
        <f aca="false">Debt_Opening_OpsYr10*Interest_Rate</f>
        <v>27370507.5523121</v>
      </c>
      <c r="R17" s="45" t="n">
        <f aca="false">Debt_Opening_OpsYr11*Interest_Rate</f>
        <v>25461607.1374397</v>
      </c>
      <c r="S17" s="45" t="n">
        <f aca="false">Debt_Opening_OpsYr12*Interest_Rate</f>
        <v>23361499.0911917</v>
      </c>
      <c r="T17" s="45" t="n">
        <f aca="false">Debt_Opening_OpsYr13*Interest_Rate</f>
        <v>21057485.7066195</v>
      </c>
      <c r="U17" s="45" t="n">
        <f aca="false">Debt_Opening_OpsYr14*Interest_Rate</f>
        <v>18536115.5956765</v>
      </c>
      <c r="V17" s="45" t="n">
        <f aca="false">Debt_Opening_OpsYr15*Interest_Rate</f>
        <v>15783140.8308261</v>
      </c>
      <c r="W17" s="45" t="n">
        <f aca="false">Debt_Opening_OpsYr16*Interest_Rate</f>
        <v>12783471.6935928</v>
      </c>
      <c r="X17" s="45" t="n">
        <f aca="false">Debt_Opening_OpsYr17*Interest_Rate</f>
        <v>9521128.89752003</v>
      </c>
      <c r="Y17" s="45" t="n">
        <f aca="false">Debt_Opening_OpsYr18*Interest_Rate</f>
        <v>5979193.14568777</v>
      </c>
      <c r="Z17" s="45" t="n">
        <f aca="false">Debt_Opening_OpsYr19*Interest_Rate</f>
        <v>2139751.87522504</v>
      </c>
      <c r="AA17" s="45" t="n">
        <f aca="false">Debt_Opening_OpsYr20*Interest_Rate</f>
        <v>0</v>
      </c>
      <c r="AB17" s="45" t="n">
        <f aca="false">Debt_Opening_OpsYr21*Interest_Rate</f>
        <v>0</v>
      </c>
      <c r="AC17" s="45" t="n">
        <f aca="false">Debt_Opening_OpsYr22*Interest_Rate</f>
        <v>0</v>
      </c>
      <c r="AD17" s="45" t="n">
        <f aca="false">Debt_Opening_OpsYr23*Interest_Rate</f>
        <v>0</v>
      </c>
      <c r="AE17" s="45" t="n">
        <f aca="false">Debt_Opening_OpsYr24*Interest_Rate</f>
        <v>0</v>
      </c>
      <c r="AF17" s="45" t="n">
        <f aca="false">Debt_Opening_OpsYr25*Interest_Rate</f>
        <v>0</v>
      </c>
      <c r="AG17" s="45" t="n">
        <f aca="false">Debt_Opening_OpsYr26*Interest_Rate</f>
        <v>0</v>
      </c>
      <c r="AH17" s="45" t="n">
        <f aca="false">Debt_Opening_OpsYr27*Interest_Rate</f>
        <v>0</v>
      </c>
      <c r="AI17" s="45" t="n">
        <f aca="false">Debt_Opening_OpsYr28*Interest_Rate</f>
        <v>0</v>
      </c>
      <c r="AJ17" s="45" t="n">
        <f aca="false">Debt_Opening_OpsYr29*Interest_Rate</f>
        <v>0</v>
      </c>
      <c r="AK17" s="45" t="n">
        <f aca="false">Debt_Opening_OpsYr30*Interest_Rate</f>
        <v>0</v>
      </c>
    </row>
    <row r="18" customFormat="false" ht="15" hidden="false" customHeight="false" outlineLevel="0" collapsed="false">
      <c r="A18" s="5"/>
      <c r="B18" s="34" t="s">
        <v>251</v>
      </c>
      <c r="C18" s="45" t="n">
        <f aca="false">0</f>
        <v>0</v>
      </c>
      <c r="D18" s="45" t="n">
        <f aca="false">0</f>
        <v>0</v>
      </c>
      <c r="E18" s="45" t="n">
        <f aca="false">0</f>
        <v>0</v>
      </c>
      <c r="F18" s="45" t="n">
        <f aca="false">0</f>
        <v>0</v>
      </c>
      <c r="G18" s="45" t="n">
        <f aca="false">0</f>
        <v>0</v>
      </c>
      <c r="H18" s="45" t="n">
        <f aca="false">IF(Assumptions!H$8&lt;=Grace_Period,0,MIN(Debt_Opening_OpsYr1,MAX(0,H14/DSCR_Target-H17)))</f>
        <v>0</v>
      </c>
      <c r="I18" s="45" t="n">
        <f aca="false">IF(Assumptions!I$8&lt;=Grace_Period,0,MIN(Debt_Opening_OpsYr2,MAX(0,I14/DSCR_Target-I17)))</f>
        <v>0</v>
      </c>
      <c r="J18" s="45" t="n">
        <f aca="false">IF(Assumptions!J$8&lt;=Grace_Period,0,MIN(Debt_Opening_OpsYr3,MAX(0,J14/DSCR_Target-J17)))</f>
        <v>11369110.3539666</v>
      </c>
      <c r="K18" s="45" t="n">
        <f aca="false">IF(Assumptions!K$8&lt;=Grace_Period,0,MIN(Debt_Opening_OpsYr4,MAX(0,K14/DSCR_Target-K17)))</f>
        <v>18017333.7234347</v>
      </c>
      <c r="L18" s="45" t="n">
        <f aca="false">IF(Assumptions!L$8&lt;=Grace_Period,0,MIN(Debt_Opening_OpsYr5,MAX(0,L14/DSCR_Target-L17)))</f>
        <v>20357694.3597236</v>
      </c>
      <c r="M18" s="45" t="n">
        <f aca="false">IF(Assumptions!M$8&lt;=Grace_Period,0,MIN(Debt_Opening_OpsYr6,MAX(0,M14/DSCR_Target-M17)))</f>
        <v>22860903.3947659</v>
      </c>
      <c r="N18" s="45" t="n">
        <f aca="false">IF(Assumptions!N$8&lt;=Grace_Period,0,MIN(Debt_Opening_OpsYr7,MAX(0,N14/DSCR_Target-N17)))</f>
        <v>25536782.5060386</v>
      </c>
      <c r="O18" s="45" t="n">
        <f aca="false">IF(Assumptions!O$8&lt;=Grace_Period,0,MIN(Debt_Opening_OpsYr8,MAX(0,O14/DSCR_Target-O17)))</f>
        <v>28395715.542712</v>
      </c>
      <c r="P18" s="45" t="n">
        <f aca="false">IF(Assumptions!P$8&lt;=Grace_Period,0,MIN(Debt_Opening_OpsYr9,MAX(0,P14/DSCR_Target-P17)))</f>
        <v>31448680.0052003</v>
      </c>
      <c r="Q18" s="45" t="n">
        <f aca="false">IF(Assumptions!Q$8&lt;=Grace_Period,0,MIN(Debt_Opening_OpsYr10,MAX(0,Q14/DSCR_Target-Q17)))</f>
        <v>34707280.2704079</v>
      </c>
      <c r="R18" s="45" t="n">
        <f aca="false">IF(Assumptions!R$8&lt;=Grace_Period,0,MIN(Debt_Opening_OpsYr11,MAX(0,R14/DSCR_Target-R17)))</f>
        <v>38183782.6590542</v>
      </c>
      <c r="S18" s="45" t="n">
        <f aca="false">IF(Assumptions!S$8&lt;=Grace_Period,0,MIN(Debt_Opening_OpsYr12,MAX(0,S14/DSCR_Target-S17)))</f>
        <v>41891152.4467667</v>
      </c>
      <c r="T18" s="45" t="n">
        <f aca="false">IF(Assumptions!T$8&lt;=Grace_Period,0,MIN(Debt_Opening_OpsYr13,MAX(0,T14/DSCR_Target-T17)))</f>
        <v>45843092.9262365</v>
      </c>
      <c r="U18" s="45" t="n">
        <f aca="false">IF(Assumptions!U$8&lt;=Grace_Period,0,MIN(Debt_Opening_OpsYr14,MAX(0,U14/DSCR_Target-U17)))</f>
        <v>50054086.6336431</v>
      </c>
      <c r="V18" s="45" t="n">
        <f aca="false">IF(Assumptions!V$8&lt;=Grace_Period,0,MIN(Debt_Opening_OpsYr15,MAX(0,V14/DSCR_Target-V17)))</f>
        <v>54539438.8587878</v>
      </c>
      <c r="W18" s="45" t="n">
        <f aca="false">IF(Assumptions!W$8&lt;=Grace_Period,0,MIN(Debt_Opening_OpsYr16,MAX(0,W14/DSCR_Target-W17)))</f>
        <v>59315323.5649598</v>
      </c>
      <c r="X18" s="45" t="n">
        <f aca="false">IF(Assumptions!X$8&lt;=Grace_Period,0,MIN(Debt_Opening_OpsYr17,MAX(0,X14/DSCR_Target-X17)))</f>
        <v>64398831.8514956</v>
      </c>
      <c r="Y18" s="45" t="n">
        <f aca="false">IF(Assumptions!Y$8&lt;=Grace_Period,0,MIN(Debt_Opening_OpsYr18,MAX(0,Y14/DSCR_Target-Y17)))</f>
        <v>69808023.0993224</v>
      </c>
      <c r="Z18" s="45" t="n">
        <f aca="false">IF(Assumptions!Z$8&lt;=Grace_Period,0,MIN(Debt_Opening_OpsYr19,MAX(0,Z14/DSCR_Target-Z17)))</f>
        <v>38904579.5495462</v>
      </c>
      <c r="AA18" s="45" t="n">
        <f aca="false">IF(Assumptions!AA$8&lt;=Grace_Period,0,MIN(Debt_Opening_OpsYr20,MAX(0,AA14/DSCR_Target-AA17)))</f>
        <v>0</v>
      </c>
      <c r="AB18" s="45" t="n">
        <f aca="false">IF(Assumptions!AB$8&lt;=Grace_Period,0,MIN(Debt_Opening_OpsYr21,MAX(0,AB14/DSCR_Target-AB17)))</f>
        <v>0</v>
      </c>
      <c r="AC18" s="45" t="n">
        <f aca="false">IF(Assumptions!AC$8&lt;=Grace_Period,0,MIN(Debt_Opening_OpsYr22,MAX(0,AC14/DSCR_Target-AC17)))</f>
        <v>0</v>
      </c>
      <c r="AD18" s="45" t="n">
        <f aca="false">IF(Assumptions!AD$8&lt;=Grace_Period,0,MIN(Debt_Opening_OpsYr23,MAX(0,AD14/DSCR_Target-AD17)))</f>
        <v>0</v>
      </c>
      <c r="AE18" s="45" t="n">
        <f aca="false">IF(Assumptions!AE$8&lt;=Grace_Period,0,MIN(Debt_Opening_OpsYr24,MAX(0,AE14/DSCR_Target-AE17)))</f>
        <v>0</v>
      </c>
      <c r="AF18" s="45" t="n">
        <f aca="false">IF(Assumptions!AF$8&lt;=Grace_Period,0,MIN(Debt_Opening_OpsYr25,MAX(0,AF14/DSCR_Target-AF17)))</f>
        <v>0</v>
      </c>
      <c r="AG18" s="45" t="n">
        <f aca="false">IF(Assumptions!AG$8&lt;=Grace_Period,0,MIN(Debt_Opening_OpsYr26,MAX(0,AG14/DSCR_Target-AG17)))</f>
        <v>0</v>
      </c>
      <c r="AH18" s="45" t="n">
        <f aca="false">IF(Assumptions!AH$8&lt;=Grace_Period,0,MIN(Debt_Opening_OpsYr27,MAX(0,AH14/DSCR_Target-AH17)))</f>
        <v>0</v>
      </c>
      <c r="AI18" s="45" t="n">
        <f aca="false">IF(Assumptions!AI$8&lt;=Grace_Period,0,MIN(Debt_Opening_OpsYr28,MAX(0,AI14/DSCR_Target-AI17)))</f>
        <v>0</v>
      </c>
      <c r="AJ18" s="45" t="n">
        <f aca="false">IF(Assumptions!AJ$8&lt;=Grace_Period,0,MIN(Debt_Opening_OpsYr29,MAX(0,AJ14/DSCR_Target-AJ17)))</f>
        <v>0</v>
      </c>
      <c r="AK18" s="45" t="n">
        <f aca="false">IF(Assumptions!AK$8&lt;=Grace_Period,0,MIN(Debt_Opening_OpsYr30,MAX(0,AK14/DSCR_Target-AK17)))</f>
        <v>0</v>
      </c>
    </row>
    <row r="19" customFormat="false" ht="15" hidden="false" customHeight="false" outlineLevel="0" collapsed="false">
      <c r="A19" s="5"/>
      <c r="B19" s="46" t="s">
        <v>188</v>
      </c>
      <c r="C19" s="47" t="n">
        <f aca="false">0</f>
        <v>0</v>
      </c>
      <c r="D19" s="47" t="n">
        <f aca="false">0</f>
        <v>0</v>
      </c>
      <c r="E19" s="47" t="n">
        <f aca="false">0</f>
        <v>0</v>
      </c>
      <c r="F19" s="47" t="n">
        <f aca="false">0</f>
        <v>0</v>
      </c>
      <c r="G19" s="47" t="n">
        <f aca="false">0</f>
        <v>0</v>
      </c>
      <c r="H19" s="47" t="n">
        <f aca="false">Debt_Opening_OpsYr1-Debt_Repayment_OpsYr1</f>
        <v>655631811.746062</v>
      </c>
      <c r="I19" s="47" t="n">
        <f aca="false">Debt_Opening_OpsYr2-Debt_Repayment_OpsYr2</f>
        <v>655631811.746062</v>
      </c>
      <c r="J19" s="47" t="n">
        <f aca="false">Debt_Opening_OpsYr3-Debt_Repayment_OpsYr3</f>
        <v>644262701.392095</v>
      </c>
      <c r="K19" s="47" t="n">
        <f aca="false">Debt_Opening_OpsYr4-Debt_Repayment_OpsYr4</f>
        <v>626245367.668661</v>
      </c>
      <c r="L19" s="47" t="n">
        <f aca="false">Debt_Opening_OpsYr5-Debt_Repayment_OpsYr5</f>
        <v>605887673.308937</v>
      </c>
      <c r="M19" s="47" t="n">
        <f aca="false">Debt_Opening_OpsYr6-Debt_Repayment_OpsYr6</f>
        <v>583026769.914171</v>
      </c>
      <c r="N19" s="47" t="n">
        <f aca="false">Debt_Opening_OpsYr7-Debt_Repayment_OpsYr7</f>
        <v>557489987.408132</v>
      </c>
      <c r="O19" s="47" t="n">
        <f aca="false">Debt_Opening_OpsYr8-Debt_Repayment_OpsYr8</f>
        <v>529094271.86542</v>
      </c>
      <c r="P19" s="47" t="n">
        <f aca="false">Debt_Opening_OpsYr9-Debt_Repayment_OpsYr9</f>
        <v>497645591.86022</v>
      </c>
      <c r="Q19" s="47" t="n">
        <f aca="false">Debt_Opening_OpsYr10-Debt_Repayment_OpsYr10</f>
        <v>462938311.589812</v>
      </c>
      <c r="R19" s="47" t="n">
        <f aca="false">Debt_Opening_OpsYr11-Debt_Repayment_OpsYr11</f>
        <v>424754528.930758</v>
      </c>
      <c r="S19" s="47" t="n">
        <f aca="false">Debt_Opening_OpsYr12-Debt_Repayment_OpsYr12</f>
        <v>382863376.483991</v>
      </c>
      <c r="T19" s="47" t="n">
        <f aca="false">Debt_Opening_OpsYr13-Debt_Repayment_OpsYr13</f>
        <v>337020283.557755</v>
      </c>
      <c r="U19" s="47" t="n">
        <f aca="false">Debt_Opening_OpsYr14-Debt_Repayment_OpsYr14</f>
        <v>286966196.924112</v>
      </c>
      <c r="V19" s="47" t="n">
        <f aca="false">Debt_Opening_OpsYr15-Debt_Repayment_OpsYr15</f>
        <v>232426758.065324</v>
      </c>
      <c r="W19" s="47" t="n">
        <f aca="false">Debt_Opening_OpsYr16-Debt_Repayment_OpsYr16</f>
        <v>173111434.500364</v>
      </c>
      <c r="X19" s="47" t="n">
        <f aca="false">Debt_Opening_OpsYr17-Debt_Repayment_OpsYr17</f>
        <v>108712602.648869</v>
      </c>
      <c r="Y19" s="47" t="n">
        <f aca="false">Debt_Opening_OpsYr18-Debt_Repayment_OpsYr18</f>
        <v>38904579.5495462</v>
      </c>
      <c r="Z19" s="47" t="n">
        <f aca="false">Debt_Opening_OpsYr19-Debt_Repayment_OpsYr19</f>
        <v>0</v>
      </c>
      <c r="AA19" s="47" t="n">
        <f aca="false">Debt_Opening_OpsYr20-Debt_Repayment_OpsYr20</f>
        <v>0</v>
      </c>
      <c r="AB19" s="47" t="n">
        <f aca="false">Debt_Opening_OpsYr21-Debt_Repayment_OpsYr21</f>
        <v>0</v>
      </c>
      <c r="AC19" s="47" t="n">
        <f aca="false">Debt_Opening_OpsYr22-Debt_Repayment_OpsYr22</f>
        <v>0</v>
      </c>
      <c r="AD19" s="47" t="n">
        <f aca="false">Debt_Opening_OpsYr23-Debt_Repayment_OpsYr23</f>
        <v>0</v>
      </c>
      <c r="AE19" s="47" t="n">
        <f aca="false">Debt_Opening_OpsYr24-Debt_Repayment_OpsYr24</f>
        <v>0</v>
      </c>
      <c r="AF19" s="47" t="n">
        <f aca="false">Debt_Opening_OpsYr25-Debt_Repayment_OpsYr25</f>
        <v>0</v>
      </c>
      <c r="AG19" s="47" t="n">
        <f aca="false">Debt_Opening_OpsYr26-Debt_Repayment_OpsYr26</f>
        <v>0</v>
      </c>
      <c r="AH19" s="47" t="n">
        <f aca="false">Debt_Opening_OpsYr27-Debt_Repayment_OpsYr27</f>
        <v>0</v>
      </c>
      <c r="AI19" s="47" t="n">
        <f aca="false">Debt_Opening_OpsYr28-Debt_Repayment_OpsYr28</f>
        <v>0</v>
      </c>
      <c r="AJ19" s="47" t="n">
        <f aca="false">Debt_Opening_OpsYr29-Debt_Repayment_OpsYr29</f>
        <v>0</v>
      </c>
      <c r="AK19" s="47" t="n">
        <f aca="false">Debt_Opening_OpsYr30-Debt_Repayment_OpsYr30</f>
        <v>0</v>
      </c>
    </row>
    <row r="20" customFormat="false" ht="15" hidden="false" customHeight="false" outlineLevel="0" collapsed="false">
      <c r="A20" s="5"/>
      <c r="B20" s="51" t="s">
        <v>252</v>
      </c>
      <c r="C20" s="52" t="n">
        <f aca="false">0</f>
        <v>0</v>
      </c>
      <c r="D20" s="52" t="n">
        <f aca="false">0</f>
        <v>0</v>
      </c>
      <c r="E20" s="52" t="n">
        <f aca="false">0</f>
        <v>0</v>
      </c>
      <c r="F20" s="52" t="n">
        <f aca="false">0</f>
        <v>0</v>
      </c>
      <c r="G20" s="52" t="n">
        <f aca="false">0</f>
        <v>0</v>
      </c>
      <c r="H20" s="52" t="n">
        <f aca="false">H17+Debt_Repayment_OpsYr1</f>
        <v>36059749.6460334</v>
      </c>
      <c r="I20" s="52" t="n">
        <f aca="false">I17+Debt_Repayment_OpsYr2</f>
        <v>36059749.6460334</v>
      </c>
      <c r="J20" s="52" t="n">
        <f aca="false">J17+Debt_Repayment_OpsYr3</f>
        <v>47428860</v>
      </c>
      <c r="K20" s="52" t="n">
        <f aca="false">K17+Debt_Repayment_OpsYr4</f>
        <v>53451782.3</v>
      </c>
      <c r="L20" s="52" t="n">
        <f aca="false">L17+Debt_Repayment_OpsYr5</f>
        <v>54801189.5815</v>
      </c>
      <c r="M20" s="52" t="n">
        <f aca="false">M17+Debt_Repayment_OpsYr6</f>
        <v>56184725.4267575</v>
      </c>
      <c r="N20" s="52" t="n">
        <f aca="false">N17+Debt_Repayment_OpsYr7</f>
        <v>57603254.851318</v>
      </c>
      <c r="O20" s="52" t="n">
        <f aca="false">O17+Debt_Repayment_OpsYr8</f>
        <v>59057664.8501593</v>
      </c>
      <c r="P20" s="52" t="n">
        <f aca="false">P17+Debt_Repayment_OpsYr9</f>
        <v>60548864.9577984</v>
      </c>
      <c r="Q20" s="52" t="n">
        <f aca="false">Q17+Debt_Repayment_OpsYr10</f>
        <v>62077787.82272</v>
      </c>
      <c r="R20" s="52" t="n">
        <f aca="false">R17+Debt_Repayment_OpsYr11</f>
        <v>63645389.7964939</v>
      </c>
      <c r="S20" s="52" t="n">
        <f aca="false">S17+Debt_Repayment_OpsYr12</f>
        <v>65252651.5379584</v>
      </c>
      <c r="T20" s="52" t="n">
        <f aca="false">T17+Debt_Repayment_OpsYr13</f>
        <v>66900578.632856</v>
      </c>
      <c r="U20" s="52" t="n">
        <f aca="false">U17+Debt_Repayment_OpsYr14</f>
        <v>68590202.2293196</v>
      </c>
      <c r="V20" s="52" t="n">
        <f aca="false">V17+Debt_Repayment_OpsYr15</f>
        <v>70322579.689614</v>
      </c>
      <c r="W20" s="52" t="n">
        <f aca="false">W17+Debt_Repayment_OpsYr16</f>
        <v>72098795.2585526</v>
      </c>
      <c r="X20" s="52" t="n">
        <f aca="false">X17+Debt_Repayment_OpsYr17</f>
        <v>73919960.7490156</v>
      </c>
      <c r="Y20" s="52" t="n">
        <f aca="false">Y17+Debt_Repayment_OpsYr18</f>
        <v>75787216.2450102</v>
      </c>
      <c r="Z20" s="52" t="n">
        <f aca="false">Z17+Debt_Repayment_OpsYr19</f>
        <v>41044331.4247712</v>
      </c>
      <c r="AA20" s="52" t="n">
        <f aca="false">AA17+Debt_Repayment_OpsYr20</f>
        <v>0</v>
      </c>
      <c r="AB20" s="52" t="n">
        <f aca="false">AB17+Debt_Repayment_OpsYr21</f>
        <v>0</v>
      </c>
      <c r="AC20" s="52" t="n">
        <f aca="false">AC17+Debt_Repayment_OpsYr22</f>
        <v>0</v>
      </c>
      <c r="AD20" s="52" t="n">
        <f aca="false">AD17+Debt_Repayment_OpsYr23</f>
        <v>0</v>
      </c>
      <c r="AE20" s="52" t="n">
        <f aca="false">AE17+Debt_Repayment_OpsYr24</f>
        <v>0</v>
      </c>
      <c r="AF20" s="52" t="n">
        <f aca="false">AF17+Debt_Repayment_OpsYr25</f>
        <v>0</v>
      </c>
      <c r="AG20" s="52" t="n">
        <f aca="false">AG17+Debt_Repayment_OpsYr26</f>
        <v>0</v>
      </c>
      <c r="AH20" s="52" t="n">
        <f aca="false">AH17+Debt_Repayment_OpsYr27</f>
        <v>0</v>
      </c>
      <c r="AI20" s="52" t="n">
        <f aca="false">AI17+Debt_Repayment_OpsYr28</f>
        <v>0</v>
      </c>
      <c r="AJ20" s="52" t="n">
        <f aca="false">AJ17+Debt_Repayment_OpsYr29</f>
        <v>0</v>
      </c>
      <c r="AK20" s="52" t="n">
        <f aca="false">AK17+Debt_Repayment_OpsYr30</f>
        <v>0</v>
      </c>
    </row>
    <row r="21" customFormat="false" ht="15" hidden="false" customHeight="false" outlineLevel="0" collapsed="false">
      <c r="A21" s="5"/>
      <c r="B21" s="34" t="s">
        <v>253</v>
      </c>
      <c r="C21" s="53" t="n">
        <f aca="false">0</f>
        <v>0</v>
      </c>
      <c r="D21" s="53" t="n">
        <f aca="false">0</f>
        <v>0</v>
      </c>
      <c r="E21" s="53" t="n">
        <f aca="false">0</f>
        <v>0</v>
      </c>
      <c r="F21" s="53" t="n">
        <f aca="false">0</f>
        <v>0</v>
      </c>
      <c r="G21" s="53" t="n">
        <f aca="false">0</f>
        <v>0</v>
      </c>
      <c r="H21" s="53" t="n">
        <f aca="false">IF(Debt_Service_OpsYr1&gt;0,H14/Debt_Service_OpsYr1,"")</f>
        <v>1.23406292159033</v>
      </c>
      <c r="I21" s="53" t="n">
        <f aca="false">IF(Debt_Service_OpsYr2&gt;0,I14/Debt_Service_OpsYr2,"")</f>
        <v>1.44440825328163</v>
      </c>
      <c r="J21" s="53" t="n">
        <f aca="false">IF(Debt_Service_OpsYr3&gt;0,J14/Debt_Service_OpsYr3,"")</f>
        <v>1.25</v>
      </c>
      <c r="K21" s="53" t="n">
        <f aca="false">IF(Debt_Service_OpsYr4&gt;0,K14/Debt_Service_OpsYr4,"")</f>
        <v>1.25</v>
      </c>
      <c r="L21" s="53" t="n">
        <f aca="false">IF(Debt_Service_OpsYr5&gt;0,L14/Debt_Service_OpsYr5,"")</f>
        <v>1.25</v>
      </c>
      <c r="M21" s="53" t="n">
        <f aca="false">IF(Debt_Service_OpsYr6&gt;0,M14/Debt_Service_OpsYr6,"")</f>
        <v>1.25</v>
      </c>
      <c r="N21" s="53" t="n">
        <f aca="false">IF(Debt_Service_OpsYr7&gt;0,N14/Debt_Service_OpsYr7,"")</f>
        <v>1.25</v>
      </c>
      <c r="O21" s="53" t="n">
        <f aca="false">IF(Debt_Service_OpsYr8&gt;0,O14/Debt_Service_OpsYr8,"")</f>
        <v>1.25</v>
      </c>
      <c r="P21" s="53" t="n">
        <f aca="false">IF(Debt_Service_OpsYr9&gt;0,P14/Debt_Service_OpsYr9,"")</f>
        <v>1.25</v>
      </c>
      <c r="Q21" s="53" t="n">
        <f aca="false">IF(Debt_Service_OpsYr10&gt;0,Q14/Debt_Service_OpsYr10,"")</f>
        <v>1.25</v>
      </c>
      <c r="R21" s="53" t="n">
        <f aca="false">IF(Debt_Service_OpsYr11&gt;0,R14/Debt_Service_OpsYr11,"")</f>
        <v>1.25</v>
      </c>
      <c r="S21" s="53" t="n">
        <f aca="false">IF(Debt_Service_OpsYr12&gt;0,S14/Debt_Service_OpsYr12,"")</f>
        <v>1.25</v>
      </c>
      <c r="T21" s="53" t="n">
        <f aca="false">IF(Debt_Service_OpsYr13&gt;0,T14/Debt_Service_OpsYr13,"")</f>
        <v>1.25</v>
      </c>
      <c r="U21" s="53" t="n">
        <f aca="false">IF(Debt_Service_OpsYr14&gt;0,U14/Debt_Service_OpsYr14,"")</f>
        <v>1.25</v>
      </c>
      <c r="V21" s="53" t="n">
        <f aca="false">IF(Debt_Service_OpsYr15&gt;0,V14/Debt_Service_OpsYr15,"")</f>
        <v>1.25</v>
      </c>
      <c r="W21" s="53" t="n">
        <f aca="false">IF(Debt_Service_OpsYr16&gt;0,W14/Debt_Service_OpsYr16,"")</f>
        <v>1.25</v>
      </c>
      <c r="X21" s="53" t="n">
        <f aca="false">IF(Debt_Service_OpsYr17&gt;0,X14/Debt_Service_OpsYr17,"")</f>
        <v>1.25</v>
      </c>
      <c r="Y21" s="53" t="n">
        <f aca="false">IF(Debt_Service_OpsYr18&gt;0,Y14/Debt_Service_OpsYr18,"")</f>
        <v>1.25</v>
      </c>
      <c r="Z21" s="53" t="n">
        <f aca="false">IF(Debt_Service_OpsYr19&gt;0,Z14/Debt_Service_OpsYr19,"")</f>
        <v>2.36594918190816</v>
      </c>
      <c r="AA21" s="53" t="str">
        <f aca="false">IF(Debt_Service_OpsYr20&gt;0,AA14/Debt_Service_OpsYr20,"")</f>
        <v/>
      </c>
      <c r="AB21" s="53" t="str">
        <f aca="false">IF(Debt_Service_OpsYr21&gt;0,AB14/Debt_Service_OpsYr21,"")</f>
        <v/>
      </c>
      <c r="AC21" s="53" t="str">
        <f aca="false">IF(Debt_Service_OpsYr22&gt;0,AC14/Debt_Service_OpsYr22,"")</f>
        <v/>
      </c>
      <c r="AD21" s="53" t="str">
        <f aca="false">IF(Debt_Service_OpsYr23&gt;0,AD14/Debt_Service_OpsYr23,"")</f>
        <v/>
      </c>
      <c r="AE21" s="53" t="str">
        <f aca="false">IF(Debt_Service_OpsYr24&gt;0,AE14/Debt_Service_OpsYr24,"")</f>
        <v/>
      </c>
      <c r="AF21" s="53" t="str">
        <f aca="false">IF(Debt_Service_OpsYr25&gt;0,AF14/Debt_Service_OpsYr25,"")</f>
        <v/>
      </c>
      <c r="AG21" s="53" t="str">
        <f aca="false">IF(Debt_Service_OpsYr26&gt;0,AG14/Debt_Service_OpsYr26,"")</f>
        <v/>
      </c>
      <c r="AH21" s="53" t="str">
        <f aca="false">IF(Debt_Service_OpsYr27&gt;0,AH14/Debt_Service_OpsYr27,"")</f>
        <v/>
      </c>
      <c r="AI21" s="53" t="str">
        <f aca="false">IF(Debt_Service_OpsYr28&gt;0,AI14/Debt_Service_OpsYr28,"")</f>
        <v/>
      </c>
      <c r="AJ21" s="53" t="str">
        <f aca="false">IF(Debt_Service_OpsYr29&gt;0,AJ14/Debt_Service_OpsYr29,"")</f>
        <v/>
      </c>
      <c r="AK21" s="53" t="str">
        <f aca="false">IF(Debt_Service_OpsYr30&gt;0,AK14/Debt_Service_OpsYr30,"")</f>
        <v/>
      </c>
    </row>
    <row r="22" customFormat="false" ht="15" hidden="false" customHeight="false" outlineLevel="0" collapsed="false">
      <c r="A22" s="5"/>
      <c r="B22" s="31" t="s">
        <v>254</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customFormat="false" ht="15" hidden="false" customHeight="false" outlineLevel="0" collapsed="false">
      <c r="A23" s="5"/>
      <c r="B23" s="34" t="s">
        <v>255</v>
      </c>
      <c r="C23" s="45" t="n">
        <f aca="false">0</f>
        <v>0</v>
      </c>
      <c r="D23" s="45" t="n">
        <f aca="false">0</f>
        <v>0</v>
      </c>
      <c r="E23" s="45" t="n">
        <f aca="false">0</f>
        <v>0</v>
      </c>
      <c r="F23" s="45" t="n">
        <f aca="false">0</f>
        <v>0</v>
      </c>
      <c r="G23" s="45" t="n">
        <f aca="false">0</f>
        <v>0</v>
      </c>
      <c r="H23" s="45" t="n">
        <f aca="false">Debt_Service_OpsYr1*(DSRA_Months/12)</f>
        <v>18029874.8230167</v>
      </c>
      <c r="I23" s="45" t="n">
        <f aca="false">Debt_Service_OpsYr2*(DSRA_Months/12)</f>
        <v>18029874.8230167</v>
      </c>
      <c r="J23" s="45" t="n">
        <f aca="false">Debt_Service_OpsYr3*(DSRA_Months/12)</f>
        <v>23714430</v>
      </c>
      <c r="K23" s="45" t="n">
        <f aca="false">Debt_Service_OpsYr4*(DSRA_Months/12)</f>
        <v>26725891.15</v>
      </c>
      <c r="L23" s="45" t="n">
        <f aca="false">Debt_Service_OpsYr5*(DSRA_Months/12)</f>
        <v>27400594.79075</v>
      </c>
      <c r="M23" s="45" t="n">
        <f aca="false">Debt_Service_OpsYr6*(DSRA_Months/12)</f>
        <v>28092362.7133787</v>
      </c>
      <c r="N23" s="45" t="n">
        <f aca="false">Debt_Service_OpsYr7*(DSRA_Months/12)</f>
        <v>28801627.425659</v>
      </c>
      <c r="O23" s="45" t="n">
        <f aca="false">Debt_Service_OpsYr8*(DSRA_Months/12)</f>
        <v>29528832.4250797</v>
      </c>
      <c r="P23" s="45" t="n">
        <f aca="false">Debt_Service_OpsYr9*(DSRA_Months/12)</f>
        <v>30274432.4788992</v>
      </c>
      <c r="Q23" s="45" t="n">
        <f aca="false">Debt_Service_OpsYr10*(DSRA_Months/12)</f>
        <v>31038893.91136</v>
      </c>
      <c r="R23" s="45" t="n">
        <f aca="false">Debt_Service_OpsYr11*(DSRA_Months/12)</f>
        <v>31822694.898247</v>
      </c>
      <c r="S23" s="45" t="n">
        <f aca="false">Debt_Service_OpsYr12*(DSRA_Months/12)</f>
        <v>32626325.7689792</v>
      </c>
      <c r="T23" s="45" t="n">
        <f aca="false">Debt_Service_OpsYr13*(DSRA_Months/12)</f>
        <v>33450289.316428</v>
      </c>
      <c r="U23" s="45" t="n">
        <f aca="false">Debt_Service_OpsYr14*(DSRA_Months/12)</f>
        <v>34295101.1146598</v>
      </c>
      <c r="V23" s="45" t="n">
        <f aca="false">Debt_Service_OpsYr15*(DSRA_Months/12)</f>
        <v>35161289.844807</v>
      </c>
      <c r="W23" s="45" t="n">
        <f aca="false">Debt_Service_OpsYr16*(DSRA_Months/12)</f>
        <v>36049397.6292763</v>
      </c>
      <c r="X23" s="45" t="n">
        <f aca="false">Debt_Service_OpsYr17*(DSRA_Months/12)</f>
        <v>36959980.3745078</v>
      </c>
      <c r="Y23" s="45" t="n">
        <f aca="false">Debt_Service_OpsYr18*(DSRA_Months/12)</f>
        <v>37893608.1225051</v>
      </c>
      <c r="Z23" s="45" t="n">
        <f aca="false">Debt_Service_OpsYr19*(DSRA_Months/12)</f>
        <v>20522165.7123856</v>
      </c>
      <c r="AA23" s="45" t="n">
        <f aca="false">Debt_Service_OpsYr20*(DSRA_Months/12)</f>
        <v>0</v>
      </c>
      <c r="AB23" s="45" t="n">
        <f aca="false">Debt_Service_OpsYr21*(DSRA_Months/12)</f>
        <v>0</v>
      </c>
      <c r="AC23" s="45" t="n">
        <f aca="false">Debt_Service_OpsYr22*(DSRA_Months/12)</f>
        <v>0</v>
      </c>
      <c r="AD23" s="45" t="n">
        <f aca="false">Debt_Service_OpsYr23*(DSRA_Months/12)</f>
        <v>0</v>
      </c>
      <c r="AE23" s="45" t="n">
        <f aca="false">Debt_Service_OpsYr24*(DSRA_Months/12)</f>
        <v>0</v>
      </c>
      <c r="AF23" s="45" t="n">
        <f aca="false">Debt_Service_OpsYr25*(DSRA_Months/12)</f>
        <v>0</v>
      </c>
      <c r="AG23" s="45" t="n">
        <f aca="false">Debt_Service_OpsYr26*(DSRA_Months/12)</f>
        <v>0</v>
      </c>
      <c r="AH23" s="45" t="n">
        <f aca="false">Debt_Service_OpsYr27*(DSRA_Months/12)</f>
        <v>0</v>
      </c>
      <c r="AI23" s="45" t="n">
        <f aca="false">Debt_Service_OpsYr28*(DSRA_Months/12)</f>
        <v>0</v>
      </c>
      <c r="AJ23" s="45" t="n">
        <f aca="false">Debt_Service_OpsYr29*(DSRA_Months/12)</f>
        <v>0</v>
      </c>
      <c r="AK23" s="45" t="n">
        <f aca="false">Debt_Service_OpsYr30*(DSRA_Months/12)</f>
        <v>0</v>
      </c>
    </row>
    <row r="24" customFormat="false" ht="15" hidden="false" customHeight="false" outlineLevel="0" collapsed="false">
      <c r="A24" s="5"/>
      <c r="B24" s="34" t="s">
        <v>256</v>
      </c>
      <c r="C24" s="45" t="n">
        <f aca="false">0</f>
        <v>0</v>
      </c>
      <c r="D24" s="45" t="n">
        <f aca="false">0</f>
        <v>0</v>
      </c>
      <c r="E24" s="45" t="n">
        <f aca="false">0</f>
        <v>0</v>
      </c>
      <c r="F24" s="45" t="n">
        <f aca="false">0</f>
        <v>0</v>
      </c>
      <c r="G24" s="45" t="n">
        <f aca="false">0</f>
        <v>0</v>
      </c>
      <c r="H24" s="45" t="n">
        <f aca="false">DSRA_Target_At_COD</f>
        <v>18029874.8230167</v>
      </c>
      <c r="I24" s="45" t="n">
        <f aca="false">DSRA_Closing_OpsYr1</f>
        <v>18029874.8230167</v>
      </c>
      <c r="J24" s="45" t="n">
        <f aca="false">DSRA_Closing_OpsYr2</f>
        <v>18029874.8230167</v>
      </c>
      <c r="K24" s="45" t="n">
        <f aca="false">DSRA_Closing_OpsYr3</f>
        <v>23714430</v>
      </c>
      <c r="L24" s="45" t="n">
        <f aca="false">DSRA_Closing_OpsYr4</f>
        <v>26725891.15</v>
      </c>
      <c r="M24" s="45" t="n">
        <f aca="false">DSRA_Closing_OpsYr5</f>
        <v>27400594.79075</v>
      </c>
      <c r="N24" s="45" t="n">
        <f aca="false">DSRA_Closing_OpsYr6</f>
        <v>28092362.7133787</v>
      </c>
      <c r="O24" s="45" t="n">
        <f aca="false">DSRA_Closing_OpsYr7</f>
        <v>28801627.425659</v>
      </c>
      <c r="P24" s="45" t="n">
        <f aca="false">DSRA_Closing_OpsYr8</f>
        <v>29528832.4250797</v>
      </c>
      <c r="Q24" s="45" t="n">
        <f aca="false">DSRA_Closing_OpsYr9</f>
        <v>30274432.4788992</v>
      </c>
      <c r="R24" s="45" t="n">
        <f aca="false">DSRA_Closing_OpsYr10</f>
        <v>31038893.91136</v>
      </c>
      <c r="S24" s="45" t="n">
        <f aca="false">DSRA_Closing_OpsYr11</f>
        <v>31822694.898247</v>
      </c>
      <c r="T24" s="45" t="n">
        <f aca="false">DSRA_Closing_OpsYr12</f>
        <v>32626325.7689792</v>
      </c>
      <c r="U24" s="45" t="n">
        <f aca="false">DSRA_Closing_OpsYr13</f>
        <v>33450289.316428</v>
      </c>
      <c r="V24" s="45" t="n">
        <f aca="false">DSRA_Closing_OpsYr14</f>
        <v>34295101.1146598</v>
      </c>
      <c r="W24" s="45" t="n">
        <f aca="false">DSRA_Closing_OpsYr15</f>
        <v>35161289.844807</v>
      </c>
      <c r="X24" s="45" t="n">
        <f aca="false">DSRA_Closing_OpsYr16</f>
        <v>36049397.6292763</v>
      </c>
      <c r="Y24" s="45" t="n">
        <f aca="false">DSRA_Closing_OpsYr17</f>
        <v>36959980.3745078</v>
      </c>
      <c r="Z24" s="45" t="n">
        <f aca="false">DSRA_Closing_OpsYr18</f>
        <v>37893608.1225051</v>
      </c>
      <c r="AA24" s="45" t="n">
        <f aca="false">DSRA_Closing_OpsYr19</f>
        <v>20522165.7123856</v>
      </c>
      <c r="AB24" s="45" t="n">
        <f aca="false">DSRA_Closing_OpsYr20</f>
        <v>0</v>
      </c>
      <c r="AC24" s="45" t="n">
        <f aca="false">DSRA_Closing_OpsYr21</f>
        <v>0</v>
      </c>
      <c r="AD24" s="45" t="n">
        <f aca="false">DSRA_Closing_OpsYr22</f>
        <v>0</v>
      </c>
      <c r="AE24" s="45" t="n">
        <f aca="false">DSRA_Closing_OpsYr23</f>
        <v>0</v>
      </c>
      <c r="AF24" s="45" t="n">
        <f aca="false">DSRA_Closing_OpsYr24</f>
        <v>0</v>
      </c>
      <c r="AG24" s="45" t="n">
        <f aca="false">DSRA_Closing_OpsYr25</f>
        <v>0</v>
      </c>
      <c r="AH24" s="45" t="n">
        <f aca="false">DSRA_Closing_OpsYr26</f>
        <v>0</v>
      </c>
      <c r="AI24" s="45" t="n">
        <f aca="false">DSRA_Closing_OpsYr27</f>
        <v>0</v>
      </c>
      <c r="AJ24" s="45" t="n">
        <f aca="false">DSRA_Closing_OpsYr28</f>
        <v>0</v>
      </c>
      <c r="AK24" s="45" t="n">
        <f aca="false">DSRA_Closing_OpsYr29</f>
        <v>0</v>
      </c>
    </row>
    <row r="25" customFormat="false" ht="15" hidden="false" customHeight="false" outlineLevel="0" collapsed="false">
      <c r="A25" s="5"/>
      <c r="B25" s="34" t="s">
        <v>257</v>
      </c>
      <c r="C25" s="45" t="n">
        <f aca="false">0</f>
        <v>0</v>
      </c>
      <c r="D25" s="45" t="n">
        <f aca="false">0</f>
        <v>0</v>
      </c>
      <c r="E25" s="45" t="n">
        <f aca="false">0</f>
        <v>0</v>
      </c>
      <c r="F25" s="45" t="n">
        <f aca="false">0</f>
        <v>0</v>
      </c>
      <c r="G25" s="45" t="n">
        <f aca="false">0</f>
        <v>0</v>
      </c>
      <c r="H25" s="45" t="n">
        <f aca="false">DSRA_Target_OpsYr1-DSRA_Opening_OpsYr1</f>
        <v>0</v>
      </c>
      <c r="I25" s="45" t="n">
        <f aca="false">DSRA_Target_OpsYr2-DSRA_Opening_OpsYr2</f>
        <v>0</v>
      </c>
      <c r="J25" s="45" t="n">
        <f aca="false">DSRA_Target_OpsYr3-DSRA_Opening_OpsYr3</f>
        <v>5684555.1769833</v>
      </c>
      <c r="K25" s="45" t="n">
        <f aca="false">DSRA_Target_OpsYr4-DSRA_Opening_OpsYr4</f>
        <v>3011461.14999999</v>
      </c>
      <c r="L25" s="45" t="n">
        <f aca="false">DSRA_Target_OpsYr5-DSRA_Opening_OpsYr5</f>
        <v>674703.640750002</v>
      </c>
      <c r="M25" s="45" t="n">
        <f aca="false">DSRA_Target_OpsYr6-DSRA_Opening_OpsYr6</f>
        <v>691767.922628745</v>
      </c>
      <c r="N25" s="45" t="n">
        <f aca="false">DSRA_Target_OpsYr7-DSRA_Opening_OpsYr7</f>
        <v>709264.712280259</v>
      </c>
      <c r="O25" s="45" t="n">
        <f aca="false">DSRA_Target_OpsYr8-DSRA_Opening_OpsYr8</f>
        <v>727204.999420658</v>
      </c>
      <c r="P25" s="45" t="n">
        <f aca="false">DSRA_Target_OpsYr9-DSRA_Opening_OpsYr9</f>
        <v>745600.053819537</v>
      </c>
      <c r="Q25" s="45" t="n">
        <f aca="false">DSRA_Target_OpsYr10-DSRA_Opening_OpsYr10</f>
        <v>764461.432460796</v>
      </c>
      <c r="R25" s="45" t="n">
        <f aca="false">DSRA_Target_OpsYr11-DSRA_Opening_OpsYr11</f>
        <v>783800.986886971</v>
      </c>
      <c r="S25" s="45" t="n">
        <f aca="false">DSRA_Target_OpsYr12-DSRA_Opening_OpsYr12</f>
        <v>803630.870732237</v>
      </c>
      <c r="T25" s="45" t="n">
        <f aca="false">DSRA_Target_OpsYr13-DSRA_Opening_OpsYr13</f>
        <v>823963.547448829</v>
      </c>
      <c r="U25" s="45" t="n">
        <f aca="false">DSRA_Target_OpsYr14-DSRA_Opening_OpsYr14</f>
        <v>844811.798231773</v>
      </c>
      <c r="V25" s="45" t="n">
        <f aca="false">DSRA_Target_OpsYr15-DSRA_Opening_OpsYr15</f>
        <v>866188.730147198</v>
      </c>
      <c r="W25" s="45" t="n">
        <f aca="false">DSRA_Target_OpsYr16-DSRA_Opening_OpsYr16</f>
        <v>888107.784469299</v>
      </c>
      <c r="X25" s="45" t="n">
        <f aca="false">DSRA_Target_OpsYr17-DSRA_Opening_OpsYr17</f>
        <v>910582.745231517</v>
      </c>
      <c r="Y25" s="45" t="n">
        <f aca="false">DSRA_Target_OpsYr18-DSRA_Opening_OpsYr18</f>
        <v>933627.747997284</v>
      </c>
      <c r="Z25" s="45" t="n">
        <f aca="false">DSRA_Target_OpsYr19-DSRA_Opening_OpsYr19</f>
        <v>-17371442.4101195</v>
      </c>
      <c r="AA25" s="45" t="n">
        <f aca="false">DSRA_Target_OpsYr20-DSRA_Opening_OpsYr20</f>
        <v>-20522165.7123856</v>
      </c>
      <c r="AB25" s="45" t="n">
        <f aca="false">DSRA_Target_OpsYr21-DSRA_Opening_OpsYr21</f>
        <v>0</v>
      </c>
      <c r="AC25" s="45" t="n">
        <f aca="false">DSRA_Target_OpsYr22-DSRA_Opening_OpsYr22</f>
        <v>0</v>
      </c>
      <c r="AD25" s="45" t="n">
        <f aca="false">DSRA_Target_OpsYr23-DSRA_Opening_OpsYr23</f>
        <v>0</v>
      </c>
      <c r="AE25" s="45" t="n">
        <f aca="false">DSRA_Target_OpsYr24-DSRA_Opening_OpsYr24</f>
        <v>0</v>
      </c>
      <c r="AF25" s="45" t="n">
        <f aca="false">DSRA_Target_OpsYr25-DSRA_Opening_OpsYr25</f>
        <v>0</v>
      </c>
      <c r="AG25" s="45" t="n">
        <f aca="false">DSRA_Target_OpsYr26-DSRA_Opening_OpsYr26</f>
        <v>0</v>
      </c>
      <c r="AH25" s="45" t="n">
        <f aca="false">DSRA_Target_OpsYr27-DSRA_Opening_OpsYr27</f>
        <v>0</v>
      </c>
      <c r="AI25" s="45" t="n">
        <f aca="false">DSRA_Target_OpsYr28-DSRA_Opening_OpsYr28</f>
        <v>0</v>
      </c>
      <c r="AJ25" s="45" t="n">
        <f aca="false">DSRA_Target_OpsYr29-DSRA_Opening_OpsYr29</f>
        <v>0</v>
      </c>
      <c r="AK25" s="45" t="n">
        <f aca="false">DSRA_Target_OpsYr30-DSRA_Opening_OpsYr30</f>
        <v>0</v>
      </c>
    </row>
    <row r="26" customFormat="false" ht="15" hidden="false" customHeight="false" outlineLevel="0" collapsed="false">
      <c r="A26" s="5"/>
      <c r="B26" s="46" t="s">
        <v>258</v>
      </c>
      <c r="C26" s="47" t="n">
        <f aca="false">0</f>
        <v>0</v>
      </c>
      <c r="D26" s="47" t="n">
        <f aca="false">0</f>
        <v>0</v>
      </c>
      <c r="E26" s="47" t="n">
        <f aca="false">0</f>
        <v>0</v>
      </c>
      <c r="F26" s="47" t="n">
        <f aca="false">0</f>
        <v>0</v>
      </c>
      <c r="G26" s="47" t="n">
        <f aca="false">0</f>
        <v>0</v>
      </c>
      <c r="H26" s="47" t="n">
        <f aca="false">DSRA_Opening_OpsYr1+DSRA_Transfer_OpsYr1</f>
        <v>18029874.8230167</v>
      </c>
      <c r="I26" s="47" t="n">
        <f aca="false">DSRA_Opening_OpsYr2+DSRA_Transfer_OpsYr2</f>
        <v>18029874.8230167</v>
      </c>
      <c r="J26" s="47" t="n">
        <f aca="false">DSRA_Opening_OpsYr3+DSRA_Transfer_OpsYr3</f>
        <v>23714430</v>
      </c>
      <c r="K26" s="47" t="n">
        <f aca="false">DSRA_Opening_OpsYr4+DSRA_Transfer_OpsYr4</f>
        <v>26725891.15</v>
      </c>
      <c r="L26" s="47" t="n">
        <f aca="false">DSRA_Opening_OpsYr5+DSRA_Transfer_OpsYr5</f>
        <v>27400594.79075</v>
      </c>
      <c r="M26" s="47" t="n">
        <f aca="false">DSRA_Opening_OpsYr6+DSRA_Transfer_OpsYr6</f>
        <v>28092362.7133787</v>
      </c>
      <c r="N26" s="47" t="n">
        <f aca="false">DSRA_Opening_OpsYr7+DSRA_Transfer_OpsYr7</f>
        <v>28801627.425659</v>
      </c>
      <c r="O26" s="47" t="n">
        <f aca="false">DSRA_Opening_OpsYr8+DSRA_Transfer_OpsYr8</f>
        <v>29528832.4250797</v>
      </c>
      <c r="P26" s="47" t="n">
        <f aca="false">DSRA_Opening_OpsYr9+DSRA_Transfer_OpsYr9</f>
        <v>30274432.4788992</v>
      </c>
      <c r="Q26" s="47" t="n">
        <f aca="false">DSRA_Opening_OpsYr10+DSRA_Transfer_OpsYr10</f>
        <v>31038893.91136</v>
      </c>
      <c r="R26" s="47" t="n">
        <f aca="false">DSRA_Opening_OpsYr11+DSRA_Transfer_OpsYr11</f>
        <v>31822694.898247</v>
      </c>
      <c r="S26" s="47" t="n">
        <f aca="false">DSRA_Opening_OpsYr12+DSRA_Transfer_OpsYr12</f>
        <v>32626325.7689792</v>
      </c>
      <c r="T26" s="47" t="n">
        <f aca="false">DSRA_Opening_OpsYr13+DSRA_Transfer_OpsYr13</f>
        <v>33450289.316428</v>
      </c>
      <c r="U26" s="47" t="n">
        <f aca="false">DSRA_Opening_OpsYr14+DSRA_Transfer_OpsYr14</f>
        <v>34295101.1146598</v>
      </c>
      <c r="V26" s="47" t="n">
        <f aca="false">DSRA_Opening_OpsYr15+DSRA_Transfer_OpsYr15</f>
        <v>35161289.844807</v>
      </c>
      <c r="W26" s="47" t="n">
        <f aca="false">DSRA_Opening_OpsYr16+DSRA_Transfer_OpsYr16</f>
        <v>36049397.6292763</v>
      </c>
      <c r="X26" s="47" t="n">
        <f aca="false">DSRA_Opening_OpsYr17+DSRA_Transfer_OpsYr17</f>
        <v>36959980.3745078</v>
      </c>
      <c r="Y26" s="47" t="n">
        <f aca="false">DSRA_Opening_OpsYr18+DSRA_Transfer_OpsYr18</f>
        <v>37893608.1225051</v>
      </c>
      <c r="Z26" s="47" t="n">
        <f aca="false">DSRA_Opening_OpsYr19+DSRA_Transfer_OpsYr19</f>
        <v>20522165.7123856</v>
      </c>
      <c r="AA26" s="47" t="n">
        <f aca="false">DSRA_Opening_OpsYr20+DSRA_Transfer_OpsYr20</f>
        <v>0</v>
      </c>
      <c r="AB26" s="47" t="n">
        <f aca="false">DSRA_Opening_OpsYr21+DSRA_Transfer_OpsYr21</f>
        <v>0</v>
      </c>
      <c r="AC26" s="47" t="n">
        <f aca="false">DSRA_Opening_OpsYr22+DSRA_Transfer_OpsYr22</f>
        <v>0</v>
      </c>
      <c r="AD26" s="47" t="n">
        <f aca="false">DSRA_Opening_OpsYr23+DSRA_Transfer_OpsYr23</f>
        <v>0</v>
      </c>
      <c r="AE26" s="47" t="n">
        <f aca="false">DSRA_Opening_OpsYr24+DSRA_Transfer_OpsYr24</f>
        <v>0</v>
      </c>
      <c r="AF26" s="47" t="n">
        <f aca="false">DSRA_Opening_OpsYr25+DSRA_Transfer_OpsYr25</f>
        <v>0</v>
      </c>
      <c r="AG26" s="47" t="n">
        <f aca="false">DSRA_Opening_OpsYr26+DSRA_Transfer_OpsYr26</f>
        <v>0</v>
      </c>
      <c r="AH26" s="47" t="n">
        <f aca="false">DSRA_Opening_OpsYr27+DSRA_Transfer_OpsYr27</f>
        <v>0</v>
      </c>
      <c r="AI26" s="47" t="n">
        <f aca="false">DSRA_Opening_OpsYr28+DSRA_Transfer_OpsYr28</f>
        <v>0</v>
      </c>
      <c r="AJ26" s="47" t="n">
        <f aca="false">DSRA_Opening_OpsYr29+DSRA_Transfer_OpsYr29</f>
        <v>0</v>
      </c>
      <c r="AK26" s="47" t="n">
        <f aca="false">DSRA_Opening_OpsYr30+DSRA_Transfer_OpsYr30</f>
        <v>0</v>
      </c>
    </row>
    <row r="27" customFormat="false" ht="15" hidden="false" customHeight="false" outlineLevel="0" collapsed="false">
      <c r="A27" s="5"/>
      <c r="B27" s="31" t="s">
        <v>259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customFormat="false" ht="15" hidden="false" customHeight="false" outlineLevel="0" collapsed="false">
      <c r="A28" s="5"/>
      <c r="B28" s="34" t="s">
        <v>260</v>
      </c>
      <c r="C28" s="45" t="n">
        <f aca="false">0</f>
        <v>0</v>
      </c>
      <c r="D28" s="45" t="n">
        <f aca="false">0</f>
        <v>0</v>
      </c>
      <c r="E28" s="45" t="n">
        <f aca="false">0</f>
        <v>0</v>
      </c>
      <c r="F28" s="45" t="n">
        <f aca="false">0</f>
        <v>0</v>
      </c>
      <c r="G28" s="45" t="n">
        <f aca="false">0</f>
        <v>0</v>
      </c>
      <c r="H28" s="45" t="n">
        <f aca="false">H14-Debt_Service_OpsYr1</f>
        <v>8440250.35396659</v>
      </c>
      <c r="I28" s="45" t="n">
        <f aca="false">I14-Debt_Service_OpsYr2</f>
        <v>16025250.3539666</v>
      </c>
      <c r="J28" s="45" t="n">
        <f aca="false">J14-Debt_Service_OpsYr3</f>
        <v>11857215</v>
      </c>
      <c r="K28" s="45" t="n">
        <f aca="false">K14-Debt_Service_OpsYr4</f>
        <v>13362945.575</v>
      </c>
      <c r="L28" s="45" t="n">
        <f aca="false">L14-Debt_Service_OpsYr5</f>
        <v>13700297.395375</v>
      </c>
      <c r="M28" s="45" t="n">
        <f aca="false">M14-Debt_Service_OpsYr6</f>
        <v>14046181.3566894</v>
      </c>
      <c r="N28" s="45" t="n">
        <f aca="false">N14-Debt_Service_OpsYr7</f>
        <v>14400813.7128295</v>
      </c>
      <c r="O28" s="45" t="n">
        <f aca="false">O14-Debt_Service_OpsYr8</f>
        <v>14764416.2125398</v>
      </c>
      <c r="P28" s="45" t="n">
        <f aca="false">P14-Debt_Service_OpsYr9</f>
        <v>15137216.2394496</v>
      </c>
      <c r="Q28" s="45" t="n">
        <f aca="false">Q14-Debt_Service_OpsYr10</f>
        <v>15519446.95568</v>
      </c>
      <c r="R28" s="45" t="n">
        <f aca="false">R14-Debt_Service_OpsYr11</f>
        <v>15911347.4491235</v>
      </c>
      <c r="S28" s="45" t="n">
        <f aca="false">S14-Debt_Service_OpsYr12</f>
        <v>16313162.8844896</v>
      </c>
      <c r="T28" s="45" t="n">
        <f aca="false">T14-Debt_Service_OpsYr13</f>
        <v>16725144.658214</v>
      </c>
      <c r="U28" s="45" t="n">
        <f aca="false">U14-Debt_Service_OpsYr14</f>
        <v>17147550.5573299</v>
      </c>
      <c r="V28" s="45" t="n">
        <f aca="false">V14-Debt_Service_OpsYr15</f>
        <v>17580644.9224035</v>
      </c>
      <c r="W28" s="45" t="n">
        <f aca="false">W14-Debt_Service_OpsYr16</f>
        <v>18024698.8146382</v>
      </c>
      <c r="X28" s="45" t="n">
        <f aca="false">X14-Debt_Service_OpsYr17</f>
        <v>18479990.1872539</v>
      </c>
      <c r="Y28" s="45" t="n">
        <f aca="false">Y14-Debt_Service_OpsYr18</f>
        <v>18946804.0612526</v>
      </c>
      <c r="Z28" s="45" t="n">
        <f aca="false">Z14-Debt_Service_OpsYr19</f>
        <v>56064470.9316335</v>
      </c>
      <c r="AA28" s="45" t="n">
        <f aca="false">AA14-Debt_Service_OpsYr20</f>
        <v>85670478.5989496</v>
      </c>
      <c r="AB28" s="45" t="n">
        <f aca="false">AB14-Debt_Service_OpsYr21</f>
        <v>87557347.0254066</v>
      </c>
      <c r="AC28" s="45" t="n">
        <f aca="false">AC14-Debt_Service_OpsYr22</f>
        <v>89491978.9708181</v>
      </c>
      <c r="AD28" s="45" t="n">
        <f aca="false">AD14-Debt_Service_OpsYr23</f>
        <v>91475586.2774065</v>
      </c>
      <c r="AE28" s="45" t="n">
        <f aca="false">AE14-Debt_Service_OpsYr24</f>
        <v>93509411.6160775</v>
      </c>
      <c r="AF28" s="45" t="n">
        <f aca="false">AF14-Debt_Service_OpsYr25</f>
        <v>105594729.273116</v>
      </c>
      <c r="AG28" s="45" t="n">
        <f aca="false">AG14-Debt_Service_OpsYr26</f>
        <v>97732845.9570277</v>
      </c>
      <c r="AH28" s="45" t="n">
        <f aca="false">AH14-Debt_Service_OpsYr27</f>
        <v>99925101.6260482</v>
      </c>
      <c r="AI28" s="45" t="n">
        <f aca="false">AI14-Debt_Service_OpsYr28</f>
        <v>102172870.336846</v>
      </c>
      <c r="AJ28" s="45" t="n">
        <f aca="false">AJ14-Debt_Service_OpsYr29</f>
        <v>104477561.114966</v>
      </c>
      <c r="AK28" s="45" t="n">
        <f aca="false">AK14-Debt_Service_OpsYr30</f>
        <v>106840618.847578</v>
      </c>
    </row>
    <row r="29" customFormat="false" ht="15" hidden="false" customHeight="false" outlineLevel="0" collapsed="false">
      <c r="A29" s="5"/>
      <c r="B29" s="34" t="s">
        <v>235</v>
      </c>
      <c r="C29" s="45" t="n">
        <f aca="false">0</f>
        <v>0</v>
      </c>
      <c r="D29" s="45" t="n">
        <f aca="false">0</f>
        <v>0</v>
      </c>
      <c r="E29" s="45" t="n">
        <f aca="false">0</f>
        <v>0</v>
      </c>
      <c r="F29" s="45" t="n">
        <f aca="false">0</f>
        <v>0</v>
      </c>
      <c r="G29" s="45" t="n">
        <f aca="false">0</f>
        <v>0</v>
      </c>
      <c r="H29" s="45" t="n">
        <f aca="false">Opex!H$9</f>
        <v>-14000000</v>
      </c>
      <c r="I29" s="45" t="n">
        <f aca="false">Opex!I$9</f>
        <v>-14000000</v>
      </c>
      <c r="J29" s="45" t="n">
        <f aca="false">Opex!J$9</f>
        <v>-14000000</v>
      </c>
      <c r="K29" s="45" t="n">
        <f aca="false">Opex!K$9</f>
        <v>-14000000</v>
      </c>
      <c r="L29" s="45" t="n">
        <f aca="false">Opex!L$9</f>
        <v>-14000000</v>
      </c>
      <c r="M29" s="45" t="n">
        <f aca="false">Opex!M$9</f>
        <v>-14000000</v>
      </c>
      <c r="N29" s="45" t="n">
        <f aca="false">Opex!N$9</f>
        <v>-14000000</v>
      </c>
      <c r="O29" s="45" t="n">
        <f aca="false">Opex!O$9</f>
        <v>-14000000</v>
      </c>
      <c r="P29" s="45" t="n">
        <f aca="false">Opex!P$9</f>
        <v>-14000000</v>
      </c>
      <c r="Q29" s="45" t="n">
        <f aca="false">Opex!Q$9</f>
        <v>-14000000</v>
      </c>
      <c r="R29" s="45" t="n">
        <f aca="false">Opex!R$9</f>
        <v>-14000000</v>
      </c>
      <c r="S29" s="45" t="n">
        <f aca="false">Opex!S$9</f>
        <v>-14000000</v>
      </c>
      <c r="T29" s="45" t="n">
        <f aca="false">Opex!T$9</f>
        <v>-14000000</v>
      </c>
      <c r="U29" s="45" t="n">
        <f aca="false">Opex!U$9</f>
        <v>-14000000</v>
      </c>
      <c r="V29" s="45" t="n">
        <f aca="false">Opex!V$9</f>
        <v>-74000000</v>
      </c>
      <c r="W29" s="45" t="n">
        <f aca="false">Opex!W$9</f>
        <v>-14000000</v>
      </c>
      <c r="X29" s="45" t="n">
        <f aca="false">Opex!X$9</f>
        <v>-14000000</v>
      </c>
      <c r="Y29" s="45" t="n">
        <f aca="false">Opex!Y$9</f>
        <v>-14000000</v>
      </c>
      <c r="Z29" s="45" t="n">
        <f aca="false">Opex!Z$9</f>
        <v>-14000000</v>
      </c>
      <c r="AA29" s="45" t="n">
        <f aca="false">Opex!AA$9</f>
        <v>-14000000</v>
      </c>
      <c r="AB29" s="45" t="n">
        <f aca="false">Opex!AB$9</f>
        <v>-14000000</v>
      </c>
      <c r="AC29" s="45" t="n">
        <f aca="false">Opex!AC$9</f>
        <v>-14000000</v>
      </c>
      <c r="AD29" s="45" t="n">
        <f aca="false">Opex!AD$9</f>
        <v>-14000000</v>
      </c>
      <c r="AE29" s="45" t="n">
        <f aca="false">Opex!AE$9</f>
        <v>-14000000</v>
      </c>
      <c r="AF29" s="45" t="n">
        <f aca="false">Opex!AF$9</f>
        <v>-54000000</v>
      </c>
      <c r="AG29" s="45" t="n">
        <f aca="false">Opex!AG$9</f>
        <v>-14000000</v>
      </c>
      <c r="AH29" s="45" t="n">
        <f aca="false">Opex!AH$9</f>
        <v>-14000000</v>
      </c>
      <c r="AI29" s="45" t="n">
        <f aca="false">Opex!AI$9</f>
        <v>-14000000</v>
      </c>
      <c r="AJ29" s="45" t="n">
        <f aca="false">Opex!AJ$9</f>
        <v>-14000000</v>
      </c>
      <c r="AK29" s="45" t="n">
        <f aca="false">Opex!AK$9</f>
        <v>-14000000</v>
      </c>
    </row>
    <row r="30" customFormat="false" ht="15" hidden="false" customHeight="false" outlineLevel="0" collapsed="false">
      <c r="A30" s="5"/>
      <c r="B30" s="34" t="s">
        <v>261</v>
      </c>
      <c r="C30" s="45" t="n">
        <f aca="false">0</f>
        <v>0</v>
      </c>
      <c r="D30" s="45" t="n">
        <f aca="false">0</f>
        <v>0</v>
      </c>
      <c r="E30" s="45" t="n">
        <f aca="false">0</f>
        <v>0</v>
      </c>
      <c r="F30" s="45" t="n">
        <f aca="false">0</f>
        <v>0</v>
      </c>
      <c r="G30" s="45" t="n">
        <f aca="false">0</f>
        <v>0</v>
      </c>
      <c r="H30" s="45" t="n">
        <f aca="false">-DSRA_Transfer_OpsYr1</f>
        <v>-0</v>
      </c>
      <c r="I30" s="45" t="n">
        <f aca="false">-DSRA_Transfer_OpsYr2</f>
        <v>-0</v>
      </c>
      <c r="J30" s="45" t="n">
        <f aca="false">-DSRA_Transfer_OpsYr3</f>
        <v>-5684555.1769833</v>
      </c>
      <c r="K30" s="45" t="n">
        <f aca="false">-DSRA_Transfer_OpsYr4</f>
        <v>-3011461.14999999</v>
      </c>
      <c r="L30" s="45" t="n">
        <f aca="false">-DSRA_Transfer_OpsYr5</f>
        <v>-674703.640750002</v>
      </c>
      <c r="M30" s="45" t="n">
        <f aca="false">-DSRA_Transfer_OpsYr6</f>
        <v>-691767.922628745</v>
      </c>
      <c r="N30" s="45" t="n">
        <f aca="false">-DSRA_Transfer_OpsYr7</f>
        <v>-709264.712280259</v>
      </c>
      <c r="O30" s="45" t="n">
        <f aca="false">-DSRA_Transfer_OpsYr8</f>
        <v>-727204.999420658</v>
      </c>
      <c r="P30" s="45" t="n">
        <f aca="false">-DSRA_Transfer_OpsYr9</f>
        <v>-745600.053819537</v>
      </c>
      <c r="Q30" s="45" t="n">
        <f aca="false">-DSRA_Transfer_OpsYr10</f>
        <v>-764461.432460796</v>
      </c>
      <c r="R30" s="45" t="n">
        <f aca="false">-DSRA_Transfer_OpsYr11</f>
        <v>-783800.986886971</v>
      </c>
      <c r="S30" s="45" t="n">
        <f aca="false">-DSRA_Transfer_OpsYr12</f>
        <v>-803630.870732237</v>
      </c>
      <c r="T30" s="45" t="n">
        <f aca="false">-DSRA_Transfer_OpsYr13</f>
        <v>-823963.547448829</v>
      </c>
      <c r="U30" s="45" t="n">
        <f aca="false">-DSRA_Transfer_OpsYr14</f>
        <v>-844811.798231773</v>
      </c>
      <c r="V30" s="45" t="n">
        <f aca="false">-DSRA_Transfer_OpsYr15</f>
        <v>-866188.730147198</v>
      </c>
      <c r="W30" s="45" t="n">
        <f aca="false">-DSRA_Transfer_OpsYr16</f>
        <v>-888107.784469299</v>
      </c>
      <c r="X30" s="45" t="n">
        <f aca="false">-DSRA_Transfer_OpsYr17</f>
        <v>-910582.745231517</v>
      </c>
      <c r="Y30" s="45" t="n">
        <f aca="false">-DSRA_Transfer_OpsYr18</f>
        <v>-933627.747997284</v>
      </c>
      <c r="Z30" s="45" t="n">
        <f aca="false">-DSRA_Transfer_OpsYr19</f>
        <v>17371442.4101195</v>
      </c>
      <c r="AA30" s="45" t="n">
        <f aca="false">-DSRA_Transfer_OpsYr20</f>
        <v>20522165.7123856</v>
      </c>
      <c r="AB30" s="45" t="n">
        <f aca="false">-DSRA_Transfer_OpsYr21</f>
        <v>-0</v>
      </c>
      <c r="AC30" s="45" t="n">
        <f aca="false">-DSRA_Transfer_OpsYr22</f>
        <v>-0</v>
      </c>
      <c r="AD30" s="45" t="n">
        <f aca="false">-DSRA_Transfer_OpsYr23</f>
        <v>-0</v>
      </c>
      <c r="AE30" s="45" t="n">
        <f aca="false">-DSRA_Transfer_OpsYr24</f>
        <v>-0</v>
      </c>
      <c r="AF30" s="45" t="n">
        <f aca="false">-DSRA_Transfer_OpsYr25</f>
        <v>-0</v>
      </c>
      <c r="AG30" s="45" t="n">
        <f aca="false">-DSRA_Transfer_OpsYr26</f>
        <v>-0</v>
      </c>
      <c r="AH30" s="45" t="n">
        <f aca="false">-DSRA_Transfer_OpsYr27</f>
        <v>-0</v>
      </c>
      <c r="AI30" s="45" t="n">
        <f aca="false">-DSRA_Transfer_OpsYr28</f>
        <v>-0</v>
      </c>
      <c r="AJ30" s="45" t="n">
        <f aca="false">-DSRA_Transfer_OpsYr29</f>
        <v>-0</v>
      </c>
      <c r="AK30" s="45" t="n">
        <f aca="false">-DSRA_Transfer_OpsYr30</f>
        <v>-0</v>
      </c>
    </row>
    <row r="31" customFormat="false" ht="15" hidden="false" customHeight="false" outlineLevel="0" collapsed="false">
      <c r="A31" s="5"/>
      <c r="B31" s="46" t="s">
        <v>262</v>
      </c>
      <c r="C31" s="47" t="n">
        <f aca="false">0</f>
        <v>0</v>
      </c>
      <c r="D31" s="47" t="n">
        <f aca="false">0</f>
        <v>0</v>
      </c>
      <c r="E31" s="47" t="n">
        <f aca="false">0</f>
        <v>0</v>
      </c>
      <c r="F31" s="47" t="n">
        <f aca="false">0</f>
        <v>0</v>
      </c>
      <c r="G31" s="47" t="n">
        <f aca="false">0</f>
        <v>0</v>
      </c>
      <c r="H31" s="47" t="n">
        <f aca="false">Cash_After_DS_OpsYr1+H29+H30</f>
        <v>-5559749.64603341</v>
      </c>
      <c r="I31" s="47" t="n">
        <f aca="false">Cash_After_DS_OpsYr2+I29+I30</f>
        <v>2025250.35396659</v>
      </c>
      <c r="J31" s="47" t="n">
        <f aca="false">Cash_After_DS_OpsYr3+J29+J30</f>
        <v>-7827340.1769833</v>
      </c>
      <c r="K31" s="47" t="n">
        <f aca="false">Cash_After_DS_OpsYr4+K29+K30</f>
        <v>-3648515.57499999</v>
      </c>
      <c r="L31" s="47" t="n">
        <f aca="false">Cash_After_DS_OpsYr5+L29+L30</f>
        <v>-974406.245375004</v>
      </c>
      <c r="M31" s="47" t="n">
        <f aca="false">Cash_After_DS_OpsYr6+M29+M30</f>
        <v>-645586.565939382</v>
      </c>
      <c r="N31" s="47" t="n">
        <f aca="false">Cash_After_DS_OpsYr7+N29+N30</f>
        <v>-308450.999450758</v>
      </c>
      <c r="O31" s="47" t="n">
        <f aca="false">Cash_After_DS_OpsYr8+O29+O30</f>
        <v>37211.2131191641</v>
      </c>
      <c r="P31" s="47" t="n">
        <f aca="false">Cash_After_DS_OpsYr9+P29+P30</f>
        <v>391616.185630053</v>
      </c>
      <c r="Q31" s="47" t="n">
        <f aca="false">Cash_After_DS_OpsYr10+Q29+Q30</f>
        <v>754985.523219194</v>
      </c>
      <c r="R31" s="47" t="n">
        <f aca="false">Cash_After_DS_OpsYr11+R29+R30</f>
        <v>1127546.46223651</v>
      </c>
      <c r="S31" s="47" t="n">
        <f aca="false">Cash_After_DS_OpsYr12+S29+S30</f>
        <v>1509532.01375736</v>
      </c>
      <c r="T31" s="47" t="n">
        <f aca="false">Cash_After_DS_OpsYr13+T29+T30</f>
        <v>1901181.11076517</v>
      </c>
      <c r="U31" s="47" t="n">
        <f aca="false">Cash_After_DS_OpsYr14+U29+U30</f>
        <v>2302738.75909812</v>
      </c>
      <c r="V31" s="47" t="n">
        <f aca="false">Cash_After_DS_OpsYr15+V29+V30</f>
        <v>-57285543.8077437</v>
      </c>
      <c r="W31" s="47" t="n">
        <f aca="false">Cash_After_DS_OpsYr16+W29+W30</f>
        <v>3136591.03016885</v>
      </c>
      <c r="X31" s="47" t="n">
        <f aca="false">Cash_After_DS_OpsYr17+X29+X30</f>
        <v>3569407.44202239</v>
      </c>
      <c r="Y31" s="47" t="n">
        <f aca="false">Cash_After_DS_OpsYr18+Y29+Y30</f>
        <v>4013176.31325527</v>
      </c>
      <c r="Z31" s="47" t="n">
        <f aca="false">Cash_After_DS_OpsYr19+Z29+Z30</f>
        <v>59435913.341753</v>
      </c>
      <c r="AA31" s="47" t="n">
        <f aca="false">Cash_After_DS_OpsYr20+AA29+AA30</f>
        <v>92192644.3113352</v>
      </c>
      <c r="AB31" s="47" t="n">
        <f aca="false">Cash_After_DS_OpsYr21+AB29+AB30</f>
        <v>73557347.0254066</v>
      </c>
      <c r="AC31" s="47" t="n">
        <f aca="false">Cash_After_DS_OpsYr22+AC29+AC30</f>
        <v>75491978.9708181</v>
      </c>
      <c r="AD31" s="47" t="n">
        <f aca="false">Cash_After_DS_OpsYr23+AD29+AD30</f>
        <v>77475586.2774065</v>
      </c>
      <c r="AE31" s="47" t="n">
        <f aca="false">Cash_After_DS_OpsYr24+AE29+AE30</f>
        <v>79509411.6160775</v>
      </c>
      <c r="AF31" s="47" t="n">
        <f aca="false">Cash_After_DS_OpsYr25+AF29+AF30</f>
        <v>51594729.2731159</v>
      </c>
      <c r="AG31" s="47" t="n">
        <f aca="false">Cash_After_DS_OpsYr26+AG29+AG30</f>
        <v>83732845.9570277</v>
      </c>
      <c r="AH31" s="47" t="n">
        <f aca="false">Cash_After_DS_OpsYr27+AH29+AH30</f>
        <v>85925101.6260482</v>
      </c>
      <c r="AI31" s="47" t="n">
        <f aca="false">Cash_After_DS_OpsYr28+AI29+AI30</f>
        <v>88172870.3368455</v>
      </c>
      <c r="AJ31" s="47" t="n">
        <f aca="false">Cash_After_DS_OpsYr29+AJ29+AJ30</f>
        <v>90477561.1149655</v>
      </c>
      <c r="AK31" s="47" t="n">
        <f aca="false">Cash_After_DS_OpsYr30+AK29+AK30</f>
        <v>92840618.847578</v>
      </c>
    </row>
    <row r="32" customFormat="false" ht="15" hidden="false" customHeight="false" outlineLevel="0" collapsed="false">
      <c r="A32" s="5"/>
      <c r="B32" s="34" t="s">
        <v>263</v>
      </c>
      <c r="C32" s="45" t="n">
        <f aca="false">0</f>
        <v>0</v>
      </c>
      <c r="D32" s="45" t="n">
        <f aca="false">0</f>
        <v>0</v>
      </c>
      <c r="E32" s="45" t="n">
        <f aca="false">0</f>
        <v>0</v>
      </c>
      <c r="F32" s="45" t="n">
        <f aca="false">0</f>
        <v>0</v>
      </c>
      <c r="G32" s="45" t="n">
        <f aca="false">0</f>
        <v>0</v>
      </c>
      <c r="H32" s="45" t="n">
        <f aca="false">IF(Assumptions!H$8&lt;=Grace_Period,0,IF(Distributable_OpsYr1&gt;0,Distributable_OpsYr1,0))</f>
        <v>0</v>
      </c>
      <c r="I32" s="45" t="n">
        <f aca="false">IF(Assumptions!I$8&lt;=Grace_Period,0,IF(Distributable_OpsYr2&gt;0,Distributable_OpsYr2,0))</f>
        <v>0</v>
      </c>
      <c r="J32" s="45" t="n">
        <f aca="false">IF(Assumptions!J$8&lt;=Grace_Period,0,IF(Distributable_OpsYr3&gt;0,Distributable_OpsYr3,0))</f>
        <v>0</v>
      </c>
      <c r="K32" s="45" t="n">
        <f aca="false">IF(Assumptions!K$8&lt;=Grace_Period,0,IF(Distributable_OpsYr4&gt;0,Distributable_OpsYr4,0))</f>
        <v>0</v>
      </c>
      <c r="L32" s="45" t="n">
        <f aca="false">IF(Assumptions!L$8&lt;=Grace_Period,0,IF(Distributable_OpsYr5&gt;0,Distributable_OpsYr5,0))</f>
        <v>0</v>
      </c>
      <c r="M32" s="45" t="n">
        <f aca="false">IF(Assumptions!M$8&lt;=Grace_Period,0,IF(Distributable_OpsYr6&gt;0,Distributable_OpsYr6,0))</f>
        <v>0</v>
      </c>
      <c r="N32" s="45" t="n">
        <f aca="false">IF(Assumptions!N$8&lt;=Grace_Period,0,IF(Distributable_OpsYr7&gt;0,Distributable_OpsYr7,0))</f>
        <v>0</v>
      </c>
      <c r="O32" s="45" t="n">
        <f aca="false">IF(Assumptions!O$8&lt;=Grace_Period,0,IF(Distributable_OpsYr8&gt;0,Distributable_OpsYr8,0))</f>
        <v>37211.2131191641</v>
      </c>
      <c r="P32" s="45" t="n">
        <f aca="false">IF(Assumptions!P$8&lt;=Grace_Period,0,IF(Distributable_OpsYr9&gt;0,Distributable_OpsYr9,0))</f>
        <v>391616.185630053</v>
      </c>
      <c r="Q32" s="45" t="n">
        <f aca="false">IF(Assumptions!Q$8&lt;=Grace_Period,0,IF(Distributable_OpsYr10&gt;0,Distributable_OpsYr10,0))</f>
        <v>754985.523219194</v>
      </c>
      <c r="R32" s="45" t="n">
        <f aca="false">IF(Assumptions!R$8&lt;=Grace_Period,0,IF(Distributable_OpsYr11&gt;0,Distributable_OpsYr11,0))</f>
        <v>1127546.46223651</v>
      </c>
      <c r="S32" s="45" t="n">
        <f aca="false">IF(Assumptions!S$8&lt;=Grace_Period,0,IF(Distributable_OpsYr12&gt;0,Distributable_OpsYr12,0))</f>
        <v>1509532.01375736</v>
      </c>
      <c r="T32" s="45" t="n">
        <f aca="false">IF(Assumptions!T$8&lt;=Grace_Period,0,IF(Distributable_OpsYr13&gt;0,Distributable_OpsYr13,0))</f>
        <v>1901181.11076517</v>
      </c>
      <c r="U32" s="45" t="n">
        <f aca="false">IF(Assumptions!U$8&lt;=Grace_Period,0,IF(Distributable_OpsYr14&gt;0,Distributable_OpsYr14,0))</f>
        <v>2302738.75909812</v>
      </c>
      <c r="V32" s="45" t="n">
        <f aca="false">IF(Assumptions!V$8&lt;=Grace_Period,0,IF(Distributable_OpsYr15&gt;0,Distributable_OpsYr15,0))</f>
        <v>0</v>
      </c>
      <c r="W32" s="45" t="n">
        <f aca="false">IF(Assumptions!W$8&lt;=Grace_Period,0,IF(Distributable_OpsYr16&gt;0,Distributable_OpsYr16,0))</f>
        <v>3136591.03016885</v>
      </c>
      <c r="X32" s="45" t="n">
        <f aca="false">IF(Assumptions!X$8&lt;=Grace_Period,0,IF(Distributable_OpsYr17&gt;0,Distributable_OpsYr17,0))</f>
        <v>3569407.44202239</v>
      </c>
      <c r="Y32" s="45" t="n">
        <f aca="false">IF(Assumptions!Y$8&lt;=Grace_Period,0,IF(Distributable_OpsYr18&gt;0,Distributable_OpsYr18,0))</f>
        <v>4013176.31325527</v>
      </c>
      <c r="Z32" s="45" t="n">
        <f aca="false">IF(Assumptions!Z$8&lt;=Grace_Period,0,IF(Distributable_OpsYr19&gt;0,Distributable_OpsYr19,0))</f>
        <v>59435913.341753</v>
      </c>
      <c r="AA32" s="45" t="n">
        <f aca="false">IF(Assumptions!AA$8&lt;=Grace_Period,0,IF(Distributable_OpsYr20&gt;0,Distributable_OpsYr20,0))</f>
        <v>92192644.3113352</v>
      </c>
      <c r="AB32" s="45" t="n">
        <f aca="false">IF(Assumptions!AB$8&lt;=Grace_Period,0,IF(Distributable_OpsYr21&gt;0,Distributable_OpsYr21,0))</f>
        <v>73557347.0254066</v>
      </c>
      <c r="AC32" s="45" t="n">
        <f aca="false">IF(Assumptions!AC$8&lt;=Grace_Period,0,IF(Distributable_OpsYr22&gt;0,Distributable_OpsYr22,0))</f>
        <v>75491978.9708181</v>
      </c>
      <c r="AD32" s="45" t="n">
        <f aca="false">IF(Assumptions!AD$8&lt;=Grace_Period,0,IF(Distributable_OpsYr23&gt;0,Distributable_OpsYr23,0))</f>
        <v>77475586.2774065</v>
      </c>
      <c r="AE32" s="45" t="n">
        <f aca="false">IF(Assumptions!AE$8&lt;=Grace_Period,0,IF(Distributable_OpsYr24&gt;0,Distributable_OpsYr24,0))</f>
        <v>79509411.6160775</v>
      </c>
      <c r="AF32" s="45" t="n">
        <f aca="false">IF(Assumptions!AF$8&lt;=Grace_Period,0,IF(Distributable_OpsYr25&gt;0,Distributable_OpsYr25,0))</f>
        <v>51594729.2731159</v>
      </c>
      <c r="AG32" s="45" t="n">
        <f aca="false">IF(Assumptions!AG$8&lt;=Grace_Period,0,IF(Distributable_OpsYr26&gt;0,Distributable_OpsYr26,0))</f>
        <v>83732845.9570277</v>
      </c>
      <c r="AH32" s="45" t="n">
        <f aca="false">IF(Assumptions!AH$8&lt;=Grace_Period,0,IF(Distributable_OpsYr27&gt;0,Distributable_OpsYr27,0))</f>
        <v>85925101.6260482</v>
      </c>
      <c r="AI32" s="45" t="n">
        <f aca="false">IF(Assumptions!AI$8&lt;=Grace_Period,0,IF(Distributable_OpsYr28&gt;0,Distributable_OpsYr28,0))</f>
        <v>88172870.3368455</v>
      </c>
      <c r="AJ32" s="45" t="n">
        <f aca="false">IF(Assumptions!AJ$8&lt;=Grace_Period,0,IF(Distributable_OpsYr29&gt;0,Distributable_OpsYr29,0))</f>
        <v>90477561.1149655</v>
      </c>
      <c r="AK32" s="45" t="n">
        <f aca="false">IF(Assumptions!AK$8&lt;=Grace_Period,0,IF(Distributable_OpsYr30&gt;0,Distributable_OpsYr30,0))</f>
        <v>92840618.847578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AK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264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265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245</v>
      </c>
      <c r="C5" s="44" t="n">
        <f aca="false">0</f>
        <v>0</v>
      </c>
      <c r="D5" s="44" t="n">
        <f aca="false">0</f>
        <v>0</v>
      </c>
      <c r="E5" s="44" t="n">
        <f aca="false">0</f>
        <v>0</v>
      </c>
      <c r="F5" s="44" t="n">
        <f aca="false">0</f>
        <v>0</v>
      </c>
      <c r="G5" s="44" t="n">
        <f aca="false">0</f>
        <v>0</v>
      </c>
      <c r="H5" s="44" t="n">
        <f aca="false">Traffic_Revenue!H$14</f>
        <v>60500000</v>
      </c>
      <c r="I5" s="44" t="n">
        <f aca="false">Traffic_Revenue!I$14</f>
        <v>68485000</v>
      </c>
      <c r="J5" s="44" t="n">
        <f aca="false">Traffic_Revenue!J$14</f>
        <v>76096075</v>
      </c>
      <c r="K5" s="44" t="n">
        <f aca="false">Traffic_Revenue!K$14</f>
        <v>84044977.875</v>
      </c>
      <c r="L5" s="44" t="n">
        <f aca="false">Traffic_Revenue!L$14</f>
        <v>86162493.226875</v>
      </c>
      <c r="M5" s="44" t="n">
        <f aca="false">Traffic_Revenue!M$14</f>
        <v>88333438.1896968</v>
      </c>
      <c r="N5" s="44" t="n">
        <f aca="false">Traffic_Revenue!N$14</f>
        <v>90559163.2555537</v>
      </c>
      <c r="O5" s="44" t="n">
        <f aca="false">Traffic_Revenue!O$14</f>
        <v>92841053.1213905</v>
      </c>
      <c r="P5" s="44" t="n">
        <f aca="false">Traffic_Revenue!P$14</f>
        <v>95180527.5574067</v>
      </c>
      <c r="Q5" s="44" t="n">
        <f aca="false">Traffic_Revenue!Q$14</f>
        <v>97579042.2975626</v>
      </c>
      <c r="R5" s="44" t="n">
        <f aca="false">Traffic_Revenue!R$14</f>
        <v>100038089.952759</v>
      </c>
      <c r="S5" s="44" t="n">
        <f aca="false">Traffic_Revenue!S$14</f>
        <v>102559200.947268</v>
      </c>
      <c r="T5" s="44" t="n">
        <f aca="false">Traffic_Revenue!T$14</f>
        <v>105143944.479011</v>
      </c>
      <c r="U5" s="44" t="n">
        <f aca="false">Traffic_Revenue!U$14</f>
        <v>107793929.504289</v>
      </c>
      <c r="V5" s="44" t="n">
        <f aca="false">Traffic_Revenue!V$14</f>
        <v>110510805.747598</v>
      </c>
      <c r="W5" s="44" t="n">
        <f aca="false">Traffic_Revenue!W$14</f>
        <v>113296264.737161</v>
      </c>
      <c r="X5" s="44" t="n">
        <f aca="false">Traffic_Revenue!X$14</f>
        <v>116152040.866839</v>
      </c>
      <c r="Y5" s="44" t="n">
        <f aca="false">Traffic_Revenue!Y$14</f>
        <v>119079912.485096</v>
      </c>
      <c r="Z5" s="44" t="n">
        <f aca="false">Traffic_Revenue!Z$14</f>
        <v>122081703.011707</v>
      </c>
      <c r="AA5" s="44" t="n">
        <f aca="false">Traffic_Revenue!AA$14</f>
        <v>125159282.082919</v>
      </c>
      <c r="AB5" s="44" t="n">
        <f aca="false">Traffic_Revenue!AB$14</f>
        <v>128314566.725788</v>
      </c>
      <c r="AC5" s="44" t="n">
        <f aca="false">Traffic_Revenue!AC$14</f>
        <v>131549522.562453</v>
      </c>
      <c r="AD5" s="44" t="n">
        <f aca="false">Traffic_Revenue!AD$14</f>
        <v>134866165.045089</v>
      </c>
      <c r="AE5" s="44" t="n">
        <f aca="false">Traffic_Revenue!AE$14</f>
        <v>138266560.72235</v>
      </c>
      <c r="AF5" s="44" t="n">
        <f aca="false">Traffic_Revenue!AF$14</f>
        <v>141752828.538075</v>
      </c>
      <c r="AG5" s="44" t="n">
        <f aca="false">Traffic_Revenue!AG$14</f>
        <v>145327141.163124</v>
      </c>
      <c r="AH5" s="44" t="n">
        <f aca="false">Traffic_Revenue!AH$14</f>
        <v>148991726.361147</v>
      </c>
      <c r="AI5" s="44" t="n">
        <f aca="false">Traffic_Revenue!AI$14</f>
        <v>152748868.389189</v>
      </c>
      <c r="AJ5" s="44" t="n">
        <f aca="false">Traffic_Revenue!AJ$14</f>
        <v>156600909.434002</v>
      </c>
      <c r="AK5" s="44" t="n">
        <f aca="false">Traffic_Revenue!AK$14</f>
        <v>160550251.084988</v>
      </c>
    </row>
    <row r="6" customFormat="false" ht="15" hidden="false" customHeight="false" outlineLevel="0" collapsed="false">
      <c r="A6" s="5"/>
      <c r="B6" s="34" t="s">
        <v>13</v>
      </c>
      <c r="C6" s="45" t="n">
        <f aca="false">0</f>
        <v>0</v>
      </c>
      <c r="D6" s="45" t="n">
        <f aca="false">0</f>
        <v>0</v>
      </c>
      <c r="E6" s="45" t="n">
        <f aca="false">0</f>
        <v>0</v>
      </c>
      <c r="F6" s="45" t="n">
        <f aca="false">0</f>
        <v>0</v>
      </c>
      <c r="G6" s="45" t="n">
        <f aca="false">0</f>
        <v>0</v>
      </c>
      <c r="H6" s="45" t="n">
        <f aca="false">Opex!H$5</f>
        <v>-16000000</v>
      </c>
      <c r="I6" s="45" t="n">
        <f aca="false">Opex!I$5</f>
        <v>-16400000</v>
      </c>
      <c r="J6" s="45" t="n">
        <f aca="false">Opex!J$5</f>
        <v>-16810000</v>
      </c>
      <c r="K6" s="45" t="n">
        <f aca="false">Opex!K$5</f>
        <v>-17230250</v>
      </c>
      <c r="L6" s="45" t="n">
        <f aca="false">Opex!L$5</f>
        <v>-17661006.25</v>
      </c>
      <c r="M6" s="45" t="n">
        <f aca="false">Opex!M$5</f>
        <v>-18102531.40625</v>
      </c>
      <c r="N6" s="45" t="n">
        <f aca="false">Opex!N$5</f>
        <v>-18555094.6914062</v>
      </c>
      <c r="O6" s="45" t="n">
        <f aca="false">Opex!O$5</f>
        <v>-19018972.0586914</v>
      </c>
      <c r="P6" s="45" t="n">
        <f aca="false">Opex!P$5</f>
        <v>-19494446.3601587</v>
      </c>
      <c r="Q6" s="45" t="n">
        <f aca="false">Opex!Q$5</f>
        <v>-19981807.5191627</v>
      </c>
      <c r="R6" s="45" t="n">
        <f aca="false">Opex!R$5</f>
        <v>-20481352.7071417</v>
      </c>
      <c r="S6" s="45" t="n">
        <f aca="false">Opex!S$5</f>
        <v>-20993386.5248203</v>
      </c>
      <c r="T6" s="45" t="n">
        <f aca="false">Opex!T$5</f>
        <v>-21518221.1879408</v>
      </c>
      <c r="U6" s="45" t="n">
        <f aca="false">Opex!U$5</f>
        <v>-22056176.7176393</v>
      </c>
      <c r="V6" s="45" t="n">
        <f aca="false">Opex!V$5</f>
        <v>-22607581.1355803</v>
      </c>
      <c r="W6" s="45" t="n">
        <f aca="false">Opex!W$5</f>
        <v>-23172770.6639698</v>
      </c>
      <c r="X6" s="45" t="n">
        <f aca="false">Opex!X$5</f>
        <v>-23752089.930569</v>
      </c>
      <c r="Y6" s="45" t="n">
        <f aca="false">Opex!Y$5</f>
        <v>-24345892.1788332</v>
      </c>
      <c r="Z6" s="45" t="n">
        <f aca="false">Opex!Z$5</f>
        <v>-24954539.4833041</v>
      </c>
      <c r="AA6" s="45" t="n">
        <f aca="false">Opex!AA$5</f>
        <v>-25578402.9703867</v>
      </c>
      <c r="AB6" s="45" t="n">
        <f aca="false">Opex!AB$5</f>
        <v>-26217863.0446463</v>
      </c>
      <c r="AC6" s="45" t="n">
        <f aca="false">Opex!AC$5</f>
        <v>-26873309.6207625</v>
      </c>
      <c r="AD6" s="45" t="n">
        <f aca="false">Opex!AD$5</f>
        <v>-27545142.3612815</v>
      </c>
      <c r="AE6" s="45" t="n">
        <f aca="false">Opex!AE$5</f>
        <v>-28233770.9203136</v>
      </c>
      <c r="AF6" s="45" t="n">
        <f aca="false">Opex!AF$5</f>
        <v>-28939615.1933214</v>
      </c>
      <c r="AG6" s="45" t="n">
        <f aca="false">Opex!AG$5</f>
        <v>-29663105.5731544</v>
      </c>
      <c r="AH6" s="45" t="n">
        <f aca="false">Opex!AH$5</f>
        <v>-30404683.2124833</v>
      </c>
      <c r="AI6" s="45" t="n">
        <f aca="false">Opex!AI$5</f>
        <v>-31164800.2927954</v>
      </c>
      <c r="AJ6" s="45" t="n">
        <f aca="false">Opex!AJ$5</f>
        <v>-31943920.3001153</v>
      </c>
      <c r="AK6" s="45" t="n">
        <f aca="false">Opex!AK$5</f>
        <v>-32742518.3076182</v>
      </c>
    </row>
    <row r="7" customFormat="false" ht="15" hidden="false" customHeight="false" outlineLevel="0" collapsed="false">
      <c r="A7" s="5"/>
      <c r="B7" s="46" t="s">
        <v>246</v>
      </c>
      <c r="C7" s="47" t="n">
        <f aca="false">0</f>
        <v>0</v>
      </c>
      <c r="D7" s="47" t="n">
        <f aca="false">0</f>
        <v>0</v>
      </c>
      <c r="E7" s="47" t="n">
        <f aca="false">0</f>
        <v>0</v>
      </c>
      <c r="F7" s="47" t="n">
        <f aca="false">0</f>
        <v>0</v>
      </c>
      <c r="G7" s="47" t="n">
        <f aca="false">0</f>
        <v>0</v>
      </c>
      <c r="H7" s="47" t="n">
        <f aca="false">H5+H6</f>
        <v>44500000</v>
      </c>
      <c r="I7" s="47" t="n">
        <f aca="false">I5+I6</f>
        <v>52085000</v>
      </c>
      <c r="J7" s="47" t="n">
        <f aca="false">J5+J6</f>
        <v>59286075</v>
      </c>
      <c r="K7" s="47" t="n">
        <f aca="false">K5+K6</f>
        <v>66814727.875</v>
      </c>
      <c r="L7" s="47" t="n">
        <f aca="false">L5+L6</f>
        <v>68501486.976875</v>
      </c>
      <c r="M7" s="47" t="n">
        <f aca="false">M5+M6</f>
        <v>70230906.7834468</v>
      </c>
      <c r="N7" s="47" t="n">
        <f aca="false">N5+N6</f>
        <v>72004068.5641475</v>
      </c>
      <c r="O7" s="47" t="n">
        <f aca="false">O5+O6</f>
        <v>73822081.0626991</v>
      </c>
      <c r="P7" s="47" t="n">
        <f aca="false">P5+P6</f>
        <v>75686081.197248</v>
      </c>
      <c r="Q7" s="47" t="n">
        <f aca="false">Q5+Q6</f>
        <v>77597234.7784</v>
      </c>
      <c r="R7" s="47" t="n">
        <f aca="false">R5+R6</f>
        <v>79556737.2456174</v>
      </c>
      <c r="S7" s="47" t="n">
        <f aca="false">S5+S6</f>
        <v>81565814.422448</v>
      </c>
      <c r="T7" s="47" t="n">
        <f aca="false">T5+T6</f>
        <v>83625723.29107</v>
      </c>
      <c r="U7" s="47" t="n">
        <f aca="false">U5+U6</f>
        <v>85737752.7866495</v>
      </c>
      <c r="V7" s="47" t="n">
        <f aca="false">V5+V6</f>
        <v>87903224.6120175</v>
      </c>
      <c r="W7" s="47" t="n">
        <f aca="false">W5+W6</f>
        <v>90123494.0731907</v>
      </c>
      <c r="X7" s="47" t="n">
        <f aca="false">X5+X6</f>
        <v>92399950.9362695</v>
      </c>
      <c r="Y7" s="47" t="n">
        <f aca="false">Y5+Y6</f>
        <v>94734020.3062627</v>
      </c>
      <c r="Z7" s="47" t="n">
        <f aca="false">Z5+Z6</f>
        <v>97127163.5284034</v>
      </c>
      <c r="AA7" s="47" t="n">
        <f aca="false">AA5+AA6</f>
        <v>99580879.1125321</v>
      </c>
      <c r="AB7" s="47" t="n">
        <f aca="false">AB5+AB6</f>
        <v>102096703.681142</v>
      </c>
      <c r="AC7" s="47" t="n">
        <f aca="false">AC5+AC6</f>
        <v>104676212.94169</v>
      </c>
      <c r="AD7" s="47" t="n">
        <f aca="false">AD5+AD6</f>
        <v>107321022.683808</v>
      </c>
      <c r="AE7" s="47" t="n">
        <f aca="false">AE5+AE6</f>
        <v>110032789.802036</v>
      </c>
      <c r="AF7" s="47" t="n">
        <f aca="false">AF5+AF6</f>
        <v>112813213.344754</v>
      </c>
      <c r="AG7" s="47" t="n">
        <f aca="false">AG5+AG6</f>
        <v>115664035.58997</v>
      </c>
      <c r="AH7" s="47" t="n">
        <f aca="false">AH5+AH6</f>
        <v>118587043.148664</v>
      </c>
      <c r="AI7" s="47" t="n">
        <f aca="false">AI5+AI6</f>
        <v>121584068.096393</v>
      </c>
      <c r="AJ7" s="47" t="n">
        <f aca="false">AJ5+AJ6</f>
        <v>124656989.133887</v>
      </c>
      <c r="AK7" s="47" t="n">
        <f aca="false">AK5+AK6</f>
        <v>127807732.77737</v>
      </c>
    </row>
    <row r="8" customFormat="false" ht="15" hidden="false" customHeight="false" outlineLevel="0" collapsed="false">
      <c r="A8" s="5"/>
      <c r="B8" s="34" t="s">
        <v>235</v>
      </c>
      <c r="C8" s="45" t="n">
        <f aca="false">0</f>
        <v>0</v>
      </c>
      <c r="D8" s="45" t="n">
        <f aca="false">0</f>
        <v>0</v>
      </c>
      <c r="E8" s="45" t="n">
        <f aca="false">0</f>
        <v>0</v>
      </c>
      <c r="F8" s="45" t="n">
        <f aca="false">0</f>
        <v>0</v>
      </c>
      <c r="G8" s="45" t="n">
        <f aca="false">0</f>
        <v>0</v>
      </c>
      <c r="H8" s="45" t="n">
        <f aca="false">Opex!H$9</f>
        <v>-14000000</v>
      </c>
      <c r="I8" s="45" t="n">
        <f aca="false">Opex!I$9</f>
        <v>-14000000</v>
      </c>
      <c r="J8" s="45" t="n">
        <f aca="false">Opex!J$9</f>
        <v>-14000000</v>
      </c>
      <c r="K8" s="45" t="n">
        <f aca="false">Opex!K$9</f>
        <v>-14000000</v>
      </c>
      <c r="L8" s="45" t="n">
        <f aca="false">Opex!L$9</f>
        <v>-14000000</v>
      </c>
      <c r="M8" s="45" t="n">
        <f aca="false">Opex!M$9</f>
        <v>-14000000</v>
      </c>
      <c r="N8" s="45" t="n">
        <f aca="false">Opex!N$9</f>
        <v>-14000000</v>
      </c>
      <c r="O8" s="45" t="n">
        <f aca="false">Opex!O$9</f>
        <v>-14000000</v>
      </c>
      <c r="P8" s="45" t="n">
        <f aca="false">Opex!P$9</f>
        <v>-14000000</v>
      </c>
      <c r="Q8" s="45" t="n">
        <f aca="false">Opex!Q$9</f>
        <v>-14000000</v>
      </c>
      <c r="R8" s="45" t="n">
        <f aca="false">Opex!R$9</f>
        <v>-14000000</v>
      </c>
      <c r="S8" s="45" t="n">
        <f aca="false">Opex!S$9</f>
        <v>-14000000</v>
      </c>
      <c r="T8" s="45" t="n">
        <f aca="false">Opex!T$9</f>
        <v>-14000000</v>
      </c>
      <c r="U8" s="45" t="n">
        <f aca="false">Opex!U$9</f>
        <v>-14000000</v>
      </c>
      <c r="V8" s="45" t="n">
        <f aca="false">Opex!V$9</f>
        <v>-74000000</v>
      </c>
      <c r="W8" s="45" t="n">
        <f aca="false">Opex!W$9</f>
        <v>-14000000</v>
      </c>
      <c r="X8" s="45" t="n">
        <f aca="false">Opex!X$9</f>
        <v>-14000000</v>
      </c>
      <c r="Y8" s="45" t="n">
        <f aca="false">Opex!Y$9</f>
        <v>-14000000</v>
      </c>
      <c r="Z8" s="45" t="n">
        <f aca="false">Opex!Z$9</f>
        <v>-14000000</v>
      </c>
      <c r="AA8" s="45" t="n">
        <f aca="false">Opex!AA$9</f>
        <v>-14000000</v>
      </c>
      <c r="AB8" s="45" t="n">
        <f aca="false">Opex!AB$9</f>
        <v>-14000000</v>
      </c>
      <c r="AC8" s="45" t="n">
        <f aca="false">Opex!AC$9</f>
        <v>-14000000</v>
      </c>
      <c r="AD8" s="45" t="n">
        <f aca="false">Opex!AD$9</f>
        <v>-14000000</v>
      </c>
      <c r="AE8" s="45" t="n">
        <f aca="false">Opex!AE$9</f>
        <v>-14000000</v>
      </c>
      <c r="AF8" s="45" t="n">
        <f aca="false">Opex!AF$9</f>
        <v>-54000000</v>
      </c>
      <c r="AG8" s="45" t="n">
        <f aca="false">Opex!AG$9</f>
        <v>-14000000</v>
      </c>
      <c r="AH8" s="45" t="n">
        <f aca="false">Opex!AH$9</f>
        <v>-14000000</v>
      </c>
      <c r="AI8" s="45" t="n">
        <f aca="false">Opex!AI$9</f>
        <v>-14000000</v>
      </c>
      <c r="AJ8" s="45" t="n">
        <f aca="false">Opex!AJ$9</f>
        <v>-14000000</v>
      </c>
      <c r="AK8" s="45" t="n">
        <f aca="false">Opex!AK$9</f>
        <v>-14000000</v>
      </c>
    </row>
    <row r="9" customFormat="false" ht="15" hidden="false" customHeight="false" outlineLevel="0" collapsed="false">
      <c r="A9" s="5"/>
      <c r="B9" s="34" t="s">
        <v>266</v>
      </c>
      <c r="C9" s="45" t="n">
        <f aca="false">0</f>
        <v>0</v>
      </c>
      <c r="D9" s="45" t="n">
        <f aca="false">0</f>
        <v>0</v>
      </c>
      <c r="E9" s="45" t="n">
        <f aca="false">0</f>
        <v>0</v>
      </c>
      <c r="F9" s="45" t="n">
        <f aca="false">0</f>
        <v>0</v>
      </c>
      <c r="G9" s="45" t="n">
        <f aca="false">0</f>
        <v>0</v>
      </c>
      <c r="H9" s="45" t="n">
        <f aca="false">-(PPE_At_COD/Depreciation_Life)</f>
        <v>-29939277.0582021</v>
      </c>
      <c r="I9" s="45" t="n">
        <f aca="false">-(PPE_At_COD/Depreciation_Life)</f>
        <v>-29939277.0582021</v>
      </c>
      <c r="J9" s="45" t="n">
        <f aca="false">-(PPE_At_COD/Depreciation_Life)</f>
        <v>-29939277.0582021</v>
      </c>
      <c r="K9" s="45" t="n">
        <f aca="false">-(PPE_At_COD/Depreciation_Life)</f>
        <v>-29939277.0582021</v>
      </c>
      <c r="L9" s="45" t="n">
        <f aca="false">-(PPE_At_COD/Depreciation_Life)</f>
        <v>-29939277.0582021</v>
      </c>
      <c r="M9" s="45" t="n">
        <f aca="false">-(PPE_At_COD/Depreciation_Life)</f>
        <v>-29939277.0582021</v>
      </c>
      <c r="N9" s="45" t="n">
        <f aca="false">-(PPE_At_COD/Depreciation_Life)</f>
        <v>-29939277.0582021</v>
      </c>
      <c r="O9" s="45" t="n">
        <f aca="false">-(PPE_At_COD/Depreciation_Life)</f>
        <v>-29939277.0582021</v>
      </c>
      <c r="P9" s="45" t="n">
        <f aca="false">-(PPE_At_COD/Depreciation_Life)</f>
        <v>-29939277.0582021</v>
      </c>
      <c r="Q9" s="45" t="n">
        <f aca="false">-(PPE_At_COD/Depreciation_Life)</f>
        <v>-29939277.0582021</v>
      </c>
      <c r="R9" s="45" t="n">
        <f aca="false">-(PPE_At_COD/Depreciation_Life)</f>
        <v>-29939277.0582021</v>
      </c>
      <c r="S9" s="45" t="n">
        <f aca="false">-(PPE_At_COD/Depreciation_Life)</f>
        <v>-29939277.0582021</v>
      </c>
      <c r="T9" s="45" t="n">
        <f aca="false">-(PPE_At_COD/Depreciation_Life)</f>
        <v>-29939277.0582021</v>
      </c>
      <c r="U9" s="45" t="n">
        <f aca="false">-(PPE_At_COD/Depreciation_Life)</f>
        <v>-29939277.0582021</v>
      </c>
      <c r="V9" s="45" t="n">
        <f aca="false">-(PPE_At_COD/Depreciation_Life)</f>
        <v>-29939277.0582021</v>
      </c>
      <c r="W9" s="45" t="n">
        <f aca="false">-(PPE_At_COD/Depreciation_Life)</f>
        <v>-29939277.0582021</v>
      </c>
      <c r="X9" s="45" t="n">
        <f aca="false">-(PPE_At_COD/Depreciation_Life)</f>
        <v>-29939277.0582021</v>
      </c>
      <c r="Y9" s="45" t="n">
        <f aca="false">-(PPE_At_COD/Depreciation_Life)</f>
        <v>-29939277.0582021</v>
      </c>
      <c r="Z9" s="45" t="n">
        <f aca="false">-(PPE_At_COD/Depreciation_Life)</f>
        <v>-29939277.0582021</v>
      </c>
      <c r="AA9" s="45" t="n">
        <f aca="false">-(PPE_At_COD/Depreciation_Life)</f>
        <v>-29939277.0582021</v>
      </c>
      <c r="AB9" s="45" t="n">
        <f aca="false">-(PPE_At_COD/Depreciation_Life)</f>
        <v>-29939277.0582021</v>
      </c>
      <c r="AC9" s="45" t="n">
        <f aca="false">-(PPE_At_COD/Depreciation_Life)</f>
        <v>-29939277.0582021</v>
      </c>
      <c r="AD9" s="45" t="n">
        <f aca="false">-(PPE_At_COD/Depreciation_Life)</f>
        <v>-29939277.0582021</v>
      </c>
      <c r="AE9" s="45" t="n">
        <f aca="false">-(PPE_At_COD/Depreciation_Life)</f>
        <v>-29939277.0582021</v>
      </c>
      <c r="AF9" s="45" t="n">
        <f aca="false">-(PPE_At_COD/Depreciation_Life)</f>
        <v>-29939277.0582021</v>
      </c>
      <c r="AG9" s="45" t="n">
        <f aca="false">-(PPE_At_COD/Depreciation_Life)</f>
        <v>-29939277.0582021</v>
      </c>
      <c r="AH9" s="45" t="n">
        <f aca="false">-(PPE_At_COD/Depreciation_Life)</f>
        <v>-29939277.0582021</v>
      </c>
      <c r="AI9" s="45" t="n">
        <f aca="false">-(PPE_At_COD/Depreciation_Life)</f>
        <v>-29939277.0582021</v>
      </c>
      <c r="AJ9" s="45" t="n">
        <f aca="false">-(PPE_At_COD/Depreciation_Life)</f>
        <v>-29939277.0582021</v>
      </c>
      <c r="AK9" s="45" t="n">
        <f aca="false">-(PPE_At_COD/Depreciation_Life)</f>
        <v>-29939277.0582021</v>
      </c>
    </row>
    <row r="10" customFormat="false" ht="15" hidden="false" customHeight="false" outlineLevel="0" collapsed="false">
      <c r="A10" s="5"/>
      <c r="B10" s="46" t="s">
        <v>267</v>
      </c>
      <c r="C10" s="47" t="n">
        <f aca="false">0</f>
        <v>0</v>
      </c>
      <c r="D10" s="47" t="n">
        <f aca="false">0</f>
        <v>0</v>
      </c>
      <c r="E10" s="47" t="n">
        <f aca="false">0</f>
        <v>0</v>
      </c>
      <c r="F10" s="47" t="n">
        <f aca="false">0</f>
        <v>0</v>
      </c>
      <c r="G10" s="47" t="n">
        <f aca="false">0</f>
        <v>0</v>
      </c>
      <c r="H10" s="47" t="n">
        <f aca="false">H7+H8+H9</f>
        <v>560722.941797938</v>
      </c>
      <c r="I10" s="47" t="n">
        <f aca="false">I7+I8+I9</f>
        <v>8145722.94179794</v>
      </c>
      <c r="J10" s="47" t="n">
        <f aca="false">J7+J8+J9</f>
        <v>15346797.9417979</v>
      </c>
      <c r="K10" s="47" t="n">
        <f aca="false">K7+K8+K9</f>
        <v>22875450.8167979</v>
      </c>
      <c r="L10" s="47" t="n">
        <f aca="false">L7+L8+L9</f>
        <v>24562209.9186729</v>
      </c>
      <c r="M10" s="47" t="n">
        <f aca="false">M7+M8+M9</f>
        <v>26291629.7252448</v>
      </c>
      <c r="N10" s="47" t="n">
        <f aca="false">N7+N8+N9</f>
        <v>28064791.5059454</v>
      </c>
      <c r="O10" s="47" t="n">
        <f aca="false">O7+O8+O9</f>
        <v>29882804.0044971</v>
      </c>
      <c r="P10" s="47" t="n">
        <f aca="false">P7+P8+P9</f>
        <v>31746804.1390459</v>
      </c>
      <c r="Q10" s="47" t="n">
        <f aca="false">Q7+Q8+Q9</f>
        <v>33657957.7201979</v>
      </c>
      <c r="R10" s="47" t="n">
        <f aca="false">R7+R8+R9</f>
        <v>35617460.1874153</v>
      </c>
      <c r="S10" s="47" t="n">
        <f aca="false">S7+S8+S9</f>
        <v>37626537.3642459</v>
      </c>
      <c r="T10" s="47" t="n">
        <f aca="false">T7+T8+T9</f>
        <v>39686446.232868</v>
      </c>
      <c r="U10" s="47" t="n">
        <f aca="false">U7+U8+U9</f>
        <v>41798475.7284474</v>
      </c>
      <c r="V10" s="47" t="n">
        <f aca="false">V7+V8+V9</f>
        <v>-16036052.4461846</v>
      </c>
      <c r="W10" s="47" t="n">
        <f aca="false">W7+W8+W9</f>
        <v>46184217.0149887</v>
      </c>
      <c r="X10" s="47" t="n">
        <f aca="false">X7+X8+X9</f>
        <v>48460673.8780675</v>
      </c>
      <c r="Y10" s="47" t="n">
        <f aca="false">Y7+Y8+Y9</f>
        <v>50794743.2480607</v>
      </c>
      <c r="Z10" s="47" t="n">
        <f aca="false">Z7+Z8+Z9</f>
        <v>53187886.4702013</v>
      </c>
      <c r="AA10" s="47" t="n">
        <f aca="false">AA7+AA8+AA9</f>
        <v>55641602.05433</v>
      </c>
      <c r="AB10" s="47" t="n">
        <f aca="false">AB7+AB8+AB9</f>
        <v>58157426.6229394</v>
      </c>
      <c r="AC10" s="47" t="n">
        <f aca="false">AC7+AC8+AC9</f>
        <v>60736935.883488</v>
      </c>
      <c r="AD10" s="47" t="n">
        <f aca="false">AD7+AD8+AD9</f>
        <v>63381745.6256059</v>
      </c>
      <c r="AE10" s="47" t="n">
        <f aca="false">AE7+AE8+AE9</f>
        <v>66093512.743834</v>
      </c>
      <c r="AF10" s="47" t="n">
        <f aca="false">AF7+AF8+AF9</f>
        <v>28873936.2865518</v>
      </c>
      <c r="AG10" s="47" t="n">
        <f aca="false">AG7+AG8+AG9</f>
        <v>71724758.5317675</v>
      </c>
      <c r="AH10" s="47" t="n">
        <f aca="false">AH7+AH8+AH9</f>
        <v>74647766.0904615</v>
      </c>
      <c r="AI10" s="47" t="n">
        <f aca="false">AI7+AI8+AI9</f>
        <v>77644791.0381913</v>
      </c>
      <c r="AJ10" s="47" t="n">
        <f aca="false">AJ7+AJ8+AJ9</f>
        <v>80717712.0756847</v>
      </c>
      <c r="AK10" s="47" t="n">
        <f aca="false">AK7+AK8+AK9</f>
        <v>83868455.7191679</v>
      </c>
    </row>
    <row r="11" customFormat="false" ht="15" hidden="false" customHeight="false" outlineLevel="0" collapsed="false">
      <c r="A11" s="5"/>
      <c r="B11" s="34" t="s">
        <v>250</v>
      </c>
      <c r="C11" s="45" t="n">
        <f aca="false">-Constr_IDC_CY1</f>
        <v>-2408560</v>
      </c>
      <c r="D11" s="45" t="n">
        <f aca="false">-Constr_IDC_CY2</f>
        <v>-7960290.8</v>
      </c>
      <c r="E11" s="45" t="n">
        <f aca="false">-Constr_IDC_CY3</f>
        <v>-20440906.794</v>
      </c>
      <c r="F11" s="45" t="n">
        <f aca="false">-Constr_IDC_CY4</f>
        <v>-28188696.66767</v>
      </c>
      <c r="G11" s="45" t="n">
        <f aca="false">-Constr_IDC_CY5</f>
        <v>-34179857.4843919</v>
      </c>
      <c r="H11" s="45" t="n">
        <f aca="false">-Debt_Schedule!H$17</f>
        <v>-36059749.6460334</v>
      </c>
      <c r="I11" s="45" t="n">
        <f aca="false">-Debt_Schedule!I$17</f>
        <v>-36059749.6460334</v>
      </c>
      <c r="J11" s="45" t="n">
        <f aca="false">-Debt_Schedule!J$17</f>
        <v>-36059749.6460334</v>
      </c>
      <c r="K11" s="45" t="n">
        <f aca="false">-Debt_Schedule!K$17</f>
        <v>-35434448.5765652</v>
      </c>
      <c r="L11" s="45" t="n">
        <f aca="false">-Debt_Schedule!L$17</f>
        <v>-34443495.2217763</v>
      </c>
      <c r="M11" s="45" t="n">
        <f aca="false">-Debt_Schedule!M$17</f>
        <v>-33323822.0319915</v>
      </c>
      <c r="N11" s="45" t="n">
        <f aca="false">-Debt_Schedule!N$17</f>
        <v>-32066472.3452794</v>
      </c>
      <c r="O11" s="45" t="n">
        <f aca="false">-Debt_Schedule!O$17</f>
        <v>-30661949.3074473</v>
      </c>
      <c r="P11" s="45" t="n">
        <f aca="false">-Debt_Schedule!P$17</f>
        <v>-29100184.9525981</v>
      </c>
      <c r="Q11" s="45" t="n">
        <f aca="false">-Debt_Schedule!Q$17</f>
        <v>-27370507.5523121</v>
      </c>
      <c r="R11" s="45" t="n">
        <f aca="false">-Debt_Schedule!R$17</f>
        <v>-25461607.1374397</v>
      </c>
      <c r="S11" s="45" t="n">
        <f aca="false">-Debt_Schedule!S$17</f>
        <v>-23361499.0911917</v>
      </c>
      <c r="T11" s="45" t="n">
        <f aca="false">-Debt_Schedule!T$17</f>
        <v>-21057485.7066195</v>
      </c>
      <c r="U11" s="45" t="n">
        <f aca="false">-Debt_Schedule!U$17</f>
        <v>-18536115.5956765</v>
      </c>
      <c r="V11" s="45" t="n">
        <f aca="false">-Debt_Schedule!V$17</f>
        <v>-15783140.8308261</v>
      </c>
      <c r="W11" s="45" t="n">
        <f aca="false">-Debt_Schedule!W$17</f>
        <v>-12783471.6935928</v>
      </c>
      <c r="X11" s="45" t="n">
        <f aca="false">-Debt_Schedule!X$17</f>
        <v>-9521128.89752003</v>
      </c>
      <c r="Y11" s="45" t="n">
        <f aca="false">-Debt_Schedule!Y$17</f>
        <v>-5979193.14568777</v>
      </c>
      <c r="Z11" s="45" t="n">
        <f aca="false">-Debt_Schedule!Z$17</f>
        <v>-2139751.87522504</v>
      </c>
      <c r="AA11" s="45" t="n">
        <f aca="false">-Debt_Schedule!AA$17</f>
        <v>-0</v>
      </c>
      <c r="AB11" s="45" t="n">
        <f aca="false">-Debt_Schedule!AB$17</f>
        <v>-0</v>
      </c>
      <c r="AC11" s="45" t="n">
        <f aca="false">-Debt_Schedule!AC$17</f>
        <v>-0</v>
      </c>
      <c r="AD11" s="45" t="n">
        <f aca="false">-Debt_Schedule!AD$17</f>
        <v>-0</v>
      </c>
      <c r="AE11" s="45" t="n">
        <f aca="false">-Debt_Schedule!AE$17</f>
        <v>-0</v>
      </c>
      <c r="AF11" s="45" t="n">
        <f aca="false">-Debt_Schedule!AF$17</f>
        <v>-0</v>
      </c>
      <c r="AG11" s="45" t="n">
        <f aca="false">-Debt_Schedule!AG$17</f>
        <v>-0</v>
      </c>
      <c r="AH11" s="45" t="n">
        <f aca="false">-Debt_Schedule!AH$17</f>
        <v>-0</v>
      </c>
      <c r="AI11" s="45" t="n">
        <f aca="false">-Debt_Schedule!AI$17</f>
        <v>-0</v>
      </c>
      <c r="AJ11" s="45" t="n">
        <f aca="false">-Debt_Schedule!AJ$17</f>
        <v>-0</v>
      </c>
      <c r="AK11" s="45" t="n">
        <f aca="false">-Debt_Schedule!AK$17</f>
        <v>-0</v>
      </c>
    </row>
    <row r="12" customFormat="false" ht="15" hidden="false" customHeight="false" outlineLevel="0" collapsed="false">
      <c r="A12" s="5"/>
      <c r="B12" s="46" t="s">
        <v>268</v>
      </c>
      <c r="C12" s="47" t="n">
        <f aca="false">C11</f>
        <v>-2408560</v>
      </c>
      <c r="D12" s="47" t="n">
        <f aca="false">D11</f>
        <v>-7960290.8</v>
      </c>
      <c r="E12" s="47" t="n">
        <f aca="false">E11</f>
        <v>-20440906.794</v>
      </c>
      <c r="F12" s="47" t="n">
        <f aca="false">F11</f>
        <v>-28188696.66767</v>
      </c>
      <c r="G12" s="47" t="n">
        <f aca="false">G11</f>
        <v>-34179857.4843919</v>
      </c>
      <c r="H12" s="47" t="n">
        <f aca="false">H10+H11</f>
        <v>-35499026.7042355</v>
      </c>
      <c r="I12" s="47" t="n">
        <f aca="false">I10+I11</f>
        <v>-27914026.7042355</v>
      </c>
      <c r="J12" s="47" t="n">
        <f aca="false">J10+J11</f>
        <v>-20712951.7042355</v>
      </c>
      <c r="K12" s="47" t="n">
        <f aca="false">K10+K11</f>
        <v>-12558997.7597673</v>
      </c>
      <c r="L12" s="47" t="n">
        <f aca="false">L10+L11</f>
        <v>-9881285.30310342</v>
      </c>
      <c r="M12" s="47" t="n">
        <f aca="false">M10+M11</f>
        <v>-7032192.30674676</v>
      </c>
      <c r="N12" s="47" t="n">
        <f aca="false">N10+N11</f>
        <v>-4001680.83933398</v>
      </c>
      <c r="O12" s="47" t="n">
        <f aca="false">O10+O11</f>
        <v>-779145.302950222</v>
      </c>
      <c r="P12" s="47" t="n">
        <f aca="false">P10+P11</f>
        <v>2646619.18644778</v>
      </c>
      <c r="Q12" s="47" t="n">
        <f aca="false">Q10+Q11</f>
        <v>6287450.1678858</v>
      </c>
      <c r="R12" s="47" t="n">
        <f aca="false">R10+R11</f>
        <v>10155853.0499757</v>
      </c>
      <c r="S12" s="47" t="n">
        <f aca="false">S10+S11</f>
        <v>14265038.2730542</v>
      </c>
      <c r="T12" s="47" t="n">
        <f aca="false">T10+T11</f>
        <v>18628960.5262485</v>
      </c>
      <c r="U12" s="47" t="n">
        <f aca="false">U10+U11</f>
        <v>23262360.1327709</v>
      </c>
      <c r="V12" s="47" t="n">
        <f aca="false">V10+V11</f>
        <v>-31819193.2770107</v>
      </c>
      <c r="W12" s="47" t="n">
        <f aca="false">W10+W11</f>
        <v>33400745.3213959</v>
      </c>
      <c r="X12" s="47" t="n">
        <f aca="false">X10+X11</f>
        <v>38939544.9805474</v>
      </c>
      <c r="Y12" s="47" t="n">
        <f aca="false">Y10+Y11</f>
        <v>44815550.1023729</v>
      </c>
      <c r="Z12" s="47" t="n">
        <f aca="false">Z10+Z11</f>
        <v>51048134.5949763</v>
      </c>
      <c r="AA12" s="47" t="n">
        <f aca="false">AA10+AA11</f>
        <v>55641602.05433</v>
      </c>
      <c r="AB12" s="47" t="n">
        <f aca="false">AB10+AB11</f>
        <v>58157426.6229394</v>
      </c>
      <c r="AC12" s="47" t="n">
        <f aca="false">AC10+AC11</f>
        <v>60736935.883488</v>
      </c>
      <c r="AD12" s="47" t="n">
        <f aca="false">AD10+AD11</f>
        <v>63381745.6256059</v>
      </c>
      <c r="AE12" s="47" t="n">
        <f aca="false">AE10+AE11</f>
        <v>66093512.743834</v>
      </c>
      <c r="AF12" s="47" t="n">
        <f aca="false">AF10+AF11</f>
        <v>28873936.2865518</v>
      </c>
      <c r="AG12" s="47" t="n">
        <f aca="false">AG10+AG11</f>
        <v>71724758.5317675</v>
      </c>
      <c r="AH12" s="47" t="n">
        <f aca="false">AH10+AH11</f>
        <v>74647766.0904615</v>
      </c>
      <c r="AI12" s="47" t="n">
        <f aca="false">AI10+AI11</f>
        <v>77644791.0381913</v>
      </c>
      <c r="AJ12" s="47" t="n">
        <f aca="false">AJ10+AJ11</f>
        <v>80717712.0756847</v>
      </c>
      <c r="AK12" s="47" t="n">
        <f aca="false">AK10+AK11</f>
        <v>83868455.7191679</v>
      </c>
    </row>
    <row r="13" customFormat="false" ht="15" hidden="false" customHeight="false" outlineLevel="0" collapsed="false">
      <c r="A13" s="5"/>
      <c r="B13" s="31" t="s">
        <v>269</v>
      </c>
      <c r="C13" s="54" t="n">
        <f aca="false">ABS(SUM(C12:G12))</f>
        <v>93178311.7460619</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customFormat="false" ht="15" hidden="false" customHeight="false" outlineLevel="0" collapsed="false">
      <c r="A14" s="5"/>
      <c r="B14" s="34" t="s">
        <v>270</v>
      </c>
      <c r="C14" s="45" t="n">
        <f aca="false">0</f>
        <v>0</v>
      </c>
      <c r="D14" s="45" t="n">
        <f aca="false">0</f>
        <v>0</v>
      </c>
      <c r="E14" s="45" t="n">
        <f aca="false">0</f>
        <v>0</v>
      </c>
      <c r="F14" s="45" t="n">
        <f aca="false">0</f>
        <v>0</v>
      </c>
      <c r="G14" s="45" t="n">
        <f aca="false">0</f>
        <v>0</v>
      </c>
      <c r="H14" s="45" t="n">
        <f aca="false">NOL_At_COD</f>
        <v>93178311.7460619</v>
      </c>
      <c r="I14" s="45" t="n">
        <f aca="false">NOL_Closing_OpsYr1</f>
        <v>128677338.450297</v>
      </c>
      <c r="J14" s="45" t="n">
        <f aca="false">NOL_Closing_OpsYr2</f>
        <v>156591365.154533</v>
      </c>
      <c r="K14" s="45" t="n">
        <f aca="false">NOL_Closing_OpsYr3</f>
        <v>177304316.858768</v>
      </c>
      <c r="L14" s="45" t="n">
        <f aca="false">NOL_Closing_OpsYr4</f>
        <v>189863314.618536</v>
      </c>
      <c r="M14" s="45" t="n">
        <f aca="false">NOL_Closing_OpsYr5</f>
        <v>199744599.921639</v>
      </c>
      <c r="N14" s="45" t="n">
        <f aca="false">NOL_Closing_OpsYr6</f>
        <v>206776792.228386</v>
      </c>
      <c r="O14" s="45" t="n">
        <f aca="false">NOL_Closing_OpsYr7</f>
        <v>210778473.06772</v>
      </c>
      <c r="P14" s="45" t="n">
        <f aca="false">NOL_Closing_OpsYr8</f>
        <v>211557618.37067</v>
      </c>
      <c r="Q14" s="45" t="n">
        <f aca="false">NOL_Closing_OpsYr9</f>
        <v>208910999.184222</v>
      </c>
      <c r="R14" s="45" t="n">
        <f aca="false">NOL_Closing_OpsYr10</f>
        <v>202623549.016336</v>
      </c>
      <c r="S14" s="45" t="n">
        <f aca="false">NOL_Closing_OpsYr11</f>
        <v>192467695.966361</v>
      </c>
      <c r="T14" s="45" t="n">
        <f aca="false">NOL_Closing_OpsYr12</f>
        <v>178202657.693307</v>
      </c>
      <c r="U14" s="45" t="n">
        <f aca="false">NOL_Closing_OpsYr13</f>
        <v>159573697.167058</v>
      </c>
      <c r="V14" s="45" t="n">
        <f aca="false">NOL_Closing_OpsYr14</f>
        <v>136311337.034287</v>
      </c>
      <c r="W14" s="45" t="n">
        <f aca="false">NOL_Closing_OpsYr15</f>
        <v>168130530.311298</v>
      </c>
      <c r="X14" s="45" t="n">
        <f aca="false">NOL_Closing_OpsYr16</f>
        <v>134729784.989902</v>
      </c>
      <c r="Y14" s="45" t="n">
        <f aca="false">NOL_Closing_OpsYr17</f>
        <v>95790240.0093546</v>
      </c>
      <c r="Z14" s="45" t="n">
        <f aca="false">NOL_Closing_OpsYr18</f>
        <v>50974689.9069817</v>
      </c>
      <c r="AA14" s="45" t="n">
        <f aca="false">NOL_Closing_OpsYr19</f>
        <v>0</v>
      </c>
      <c r="AB14" s="45" t="n">
        <f aca="false">NOL_Closing_OpsYr20</f>
        <v>0</v>
      </c>
      <c r="AC14" s="45" t="n">
        <f aca="false">NOL_Closing_OpsYr21</f>
        <v>0</v>
      </c>
      <c r="AD14" s="45" t="n">
        <f aca="false">NOL_Closing_OpsYr22</f>
        <v>0</v>
      </c>
      <c r="AE14" s="45" t="n">
        <f aca="false">NOL_Closing_OpsYr23</f>
        <v>0</v>
      </c>
      <c r="AF14" s="45" t="n">
        <f aca="false">NOL_Closing_OpsYr24</f>
        <v>0</v>
      </c>
      <c r="AG14" s="45" t="n">
        <f aca="false">NOL_Closing_OpsYr25</f>
        <v>0</v>
      </c>
      <c r="AH14" s="45" t="n">
        <f aca="false">NOL_Closing_OpsYr26</f>
        <v>0</v>
      </c>
      <c r="AI14" s="45" t="n">
        <f aca="false">NOL_Closing_OpsYr27</f>
        <v>0</v>
      </c>
      <c r="AJ14" s="45" t="n">
        <f aca="false">NOL_Closing_OpsYr28</f>
        <v>0</v>
      </c>
      <c r="AK14" s="45" t="n">
        <f aca="false">NOL_Closing_OpsYr29</f>
        <v>0</v>
      </c>
    </row>
    <row r="15" customFormat="false" ht="15" hidden="false" customHeight="false" outlineLevel="0" collapsed="false">
      <c r="A15" s="5"/>
      <c r="B15" s="34" t="s">
        <v>271</v>
      </c>
      <c r="C15" s="45" t="n">
        <f aca="false">0</f>
        <v>0</v>
      </c>
      <c r="D15" s="45" t="n">
        <f aca="false">0</f>
        <v>0</v>
      </c>
      <c r="E15" s="45" t="n">
        <f aca="false">0</f>
        <v>0</v>
      </c>
      <c r="F15" s="45" t="n">
        <f aca="false">0</f>
        <v>0</v>
      </c>
      <c r="G15" s="45" t="n">
        <f aca="false">0</f>
        <v>0</v>
      </c>
      <c r="H15" s="45" t="n">
        <f aca="false">IF(IS_EBT_OpsYr1&lt;0,-IS_EBT_OpsYr1,0)</f>
        <v>35499026.7042355</v>
      </c>
      <c r="I15" s="45" t="n">
        <f aca="false">IF(IS_EBT_OpsYr2&lt;0,-IS_EBT_OpsYr2,0)</f>
        <v>27914026.7042355</v>
      </c>
      <c r="J15" s="45" t="n">
        <f aca="false">IF(IS_EBT_OpsYr3&lt;0,-IS_EBT_OpsYr3,0)</f>
        <v>20712951.7042355</v>
      </c>
      <c r="K15" s="45" t="n">
        <f aca="false">IF(IS_EBT_OpsYr4&lt;0,-IS_EBT_OpsYr4,0)</f>
        <v>12558997.7597673</v>
      </c>
      <c r="L15" s="45" t="n">
        <f aca="false">IF(IS_EBT_OpsYr5&lt;0,-IS_EBT_OpsYr5,0)</f>
        <v>9881285.30310342</v>
      </c>
      <c r="M15" s="45" t="n">
        <f aca="false">IF(IS_EBT_OpsYr6&lt;0,-IS_EBT_OpsYr6,0)</f>
        <v>7032192.30674676</v>
      </c>
      <c r="N15" s="45" t="n">
        <f aca="false">IF(IS_EBT_OpsYr7&lt;0,-IS_EBT_OpsYr7,0)</f>
        <v>4001680.83933398</v>
      </c>
      <c r="O15" s="45" t="n">
        <f aca="false">IF(IS_EBT_OpsYr8&lt;0,-IS_EBT_OpsYr8,0)</f>
        <v>779145.302950222</v>
      </c>
      <c r="P15" s="45" t="n">
        <f aca="false">IF(IS_EBT_OpsYr9&lt;0,-IS_EBT_OpsYr9,0)</f>
        <v>0</v>
      </c>
      <c r="Q15" s="45" t="n">
        <f aca="false">IF(IS_EBT_OpsYr10&lt;0,-IS_EBT_OpsYr10,0)</f>
        <v>0</v>
      </c>
      <c r="R15" s="45" t="n">
        <f aca="false">IF(IS_EBT_OpsYr11&lt;0,-IS_EBT_OpsYr11,0)</f>
        <v>0</v>
      </c>
      <c r="S15" s="45" t="n">
        <f aca="false">IF(IS_EBT_OpsYr12&lt;0,-IS_EBT_OpsYr12,0)</f>
        <v>0</v>
      </c>
      <c r="T15" s="45" t="n">
        <f aca="false">IF(IS_EBT_OpsYr13&lt;0,-IS_EBT_OpsYr13,0)</f>
        <v>0</v>
      </c>
      <c r="U15" s="45" t="n">
        <f aca="false">IF(IS_EBT_OpsYr14&lt;0,-IS_EBT_OpsYr14,0)</f>
        <v>0</v>
      </c>
      <c r="V15" s="45" t="n">
        <f aca="false">IF(IS_EBT_OpsYr15&lt;0,-IS_EBT_OpsYr15,0)</f>
        <v>31819193.2770107</v>
      </c>
      <c r="W15" s="45" t="n">
        <f aca="false">IF(IS_EBT_OpsYr16&lt;0,-IS_EBT_OpsYr16,0)</f>
        <v>0</v>
      </c>
      <c r="X15" s="45" t="n">
        <f aca="false">IF(IS_EBT_OpsYr17&lt;0,-IS_EBT_OpsYr17,0)</f>
        <v>0</v>
      </c>
      <c r="Y15" s="45" t="n">
        <f aca="false">IF(IS_EBT_OpsYr18&lt;0,-IS_EBT_OpsYr18,0)</f>
        <v>0</v>
      </c>
      <c r="Z15" s="45" t="n">
        <f aca="false">IF(IS_EBT_OpsYr19&lt;0,-IS_EBT_OpsYr19,0)</f>
        <v>0</v>
      </c>
      <c r="AA15" s="45" t="n">
        <f aca="false">IF(IS_EBT_OpsYr20&lt;0,-IS_EBT_OpsYr20,0)</f>
        <v>0</v>
      </c>
      <c r="AB15" s="45" t="n">
        <f aca="false">IF(IS_EBT_OpsYr21&lt;0,-IS_EBT_OpsYr21,0)</f>
        <v>0</v>
      </c>
      <c r="AC15" s="45" t="n">
        <f aca="false">IF(IS_EBT_OpsYr22&lt;0,-IS_EBT_OpsYr22,0)</f>
        <v>0</v>
      </c>
      <c r="AD15" s="45" t="n">
        <f aca="false">IF(IS_EBT_OpsYr23&lt;0,-IS_EBT_OpsYr23,0)</f>
        <v>0</v>
      </c>
      <c r="AE15" s="45" t="n">
        <f aca="false">IF(IS_EBT_OpsYr24&lt;0,-IS_EBT_OpsYr24,0)</f>
        <v>0</v>
      </c>
      <c r="AF15" s="45" t="n">
        <f aca="false">IF(IS_EBT_OpsYr25&lt;0,-IS_EBT_OpsYr25,0)</f>
        <v>0</v>
      </c>
      <c r="AG15" s="45" t="n">
        <f aca="false">IF(IS_EBT_OpsYr26&lt;0,-IS_EBT_OpsYr26,0)</f>
        <v>0</v>
      </c>
      <c r="AH15" s="45" t="n">
        <f aca="false">IF(IS_EBT_OpsYr27&lt;0,-IS_EBT_OpsYr27,0)</f>
        <v>0</v>
      </c>
      <c r="AI15" s="45" t="n">
        <f aca="false">IF(IS_EBT_OpsYr28&lt;0,-IS_EBT_OpsYr28,0)</f>
        <v>0</v>
      </c>
      <c r="AJ15" s="45" t="n">
        <f aca="false">IF(IS_EBT_OpsYr29&lt;0,-IS_EBT_OpsYr29,0)</f>
        <v>0</v>
      </c>
      <c r="AK15" s="45" t="n">
        <f aca="false">IF(IS_EBT_OpsYr30&lt;0,-IS_EBT_OpsYr30,0)</f>
        <v>0</v>
      </c>
    </row>
    <row r="16" customFormat="false" ht="15" hidden="false" customHeight="false" outlineLevel="0" collapsed="false">
      <c r="A16" s="5"/>
      <c r="B16" s="34" t="s">
        <v>272</v>
      </c>
      <c r="C16" s="45" t="n">
        <f aca="false">0</f>
        <v>0</v>
      </c>
      <c r="D16" s="45" t="n">
        <f aca="false">0</f>
        <v>0</v>
      </c>
      <c r="E16" s="45" t="n">
        <f aca="false">0</f>
        <v>0</v>
      </c>
      <c r="F16" s="45" t="n">
        <f aca="false">0</f>
        <v>0</v>
      </c>
      <c r="G16" s="45" t="n">
        <f aca="false">0</f>
        <v>0</v>
      </c>
      <c r="H16" s="45" t="n">
        <f aca="false">IF(IS_EBT_OpsYr1&gt;0,MIN(NOL_Opening_OpsYr1+H15,IS_EBT_OpsYr1),0)</f>
        <v>0</v>
      </c>
      <c r="I16" s="45" t="n">
        <f aca="false">IF(IS_EBT_OpsYr2&gt;0,MIN(NOL_Opening_OpsYr2+I15,IS_EBT_OpsYr2),0)</f>
        <v>0</v>
      </c>
      <c r="J16" s="45" t="n">
        <f aca="false">IF(IS_EBT_OpsYr3&gt;0,MIN(NOL_Opening_OpsYr3+J15,IS_EBT_OpsYr3),0)</f>
        <v>0</v>
      </c>
      <c r="K16" s="45" t="n">
        <f aca="false">IF(IS_EBT_OpsYr4&gt;0,MIN(NOL_Opening_OpsYr4+K15,IS_EBT_OpsYr4),0)</f>
        <v>0</v>
      </c>
      <c r="L16" s="45" t="n">
        <f aca="false">IF(IS_EBT_OpsYr5&gt;0,MIN(NOL_Opening_OpsYr5+L15,IS_EBT_OpsYr5),0)</f>
        <v>0</v>
      </c>
      <c r="M16" s="45" t="n">
        <f aca="false">IF(IS_EBT_OpsYr6&gt;0,MIN(NOL_Opening_OpsYr6+M15,IS_EBT_OpsYr6),0)</f>
        <v>0</v>
      </c>
      <c r="N16" s="45" t="n">
        <f aca="false">IF(IS_EBT_OpsYr7&gt;0,MIN(NOL_Opening_OpsYr7+N15,IS_EBT_OpsYr7),0)</f>
        <v>0</v>
      </c>
      <c r="O16" s="45" t="n">
        <f aca="false">IF(IS_EBT_OpsYr8&gt;0,MIN(NOL_Opening_OpsYr8+O15,IS_EBT_OpsYr8),0)</f>
        <v>0</v>
      </c>
      <c r="P16" s="45" t="n">
        <f aca="false">IF(IS_EBT_OpsYr9&gt;0,MIN(NOL_Opening_OpsYr9+P15,IS_EBT_OpsYr9),0)</f>
        <v>2646619.18644778</v>
      </c>
      <c r="Q16" s="45" t="n">
        <f aca="false">IF(IS_EBT_OpsYr10&gt;0,MIN(NOL_Opening_OpsYr10+Q15,IS_EBT_OpsYr10),0)</f>
        <v>6287450.1678858</v>
      </c>
      <c r="R16" s="45" t="n">
        <f aca="false">IF(IS_EBT_OpsYr11&gt;0,MIN(NOL_Opening_OpsYr11+R15,IS_EBT_OpsYr11),0)</f>
        <v>10155853.0499757</v>
      </c>
      <c r="S16" s="45" t="n">
        <f aca="false">IF(IS_EBT_OpsYr12&gt;0,MIN(NOL_Opening_OpsYr12+S15,IS_EBT_OpsYr12),0)</f>
        <v>14265038.2730542</v>
      </c>
      <c r="T16" s="45" t="n">
        <f aca="false">IF(IS_EBT_OpsYr13&gt;0,MIN(NOL_Opening_OpsYr13+T15,IS_EBT_OpsYr13),0)</f>
        <v>18628960.5262485</v>
      </c>
      <c r="U16" s="45" t="n">
        <f aca="false">IF(IS_EBT_OpsYr14&gt;0,MIN(NOL_Opening_OpsYr14+U15,IS_EBT_OpsYr14),0)</f>
        <v>23262360.1327709</v>
      </c>
      <c r="V16" s="45" t="n">
        <f aca="false">IF(IS_EBT_OpsYr15&gt;0,MIN(NOL_Opening_OpsYr15+V15,IS_EBT_OpsYr15),0)</f>
        <v>0</v>
      </c>
      <c r="W16" s="45" t="n">
        <f aca="false">IF(IS_EBT_OpsYr16&gt;0,MIN(NOL_Opening_OpsYr16+W15,IS_EBT_OpsYr16),0)</f>
        <v>33400745.3213959</v>
      </c>
      <c r="X16" s="45" t="n">
        <f aca="false">IF(IS_EBT_OpsYr17&gt;0,MIN(NOL_Opening_OpsYr17+X15,IS_EBT_OpsYr17),0)</f>
        <v>38939544.9805474</v>
      </c>
      <c r="Y16" s="45" t="n">
        <f aca="false">IF(IS_EBT_OpsYr18&gt;0,MIN(NOL_Opening_OpsYr18+Y15,IS_EBT_OpsYr18),0)</f>
        <v>44815550.1023729</v>
      </c>
      <c r="Z16" s="45" t="n">
        <f aca="false">IF(IS_EBT_OpsYr19&gt;0,MIN(NOL_Opening_OpsYr19+Z15,IS_EBT_OpsYr19),0)</f>
        <v>50974689.9069817</v>
      </c>
      <c r="AA16" s="45" t="n">
        <f aca="false">IF(IS_EBT_OpsYr20&gt;0,MIN(NOL_Opening_OpsYr20+AA15,IS_EBT_OpsYr20),0)</f>
        <v>0</v>
      </c>
      <c r="AB16" s="45" t="n">
        <f aca="false">IF(IS_EBT_OpsYr21&gt;0,MIN(NOL_Opening_OpsYr21+AB15,IS_EBT_OpsYr21),0)</f>
        <v>0</v>
      </c>
      <c r="AC16" s="45" t="n">
        <f aca="false">IF(IS_EBT_OpsYr22&gt;0,MIN(NOL_Opening_OpsYr22+AC15,IS_EBT_OpsYr22),0)</f>
        <v>0</v>
      </c>
      <c r="AD16" s="45" t="n">
        <f aca="false">IF(IS_EBT_OpsYr23&gt;0,MIN(NOL_Opening_OpsYr23+AD15,IS_EBT_OpsYr23),0)</f>
        <v>0</v>
      </c>
      <c r="AE16" s="45" t="n">
        <f aca="false">IF(IS_EBT_OpsYr24&gt;0,MIN(NOL_Opening_OpsYr24+AE15,IS_EBT_OpsYr24),0)</f>
        <v>0</v>
      </c>
      <c r="AF16" s="45" t="n">
        <f aca="false">IF(IS_EBT_OpsYr25&gt;0,MIN(NOL_Opening_OpsYr25+AF15,IS_EBT_OpsYr25),0)</f>
        <v>0</v>
      </c>
      <c r="AG16" s="45" t="n">
        <f aca="false">IF(IS_EBT_OpsYr26&gt;0,MIN(NOL_Opening_OpsYr26+AG15,IS_EBT_OpsYr26),0)</f>
        <v>0</v>
      </c>
      <c r="AH16" s="45" t="n">
        <f aca="false">IF(IS_EBT_OpsYr27&gt;0,MIN(NOL_Opening_OpsYr27+AH15,IS_EBT_OpsYr27),0)</f>
        <v>0</v>
      </c>
      <c r="AI16" s="45" t="n">
        <f aca="false">IF(IS_EBT_OpsYr28&gt;0,MIN(NOL_Opening_OpsYr28+AI15,IS_EBT_OpsYr28),0)</f>
        <v>0</v>
      </c>
      <c r="AJ16" s="45" t="n">
        <f aca="false">IF(IS_EBT_OpsYr29&gt;0,MIN(NOL_Opening_OpsYr29+AJ15,IS_EBT_OpsYr29),0)</f>
        <v>0</v>
      </c>
      <c r="AK16" s="45" t="n">
        <f aca="false">IF(IS_EBT_OpsYr30&gt;0,MIN(NOL_Opening_OpsYr30+AK15,IS_EBT_OpsYr30),0)</f>
        <v>0</v>
      </c>
    </row>
    <row r="17" customFormat="false" ht="15" hidden="false" customHeight="false" outlineLevel="0" collapsed="false">
      <c r="A17" s="5"/>
      <c r="B17" s="46" t="s">
        <v>273</v>
      </c>
      <c r="C17" s="47" t="n">
        <f aca="false">0</f>
        <v>0</v>
      </c>
      <c r="D17" s="47" t="n">
        <f aca="false">0</f>
        <v>0</v>
      </c>
      <c r="E17" s="47" t="n">
        <f aca="false">0</f>
        <v>0</v>
      </c>
      <c r="F17" s="47" t="n">
        <f aca="false">0</f>
        <v>0</v>
      </c>
      <c r="G17" s="47" t="n">
        <f aca="false">0</f>
        <v>0</v>
      </c>
      <c r="H17" s="47" t="n">
        <f aca="false">NOL_Opening_OpsYr1+H15-NOL_Utilised_OpsYr1</f>
        <v>128677338.450297</v>
      </c>
      <c r="I17" s="47" t="n">
        <f aca="false">NOL_Opening_OpsYr2+I15-NOL_Utilised_OpsYr2</f>
        <v>156591365.154533</v>
      </c>
      <c r="J17" s="47" t="n">
        <f aca="false">NOL_Opening_OpsYr3+J15-NOL_Utilised_OpsYr3</f>
        <v>177304316.858768</v>
      </c>
      <c r="K17" s="47" t="n">
        <f aca="false">NOL_Opening_OpsYr4+K15-NOL_Utilised_OpsYr4</f>
        <v>189863314.618536</v>
      </c>
      <c r="L17" s="47" t="n">
        <f aca="false">NOL_Opening_OpsYr5+L15-NOL_Utilised_OpsYr5</f>
        <v>199744599.921639</v>
      </c>
      <c r="M17" s="47" t="n">
        <f aca="false">NOL_Opening_OpsYr6+M15-NOL_Utilised_OpsYr6</f>
        <v>206776792.228386</v>
      </c>
      <c r="N17" s="47" t="n">
        <f aca="false">NOL_Opening_OpsYr7+N15-NOL_Utilised_OpsYr7</f>
        <v>210778473.06772</v>
      </c>
      <c r="O17" s="47" t="n">
        <f aca="false">NOL_Opening_OpsYr8+O15-NOL_Utilised_OpsYr8</f>
        <v>211557618.37067</v>
      </c>
      <c r="P17" s="47" t="n">
        <f aca="false">NOL_Opening_OpsYr9+P15-NOL_Utilised_OpsYr9</f>
        <v>208910999.184222</v>
      </c>
      <c r="Q17" s="47" t="n">
        <f aca="false">NOL_Opening_OpsYr10+Q15-NOL_Utilised_OpsYr10</f>
        <v>202623549.016336</v>
      </c>
      <c r="R17" s="47" t="n">
        <f aca="false">NOL_Opening_OpsYr11+R15-NOL_Utilised_OpsYr11</f>
        <v>192467695.966361</v>
      </c>
      <c r="S17" s="47" t="n">
        <f aca="false">NOL_Opening_OpsYr12+S15-NOL_Utilised_OpsYr12</f>
        <v>178202657.693307</v>
      </c>
      <c r="T17" s="47" t="n">
        <f aca="false">NOL_Opening_OpsYr13+T15-NOL_Utilised_OpsYr13</f>
        <v>159573697.167058</v>
      </c>
      <c r="U17" s="47" t="n">
        <f aca="false">NOL_Opening_OpsYr14+U15-NOL_Utilised_OpsYr14</f>
        <v>136311337.034287</v>
      </c>
      <c r="V17" s="47" t="n">
        <f aca="false">NOL_Opening_OpsYr15+V15-NOL_Utilised_OpsYr15</f>
        <v>168130530.311298</v>
      </c>
      <c r="W17" s="47" t="n">
        <f aca="false">NOL_Opening_OpsYr16+W15-NOL_Utilised_OpsYr16</f>
        <v>134729784.989902</v>
      </c>
      <c r="X17" s="47" t="n">
        <f aca="false">NOL_Opening_OpsYr17+X15-NOL_Utilised_OpsYr17</f>
        <v>95790240.0093546</v>
      </c>
      <c r="Y17" s="47" t="n">
        <f aca="false">NOL_Opening_OpsYr18+Y15-NOL_Utilised_OpsYr18</f>
        <v>50974689.9069817</v>
      </c>
      <c r="Z17" s="47" t="n">
        <f aca="false">NOL_Opening_OpsYr19+Z15-NOL_Utilised_OpsYr19</f>
        <v>0</v>
      </c>
      <c r="AA17" s="47" t="n">
        <f aca="false">NOL_Opening_OpsYr20+AA15-NOL_Utilised_OpsYr20</f>
        <v>0</v>
      </c>
      <c r="AB17" s="47" t="n">
        <f aca="false">NOL_Opening_OpsYr21+AB15-NOL_Utilised_OpsYr21</f>
        <v>0</v>
      </c>
      <c r="AC17" s="47" t="n">
        <f aca="false">NOL_Opening_OpsYr22+AC15-NOL_Utilised_OpsYr22</f>
        <v>0</v>
      </c>
      <c r="AD17" s="47" t="n">
        <f aca="false">NOL_Opening_OpsYr23+AD15-NOL_Utilised_OpsYr23</f>
        <v>0</v>
      </c>
      <c r="AE17" s="47" t="n">
        <f aca="false">NOL_Opening_OpsYr24+AE15-NOL_Utilised_OpsYr24</f>
        <v>0</v>
      </c>
      <c r="AF17" s="47" t="n">
        <f aca="false">NOL_Opening_OpsYr25+AF15-NOL_Utilised_OpsYr25</f>
        <v>0</v>
      </c>
      <c r="AG17" s="47" t="n">
        <f aca="false">NOL_Opening_OpsYr26+AG15-NOL_Utilised_OpsYr26</f>
        <v>0</v>
      </c>
      <c r="AH17" s="47" t="n">
        <f aca="false">NOL_Opening_OpsYr27+AH15-NOL_Utilised_OpsYr27</f>
        <v>0</v>
      </c>
      <c r="AI17" s="47" t="n">
        <f aca="false">NOL_Opening_OpsYr28+AI15-NOL_Utilised_OpsYr28</f>
        <v>0</v>
      </c>
      <c r="AJ17" s="47" t="n">
        <f aca="false">NOL_Opening_OpsYr29+AJ15-NOL_Utilised_OpsYr29</f>
        <v>0</v>
      </c>
      <c r="AK17" s="47" t="n">
        <f aca="false">NOL_Opening_OpsYr30+AK15-NOL_Utilised_OpsYr30</f>
        <v>0</v>
      </c>
    </row>
    <row r="18" customFormat="false" ht="15" hidden="false" customHeight="false" outlineLevel="0" collapsed="false">
      <c r="A18" s="5"/>
      <c r="B18" s="34" t="s">
        <v>274</v>
      </c>
      <c r="C18" s="45" t="n">
        <f aca="false">0</f>
        <v>0</v>
      </c>
      <c r="D18" s="45" t="n">
        <f aca="false">0</f>
        <v>0</v>
      </c>
      <c r="E18" s="45" t="n">
        <f aca="false">0</f>
        <v>0</v>
      </c>
      <c r="F18" s="45" t="n">
        <f aca="false">0</f>
        <v>0</v>
      </c>
      <c r="G18" s="45" t="n">
        <f aca="false">0</f>
        <v>0</v>
      </c>
      <c r="H18" s="45" t="n">
        <f aca="false">MAX(0,IS_EBT_OpsYr1-NOL_Utilised_OpsYr1)</f>
        <v>0</v>
      </c>
      <c r="I18" s="45" t="n">
        <f aca="false">MAX(0,IS_EBT_OpsYr2-NOL_Utilised_OpsYr2)</f>
        <v>0</v>
      </c>
      <c r="J18" s="45" t="n">
        <f aca="false">MAX(0,IS_EBT_OpsYr3-NOL_Utilised_OpsYr3)</f>
        <v>0</v>
      </c>
      <c r="K18" s="45" t="n">
        <f aca="false">MAX(0,IS_EBT_OpsYr4-NOL_Utilised_OpsYr4)</f>
        <v>0</v>
      </c>
      <c r="L18" s="45" t="n">
        <f aca="false">MAX(0,IS_EBT_OpsYr5-NOL_Utilised_OpsYr5)</f>
        <v>0</v>
      </c>
      <c r="M18" s="45" t="n">
        <f aca="false">MAX(0,IS_EBT_OpsYr6-NOL_Utilised_OpsYr6)</f>
        <v>0</v>
      </c>
      <c r="N18" s="45" t="n">
        <f aca="false">MAX(0,IS_EBT_OpsYr7-NOL_Utilised_OpsYr7)</f>
        <v>0</v>
      </c>
      <c r="O18" s="45" t="n">
        <f aca="false">MAX(0,IS_EBT_OpsYr8-NOL_Utilised_OpsYr8)</f>
        <v>0</v>
      </c>
      <c r="P18" s="45" t="n">
        <f aca="false">MAX(0,IS_EBT_OpsYr9-NOL_Utilised_OpsYr9)</f>
        <v>0</v>
      </c>
      <c r="Q18" s="45" t="n">
        <f aca="false">MAX(0,IS_EBT_OpsYr10-NOL_Utilised_OpsYr10)</f>
        <v>0</v>
      </c>
      <c r="R18" s="45" t="n">
        <f aca="false">MAX(0,IS_EBT_OpsYr11-NOL_Utilised_OpsYr11)</f>
        <v>0</v>
      </c>
      <c r="S18" s="45" t="n">
        <f aca="false">MAX(0,IS_EBT_OpsYr12-NOL_Utilised_OpsYr12)</f>
        <v>0</v>
      </c>
      <c r="T18" s="45" t="n">
        <f aca="false">MAX(0,IS_EBT_OpsYr13-NOL_Utilised_OpsYr13)</f>
        <v>0</v>
      </c>
      <c r="U18" s="45" t="n">
        <f aca="false">MAX(0,IS_EBT_OpsYr14-NOL_Utilised_OpsYr14)</f>
        <v>0</v>
      </c>
      <c r="V18" s="45" t="n">
        <f aca="false">MAX(0,IS_EBT_OpsYr15-NOL_Utilised_OpsYr15)</f>
        <v>0</v>
      </c>
      <c r="W18" s="45" t="n">
        <f aca="false">MAX(0,IS_EBT_OpsYr16-NOL_Utilised_OpsYr16)</f>
        <v>0</v>
      </c>
      <c r="X18" s="45" t="n">
        <f aca="false">MAX(0,IS_EBT_OpsYr17-NOL_Utilised_OpsYr17)</f>
        <v>0</v>
      </c>
      <c r="Y18" s="45" t="n">
        <f aca="false">MAX(0,IS_EBT_OpsYr18-NOL_Utilised_OpsYr18)</f>
        <v>0</v>
      </c>
      <c r="Z18" s="45" t="n">
        <f aca="false">MAX(0,IS_EBT_OpsYr19-NOL_Utilised_OpsYr19)</f>
        <v>73444.6879945844</v>
      </c>
      <c r="AA18" s="45" t="n">
        <f aca="false">MAX(0,IS_EBT_OpsYr20-NOL_Utilised_OpsYr20)</f>
        <v>55641602.05433</v>
      </c>
      <c r="AB18" s="45" t="n">
        <f aca="false">MAX(0,IS_EBT_OpsYr21-NOL_Utilised_OpsYr21)</f>
        <v>58157426.6229394</v>
      </c>
      <c r="AC18" s="45" t="n">
        <f aca="false">MAX(0,IS_EBT_OpsYr22-NOL_Utilised_OpsYr22)</f>
        <v>60736935.883488</v>
      </c>
      <c r="AD18" s="45" t="n">
        <f aca="false">MAX(0,IS_EBT_OpsYr23-NOL_Utilised_OpsYr23)</f>
        <v>63381745.6256059</v>
      </c>
      <c r="AE18" s="45" t="n">
        <f aca="false">MAX(0,IS_EBT_OpsYr24-NOL_Utilised_OpsYr24)</f>
        <v>66093512.743834</v>
      </c>
      <c r="AF18" s="45" t="n">
        <f aca="false">MAX(0,IS_EBT_OpsYr25-NOL_Utilised_OpsYr25)</f>
        <v>28873936.2865518</v>
      </c>
      <c r="AG18" s="45" t="n">
        <f aca="false">MAX(0,IS_EBT_OpsYr26-NOL_Utilised_OpsYr26)</f>
        <v>71724758.5317675</v>
      </c>
      <c r="AH18" s="45" t="n">
        <f aca="false">MAX(0,IS_EBT_OpsYr27-NOL_Utilised_OpsYr27)</f>
        <v>74647766.0904615</v>
      </c>
      <c r="AI18" s="45" t="n">
        <f aca="false">MAX(0,IS_EBT_OpsYr28-NOL_Utilised_OpsYr28)</f>
        <v>77644791.0381913</v>
      </c>
      <c r="AJ18" s="45" t="n">
        <f aca="false">MAX(0,IS_EBT_OpsYr29-NOL_Utilised_OpsYr29)</f>
        <v>80717712.0756847</v>
      </c>
      <c r="AK18" s="45" t="n">
        <f aca="false">MAX(0,IS_EBT_OpsYr30-NOL_Utilised_OpsYr30)</f>
        <v>83868455.7191679</v>
      </c>
    </row>
    <row r="19" customFormat="false" ht="15" hidden="false" customHeight="false" outlineLevel="0" collapsed="false">
      <c r="A19" s="5"/>
      <c r="B19" s="34" t="s">
        <v>275</v>
      </c>
      <c r="C19" s="45" t="n">
        <f aca="false">0</f>
        <v>0</v>
      </c>
      <c r="D19" s="45" t="n">
        <f aca="false">0</f>
        <v>0</v>
      </c>
      <c r="E19" s="45" t="n">
        <f aca="false">0</f>
        <v>0</v>
      </c>
      <c r="F19" s="45" t="n">
        <f aca="false">0</f>
        <v>0</v>
      </c>
      <c r="G19" s="45" t="n">
        <f aca="false">0</f>
        <v>0</v>
      </c>
      <c r="H19" s="45" t="n">
        <f aca="false">-Taxable_OpsYr1*Tax_Rate</f>
        <v>-0</v>
      </c>
      <c r="I19" s="45" t="n">
        <f aca="false">-Taxable_OpsYr2*Tax_Rate</f>
        <v>-0</v>
      </c>
      <c r="J19" s="45" t="n">
        <f aca="false">-Taxable_OpsYr3*Tax_Rate</f>
        <v>-0</v>
      </c>
      <c r="K19" s="45" t="n">
        <f aca="false">-Taxable_OpsYr4*Tax_Rate</f>
        <v>-0</v>
      </c>
      <c r="L19" s="45" t="n">
        <f aca="false">-Taxable_OpsYr5*Tax_Rate</f>
        <v>-0</v>
      </c>
      <c r="M19" s="45" t="n">
        <f aca="false">-Taxable_OpsYr6*Tax_Rate</f>
        <v>-0</v>
      </c>
      <c r="N19" s="45" t="n">
        <f aca="false">-Taxable_OpsYr7*Tax_Rate</f>
        <v>-0</v>
      </c>
      <c r="O19" s="45" t="n">
        <f aca="false">-Taxable_OpsYr8*Tax_Rate</f>
        <v>-0</v>
      </c>
      <c r="P19" s="45" t="n">
        <f aca="false">-Taxable_OpsYr9*Tax_Rate</f>
        <v>-0</v>
      </c>
      <c r="Q19" s="45" t="n">
        <f aca="false">-Taxable_OpsYr10*Tax_Rate</f>
        <v>-0</v>
      </c>
      <c r="R19" s="45" t="n">
        <f aca="false">-Taxable_OpsYr11*Tax_Rate</f>
        <v>-0</v>
      </c>
      <c r="S19" s="45" t="n">
        <f aca="false">-Taxable_OpsYr12*Tax_Rate</f>
        <v>-0</v>
      </c>
      <c r="T19" s="45" t="n">
        <f aca="false">-Taxable_OpsYr13*Tax_Rate</f>
        <v>-0</v>
      </c>
      <c r="U19" s="45" t="n">
        <f aca="false">-Taxable_OpsYr14*Tax_Rate</f>
        <v>-0</v>
      </c>
      <c r="V19" s="45" t="n">
        <f aca="false">-Taxable_OpsYr15*Tax_Rate</f>
        <v>-0</v>
      </c>
      <c r="W19" s="45" t="n">
        <f aca="false">-Taxable_OpsYr16*Tax_Rate</f>
        <v>-0</v>
      </c>
      <c r="X19" s="45" t="n">
        <f aca="false">-Taxable_OpsYr17*Tax_Rate</f>
        <v>-0</v>
      </c>
      <c r="Y19" s="45" t="n">
        <f aca="false">-Taxable_OpsYr18*Tax_Rate</f>
        <v>-0</v>
      </c>
      <c r="Z19" s="45" t="n">
        <f aca="false">-Taxable_OpsYr19*Tax_Rate</f>
        <v>-18361.1719986461</v>
      </c>
      <c r="AA19" s="45" t="n">
        <f aca="false">-Taxable_OpsYr20*Tax_Rate</f>
        <v>-13910400.5135825</v>
      </c>
      <c r="AB19" s="45" t="n">
        <f aca="false">-Taxable_OpsYr21*Tax_Rate</f>
        <v>-14539356.6557349</v>
      </c>
      <c r="AC19" s="45" t="n">
        <f aca="false">-Taxable_OpsYr22*Tax_Rate</f>
        <v>-15184233.970872</v>
      </c>
      <c r="AD19" s="45" t="n">
        <f aca="false">-Taxable_OpsYr23*Tax_Rate</f>
        <v>-15845436.4064015</v>
      </c>
      <c r="AE19" s="45" t="n">
        <f aca="false">-Taxable_OpsYr24*Tax_Rate</f>
        <v>-16523378.1859585</v>
      </c>
      <c r="AF19" s="45" t="n">
        <f aca="false">-Taxable_OpsYr25*Tax_Rate</f>
        <v>-7218484.07163794</v>
      </c>
      <c r="AG19" s="45" t="n">
        <f aca="false">-Taxable_OpsYr26*Tax_Rate</f>
        <v>-17931189.6329419</v>
      </c>
      <c r="AH19" s="45" t="n">
        <f aca="false">-Taxable_OpsYr27*Tax_Rate</f>
        <v>-18661941.5226154</v>
      </c>
      <c r="AI19" s="45" t="n">
        <f aca="false">-Taxable_OpsYr28*Tax_Rate</f>
        <v>-19411197.7595478</v>
      </c>
      <c r="AJ19" s="45" t="n">
        <f aca="false">-Taxable_OpsYr29*Tax_Rate</f>
        <v>-20179428.0189212</v>
      </c>
      <c r="AK19" s="45" t="n">
        <f aca="false">-Taxable_OpsYr30*Tax_Rate</f>
        <v>-20967113.929792</v>
      </c>
    </row>
    <row r="20" customFormat="false" ht="15" hidden="false" customHeight="false" outlineLevel="0" collapsed="false">
      <c r="A20" s="5"/>
      <c r="B20" s="34" t="s">
        <v>247</v>
      </c>
      <c r="C20" s="45" t="n">
        <f aca="false">0</f>
        <v>0</v>
      </c>
      <c r="D20" s="45" t="n">
        <f aca="false">0</f>
        <v>0</v>
      </c>
      <c r="E20" s="45" t="n">
        <f aca="false">0</f>
        <v>0</v>
      </c>
      <c r="F20" s="45" t="n">
        <f aca="false">0</f>
        <v>0</v>
      </c>
      <c r="G20" s="45" t="n">
        <f aca="false">0</f>
        <v>0</v>
      </c>
      <c r="H20" s="45" t="n">
        <f aca="false">IS_Tax_OpsYr1</f>
        <v>-0</v>
      </c>
      <c r="I20" s="45" t="n">
        <f aca="false">IS_Tax_OpsYr2</f>
        <v>-0</v>
      </c>
      <c r="J20" s="45" t="n">
        <f aca="false">IS_Tax_OpsYr3</f>
        <v>-0</v>
      </c>
      <c r="K20" s="45" t="n">
        <f aca="false">IS_Tax_OpsYr4</f>
        <v>-0</v>
      </c>
      <c r="L20" s="45" t="n">
        <f aca="false">IS_Tax_OpsYr5</f>
        <v>-0</v>
      </c>
      <c r="M20" s="45" t="n">
        <f aca="false">IS_Tax_OpsYr6</f>
        <v>-0</v>
      </c>
      <c r="N20" s="45" t="n">
        <f aca="false">IS_Tax_OpsYr7</f>
        <v>-0</v>
      </c>
      <c r="O20" s="45" t="n">
        <f aca="false">IS_Tax_OpsYr8</f>
        <v>-0</v>
      </c>
      <c r="P20" s="45" t="n">
        <f aca="false">IS_Tax_OpsYr9</f>
        <v>-0</v>
      </c>
      <c r="Q20" s="45" t="n">
        <f aca="false">IS_Tax_OpsYr10</f>
        <v>-0</v>
      </c>
      <c r="R20" s="45" t="n">
        <f aca="false">IS_Tax_OpsYr11</f>
        <v>-0</v>
      </c>
      <c r="S20" s="45" t="n">
        <f aca="false">IS_Tax_OpsYr12</f>
        <v>-0</v>
      </c>
      <c r="T20" s="45" t="n">
        <f aca="false">IS_Tax_OpsYr13</f>
        <v>-0</v>
      </c>
      <c r="U20" s="45" t="n">
        <f aca="false">IS_Tax_OpsYr14</f>
        <v>-0</v>
      </c>
      <c r="V20" s="45" t="n">
        <f aca="false">IS_Tax_OpsYr15</f>
        <v>-0</v>
      </c>
      <c r="W20" s="45" t="n">
        <f aca="false">IS_Tax_OpsYr16</f>
        <v>-0</v>
      </c>
      <c r="X20" s="45" t="n">
        <f aca="false">IS_Tax_OpsYr17</f>
        <v>-0</v>
      </c>
      <c r="Y20" s="45" t="n">
        <f aca="false">IS_Tax_OpsYr18</f>
        <v>-0</v>
      </c>
      <c r="Z20" s="45" t="n">
        <f aca="false">IS_Tax_OpsYr19</f>
        <v>-18361.1719986461</v>
      </c>
      <c r="AA20" s="45" t="n">
        <f aca="false">IS_Tax_OpsYr20</f>
        <v>-13910400.5135825</v>
      </c>
      <c r="AB20" s="45" t="n">
        <f aca="false">IS_Tax_OpsYr21</f>
        <v>-14539356.6557349</v>
      </c>
      <c r="AC20" s="45" t="n">
        <f aca="false">IS_Tax_OpsYr22</f>
        <v>-15184233.970872</v>
      </c>
      <c r="AD20" s="45" t="n">
        <f aca="false">IS_Tax_OpsYr23</f>
        <v>-15845436.4064015</v>
      </c>
      <c r="AE20" s="45" t="n">
        <f aca="false">IS_Tax_OpsYr24</f>
        <v>-16523378.1859585</v>
      </c>
      <c r="AF20" s="45" t="n">
        <f aca="false">IS_Tax_OpsYr25</f>
        <v>-7218484.07163794</v>
      </c>
      <c r="AG20" s="45" t="n">
        <f aca="false">IS_Tax_OpsYr26</f>
        <v>-17931189.6329419</v>
      </c>
      <c r="AH20" s="45" t="n">
        <f aca="false">IS_Tax_OpsYr27</f>
        <v>-18661941.5226154</v>
      </c>
      <c r="AI20" s="45" t="n">
        <f aca="false">IS_Tax_OpsYr28</f>
        <v>-19411197.7595478</v>
      </c>
      <c r="AJ20" s="45" t="n">
        <f aca="false">IS_Tax_OpsYr29</f>
        <v>-20179428.0189212</v>
      </c>
      <c r="AK20" s="45" t="n">
        <f aca="false">IS_Tax_OpsYr30</f>
        <v>-20967113.929792</v>
      </c>
    </row>
    <row r="21" customFormat="false" ht="15" hidden="false" customHeight="false" outlineLevel="0" collapsed="false">
      <c r="A21" s="5"/>
      <c r="B21" s="51" t="s">
        <v>276</v>
      </c>
      <c r="C21" s="52" t="n">
        <f aca="false">C12</f>
        <v>-2408560</v>
      </c>
      <c r="D21" s="52" t="n">
        <f aca="false">D12</f>
        <v>-7960290.8</v>
      </c>
      <c r="E21" s="52" t="n">
        <f aca="false">E12</f>
        <v>-20440906.794</v>
      </c>
      <c r="F21" s="52" t="n">
        <f aca="false">F12</f>
        <v>-28188696.66767</v>
      </c>
      <c r="G21" s="52" t="n">
        <f aca="false">G12</f>
        <v>-34179857.4843919</v>
      </c>
      <c r="H21" s="52" t="n">
        <f aca="false">IS_EBT_OpsYr1+IS_Tax_OpsYr1</f>
        <v>-35499026.7042355</v>
      </c>
      <c r="I21" s="52" t="n">
        <f aca="false">IS_EBT_OpsYr2+IS_Tax_OpsYr2</f>
        <v>-27914026.7042355</v>
      </c>
      <c r="J21" s="52" t="n">
        <f aca="false">IS_EBT_OpsYr3+IS_Tax_OpsYr3</f>
        <v>-20712951.7042355</v>
      </c>
      <c r="K21" s="52" t="n">
        <f aca="false">IS_EBT_OpsYr4+IS_Tax_OpsYr4</f>
        <v>-12558997.7597673</v>
      </c>
      <c r="L21" s="52" t="n">
        <f aca="false">IS_EBT_OpsYr5+IS_Tax_OpsYr5</f>
        <v>-9881285.30310342</v>
      </c>
      <c r="M21" s="52" t="n">
        <f aca="false">IS_EBT_OpsYr6+IS_Tax_OpsYr6</f>
        <v>-7032192.30674676</v>
      </c>
      <c r="N21" s="52" t="n">
        <f aca="false">IS_EBT_OpsYr7+IS_Tax_OpsYr7</f>
        <v>-4001680.83933398</v>
      </c>
      <c r="O21" s="52" t="n">
        <f aca="false">IS_EBT_OpsYr8+IS_Tax_OpsYr8</f>
        <v>-779145.302950222</v>
      </c>
      <c r="P21" s="52" t="n">
        <f aca="false">IS_EBT_OpsYr9+IS_Tax_OpsYr9</f>
        <v>2646619.18644778</v>
      </c>
      <c r="Q21" s="52" t="n">
        <f aca="false">IS_EBT_OpsYr10+IS_Tax_OpsYr10</f>
        <v>6287450.1678858</v>
      </c>
      <c r="R21" s="52" t="n">
        <f aca="false">IS_EBT_OpsYr11+IS_Tax_OpsYr11</f>
        <v>10155853.0499757</v>
      </c>
      <c r="S21" s="52" t="n">
        <f aca="false">IS_EBT_OpsYr12+IS_Tax_OpsYr12</f>
        <v>14265038.2730542</v>
      </c>
      <c r="T21" s="52" t="n">
        <f aca="false">IS_EBT_OpsYr13+IS_Tax_OpsYr13</f>
        <v>18628960.5262485</v>
      </c>
      <c r="U21" s="52" t="n">
        <f aca="false">IS_EBT_OpsYr14+IS_Tax_OpsYr14</f>
        <v>23262360.1327709</v>
      </c>
      <c r="V21" s="52" t="n">
        <f aca="false">IS_EBT_OpsYr15+IS_Tax_OpsYr15</f>
        <v>-31819193.2770107</v>
      </c>
      <c r="W21" s="52" t="n">
        <f aca="false">IS_EBT_OpsYr16+IS_Tax_OpsYr16</f>
        <v>33400745.3213959</v>
      </c>
      <c r="X21" s="52" t="n">
        <f aca="false">IS_EBT_OpsYr17+IS_Tax_OpsYr17</f>
        <v>38939544.9805474</v>
      </c>
      <c r="Y21" s="52" t="n">
        <f aca="false">IS_EBT_OpsYr18+IS_Tax_OpsYr18</f>
        <v>44815550.1023729</v>
      </c>
      <c r="Z21" s="52" t="n">
        <f aca="false">IS_EBT_OpsYr19+IS_Tax_OpsYr19</f>
        <v>51029773.4229776</v>
      </c>
      <c r="AA21" s="52" t="n">
        <f aca="false">IS_EBT_OpsYr20+IS_Tax_OpsYr20</f>
        <v>41731201.5407475</v>
      </c>
      <c r="AB21" s="52" t="n">
        <f aca="false">IS_EBT_OpsYr21+IS_Tax_OpsYr21</f>
        <v>43618069.9672046</v>
      </c>
      <c r="AC21" s="52" t="n">
        <f aca="false">IS_EBT_OpsYr22+IS_Tax_OpsYr22</f>
        <v>45552701.912616</v>
      </c>
      <c r="AD21" s="52" t="n">
        <f aca="false">IS_EBT_OpsYr23+IS_Tax_OpsYr23</f>
        <v>47536309.2192044</v>
      </c>
      <c r="AE21" s="52" t="n">
        <f aca="false">IS_EBT_OpsYr24+IS_Tax_OpsYr24</f>
        <v>49570134.5578755</v>
      </c>
      <c r="AF21" s="52" t="n">
        <f aca="false">IS_EBT_OpsYr25+IS_Tax_OpsYr25</f>
        <v>21655452.2149138</v>
      </c>
      <c r="AG21" s="52" t="n">
        <f aca="false">IS_EBT_OpsYr26+IS_Tax_OpsYr26</f>
        <v>53793568.8988256</v>
      </c>
      <c r="AH21" s="52" t="n">
        <f aca="false">IS_EBT_OpsYr27+IS_Tax_OpsYr27</f>
        <v>55985824.5678462</v>
      </c>
      <c r="AI21" s="52" t="n">
        <f aca="false">IS_EBT_OpsYr28+IS_Tax_OpsYr28</f>
        <v>58233593.2786434</v>
      </c>
      <c r="AJ21" s="52" t="n">
        <f aca="false">IS_EBT_OpsYr29+IS_Tax_OpsYr29</f>
        <v>60538284.0567635</v>
      </c>
      <c r="AK21" s="52" t="n">
        <f aca="false">IS_EBT_OpsYr30+IS_Tax_OpsYr30</f>
        <v>62901341.7893759</v>
      </c>
    </row>
    <row r="22" customFormat="false" ht="15" hidden="false" customHeight="false" outlineLevel="0" collapsed="false">
      <c r="A22" s="5"/>
      <c r="B22" s="34" t="s">
        <v>277</v>
      </c>
      <c r="C22" s="45" t="n">
        <f aca="false">0</f>
        <v>0</v>
      </c>
      <c r="D22" s="45" t="n">
        <f aca="false">0</f>
        <v>0</v>
      </c>
      <c r="E22" s="45" t="n">
        <f aca="false">0</f>
        <v>0</v>
      </c>
      <c r="F22" s="45" t="n">
        <f aca="false">0</f>
        <v>0</v>
      </c>
      <c r="G22" s="45" t="n">
        <f aca="false">0</f>
        <v>0</v>
      </c>
      <c r="H22" s="45" t="n">
        <f aca="false">IS_NI_OpsYr1-Equity_Dist_OpsYr1</f>
        <v>-35499026.7042355</v>
      </c>
      <c r="I22" s="45" t="n">
        <f aca="false">IS_RE_OpsYr1+IS_NI_OpsYr2-Equity_Dist_OpsYr2</f>
        <v>-63413053.4084709</v>
      </c>
      <c r="J22" s="45" t="n">
        <f aca="false">IS_RE_OpsYr2+IS_NI_OpsYr3-Equity_Dist_OpsYr3</f>
        <v>-84126005.1127064</v>
      </c>
      <c r="K22" s="45" t="n">
        <f aca="false">IS_RE_OpsYr3+IS_NI_OpsYr4-Equity_Dist_OpsYr4</f>
        <v>-96685002.8724737</v>
      </c>
      <c r="L22" s="45" t="n">
        <f aca="false">IS_RE_OpsYr4+IS_NI_OpsYr5-Equity_Dist_OpsYr5</f>
        <v>-106566288.175577</v>
      </c>
      <c r="M22" s="45" t="n">
        <f aca="false">IS_RE_OpsYr5+IS_NI_OpsYr6-Equity_Dist_OpsYr6</f>
        <v>-113598480.482324</v>
      </c>
      <c r="N22" s="45" t="n">
        <f aca="false">IS_RE_OpsYr6+IS_NI_OpsYr7-Equity_Dist_OpsYr7</f>
        <v>-117600161.321658</v>
      </c>
      <c r="O22" s="45" t="n">
        <f aca="false">IS_RE_OpsYr7+IS_NI_OpsYr8-Equity_Dist_OpsYr8</f>
        <v>-118416517.837727</v>
      </c>
      <c r="P22" s="45" t="n">
        <f aca="false">IS_RE_OpsYr8+IS_NI_OpsYr9-Equity_Dist_OpsYr9</f>
        <v>-116161514.83691</v>
      </c>
      <c r="Q22" s="45" t="n">
        <f aca="false">IS_RE_OpsYr9+IS_NI_OpsYr10-Equity_Dist_OpsYr10</f>
        <v>-110629050.192243</v>
      </c>
      <c r="R22" s="45" t="n">
        <f aca="false">IS_RE_OpsYr10+IS_NI_OpsYr11-Equity_Dist_OpsYr11</f>
        <v>-101600743.604504</v>
      </c>
      <c r="S22" s="45" t="n">
        <f aca="false">IS_RE_OpsYr11+IS_NI_OpsYr12-Equity_Dist_OpsYr12</f>
        <v>-88845237.3452069</v>
      </c>
      <c r="T22" s="45" t="n">
        <f aca="false">IS_RE_OpsYr12+IS_NI_OpsYr13-Equity_Dist_OpsYr13</f>
        <v>-72117457.9297237</v>
      </c>
      <c r="U22" s="45" t="n">
        <f aca="false">IS_RE_OpsYr13+IS_NI_OpsYr14-Equity_Dist_OpsYr14</f>
        <v>-51157836.5560509</v>
      </c>
      <c r="V22" s="45" t="n">
        <f aca="false">IS_RE_OpsYr14+IS_NI_OpsYr15-Equity_Dist_OpsYr15</f>
        <v>-82977029.8330616</v>
      </c>
      <c r="W22" s="45" t="n">
        <f aca="false">IS_RE_OpsYr15+IS_NI_OpsYr16-Equity_Dist_OpsYr16</f>
        <v>-52712875.5418346</v>
      </c>
      <c r="X22" s="45" t="n">
        <f aca="false">IS_RE_OpsYr16+IS_NI_OpsYr17-Equity_Dist_OpsYr17</f>
        <v>-17342738.0033095</v>
      </c>
      <c r="Y22" s="45" t="n">
        <f aca="false">IS_RE_OpsYr17+IS_NI_OpsYr18-Equity_Dist_OpsYr18</f>
        <v>23459635.7858081</v>
      </c>
      <c r="Z22" s="45" t="n">
        <f aca="false">IS_RE_OpsYr18+IS_NI_OpsYr19-Equity_Dist_OpsYr19</f>
        <v>15053495.8670327</v>
      </c>
      <c r="AA22" s="45" t="n">
        <f aca="false">IS_RE_OpsYr19+IS_NI_OpsYr20-Equity_Dist_OpsYr20</f>
        <v>-35407946.9035549</v>
      </c>
      <c r="AB22" s="45" t="n">
        <f aca="false">IS_RE_OpsYr20+IS_NI_OpsYr21-Equity_Dist_OpsYr21</f>
        <v>-65347223.961757</v>
      </c>
      <c r="AC22" s="45" t="n">
        <f aca="false">IS_RE_OpsYr21+IS_NI_OpsYr22-Equity_Dist_OpsYr22</f>
        <v>-95286501.0199591</v>
      </c>
      <c r="AD22" s="45" t="n">
        <f aca="false">IS_RE_OpsYr22+IS_NI_OpsYr23-Equity_Dist_OpsYr23</f>
        <v>-125225778.078161</v>
      </c>
      <c r="AE22" s="45" t="n">
        <f aca="false">IS_RE_OpsYr23+IS_NI_OpsYr24-Equity_Dist_OpsYr24</f>
        <v>-155165055.136363</v>
      </c>
      <c r="AF22" s="45" t="n">
        <f aca="false">IS_RE_OpsYr24+IS_NI_OpsYr25-Equity_Dist_OpsYr25</f>
        <v>-185104332.194565</v>
      </c>
      <c r="AG22" s="45" t="n">
        <f aca="false">IS_RE_OpsYr25+IS_NI_OpsYr26-Equity_Dist_OpsYr26</f>
        <v>-215043609.252767</v>
      </c>
      <c r="AH22" s="45" t="n">
        <f aca="false">IS_RE_OpsYr26+IS_NI_OpsYr27-Equity_Dist_OpsYr27</f>
        <v>-244982886.310969</v>
      </c>
      <c r="AI22" s="45" t="n">
        <f aca="false">IS_RE_OpsYr27+IS_NI_OpsYr28-Equity_Dist_OpsYr28</f>
        <v>-274922163.369171</v>
      </c>
      <c r="AJ22" s="45" t="n">
        <f aca="false">IS_RE_OpsYr28+IS_NI_OpsYr29-Equity_Dist_OpsYr29</f>
        <v>-304861440.427373</v>
      </c>
      <c r="AK22" s="45" t="n">
        <f aca="false">IS_RE_OpsYr29+IS_NI_OpsYr30-Equity_Dist_OpsYr30</f>
        <v>-334800717.485576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AK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customFormat="false" ht="22.05" hidden="false" customHeight="false" outlineLevel="0" collapsed="false">
      <c r="A2" s="5"/>
      <c r="B2" s="29" t="s">
        <v>278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15" hidden="false" customHeight="false" outlineLevel="0" collapsed="false">
      <c r="A3" s="5"/>
      <c r="B3" s="30" t="s">
        <v>279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customFormat="false" ht="15" hidden="false" customHeight="false" outlineLevel="0" collapsed="false">
      <c r="A4" s="5"/>
      <c r="B4" s="17"/>
      <c r="C4" s="42" t="s">
        <v>168</v>
      </c>
      <c r="D4" s="42" t="s">
        <v>169</v>
      </c>
      <c r="E4" s="42" t="s">
        <v>170</v>
      </c>
      <c r="F4" s="42" t="s">
        <v>171</v>
      </c>
      <c r="G4" s="42" t="s">
        <v>172</v>
      </c>
      <c r="H4" s="42" t="s">
        <v>194</v>
      </c>
      <c r="I4" s="42" t="s">
        <v>195</v>
      </c>
      <c r="J4" s="42" t="s">
        <v>196</v>
      </c>
      <c r="K4" s="42" t="s">
        <v>197</v>
      </c>
      <c r="L4" s="42" t="s">
        <v>198</v>
      </c>
      <c r="M4" s="42" t="s">
        <v>199</v>
      </c>
      <c r="N4" s="42" t="s">
        <v>200</v>
      </c>
      <c r="O4" s="42" t="s">
        <v>201</v>
      </c>
      <c r="P4" s="42" t="s">
        <v>202</v>
      </c>
      <c r="Q4" s="42" t="s">
        <v>203</v>
      </c>
      <c r="R4" s="42" t="s">
        <v>204</v>
      </c>
      <c r="S4" s="42" t="s">
        <v>205</v>
      </c>
      <c r="T4" s="42" t="s">
        <v>206</v>
      </c>
      <c r="U4" s="42" t="s">
        <v>207</v>
      </c>
      <c r="V4" s="42" t="s">
        <v>208</v>
      </c>
      <c r="W4" s="42" t="s">
        <v>209</v>
      </c>
      <c r="X4" s="42" t="s">
        <v>210</v>
      </c>
      <c r="Y4" s="42" t="s">
        <v>211</v>
      </c>
      <c r="Z4" s="42" t="s">
        <v>212</v>
      </c>
      <c r="AA4" s="42" t="s">
        <v>213</v>
      </c>
      <c r="AB4" s="42" t="s">
        <v>214</v>
      </c>
      <c r="AC4" s="42" t="s">
        <v>215</v>
      </c>
      <c r="AD4" s="42" t="s">
        <v>216</v>
      </c>
      <c r="AE4" s="42" t="s">
        <v>217</v>
      </c>
      <c r="AF4" s="42" t="s">
        <v>218</v>
      </c>
      <c r="AG4" s="42" t="s">
        <v>219</v>
      </c>
      <c r="AH4" s="42" t="s">
        <v>220</v>
      </c>
      <c r="AI4" s="42" t="s">
        <v>221</v>
      </c>
      <c r="AJ4" s="42" t="s">
        <v>222</v>
      </c>
      <c r="AK4" s="42" t="s">
        <v>223</v>
      </c>
    </row>
    <row r="5" customFormat="false" ht="15" hidden="false" customHeight="false" outlineLevel="0" collapsed="false">
      <c r="A5" s="5"/>
      <c r="B5" s="43" t="s">
        <v>280</v>
      </c>
      <c r="C5" s="44" t="n">
        <f aca="false">-Constr_Capex_CY1</f>
        <v>-64400000</v>
      </c>
      <c r="D5" s="44" t="n">
        <f aca="false">-Constr_Capex_CY2</f>
        <v>-144900000</v>
      </c>
      <c r="E5" s="44" t="n">
        <f aca="false">-Constr_Capex_CY3</f>
        <v>-322000000</v>
      </c>
      <c r="F5" s="44" t="n">
        <f aca="false">-Constr_Capex_CY4</f>
        <v>-177100000</v>
      </c>
      <c r="G5" s="44" t="n">
        <f aca="false">-Constr_Capex_CY5</f>
        <v>-96600000</v>
      </c>
      <c r="H5" s="44" t="n">
        <f aca="false">0</f>
        <v>0</v>
      </c>
      <c r="I5" s="44" t="n">
        <f aca="false">0</f>
        <v>0</v>
      </c>
      <c r="J5" s="44" t="n">
        <f aca="false">0</f>
        <v>0</v>
      </c>
      <c r="K5" s="44" t="n">
        <f aca="false">0</f>
        <v>0</v>
      </c>
      <c r="L5" s="44" t="n">
        <f aca="false">0</f>
        <v>0</v>
      </c>
      <c r="M5" s="44" t="n">
        <f aca="false">0</f>
        <v>0</v>
      </c>
      <c r="N5" s="44" t="n">
        <f aca="false">0</f>
        <v>0</v>
      </c>
      <c r="O5" s="44" t="n">
        <f aca="false">0</f>
        <v>0</v>
      </c>
      <c r="P5" s="44" t="n">
        <f aca="false">0</f>
        <v>0</v>
      </c>
      <c r="Q5" s="44" t="n">
        <f aca="false">0</f>
        <v>0</v>
      </c>
      <c r="R5" s="44" t="n">
        <f aca="false">0</f>
        <v>0</v>
      </c>
      <c r="S5" s="44" t="n">
        <f aca="false">0</f>
        <v>0</v>
      </c>
      <c r="T5" s="44" t="n">
        <f aca="false">0</f>
        <v>0</v>
      </c>
      <c r="U5" s="44" t="n">
        <f aca="false">0</f>
        <v>0</v>
      </c>
      <c r="V5" s="44" t="n">
        <f aca="false">0</f>
        <v>0</v>
      </c>
      <c r="W5" s="44" t="n">
        <f aca="false">0</f>
        <v>0</v>
      </c>
      <c r="X5" s="44" t="n">
        <f aca="false">0</f>
        <v>0</v>
      </c>
      <c r="Y5" s="44" t="n">
        <f aca="false">0</f>
        <v>0</v>
      </c>
      <c r="Z5" s="44" t="n">
        <f aca="false">0</f>
        <v>0</v>
      </c>
      <c r="AA5" s="44" t="n">
        <f aca="false">0</f>
        <v>0</v>
      </c>
      <c r="AB5" s="44" t="n">
        <f aca="false">0</f>
        <v>0</v>
      </c>
      <c r="AC5" s="44" t="n">
        <f aca="false">0</f>
        <v>0</v>
      </c>
      <c r="AD5" s="44" t="n">
        <f aca="false">0</f>
        <v>0</v>
      </c>
      <c r="AE5" s="44" t="n">
        <f aca="false">0</f>
        <v>0</v>
      </c>
      <c r="AF5" s="44" t="n">
        <f aca="false">0</f>
        <v>0</v>
      </c>
      <c r="AG5" s="44" t="n">
        <f aca="false">0</f>
        <v>0</v>
      </c>
      <c r="AH5" s="44" t="n">
        <f aca="false">0</f>
        <v>0</v>
      </c>
      <c r="AI5" s="44" t="n">
        <f aca="false">0</f>
        <v>0</v>
      </c>
      <c r="AJ5" s="44" t="n">
        <f aca="false">0</f>
        <v>0</v>
      </c>
      <c r="AK5" s="44" t="n">
        <f aca="false">0</f>
        <v>0</v>
      </c>
    </row>
    <row r="6" customFormat="false" ht="15" hidden="false" customHeight="false" outlineLevel="0" collapsed="false">
      <c r="A6" s="5"/>
      <c r="B6" s="34" t="s">
        <v>281</v>
      </c>
      <c r="C6" s="45" t="n">
        <f aca="false">Constr_Equity_CY1</f>
        <v>20608000</v>
      </c>
      <c r="D6" s="45" t="n">
        <f aca="false">Constr_Equity_CY2</f>
        <v>46368000</v>
      </c>
      <c r="E6" s="45" t="n">
        <f aca="false">Constr_Equity_CY3</f>
        <v>103040000</v>
      </c>
      <c r="F6" s="45" t="n">
        <f aca="false">Constr_Equity_CY4</f>
        <v>56672000</v>
      </c>
      <c r="G6" s="45" t="n">
        <f aca="false">Constr_Equity_CY5</f>
        <v>30912000</v>
      </c>
      <c r="H6" s="45" t="n">
        <f aca="false">0</f>
        <v>0</v>
      </c>
      <c r="I6" s="45" t="n">
        <f aca="false">0</f>
        <v>0</v>
      </c>
      <c r="J6" s="45" t="n">
        <f aca="false">0</f>
        <v>0</v>
      </c>
      <c r="K6" s="45" t="n">
        <f aca="false">0</f>
        <v>0</v>
      </c>
      <c r="L6" s="45" t="n">
        <f aca="false">0</f>
        <v>0</v>
      </c>
      <c r="M6" s="45" t="n">
        <f aca="false">0</f>
        <v>0</v>
      </c>
      <c r="N6" s="45" t="n">
        <f aca="false">0</f>
        <v>0</v>
      </c>
      <c r="O6" s="45" t="n">
        <f aca="false">0</f>
        <v>0</v>
      </c>
      <c r="P6" s="45" t="n">
        <f aca="false">0</f>
        <v>0</v>
      </c>
      <c r="Q6" s="45" t="n">
        <f aca="false">0</f>
        <v>0</v>
      </c>
      <c r="R6" s="45" t="n">
        <f aca="false">0</f>
        <v>0</v>
      </c>
      <c r="S6" s="45" t="n">
        <f aca="false">0</f>
        <v>0</v>
      </c>
      <c r="T6" s="45" t="n">
        <f aca="false">0</f>
        <v>0</v>
      </c>
      <c r="U6" s="45" t="n">
        <f aca="false">0</f>
        <v>0</v>
      </c>
      <c r="V6" s="45" t="n">
        <f aca="false">0</f>
        <v>0</v>
      </c>
      <c r="W6" s="45" t="n">
        <f aca="false">0</f>
        <v>0</v>
      </c>
      <c r="X6" s="45" t="n">
        <f aca="false">0</f>
        <v>0</v>
      </c>
      <c r="Y6" s="45" t="n">
        <f aca="false">0</f>
        <v>0</v>
      </c>
      <c r="Z6" s="45" t="n">
        <f aca="false">0</f>
        <v>0</v>
      </c>
      <c r="AA6" s="45" t="n">
        <f aca="false">0</f>
        <v>0</v>
      </c>
      <c r="AB6" s="45" t="n">
        <f aca="false">0</f>
        <v>0</v>
      </c>
      <c r="AC6" s="45" t="n">
        <f aca="false">0</f>
        <v>0</v>
      </c>
      <c r="AD6" s="45" t="n">
        <f aca="false">0</f>
        <v>0</v>
      </c>
      <c r="AE6" s="45" t="n">
        <f aca="false">0</f>
        <v>0</v>
      </c>
      <c r="AF6" s="45" t="n">
        <f aca="false">0</f>
        <v>0</v>
      </c>
      <c r="AG6" s="45" t="n">
        <f aca="false">0</f>
        <v>0</v>
      </c>
      <c r="AH6" s="45" t="n">
        <f aca="false">0</f>
        <v>0</v>
      </c>
      <c r="AI6" s="45" t="n">
        <f aca="false">0</f>
        <v>0</v>
      </c>
      <c r="AJ6" s="45" t="n">
        <f aca="false">0</f>
        <v>0</v>
      </c>
      <c r="AK6" s="45" t="n">
        <f aca="false">0</f>
        <v>0</v>
      </c>
    </row>
    <row r="7" customFormat="false" ht="15" hidden="false" customHeight="false" outlineLevel="0" collapsed="false">
      <c r="A7" s="5"/>
      <c r="B7" s="34" t="s">
        <v>282</v>
      </c>
      <c r="C7" s="45" t="n">
        <f aca="false">Constr_Total_Debt_CY1</f>
        <v>43792000</v>
      </c>
      <c r="D7" s="45" t="n">
        <f aca="false">Constr_Total_Debt_CY2</f>
        <v>98532000</v>
      </c>
      <c r="E7" s="45" t="n">
        <f aca="false">Constr_Total_Debt_CY3</f>
        <v>218960000</v>
      </c>
      <c r="F7" s="45" t="n">
        <f aca="false">Constr_Total_Debt_CY4</f>
        <v>120428000</v>
      </c>
      <c r="G7" s="45" t="n">
        <f aca="false">Constr_Total_Debt_CY5</f>
        <v>80741500</v>
      </c>
      <c r="H7" s="45" t="n">
        <f aca="false">0</f>
        <v>0</v>
      </c>
      <c r="I7" s="45" t="n">
        <f aca="false">0</f>
        <v>0</v>
      </c>
      <c r="J7" s="45" t="n">
        <f aca="false">0</f>
        <v>0</v>
      </c>
      <c r="K7" s="45" t="n">
        <f aca="false">0</f>
        <v>0</v>
      </c>
      <c r="L7" s="45" t="n">
        <f aca="false">0</f>
        <v>0</v>
      </c>
      <c r="M7" s="45" t="n">
        <f aca="false">0</f>
        <v>0</v>
      </c>
      <c r="N7" s="45" t="n">
        <f aca="false">0</f>
        <v>0</v>
      </c>
      <c r="O7" s="45" t="n">
        <f aca="false">0</f>
        <v>0</v>
      </c>
      <c r="P7" s="45" t="n">
        <f aca="false">0</f>
        <v>0</v>
      </c>
      <c r="Q7" s="45" t="n">
        <f aca="false">0</f>
        <v>0</v>
      </c>
      <c r="R7" s="45" t="n">
        <f aca="false">0</f>
        <v>0</v>
      </c>
      <c r="S7" s="45" t="n">
        <f aca="false">0</f>
        <v>0</v>
      </c>
      <c r="T7" s="45" t="n">
        <f aca="false">0</f>
        <v>0</v>
      </c>
      <c r="U7" s="45" t="n">
        <f aca="false">0</f>
        <v>0</v>
      </c>
      <c r="V7" s="45" t="n">
        <f aca="false">0</f>
        <v>0</v>
      </c>
      <c r="W7" s="45" t="n">
        <f aca="false">0</f>
        <v>0</v>
      </c>
      <c r="X7" s="45" t="n">
        <f aca="false">0</f>
        <v>0</v>
      </c>
      <c r="Y7" s="45" t="n">
        <f aca="false">0</f>
        <v>0</v>
      </c>
      <c r="Z7" s="45" t="n">
        <f aca="false">0</f>
        <v>0</v>
      </c>
      <c r="AA7" s="45" t="n">
        <f aca="false">0</f>
        <v>0</v>
      </c>
      <c r="AB7" s="45" t="n">
        <f aca="false">0</f>
        <v>0</v>
      </c>
      <c r="AC7" s="45" t="n">
        <f aca="false">0</f>
        <v>0</v>
      </c>
      <c r="AD7" s="45" t="n">
        <f aca="false">0</f>
        <v>0</v>
      </c>
      <c r="AE7" s="45" t="n">
        <f aca="false">0</f>
        <v>0</v>
      </c>
      <c r="AF7" s="45" t="n">
        <f aca="false">0</f>
        <v>0</v>
      </c>
      <c r="AG7" s="45" t="n">
        <f aca="false">0</f>
        <v>0</v>
      </c>
      <c r="AH7" s="45" t="n">
        <f aca="false">0</f>
        <v>0</v>
      </c>
      <c r="AI7" s="45" t="n">
        <f aca="false">0</f>
        <v>0</v>
      </c>
      <c r="AJ7" s="45" t="n">
        <f aca="false">0</f>
        <v>0</v>
      </c>
      <c r="AK7" s="45" t="n">
        <f aca="false">0</f>
        <v>0</v>
      </c>
    </row>
    <row r="8" customFormat="false" ht="15" hidden="false" customHeight="false" outlineLevel="0" collapsed="false">
      <c r="A8" s="5"/>
      <c r="B8" s="46" t="s">
        <v>283</v>
      </c>
      <c r="C8" s="47" t="n">
        <f aca="false">C5+C6+C7</f>
        <v>0</v>
      </c>
      <c r="D8" s="47" t="n">
        <f aca="false">D5+D6+D7</f>
        <v>0</v>
      </c>
      <c r="E8" s="47" t="n">
        <f aca="false">E5+E6+E7</f>
        <v>0</v>
      </c>
      <c r="F8" s="47" t="n">
        <f aca="false">F5+F6+F7</f>
        <v>0</v>
      </c>
      <c r="G8" s="47" t="n">
        <f aca="false">G5+G6+G7</f>
        <v>15053500</v>
      </c>
      <c r="H8" s="47" t="n">
        <f aca="false">0</f>
        <v>0</v>
      </c>
      <c r="I8" s="47" t="n">
        <f aca="false">0</f>
        <v>0</v>
      </c>
      <c r="J8" s="47" t="n">
        <f aca="false">0</f>
        <v>0</v>
      </c>
      <c r="K8" s="47" t="n">
        <f aca="false">0</f>
        <v>0</v>
      </c>
      <c r="L8" s="47" t="n">
        <f aca="false">0</f>
        <v>0</v>
      </c>
      <c r="M8" s="47" t="n">
        <f aca="false">0</f>
        <v>0</v>
      </c>
      <c r="N8" s="47" t="n">
        <f aca="false">0</f>
        <v>0</v>
      </c>
      <c r="O8" s="47" t="n">
        <f aca="false">0</f>
        <v>0</v>
      </c>
      <c r="P8" s="47" t="n">
        <f aca="false">0</f>
        <v>0</v>
      </c>
      <c r="Q8" s="47" t="n">
        <f aca="false">0</f>
        <v>0</v>
      </c>
      <c r="R8" s="47" t="n">
        <f aca="false">0</f>
        <v>0</v>
      </c>
      <c r="S8" s="47" t="n">
        <f aca="false">0</f>
        <v>0</v>
      </c>
      <c r="T8" s="47" t="n">
        <f aca="false">0</f>
        <v>0</v>
      </c>
      <c r="U8" s="47" t="n">
        <f aca="false">0</f>
        <v>0</v>
      </c>
      <c r="V8" s="47" t="n">
        <f aca="false">0</f>
        <v>0</v>
      </c>
      <c r="W8" s="47" t="n">
        <f aca="false">0</f>
        <v>0</v>
      </c>
      <c r="X8" s="47" t="n">
        <f aca="false">0</f>
        <v>0</v>
      </c>
      <c r="Y8" s="47" t="n">
        <f aca="false">0</f>
        <v>0</v>
      </c>
      <c r="Z8" s="47" t="n">
        <f aca="false">0</f>
        <v>0</v>
      </c>
      <c r="AA8" s="47" t="n">
        <f aca="false">0</f>
        <v>0</v>
      </c>
      <c r="AB8" s="47" t="n">
        <f aca="false">0</f>
        <v>0</v>
      </c>
      <c r="AC8" s="47" t="n">
        <f aca="false">0</f>
        <v>0</v>
      </c>
      <c r="AD8" s="47" t="n">
        <f aca="false">0</f>
        <v>0</v>
      </c>
      <c r="AE8" s="47" t="n">
        <f aca="false">0</f>
        <v>0</v>
      </c>
      <c r="AF8" s="47" t="n">
        <f aca="false">0</f>
        <v>0</v>
      </c>
      <c r="AG8" s="47" t="n">
        <f aca="false">0</f>
        <v>0</v>
      </c>
      <c r="AH8" s="47" t="n">
        <f aca="false">0</f>
        <v>0</v>
      </c>
      <c r="AI8" s="47" t="n">
        <f aca="false">0</f>
        <v>0</v>
      </c>
      <c r="AJ8" s="47" t="n">
        <f aca="false">0</f>
        <v>0</v>
      </c>
      <c r="AK8" s="47" t="n">
        <f aca="false">0</f>
        <v>0</v>
      </c>
    </row>
    <row r="9" customFormat="false" ht="15" hidden="false" customHeight="false" outlineLevel="0" collapsed="false">
      <c r="A9" s="5"/>
      <c r="B9" s="34" t="s">
        <v>284</v>
      </c>
      <c r="C9" s="45" t="n">
        <f aca="false">0</f>
        <v>0</v>
      </c>
      <c r="D9" s="45" t="n">
        <f aca="false">CF_Cash_Close_CY1</f>
        <v>0</v>
      </c>
      <c r="E9" s="45" t="n">
        <f aca="false">CF_Cash_Close_CY2</f>
        <v>0</v>
      </c>
      <c r="F9" s="45" t="n">
        <f aca="false">CF_Cash_Close_CY3</f>
        <v>0</v>
      </c>
      <c r="G9" s="45" t="n">
        <f aca="false">CF_Cash_Close_CY4</f>
        <v>0</v>
      </c>
      <c r="H9" s="45" t="n">
        <f aca="false">0</f>
        <v>0</v>
      </c>
      <c r="I9" s="45" t="n">
        <f aca="false">0</f>
        <v>0</v>
      </c>
      <c r="J9" s="45" t="n">
        <f aca="false">0</f>
        <v>0</v>
      </c>
      <c r="K9" s="45" t="n">
        <f aca="false">0</f>
        <v>0</v>
      </c>
      <c r="L9" s="45" t="n">
        <f aca="false">0</f>
        <v>0</v>
      </c>
      <c r="M9" s="45" t="n">
        <f aca="false">0</f>
        <v>0</v>
      </c>
      <c r="N9" s="45" t="n">
        <f aca="false">0</f>
        <v>0</v>
      </c>
      <c r="O9" s="45" t="n">
        <f aca="false">0</f>
        <v>0</v>
      </c>
      <c r="P9" s="45" t="n">
        <f aca="false">0</f>
        <v>0</v>
      </c>
      <c r="Q9" s="45" t="n">
        <f aca="false">0</f>
        <v>0</v>
      </c>
      <c r="R9" s="45" t="n">
        <f aca="false">0</f>
        <v>0</v>
      </c>
      <c r="S9" s="45" t="n">
        <f aca="false">0</f>
        <v>0</v>
      </c>
      <c r="T9" s="45" t="n">
        <f aca="false">0</f>
        <v>0</v>
      </c>
      <c r="U9" s="45" t="n">
        <f aca="false">0</f>
        <v>0</v>
      </c>
      <c r="V9" s="45" t="n">
        <f aca="false">0</f>
        <v>0</v>
      </c>
      <c r="W9" s="45" t="n">
        <f aca="false">0</f>
        <v>0</v>
      </c>
      <c r="X9" s="45" t="n">
        <f aca="false">0</f>
        <v>0</v>
      </c>
      <c r="Y9" s="45" t="n">
        <f aca="false">0</f>
        <v>0</v>
      </c>
      <c r="Z9" s="45" t="n">
        <f aca="false">0</f>
        <v>0</v>
      </c>
      <c r="AA9" s="45" t="n">
        <f aca="false">0</f>
        <v>0</v>
      </c>
      <c r="AB9" s="45" t="n">
        <f aca="false">0</f>
        <v>0</v>
      </c>
      <c r="AC9" s="45" t="n">
        <f aca="false">0</f>
        <v>0</v>
      </c>
      <c r="AD9" s="45" t="n">
        <f aca="false">0</f>
        <v>0</v>
      </c>
      <c r="AE9" s="45" t="n">
        <f aca="false">0</f>
        <v>0</v>
      </c>
      <c r="AF9" s="45" t="n">
        <f aca="false">0</f>
        <v>0</v>
      </c>
      <c r="AG9" s="45" t="n">
        <f aca="false">0</f>
        <v>0</v>
      </c>
      <c r="AH9" s="45" t="n">
        <f aca="false">0</f>
        <v>0</v>
      </c>
      <c r="AI9" s="45" t="n">
        <f aca="false">0</f>
        <v>0</v>
      </c>
      <c r="AJ9" s="45" t="n">
        <f aca="false">0</f>
        <v>0</v>
      </c>
      <c r="AK9" s="45" t="n">
        <f aca="false">0</f>
        <v>0</v>
      </c>
    </row>
    <row r="10" customFormat="false" ht="15" hidden="false" customHeight="false" outlineLevel="0" collapsed="false">
      <c r="A10" s="5"/>
      <c r="B10" s="46" t="s">
        <v>285</v>
      </c>
      <c r="C10" s="47" t="n">
        <f aca="false">C9+C8</f>
        <v>0</v>
      </c>
      <c r="D10" s="47" t="n">
        <f aca="false">D9+D8</f>
        <v>0</v>
      </c>
      <c r="E10" s="47" t="n">
        <f aca="false">E9+E8</f>
        <v>0</v>
      </c>
      <c r="F10" s="47" t="n">
        <f aca="false">F9+F8</f>
        <v>0</v>
      </c>
      <c r="G10" s="47" t="n">
        <f aca="false">G9+G8</f>
        <v>15053500</v>
      </c>
      <c r="H10" s="47" t="n">
        <f aca="false">0</f>
        <v>0</v>
      </c>
      <c r="I10" s="47" t="n">
        <f aca="false">0</f>
        <v>0</v>
      </c>
      <c r="J10" s="47" t="n">
        <f aca="false">0</f>
        <v>0</v>
      </c>
      <c r="K10" s="47" t="n">
        <f aca="false">0</f>
        <v>0</v>
      </c>
      <c r="L10" s="47" t="n">
        <f aca="false">0</f>
        <v>0</v>
      </c>
      <c r="M10" s="47" t="n">
        <f aca="false">0</f>
        <v>0</v>
      </c>
      <c r="N10" s="47" t="n">
        <f aca="false">0</f>
        <v>0</v>
      </c>
      <c r="O10" s="47" t="n">
        <f aca="false">0</f>
        <v>0</v>
      </c>
      <c r="P10" s="47" t="n">
        <f aca="false">0</f>
        <v>0</v>
      </c>
      <c r="Q10" s="47" t="n">
        <f aca="false">0</f>
        <v>0</v>
      </c>
      <c r="R10" s="47" t="n">
        <f aca="false">0</f>
        <v>0</v>
      </c>
      <c r="S10" s="47" t="n">
        <f aca="false">0</f>
        <v>0</v>
      </c>
      <c r="T10" s="47" t="n">
        <f aca="false">0</f>
        <v>0</v>
      </c>
      <c r="U10" s="47" t="n">
        <f aca="false">0</f>
        <v>0</v>
      </c>
      <c r="V10" s="47" t="n">
        <f aca="false">0</f>
        <v>0</v>
      </c>
      <c r="W10" s="47" t="n">
        <f aca="false">0</f>
        <v>0</v>
      </c>
      <c r="X10" s="47" t="n">
        <f aca="false">0</f>
        <v>0</v>
      </c>
      <c r="Y10" s="47" t="n">
        <f aca="false">0</f>
        <v>0</v>
      </c>
      <c r="Z10" s="47" t="n">
        <f aca="false">0</f>
        <v>0</v>
      </c>
      <c r="AA10" s="47" t="n">
        <f aca="false">0</f>
        <v>0</v>
      </c>
      <c r="AB10" s="47" t="n">
        <f aca="false">0</f>
        <v>0</v>
      </c>
      <c r="AC10" s="47" t="n">
        <f aca="false">0</f>
        <v>0</v>
      </c>
      <c r="AD10" s="47" t="n">
        <f aca="false">0</f>
        <v>0</v>
      </c>
      <c r="AE10" s="47" t="n">
        <f aca="false">0</f>
        <v>0</v>
      </c>
      <c r="AF10" s="47" t="n">
        <f aca="false">0</f>
        <v>0</v>
      </c>
      <c r="AG10" s="47" t="n">
        <f aca="false">0</f>
        <v>0</v>
      </c>
      <c r="AH10" s="47" t="n">
        <f aca="false">0</f>
        <v>0</v>
      </c>
      <c r="AI10" s="47" t="n">
        <f aca="false">0</f>
        <v>0</v>
      </c>
      <c r="AJ10" s="47" t="n">
        <f aca="false">0</f>
        <v>0</v>
      </c>
      <c r="AK10" s="47" t="n">
        <f aca="false">0</f>
        <v>0</v>
      </c>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customFormat="false" ht="15" hidden="false" customHeight="false" outlineLevel="0" collapsed="false">
      <c r="A12" s="5"/>
      <c r="B12" s="31" t="s">
        <v>286</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customFormat="false" ht="15" hidden="false" customHeight="false" outlineLevel="0" collapsed="false">
      <c r="A13" s="5"/>
      <c r="B13" s="34" t="s">
        <v>246</v>
      </c>
      <c r="C13" s="45" t="n">
        <f aca="false">0</f>
        <v>0</v>
      </c>
      <c r="D13" s="45" t="n">
        <f aca="false">0</f>
        <v>0</v>
      </c>
      <c r="E13" s="45" t="n">
        <f aca="false">0</f>
        <v>0</v>
      </c>
      <c r="F13" s="45" t="n">
        <f aca="false">0</f>
        <v>0</v>
      </c>
      <c r="G13" s="45" t="n">
        <f aca="false">0</f>
        <v>0</v>
      </c>
      <c r="H13" s="45" t="n">
        <f aca="false">IS_EBITDA_OpsYr1</f>
        <v>44500000</v>
      </c>
      <c r="I13" s="45" t="n">
        <f aca="false">IS_EBITDA_OpsYr2</f>
        <v>52085000</v>
      </c>
      <c r="J13" s="45" t="n">
        <f aca="false">IS_EBITDA_OpsYr3</f>
        <v>59286075</v>
      </c>
      <c r="K13" s="45" t="n">
        <f aca="false">IS_EBITDA_OpsYr4</f>
        <v>66814727.875</v>
      </c>
      <c r="L13" s="45" t="n">
        <f aca="false">IS_EBITDA_OpsYr5</f>
        <v>68501486.976875</v>
      </c>
      <c r="M13" s="45" t="n">
        <f aca="false">IS_EBITDA_OpsYr6</f>
        <v>70230906.7834468</v>
      </c>
      <c r="N13" s="45" t="n">
        <f aca="false">IS_EBITDA_OpsYr7</f>
        <v>72004068.5641475</v>
      </c>
      <c r="O13" s="45" t="n">
        <f aca="false">IS_EBITDA_OpsYr8</f>
        <v>73822081.0626991</v>
      </c>
      <c r="P13" s="45" t="n">
        <f aca="false">IS_EBITDA_OpsYr9</f>
        <v>75686081.197248</v>
      </c>
      <c r="Q13" s="45" t="n">
        <f aca="false">IS_EBITDA_OpsYr10</f>
        <v>77597234.7784</v>
      </c>
      <c r="R13" s="45" t="n">
        <f aca="false">IS_EBITDA_OpsYr11</f>
        <v>79556737.2456174</v>
      </c>
      <c r="S13" s="45" t="n">
        <f aca="false">IS_EBITDA_OpsYr12</f>
        <v>81565814.422448</v>
      </c>
      <c r="T13" s="45" t="n">
        <f aca="false">IS_EBITDA_OpsYr13</f>
        <v>83625723.29107</v>
      </c>
      <c r="U13" s="45" t="n">
        <f aca="false">IS_EBITDA_OpsYr14</f>
        <v>85737752.7866495</v>
      </c>
      <c r="V13" s="45" t="n">
        <f aca="false">IS_EBITDA_OpsYr15</f>
        <v>87903224.6120175</v>
      </c>
      <c r="W13" s="45" t="n">
        <f aca="false">IS_EBITDA_OpsYr16</f>
        <v>90123494.0731907</v>
      </c>
      <c r="X13" s="45" t="n">
        <f aca="false">IS_EBITDA_OpsYr17</f>
        <v>92399950.9362695</v>
      </c>
      <c r="Y13" s="45" t="n">
        <f aca="false">IS_EBITDA_OpsYr18</f>
        <v>94734020.3062627</v>
      </c>
      <c r="Z13" s="45" t="n">
        <f aca="false">IS_EBITDA_OpsYr19</f>
        <v>97127163.5284034</v>
      </c>
      <c r="AA13" s="45" t="n">
        <f aca="false">IS_EBITDA_OpsYr20</f>
        <v>99580879.1125321</v>
      </c>
      <c r="AB13" s="45" t="n">
        <f aca="false">IS_EBITDA_OpsYr21</f>
        <v>102096703.681142</v>
      </c>
      <c r="AC13" s="45" t="n">
        <f aca="false">IS_EBITDA_OpsYr22</f>
        <v>104676212.94169</v>
      </c>
      <c r="AD13" s="45" t="n">
        <f aca="false">IS_EBITDA_OpsYr23</f>
        <v>107321022.683808</v>
      </c>
      <c r="AE13" s="45" t="n">
        <f aca="false">IS_EBITDA_OpsYr24</f>
        <v>110032789.802036</v>
      </c>
      <c r="AF13" s="45" t="n">
        <f aca="false">IS_EBITDA_OpsYr25</f>
        <v>112813213.344754</v>
      </c>
      <c r="AG13" s="45" t="n">
        <f aca="false">IS_EBITDA_OpsYr26</f>
        <v>115664035.58997</v>
      </c>
      <c r="AH13" s="45" t="n">
        <f aca="false">IS_EBITDA_OpsYr27</f>
        <v>118587043.148664</v>
      </c>
      <c r="AI13" s="45" t="n">
        <f aca="false">IS_EBITDA_OpsYr28</f>
        <v>121584068.096393</v>
      </c>
      <c r="AJ13" s="45" t="n">
        <f aca="false">IS_EBITDA_OpsYr29</f>
        <v>124656989.133887</v>
      </c>
      <c r="AK13" s="45" t="n">
        <f aca="false">IS_EBITDA_OpsYr30</f>
        <v>127807732.77737</v>
      </c>
    </row>
    <row r="14" customFormat="false" ht="15" hidden="false" customHeight="false" outlineLevel="0" collapsed="false">
      <c r="A14" s="5"/>
      <c r="B14" s="34" t="s">
        <v>247</v>
      </c>
      <c r="C14" s="45" t="n">
        <f aca="false">0</f>
        <v>0</v>
      </c>
      <c r="D14" s="45" t="n">
        <f aca="false">0</f>
        <v>0</v>
      </c>
      <c r="E14" s="45" t="n">
        <f aca="false">0</f>
        <v>0</v>
      </c>
      <c r="F14" s="45" t="n">
        <f aca="false">0</f>
        <v>0</v>
      </c>
      <c r="G14" s="45" t="n">
        <f aca="false">0</f>
        <v>0</v>
      </c>
      <c r="H14" s="45" t="n">
        <f aca="false">IS_Tax_Paid_OpsYr1</f>
        <v>-0</v>
      </c>
      <c r="I14" s="45" t="n">
        <f aca="false">IS_Tax_Paid_OpsYr2</f>
        <v>-0</v>
      </c>
      <c r="J14" s="45" t="n">
        <f aca="false">IS_Tax_Paid_OpsYr3</f>
        <v>-0</v>
      </c>
      <c r="K14" s="45" t="n">
        <f aca="false">IS_Tax_Paid_OpsYr4</f>
        <v>-0</v>
      </c>
      <c r="L14" s="45" t="n">
        <f aca="false">IS_Tax_Paid_OpsYr5</f>
        <v>-0</v>
      </c>
      <c r="M14" s="45" t="n">
        <f aca="false">IS_Tax_Paid_OpsYr6</f>
        <v>-0</v>
      </c>
      <c r="N14" s="45" t="n">
        <f aca="false">IS_Tax_Paid_OpsYr7</f>
        <v>-0</v>
      </c>
      <c r="O14" s="45" t="n">
        <f aca="false">IS_Tax_Paid_OpsYr8</f>
        <v>-0</v>
      </c>
      <c r="P14" s="45" t="n">
        <f aca="false">IS_Tax_Paid_OpsYr9</f>
        <v>-0</v>
      </c>
      <c r="Q14" s="45" t="n">
        <f aca="false">IS_Tax_Paid_OpsYr10</f>
        <v>-0</v>
      </c>
      <c r="R14" s="45" t="n">
        <f aca="false">IS_Tax_Paid_OpsYr11</f>
        <v>-0</v>
      </c>
      <c r="S14" s="45" t="n">
        <f aca="false">IS_Tax_Paid_OpsYr12</f>
        <v>-0</v>
      </c>
      <c r="T14" s="45" t="n">
        <f aca="false">IS_Tax_Paid_OpsYr13</f>
        <v>-0</v>
      </c>
      <c r="U14" s="45" t="n">
        <f aca="false">IS_Tax_Paid_OpsYr14</f>
        <v>-0</v>
      </c>
      <c r="V14" s="45" t="n">
        <f aca="false">IS_Tax_Paid_OpsYr15</f>
        <v>-0</v>
      </c>
      <c r="W14" s="45" t="n">
        <f aca="false">IS_Tax_Paid_OpsYr16</f>
        <v>-0</v>
      </c>
      <c r="X14" s="45" t="n">
        <f aca="false">IS_Tax_Paid_OpsYr17</f>
        <v>-0</v>
      </c>
      <c r="Y14" s="45" t="n">
        <f aca="false">IS_Tax_Paid_OpsYr18</f>
        <v>-0</v>
      </c>
      <c r="Z14" s="45" t="n">
        <f aca="false">IS_Tax_Paid_OpsYr19</f>
        <v>-18361.1719986461</v>
      </c>
      <c r="AA14" s="45" t="n">
        <f aca="false">IS_Tax_Paid_OpsYr20</f>
        <v>-13910400.5135825</v>
      </c>
      <c r="AB14" s="45" t="n">
        <f aca="false">IS_Tax_Paid_OpsYr21</f>
        <v>-14539356.6557349</v>
      </c>
      <c r="AC14" s="45" t="n">
        <f aca="false">IS_Tax_Paid_OpsYr22</f>
        <v>-15184233.970872</v>
      </c>
      <c r="AD14" s="45" t="n">
        <f aca="false">IS_Tax_Paid_OpsYr23</f>
        <v>-15845436.4064015</v>
      </c>
      <c r="AE14" s="45" t="n">
        <f aca="false">IS_Tax_Paid_OpsYr24</f>
        <v>-16523378.1859585</v>
      </c>
      <c r="AF14" s="45" t="n">
        <f aca="false">IS_Tax_Paid_OpsYr25</f>
        <v>-7218484.07163794</v>
      </c>
      <c r="AG14" s="45" t="n">
        <f aca="false">IS_Tax_Paid_OpsYr26</f>
        <v>-17931189.6329419</v>
      </c>
      <c r="AH14" s="45" t="n">
        <f aca="false">IS_Tax_Paid_OpsYr27</f>
        <v>-18661941.5226154</v>
      </c>
      <c r="AI14" s="45" t="n">
        <f aca="false">IS_Tax_Paid_OpsYr28</f>
        <v>-19411197.7595478</v>
      </c>
      <c r="AJ14" s="45" t="n">
        <f aca="false">IS_Tax_Paid_OpsYr29</f>
        <v>-20179428.0189212</v>
      </c>
      <c r="AK14" s="45" t="n">
        <f aca="false">IS_Tax_Paid_OpsYr30</f>
        <v>-20967113.929792</v>
      </c>
    </row>
    <row r="15" customFormat="false" ht="15" hidden="false" customHeight="false" outlineLevel="0" collapsed="false">
      <c r="A15" s="5"/>
      <c r="B15" s="34" t="s">
        <v>235</v>
      </c>
      <c r="C15" s="45" t="n">
        <f aca="false">0</f>
        <v>0</v>
      </c>
      <c r="D15" s="45" t="n">
        <f aca="false">0</f>
        <v>0</v>
      </c>
      <c r="E15" s="45" t="n">
        <f aca="false">0</f>
        <v>0</v>
      </c>
      <c r="F15" s="45" t="n">
        <f aca="false">0</f>
        <v>0</v>
      </c>
      <c r="G15" s="45" t="n">
        <f aca="false">0</f>
        <v>0</v>
      </c>
      <c r="H15" s="45" t="n">
        <f aca="false">IS_Lifecycle_OpsYr1</f>
        <v>-14000000</v>
      </c>
      <c r="I15" s="45" t="n">
        <f aca="false">IS_Lifecycle_OpsYr2</f>
        <v>-14000000</v>
      </c>
      <c r="J15" s="45" t="n">
        <f aca="false">IS_Lifecycle_OpsYr3</f>
        <v>-14000000</v>
      </c>
      <c r="K15" s="45" t="n">
        <f aca="false">IS_Lifecycle_OpsYr4</f>
        <v>-14000000</v>
      </c>
      <c r="L15" s="45" t="n">
        <f aca="false">IS_Lifecycle_OpsYr5</f>
        <v>-14000000</v>
      </c>
      <c r="M15" s="45" t="n">
        <f aca="false">IS_Lifecycle_OpsYr6</f>
        <v>-14000000</v>
      </c>
      <c r="N15" s="45" t="n">
        <f aca="false">IS_Lifecycle_OpsYr7</f>
        <v>-14000000</v>
      </c>
      <c r="O15" s="45" t="n">
        <f aca="false">IS_Lifecycle_OpsYr8</f>
        <v>-14000000</v>
      </c>
      <c r="P15" s="45" t="n">
        <f aca="false">IS_Lifecycle_OpsYr9</f>
        <v>-14000000</v>
      </c>
      <c r="Q15" s="45" t="n">
        <f aca="false">IS_Lifecycle_OpsYr10</f>
        <v>-14000000</v>
      </c>
      <c r="R15" s="45" t="n">
        <f aca="false">IS_Lifecycle_OpsYr11</f>
        <v>-14000000</v>
      </c>
      <c r="S15" s="45" t="n">
        <f aca="false">IS_Lifecycle_OpsYr12</f>
        <v>-14000000</v>
      </c>
      <c r="T15" s="45" t="n">
        <f aca="false">IS_Lifecycle_OpsYr13</f>
        <v>-14000000</v>
      </c>
      <c r="U15" s="45" t="n">
        <f aca="false">IS_Lifecycle_OpsYr14</f>
        <v>-14000000</v>
      </c>
      <c r="V15" s="45" t="n">
        <f aca="false">IS_Lifecycle_OpsYr15</f>
        <v>-74000000</v>
      </c>
      <c r="W15" s="45" t="n">
        <f aca="false">IS_Lifecycle_OpsYr16</f>
        <v>-14000000</v>
      </c>
      <c r="X15" s="45" t="n">
        <f aca="false">IS_Lifecycle_OpsYr17</f>
        <v>-14000000</v>
      </c>
      <c r="Y15" s="45" t="n">
        <f aca="false">IS_Lifecycle_OpsYr18</f>
        <v>-14000000</v>
      </c>
      <c r="Z15" s="45" t="n">
        <f aca="false">IS_Lifecycle_OpsYr19</f>
        <v>-14000000</v>
      </c>
      <c r="AA15" s="45" t="n">
        <f aca="false">IS_Lifecycle_OpsYr20</f>
        <v>-14000000</v>
      </c>
      <c r="AB15" s="45" t="n">
        <f aca="false">IS_Lifecycle_OpsYr21</f>
        <v>-14000000</v>
      </c>
      <c r="AC15" s="45" t="n">
        <f aca="false">IS_Lifecycle_OpsYr22</f>
        <v>-14000000</v>
      </c>
      <c r="AD15" s="45" t="n">
        <f aca="false">IS_Lifecycle_OpsYr23</f>
        <v>-14000000</v>
      </c>
      <c r="AE15" s="45" t="n">
        <f aca="false">IS_Lifecycle_OpsYr24</f>
        <v>-14000000</v>
      </c>
      <c r="AF15" s="45" t="n">
        <f aca="false">IS_Lifecycle_OpsYr25</f>
        <v>-54000000</v>
      </c>
      <c r="AG15" s="45" t="n">
        <f aca="false">IS_Lifecycle_OpsYr26</f>
        <v>-14000000</v>
      </c>
      <c r="AH15" s="45" t="n">
        <f aca="false">IS_Lifecycle_OpsYr27</f>
        <v>-14000000</v>
      </c>
      <c r="AI15" s="45" t="n">
        <f aca="false">IS_Lifecycle_OpsYr28</f>
        <v>-14000000</v>
      </c>
      <c r="AJ15" s="45" t="n">
        <f aca="false">IS_Lifecycle_OpsYr29</f>
        <v>-14000000</v>
      </c>
      <c r="AK15" s="45" t="n">
        <f aca="false">IS_Lifecycle_OpsYr30</f>
        <v>-14000000</v>
      </c>
    </row>
    <row r="16" customFormat="false" ht="15" hidden="false" customHeight="false" outlineLevel="0" collapsed="false">
      <c r="A16" s="5"/>
      <c r="B16" s="46" t="s">
        <v>286</v>
      </c>
      <c r="C16" s="47" t="n">
        <f aca="false">0</f>
        <v>0</v>
      </c>
      <c r="D16" s="47" t="n">
        <f aca="false">0</f>
        <v>0</v>
      </c>
      <c r="E16" s="47" t="n">
        <f aca="false">0</f>
        <v>0</v>
      </c>
      <c r="F16" s="47" t="n">
        <f aca="false">0</f>
        <v>0</v>
      </c>
      <c r="G16" s="47" t="n">
        <f aca="false">0</f>
        <v>0</v>
      </c>
      <c r="H16" s="47" t="n">
        <f aca="false">H13+H14+H15</f>
        <v>30500000</v>
      </c>
      <c r="I16" s="47" t="n">
        <f aca="false">I13+I14+I15</f>
        <v>38085000</v>
      </c>
      <c r="J16" s="47" t="n">
        <f aca="false">J13+J14+J15</f>
        <v>45286075</v>
      </c>
      <c r="K16" s="47" t="n">
        <f aca="false">K13+K14+K15</f>
        <v>52814727.875</v>
      </c>
      <c r="L16" s="47" t="n">
        <f aca="false">L13+L14+L15</f>
        <v>54501486.976875</v>
      </c>
      <c r="M16" s="47" t="n">
        <f aca="false">M13+M14+M15</f>
        <v>56230906.7834468</v>
      </c>
      <c r="N16" s="47" t="n">
        <f aca="false">N13+N14+N15</f>
        <v>58004068.5641475</v>
      </c>
      <c r="O16" s="47" t="n">
        <f aca="false">O13+O14+O15</f>
        <v>59822081.0626991</v>
      </c>
      <c r="P16" s="47" t="n">
        <f aca="false">P13+P14+P15</f>
        <v>61686081.197248</v>
      </c>
      <c r="Q16" s="47" t="n">
        <f aca="false">Q13+Q14+Q15</f>
        <v>63597234.7784</v>
      </c>
      <c r="R16" s="47" t="n">
        <f aca="false">R13+R14+R15</f>
        <v>65556737.2456174</v>
      </c>
      <c r="S16" s="47" t="n">
        <f aca="false">S13+S14+S15</f>
        <v>67565814.422448</v>
      </c>
      <c r="T16" s="47" t="n">
        <f aca="false">T13+T14+T15</f>
        <v>69625723.29107</v>
      </c>
      <c r="U16" s="47" t="n">
        <f aca="false">U13+U14+U15</f>
        <v>71737752.7866495</v>
      </c>
      <c r="V16" s="47" t="n">
        <f aca="false">V13+V14+V15</f>
        <v>13903224.6120175</v>
      </c>
      <c r="W16" s="47" t="n">
        <f aca="false">W13+W14+W15</f>
        <v>76123494.0731907</v>
      </c>
      <c r="X16" s="47" t="n">
        <f aca="false">X13+X14+X15</f>
        <v>78399950.9362695</v>
      </c>
      <c r="Y16" s="47" t="n">
        <f aca="false">Y13+Y14+Y15</f>
        <v>80734020.3062627</v>
      </c>
      <c r="Z16" s="47" t="n">
        <f aca="false">Z13+Z14+Z15</f>
        <v>83108802.3564047</v>
      </c>
      <c r="AA16" s="47" t="n">
        <f aca="false">AA13+AA14+AA15</f>
        <v>71670478.5989496</v>
      </c>
      <c r="AB16" s="47" t="n">
        <f aca="false">AB13+AB14+AB15</f>
        <v>73557347.0254066</v>
      </c>
      <c r="AC16" s="47" t="n">
        <f aca="false">AC13+AC14+AC15</f>
        <v>75491978.9708181</v>
      </c>
      <c r="AD16" s="47" t="n">
        <f aca="false">AD13+AD14+AD15</f>
        <v>77475586.2774065</v>
      </c>
      <c r="AE16" s="47" t="n">
        <f aca="false">AE13+AE14+AE15</f>
        <v>79509411.6160775</v>
      </c>
      <c r="AF16" s="47" t="n">
        <f aca="false">AF13+AF14+AF15</f>
        <v>51594729.2731159</v>
      </c>
      <c r="AG16" s="47" t="n">
        <f aca="false">AG13+AG14+AG15</f>
        <v>83732845.9570277</v>
      </c>
      <c r="AH16" s="47" t="n">
        <f aca="false">AH13+AH14+AH15</f>
        <v>85925101.6260482</v>
      </c>
      <c r="AI16" s="47" t="n">
        <f aca="false">AI13+AI14+AI15</f>
        <v>88172870.3368455</v>
      </c>
      <c r="AJ16" s="47" t="n">
        <f aca="false">AJ13+AJ14+AJ15</f>
        <v>90477561.1149655</v>
      </c>
      <c r="AK16" s="47" t="n">
        <f aca="false">AK13+AK14+AK15</f>
        <v>92840618.847578</v>
      </c>
    </row>
    <row r="17" customFormat="false" ht="15" hidden="false" customHeight="false" outlineLevel="0" collapsed="false">
      <c r="A17" s="5"/>
      <c r="B17" s="31" t="s">
        <v>287</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customFormat="false" ht="15" hidden="false" customHeight="false" outlineLevel="0" collapsed="false">
      <c r="A18" s="5"/>
      <c r="B18" s="34" t="s">
        <v>288</v>
      </c>
      <c r="C18" s="45" t="n">
        <f aca="false">0</f>
        <v>0</v>
      </c>
      <c r="D18" s="45" t="n">
        <f aca="false">0</f>
        <v>0</v>
      </c>
      <c r="E18" s="45" t="n">
        <f aca="false">0</f>
        <v>0</v>
      </c>
      <c r="F18" s="45" t="n">
        <f aca="false">0</f>
        <v>0</v>
      </c>
      <c r="G18" s="45" t="n">
        <f aca="false">0</f>
        <v>0</v>
      </c>
      <c r="H18" s="45" t="n">
        <f aca="false">0</f>
        <v>0</v>
      </c>
      <c r="I18" s="45" t="n">
        <f aca="false">0</f>
        <v>0</v>
      </c>
      <c r="J18" s="45" t="n">
        <f aca="false">0</f>
        <v>0</v>
      </c>
      <c r="K18" s="45" t="n">
        <f aca="false">0</f>
        <v>0</v>
      </c>
      <c r="L18" s="45" t="n">
        <f aca="false">0</f>
        <v>0</v>
      </c>
      <c r="M18" s="45" t="n">
        <f aca="false">0</f>
        <v>0</v>
      </c>
      <c r="N18" s="45" t="n">
        <f aca="false">0</f>
        <v>0</v>
      </c>
      <c r="O18" s="45" t="n">
        <f aca="false">0</f>
        <v>0</v>
      </c>
      <c r="P18" s="45" t="n">
        <f aca="false">0</f>
        <v>0</v>
      </c>
      <c r="Q18" s="45" t="n">
        <f aca="false">0</f>
        <v>0</v>
      </c>
      <c r="R18" s="45" t="n">
        <f aca="false">0</f>
        <v>0</v>
      </c>
      <c r="S18" s="45" t="n">
        <f aca="false">0</f>
        <v>0</v>
      </c>
      <c r="T18" s="45" t="n">
        <f aca="false">0</f>
        <v>0</v>
      </c>
      <c r="U18" s="45" t="n">
        <f aca="false">0</f>
        <v>0</v>
      </c>
      <c r="V18" s="45" t="n">
        <f aca="false">0</f>
        <v>0</v>
      </c>
      <c r="W18" s="45" t="n">
        <f aca="false">0</f>
        <v>0</v>
      </c>
      <c r="X18" s="45" t="n">
        <f aca="false">0</f>
        <v>0</v>
      </c>
      <c r="Y18" s="45" t="n">
        <f aca="false">0</f>
        <v>0</v>
      </c>
      <c r="Z18" s="45" t="n">
        <f aca="false">0</f>
        <v>0</v>
      </c>
      <c r="AA18" s="45" t="n">
        <f aca="false">0</f>
        <v>0</v>
      </c>
      <c r="AB18" s="45" t="n">
        <f aca="false">0</f>
        <v>0</v>
      </c>
      <c r="AC18" s="45" t="n">
        <f aca="false">0</f>
        <v>0</v>
      </c>
      <c r="AD18" s="45" t="n">
        <f aca="false">0</f>
        <v>0</v>
      </c>
      <c r="AE18" s="45" t="n">
        <f aca="false">0</f>
        <v>0</v>
      </c>
      <c r="AF18" s="45" t="n">
        <f aca="false">0</f>
        <v>0</v>
      </c>
      <c r="AG18" s="45" t="n">
        <f aca="false">0</f>
        <v>0</v>
      </c>
      <c r="AH18" s="45" t="n">
        <f aca="false">0</f>
        <v>0</v>
      </c>
      <c r="AI18" s="45" t="n">
        <f aca="false">0</f>
        <v>0</v>
      </c>
      <c r="AJ18" s="45" t="n">
        <f aca="false">0</f>
        <v>0</v>
      </c>
      <c r="AK18" s="45" t="n">
        <f aca="false">0</f>
        <v>0</v>
      </c>
    </row>
    <row r="19" customFormat="false" ht="15" hidden="false" customHeight="false" outlineLevel="0" collapsed="false">
      <c r="A19" s="5"/>
      <c r="B19" s="46" t="s">
        <v>287</v>
      </c>
      <c r="C19" s="47" t="n">
        <f aca="false">0</f>
        <v>0</v>
      </c>
      <c r="D19" s="47" t="n">
        <f aca="false">0</f>
        <v>0</v>
      </c>
      <c r="E19" s="47" t="n">
        <f aca="false">0</f>
        <v>0</v>
      </c>
      <c r="F19" s="47" t="n">
        <f aca="false">0</f>
        <v>0</v>
      </c>
      <c r="G19" s="47" t="n">
        <f aca="false">0</f>
        <v>0</v>
      </c>
      <c r="H19" s="47" t="n">
        <f aca="false">H18</f>
        <v>0</v>
      </c>
      <c r="I19" s="47" t="n">
        <f aca="false">I18</f>
        <v>0</v>
      </c>
      <c r="J19" s="47" t="n">
        <f aca="false">J18</f>
        <v>0</v>
      </c>
      <c r="K19" s="47" t="n">
        <f aca="false">K18</f>
        <v>0</v>
      </c>
      <c r="L19" s="47" t="n">
        <f aca="false">L18</f>
        <v>0</v>
      </c>
      <c r="M19" s="47" t="n">
        <f aca="false">M18</f>
        <v>0</v>
      </c>
      <c r="N19" s="47" t="n">
        <f aca="false">N18</f>
        <v>0</v>
      </c>
      <c r="O19" s="47" t="n">
        <f aca="false">O18</f>
        <v>0</v>
      </c>
      <c r="P19" s="47" t="n">
        <f aca="false">P18</f>
        <v>0</v>
      </c>
      <c r="Q19" s="47" t="n">
        <f aca="false">Q18</f>
        <v>0</v>
      </c>
      <c r="R19" s="47" t="n">
        <f aca="false">R18</f>
        <v>0</v>
      </c>
      <c r="S19" s="47" t="n">
        <f aca="false">S18</f>
        <v>0</v>
      </c>
      <c r="T19" s="47" t="n">
        <f aca="false">T18</f>
        <v>0</v>
      </c>
      <c r="U19" s="47" t="n">
        <f aca="false">U18</f>
        <v>0</v>
      </c>
      <c r="V19" s="47" t="n">
        <f aca="false">V18</f>
        <v>0</v>
      </c>
      <c r="W19" s="47" t="n">
        <f aca="false">W18</f>
        <v>0</v>
      </c>
      <c r="X19" s="47" t="n">
        <f aca="false">X18</f>
        <v>0</v>
      </c>
      <c r="Y19" s="47" t="n">
        <f aca="false">Y18</f>
        <v>0</v>
      </c>
      <c r="Z19" s="47" t="n">
        <f aca="false">Z18</f>
        <v>0</v>
      </c>
      <c r="AA19" s="47" t="n">
        <f aca="false">AA18</f>
        <v>0</v>
      </c>
      <c r="AB19" s="47" t="n">
        <f aca="false">AB18</f>
        <v>0</v>
      </c>
      <c r="AC19" s="47" t="n">
        <f aca="false">AC18</f>
        <v>0</v>
      </c>
      <c r="AD19" s="47" t="n">
        <f aca="false">AD18</f>
        <v>0</v>
      </c>
      <c r="AE19" s="47" t="n">
        <f aca="false">AE18</f>
        <v>0</v>
      </c>
      <c r="AF19" s="47" t="n">
        <f aca="false">AF18</f>
        <v>0</v>
      </c>
      <c r="AG19" s="47" t="n">
        <f aca="false">AG18</f>
        <v>0</v>
      </c>
      <c r="AH19" s="47" t="n">
        <f aca="false">AH18</f>
        <v>0</v>
      </c>
      <c r="AI19" s="47" t="n">
        <f aca="false">AI18</f>
        <v>0</v>
      </c>
      <c r="AJ19" s="47" t="n">
        <f aca="false">AJ18</f>
        <v>0</v>
      </c>
      <c r="AK19" s="47" t="n">
        <f aca="false">AK18</f>
        <v>0</v>
      </c>
    </row>
    <row r="20" customFormat="false" ht="15" hidden="false" customHeight="false" outlineLevel="0" collapsed="false">
      <c r="A20" s="5"/>
      <c r="B20" s="31" t="s">
        <v>289</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customFormat="false" ht="15" hidden="false" customHeight="false" outlineLevel="0" collapsed="false">
      <c r="A21" s="5"/>
      <c r="B21" s="34" t="s">
        <v>290</v>
      </c>
      <c r="C21" s="45" t="n">
        <f aca="false">0</f>
        <v>0</v>
      </c>
      <c r="D21" s="45" t="n">
        <f aca="false">0</f>
        <v>0</v>
      </c>
      <c r="E21" s="45" t="n">
        <f aca="false">0</f>
        <v>0</v>
      </c>
      <c r="F21" s="45" t="n">
        <f aca="false">0</f>
        <v>0</v>
      </c>
      <c r="G21" s="45" t="n">
        <f aca="false">0</f>
        <v>0</v>
      </c>
      <c r="H21" s="45" t="n">
        <f aca="false">-Debt_Schedule!H$17</f>
        <v>-36059749.6460334</v>
      </c>
      <c r="I21" s="45" t="n">
        <f aca="false">-Debt_Schedule!I$17</f>
        <v>-36059749.6460334</v>
      </c>
      <c r="J21" s="45" t="n">
        <f aca="false">-Debt_Schedule!J$17</f>
        <v>-36059749.6460334</v>
      </c>
      <c r="K21" s="45" t="n">
        <f aca="false">-Debt_Schedule!K$17</f>
        <v>-35434448.5765652</v>
      </c>
      <c r="L21" s="45" t="n">
        <f aca="false">-Debt_Schedule!L$17</f>
        <v>-34443495.2217763</v>
      </c>
      <c r="M21" s="45" t="n">
        <f aca="false">-Debt_Schedule!M$17</f>
        <v>-33323822.0319915</v>
      </c>
      <c r="N21" s="45" t="n">
        <f aca="false">-Debt_Schedule!N$17</f>
        <v>-32066472.3452794</v>
      </c>
      <c r="O21" s="45" t="n">
        <f aca="false">-Debt_Schedule!O$17</f>
        <v>-30661949.3074473</v>
      </c>
      <c r="P21" s="45" t="n">
        <f aca="false">-Debt_Schedule!P$17</f>
        <v>-29100184.9525981</v>
      </c>
      <c r="Q21" s="45" t="n">
        <f aca="false">-Debt_Schedule!Q$17</f>
        <v>-27370507.5523121</v>
      </c>
      <c r="R21" s="45" t="n">
        <f aca="false">-Debt_Schedule!R$17</f>
        <v>-25461607.1374397</v>
      </c>
      <c r="S21" s="45" t="n">
        <f aca="false">-Debt_Schedule!S$17</f>
        <v>-23361499.0911917</v>
      </c>
      <c r="T21" s="45" t="n">
        <f aca="false">-Debt_Schedule!T$17</f>
        <v>-21057485.7066195</v>
      </c>
      <c r="U21" s="45" t="n">
        <f aca="false">-Debt_Schedule!U$17</f>
        <v>-18536115.5956765</v>
      </c>
      <c r="V21" s="45" t="n">
        <f aca="false">-Debt_Schedule!V$17</f>
        <v>-15783140.8308261</v>
      </c>
      <c r="W21" s="45" t="n">
        <f aca="false">-Debt_Schedule!W$17</f>
        <v>-12783471.6935928</v>
      </c>
      <c r="X21" s="45" t="n">
        <f aca="false">-Debt_Schedule!X$17</f>
        <v>-9521128.89752003</v>
      </c>
      <c r="Y21" s="45" t="n">
        <f aca="false">-Debt_Schedule!Y$17</f>
        <v>-5979193.14568777</v>
      </c>
      <c r="Z21" s="45" t="n">
        <f aca="false">-Debt_Schedule!Z$17</f>
        <v>-2139751.87522504</v>
      </c>
      <c r="AA21" s="45" t="n">
        <f aca="false">-Debt_Schedule!AA$17</f>
        <v>-0</v>
      </c>
      <c r="AB21" s="45" t="n">
        <f aca="false">-Debt_Schedule!AB$17</f>
        <v>-0</v>
      </c>
      <c r="AC21" s="45" t="n">
        <f aca="false">-Debt_Schedule!AC$17</f>
        <v>-0</v>
      </c>
      <c r="AD21" s="45" t="n">
        <f aca="false">-Debt_Schedule!AD$17</f>
        <v>-0</v>
      </c>
      <c r="AE21" s="45" t="n">
        <f aca="false">-Debt_Schedule!AE$17</f>
        <v>-0</v>
      </c>
      <c r="AF21" s="45" t="n">
        <f aca="false">-Debt_Schedule!AF$17</f>
        <v>-0</v>
      </c>
      <c r="AG21" s="45" t="n">
        <f aca="false">-Debt_Schedule!AG$17</f>
        <v>-0</v>
      </c>
      <c r="AH21" s="45" t="n">
        <f aca="false">-Debt_Schedule!AH$17</f>
        <v>-0</v>
      </c>
      <c r="AI21" s="45" t="n">
        <f aca="false">-Debt_Schedule!AI$17</f>
        <v>-0</v>
      </c>
      <c r="AJ21" s="45" t="n">
        <f aca="false">-Debt_Schedule!AJ$17</f>
        <v>-0</v>
      </c>
      <c r="AK21" s="45" t="n">
        <f aca="false">-Debt_Schedule!AK$17</f>
        <v>-0</v>
      </c>
    </row>
    <row r="22" customFormat="false" ht="15" hidden="false" customHeight="false" outlineLevel="0" collapsed="false">
      <c r="A22" s="5"/>
      <c r="B22" s="34" t="s">
        <v>291</v>
      </c>
      <c r="C22" s="45" t="n">
        <f aca="false">0</f>
        <v>0</v>
      </c>
      <c r="D22" s="45" t="n">
        <f aca="false">0</f>
        <v>0</v>
      </c>
      <c r="E22" s="45" t="n">
        <f aca="false">0</f>
        <v>0</v>
      </c>
      <c r="F22" s="45" t="n">
        <f aca="false">0</f>
        <v>0</v>
      </c>
      <c r="G22" s="45" t="n">
        <f aca="false">0</f>
        <v>0</v>
      </c>
      <c r="H22" s="45" t="n">
        <f aca="false">-Debt_Repayment_OpsYr1</f>
        <v>-0</v>
      </c>
      <c r="I22" s="45" t="n">
        <f aca="false">-Debt_Repayment_OpsYr2</f>
        <v>-0</v>
      </c>
      <c r="J22" s="45" t="n">
        <f aca="false">-Debt_Repayment_OpsYr3</f>
        <v>-11369110.3539666</v>
      </c>
      <c r="K22" s="45" t="n">
        <f aca="false">-Debt_Repayment_OpsYr4</f>
        <v>-18017333.7234347</v>
      </c>
      <c r="L22" s="45" t="n">
        <f aca="false">-Debt_Repayment_OpsYr5</f>
        <v>-20357694.3597236</v>
      </c>
      <c r="M22" s="45" t="n">
        <f aca="false">-Debt_Repayment_OpsYr6</f>
        <v>-22860903.3947659</v>
      </c>
      <c r="N22" s="45" t="n">
        <f aca="false">-Debt_Repayment_OpsYr7</f>
        <v>-25536782.5060386</v>
      </c>
      <c r="O22" s="45" t="n">
        <f aca="false">-Debt_Repayment_OpsYr8</f>
        <v>-28395715.542712</v>
      </c>
      <c r="P22" s="45" t="n">
        <f aca="false">-Debt_Repayment_OpsYr9</f>
        <v>-31448680.0052003</v>
      </c>
      <c r="Q22" s="45" t="n">
        <f aca="false">-Debt_Repayment_OpsYr10</f>
        <v>-34707280.2704079</v>
      </c>
      <c r="R22" s="45" t="n">
        <f aca="false">-Debt_Repayment_OpsYr11</f>
        <v>-38183782.6590542</v>
      </c>
      <c r="S22" s="45" t="n">
        <f aca="false">-Debt_Repayment_OpsYr12</f>
        <v>-41891152.4467667</v>
      </c>
      <c r="T22" s="45" t="n">
        <f aca="false">-Debt_Repayment_OpsYr13</f>
        <v>-45843092.9262365</v>
      </c>
      <c r="U22" s="45" t="n">
        <f aca="false">-Debt_Repayment_OpsYr14</f>
        <v>-50054086.6336431</v>
      </c>
      <c r="V22" s="45" t="n">
        <f aca="false">-Debt_Repayment_OpsYr15</f>
        <v>-54539438.8587878</v>
      </c>
      <c r="W22" s="45" t="n">
        <f aca="false">-Debt_Repayment_OpsYr16</f>
        <v>-59315323.5649598</v>
      </c>
      <c r="X22" s="45" t="n">
        <f aca="false">-Debt_Repayment_OpsYr17</f>
        <v>-64398831.8514956</v>
      </c>
      <c r="Y22" s="45" t="n">
        <f aca="false">-Debt_Repayment_OpsYr18</f>
        <v>-69808023.0993224</v>
      </c>
      <c r="Z22" s="45" t="n">
        <f aca="false">-Debt_Repayment_OpsYr19</f>
        <v>-38904579.5495462</v>
      </c>
      <c r="AA22" s="45" t="n">
        <f aca="false">-Debt_Repayment_OpsYr20</f>
        <v>-0</v>
      </c>
      <c r="AB22" s="45" t="n">
        <f aca="false">-Debt_Repayment_OpsYr21</f>
        <v>-0</v>
      </c>
      <c r="AC22" s="45" t="n">
        <f aca="false">-Debt_Repayment_OpsYr22</f>
        <v>-0</v>
      </c>
      <c r="AD22" s="45" t="n">
        <f aca="false">-Debt_Repayment_OpsYr23</f>
        <v>-0</v>
      </c>
      <c r="AE22" s="45" t="n">
        <f aca="false">-Debt_Repayment_OpsYr24</f>
        <v>-0</v>
      </c>
      <c r="AF22" s="45" t="n">
        <f aca="false">-Debt_Repayment_OpsYr25</f>
        <v>-0</v>
      </c>
      <c r="AG22" s="45" t="n">
        <f aca="false">-Debt_Repayment_OpsYr26</f>
        <v>-0</v>
      </c>
      <c r="AH22" s="45" t="n">
        <f aca="false">-Debt_Repayment_OpsYr27</f>
        <v>-0</v>
      </c>
      <c r="AI22" s="45" t="n">
        <f aca="false">-Debt_Repayment_OpsYr28</f>
        <v>-0</v>
      </c>
      <c r="AJ22" s="45" t="n">
        <f aca="false">-Debt_Repayment_OpsYr29</f>
        <v>-0</v>
      </c>
      <c r="AK22" s="45" t="n">
        <f aca="false">-Debt_Repayment_OpsYr30</f>
        <v>-0</v>
      </c>
    </row>
    <row r="23" customFormat="false" ht="15" hidden="false" customHeight="false" outlineLevel="0" collapsed="false">
      <c r="A23" s="5"/>
      <c r="B23" s="34" t="s">
        <v>261</v>
      </c>
      <c r="C23" s="45" t="n">
        <f aca="false">0</f>
        <v>0</v>
      </c>
      <c r="D23" s="45" t="n">
        <f aca="false">0</f>
        <v>0</v>
      </c>
      <c r="E23" s="45" t="n">
        <f aca="false">0</f>
        <v>0</v>
      </c>
      <c r="F23" s="45" t="n">
        <f aca="false">0</f>
        <v>0</v>
      </c>
      <c r="G23" s="45" t="n">
        <f aca="false">0</f>
        <v>0</v>
      </c>
      <c r="H23" s="45" t="n">
        <f aca="false">-DSRA_Transfer_OpsYr1</f>
        <v>-0</v>
      </c>
      <c r="I23" s="45" t="n">
        <f aca="false">-DSRA_Transfer_OpsYr2</f>
        <v>-0</v>
      </c>
      <c r="J23" s="45" t="n">
        <f aca="false">-DSRA_Transfer_OpsYr3</f>
        <v>-5684555.1769833</v>
      </c>
      <c r="K23" s="45" t="n">
        <f aca="false">-DSRA_Transfer_OpsYr4</f>
        <v>-3011461.14999999</v>
      </c>
      <c r="L23" s="45" t="n">
        <f aca="false">-DSRA_Transfer_OpsYr5</f>
        <v>-674703.640750002</v>
      </c>
      <c r="M23" s="45" t="n">
        <f aca="false">-DSRA_Transfer_OpsYr6</f>
        <v>-691767.922628745</v>
      </c>
      <c r="N23" s="45" t="n">
        <f aca="false">-DSRA_Transfer_OpsYr7</f>
        <v>-709264.712280259</v>
      </c>
      <c r="O23" s="45" t="n">
        <f aca="false">-DSRA_Transfer_OpsYr8</f>
        <v>-727204.999420658</v>
      </c>
      <c r="P23" s="45" t="n">
        <f aca="false">-DSRA_Transfer_OpsYr9</f>
        <v>-745600.053819537</v>
      </c>
      <c r="Q23" s="45" t="n">
        <f aca="false">-DSRA_Transfer_OpsYr10</f>
        <v>-764461.432460796</v>
      </c>
      <c r="R23" s="45" t="n">
        <f aca="false">-DSRA_Transfer_OpsYr11</f>
        <v>-783800.986886971</v>
      </c>
      <c r="S23" s="45" t="n">
        <f aca="false">-DSRA_Transfer_OpsYr12</f>
        <v>-803630.870732237</v>
      </c>
      <c r="T23" s="45" t="n">
        <f aca="false">-DSRA_Transfer_OpsYr13</f>
        <v>-823963.547448829</v>
      </c>
      <c r="U23" s="45" t="n">
        <f aca="false">-DSRA_Transfer_OpsYr14</f>
        <v>-844811.798231773</v>
      </c>
      <c r="V23" s="45" t="n">
        <f aca="false">-DSRA_Transfer_OpsYr15</f>
        <v>-866188.730147198</v>
      </c>
      <c r="W23" s="45" t="n">
        <f aca="false">-DSRA_Transfer_OpsYr16</f>
        <v>-888107.784469299</v>
      </c>
      <c r="X23" s="45" t="n">
        <f aca="false">-DSRA_Transfer_OpsYr17</f>
        <v>-910582.745231517</v>
      </c>
      <c r="Y23" s="45" t="n">
        <f aca="false">-DSRA_Transfer_OpsYr18</f>
        <v>-933627.747997284</v>
      </c>
      <c r="Z23" s="45" t="n">
        <f aca="false">-DSRA_Transfer_OpsYr19</f>
        <v>17371442.4101195</v>
      </c>
      <c r="AA23" s="45" t="n">
        <f aca="false">-DSRA_Transfer_OpsYr20</f>
        <v>20522165.7123856</v>
      </c>
      <c r="AB23" s="45" t="n">
        <f aca="false">-DSRA_Transfer_OpsYr21</f>
        <v>-0</v>
      </c>
      <c r="AC23" s="45" t="n">
        <f aca="false">-DSRA_Transfer_OpsYr22</f>
        <v>-0</v>
      </c>
      <c r="AD23" s="45" t="n">
        <f aca="false">-DSRA_Transfer_OpsYr23</f>
        <v>-0</v>
      </c>
      <c r="AE23" s="45" t="n">
        <f aca="false">-DSRA_Transfer_OpsYr24</f>
        <v>-0</v>
      </c>
      <c r="AF23" s="45" t="n">
        <f aca="false">-DSRA_Transfer_OpsYr25</f>
        <v>-0</v>
      </c>
      <c r="AG23" s="45" t="n">
        <f aca="false">-DSRA_Transfer_OpsYr26</f>
        <v>-0</v>
      </c>
      <c r="AH23" s="45" t="n">
        <f aca="false">-DSRA_Transfer_OpsYr27</f>
        <v>-0</v>
      </c>
      <c r="AI23" s="45" t="n">
        <f aca="false">-DSRA_Transfer_OpsYr28</f>
        <v>-0</v>
      </c>
      <c r="AJ23" s="45" t="n">
        <f aca="false">-DSRA_Transfer_OpsYr29</f>
        <v>-0</v>
      </c>
      <c r="AK23" s="45" t="n">
        <f aca="false">-DSRA_Transfer_OpsYr30</f>
        <v>-0</v>
      </c>
    </row>
    <row r="24" customFormat="false" ht="15" hidden="false" customHeight="false" outlineLevel="0" collapsed="false">
      <c r="A24" s="5"/>
      <c r="B24" s="34" t="s">
        <v>263</v>
      </c>
      <c r="C24" s="45" t="n">
        <f aca="false">0</f>
        <v>0</v>
      </c>
      <c r="D24" s="45" t="n">
        <f aca="false">0</f>
        <v>0</v>
      </c>
      <c r="E24" s="45" t="n">
        <f aca="false">0</f>
        <v>0</v>
      </c>
      <c r="F24" s="45" t="n">
        <f aca="false">0</f>
        <v>0</v>
      </c>
      <c r="G24" s="45" t="n">
        <f aca="false">0</f>
        <v>0</v>
      </c>
      <c r="H24" s="45" t="n">
        <f aca="false">-Equity_Dist_OpsYr1</f>
        <v>-0</v>
      </c>
      <c r="I24" s="45" t="n">
        <f aca="false">-Equity_Dist_OpsYr2</f>
        <v>-0</v>
      </c>
      <c r="J24" s="45" t="n">
        <f aca="false">-Equity_Dist_OpsYr3</f>
        <v>-0</v>
      </c>
      <c r="K24" s="45" t="n">
        <f aca="false">-Equity_Dist_OpsYr4</f>
        <v>-0</v>
      </c>
      <c r="L24" s="45" t="n">
        <f aca="false">-Equity_Dist_OpsYr5</f>
        <v>-0</v>
      </c>
      <c r="M24" s="45" t="n">
        <f aca="false">-Equity_Dist_OpsYr6</f>
        <v>-0</v>
      </c>
      <c r="N24" s="45" t="n">
        <f aca="false">-Equity_Dist_OpsYr7</f>
        <v>-0</v>
      </c>
      <c r="O24" s="45" t="n">
        <f aca="false">-Equity_Dist_OpsYr8</f>
        <v>-37211.2131191641</v>
      </c>
      <c r="P24" s="45" t="n">
        <f aca="false">-Equity_Dist_OpsYr9</f>
        <v>-391616.185630053</v>
      </c>
      <c r="Q24" s="45" t="n">
        <f aca="false">-Equity_Dist_OpsYr10</f>
        <v>-754985.523219194</v>
      </c>
      <c r="R24" s="45" t="n">
        <f aca="false">-Equity_Dist_OpsYr11</f>
        <v>-1127546.46223651</v>
      </c>
      <c r="S24" s="45" t="n">
        <f aca="false">-Equity_Dist_OpsYr12</f>
        <v>-1509532.01375736</v>
      </c>
      <c r="T24" s="45" t="n">
        <f aca="false">-Equity_Dist_OpsYr13</f>
        <v>-1901181.11076517</v>
      </c>
      <c r="U24" s="45" t="n">
        <f aca="false">-Equity_Dist_OpsYr14</f>
        <v>-2302738.75909812</v>
      </c>
      <c r="V24" s="45" t="n">
        <f aca="false">-Equity_Dist_OpsYr15</f>
        <v>-0</v>
      </c>
      <c r="W24" s="45" t="n">
        <f aca="false">-Equity_Dist_OpsYr16</f>
        <v>-3136591.03016885</v>
      </c>
      <c r="X24" s="45" t="n">
        <f aca="false">-Equity_Dist_OpsYr17</f>
        <v>-3569407.44202239</v>
      </c>
      <c r="Y24" s="45" t="n">
        <f aca="false">-Equity_Dist_OpsYr18</f>
        <v>-4013176.31325527</v>
      </c>
      <c r="Z24" s="45" t="n">
        <f aca="false">-Equity_Dist_OpsYr19</f>
        <v>-59435913.341753</v>
      </c>
      <c r="AA24" s="45" t="n">
        <f aca="false">-Equity_Dist_OpsYr20</f>
        <v>-92192644.3113352</v>
      </c>
      <c r="AB24" s="45" t="n">
        <f aca="false">-Equity_Dist_OpsYr21</f>
        <v>-73557347.0254066</v>
      </c>
      <c r="AC24" s="45" t="n">
        <f aca="false">-Equity_Dist_OpsYr22</f>
        <v>-75491978.9708181</v>
      </c>
      <c r="AD24" s="45" t="n">
        <f aca="false">-Equity_Dist_OpsYr23</f>
        <v>-77475586.2774065</v>
      </c>
      <c r="AE24" s="45" t="n">
        <f aca="false">-Equity_Dist_OpsYr24</f>
        <v>-79509411.6160775</v>
      </c>
      <c r="AF24" s="45" t="n">
        <f aca="false">-Equity_Dist_OpsYr25</f>
        <v>-51594729.2731159</v>
      </c>
      <c r="AG24" s="45" t="n">
        <f aca="false">-Equity_Dist_OpsYr26</f>
        <v>-83732845.9570277</v>
      </c>
      <c r="AH24" s="45" t="n">
        <f aca="false">-Equity_Dist_OpsYr27</f>
        <v>-85925101.6260482</v>
      </c>
      <c r="AI24" s="45" t="n">
        <f aca="false">-Equity_Dist_OpsYr28</f>
        <v>-88172870.3368455</v>
      </c>
      <c r="AJ24" s="45" t="n">
        <f aca="false">-Equity_Dist_OpsYr29</f>
        <v>-90477561.1149655</v>
      </c>
      <c r="AK24" s="45" t="n">
        <f aca="false">-Equity_Dist_OpsYr30</f>
        <v>-92840618.847578</v>
      </c>
    </row>
    <row r="25" customFormat="false" ht="15" hidden="false" customHeight="false" outlineLevel="0" collapsed="false">
      <c r="A25" s="5"/>
      <c r="B25" s="46" t="s">
        <v>289</v>
      </c>
      <c r="C25" s="47" t="n">
        <f aca="false">0</f>
        <v>0</v>
      </c>
      <c r="D25" s="47" t="n">
        <f aca="false">0</f>
        <v>0</v>
      </c>
      <c r="E25" s="47" t="n">
        <f aca="false">0</f>
        <v>0</v>
      </c>
      <c r="F25" s="47" t="n">
        <f aca="false">0</f>
        <v>0</v>
      </c>
      <c r="G25" s="47" t="n">
        <f aca="false">0</f>
        <v>0</v>
      </c>
      <c r="H25" s="47" t="n">
        <f aca="false">H21+H22+H23+H24</f>
        <v>-36059749.6460334</v>
      </c>
      <c r="I25" s="47" t="n">
        <f aca="false">I21+I22+I23+I24</f>
        <v>-36059749.6460334</v>
      </c>
      <c r="J25" s="47" t="n">
        <f aca="false">J21+J22+J23+J24</f>
        <v>-53113415.1769833</v>
      </c>
      <c r="K25" s="47" t="n">
        <f aca="false">K21+K22+K23+K24</f>
        <v>-56463243.45</v>
      </c>
      <c r="L25" s="47" t="n">
        <f aca="false">L21+L22+L23+L24</f>
        <v>-55475893.22225</v>
      </c>
      <c r="M25" s="47" t="n">
        <f aca="false">M21+M22+M23+M24</f>
        <v>-56876493.3493862</v>
      </c>
      <c r="N25" s="47" t="n">
        <f aca="false">N21+N22+N23+N24</f>
        <v>-58312519.5635982</v>
      </c>
      <c r="O25" s="47" t="n">
        <f aca="false">O21+O22+O23+O24</f>
        <v>-59822081.0626991</v>
      </c>
      <c r="P25" s="47" t="n">
        <f aca="false">P21+P22+P23+P24</f>
        <v>-61686081.197248</v>
      </c>
      <c r="Q25" s="47" t="n">
        <f aca="false">Q21+Q22+Q23+Q24</f>
        <v>-63597234.7784</v>
      </c>
      <c r="R25" s="47" t="n">
        <f aca="false">R21+R22+R23+R24</f>
        <v>-65556737.2456174</v>
      </c>
      <c r="S25" s="47" t="n">
        <f aca="false">S21+S22+S23+S24</f>
        <v>-67565814.422448</v>
      </c>
      <c r="T25" s="47" t="n">
        <f aca="false">T21+T22+T23+T24</f>
        <v>-69625723.29107</v>
      </c>
      <c r="U25" s="47" t="n">
        <f aca="false">U21+U22+U23+U24</f>
        <v>-71737752.7866495</v>
      </c>
      <c r="V25" s="47" t="n">
        <f aca="false">V21+V22+V23+V24</f>
        <v>-71188768.4197612</v>
      </c>
      <c r="W25" s="47" t="n">
        <f aca="false">W21+W22+W23+W24</f>
        <v>-76123494.0731908</v>
      </c>
      <c r="X25" s="47" t="n">
        <f aca="false">X21+X22+X23+X24</f>
        <v>-78399950.9362695</v>
      </c>
      <c r="Y25" s="47" t="n">
        <f aca="false">Y21+Y22+Y23+Y24</f>
        <v>-80734020.3062627</v>
      </c>
      <c r="Z25" s="47" t="n">
        <f aca="false">Z21+Z22+Z23+Z24</f>
        <v>-83108802.3564047</v>
      </c>
      <c r="AA25" s="47" t="n">
        <f aca="false">AA21+AA22+AA23+AA24</f>
        <v>-71670478.5989496</v>
      </c>
      <c r="AB25" s="47" t="n">
        <f aca="false">AB21+AB22+AB23+AB24</f>
        <v>-73557347.0254066</v>
      </c>
      <c r="AC25" s="47" t="n">
        <f aca="false">AC21+AC22+AC23+AC24</f>
        <v>-75491978.9708181</v>
      </c>
      <c r="AD25" s="47" t="n">
        <f aca="false">AD21+AD22+AD23+AD24</f>
        <v>-77475586.2774065</v>
      </c>
      <c r="AE25" s="47" t="n">
        <f aca="false">AE21+AE22+AE23+AE24</f>
        <v>-79509411.6160775</v>
      </c>
      <c r="AF25" s="47" t="n">
        <f aca="false">AF21+AF22+AF23+AF24</f>
        <v>-51594729.2731159</v>
      </c>
      <c r="AG25" s="47" t="n">
        <f aca="false">AG21+AG22+AG23+AG24</f>
        <v>-83732845.9570277</v>
      </c>
      <c r="AH25" s="47" t="n">
        <f aca="false">AH21+AH22+AH23+AH24</f>
        <v>-85925101.6260482</v>
      </c>
      <c r="AI25" s="47" t="n">
        <f aca="false">AI21+AI22+AI23+AI24</f>
        <v>-88172870.3368455</v>
      </c>
      <c r="AJ25" s="47" t="n">
        <f aca="false">AJ21+AJ22+AJ23+AJ24</f>
        <v>-90477561.1149655</v>
      </c>
      <c r="AK25" s="47" t="n">
        <f aca="false">AK21+AK22+AK23+AK24</f>
        <v>-92840618.847578</v>
      </c>
    </row>
    <row r="26" customFormat="false" ht="15" hidden="false" customHeight="false" outlineLevel="0" collapsed="false">
      <c r="A26" s="5"/>
      <c r="B26" s="31" t="s">
        <v>292</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customFormat="false" ht="15" hidden="false" customHeight="false" outlineLevel="0" collapsed="false">
      <c r="A27" s="5"/>
      <c r="B27" s="34" t="s">
        <v>293</v>
      </c>
      <c r="C27" s="45" t="n">
        <f aca="false">0</f>
        <v>0</v>
      </c>
      <c r="D27" s="45" t="n">
        <f aca="false">0</f>
        <v>0</v>
      </c>
      <c r="E27" s="45" t="n">
        <f aca="false">0</f>
        <v>0</v>
      </c>
      <c r="F27" s="45" t="n">
        <f aca="false">0</f>
        <v>0</v>
      </c>
      <c r="G27" s="45" t="n">
        <f aca="false">0</f>
        <v>0</v>
      </c>
      <c r="H27" s="45" t="n">
        <f aca="false">H16+H19+H25</f>
        <v>-5559749.64603341</v>
      </c>
      <c r="I27" s="45" t="n">
        <f aca="false">I16+I19+I25</f>
        <v>2025250.35396659</v>
      </c>
      <c r="J27" s="45" t="n">
        <f aca="false">J16+J19+J25</f>
        <v>-7827340.1769833</v>
      </c>
      <c r="K27" s="45" t="n">
        <f aca="false">K16+K19+K25</f>
        <v>-3648515.57499999</v>
      </c>
      <c r="L27" s="45" t="n">
        <f aca="false">L16+L19+L25</f>
        <v>-974406.245375007</v>
      </c>
      <c r="M27" s="45" t="n">
        <f aca="false">M16+M19+M25</f>
        <v>-645586.565939382</v>
      </c>
      <c r="N27" s="45" t="n">
        <f aca="false">N16+N19+N25</f>
        <v>-308450.999450758</v>
      </c>
      <c r="O27" s="45" t="n">
        <f aca="false">O16+O19+O25</f>
        <v>0</v>
      </c>
      <c r="P27" s="45" t="n">
        <f aca="false">P16+P19+P25</f>
        <v>0</v>
      </c>
      <c r="Q27" s="45" t="n">
        <f aca="false">Q16+Q19+Q25</f>
        <v>0</v>
      </c>
      <c r="R27" s="45" t="n">
        <f aca="false">R16+R19+R25</f>
        <v>0</v>
      </c>
      <c r="S27" s="45" t="n">
        <f aca="false">S16+S19+S25</f>
        <v>0</v>
      </c>
      <c r="T27" s="45" t="n">
        <f aca="false">T16+T19+T25</f>
        <v>0</v>
      </c>
      <c r="U27" s="45" t="n">
        <f aca="false">U16+U19+U25</f>
        <v>0</v>
      </c>
      <c r="V27" s="45" t="n">
        <f aca="false">V16+V19+V25</f>
        <v>-57285543.8077437</v>
      </c>
      <c r="W27" s="45" t="n">
        <f aca="false">W16+W19+W25</f>
        <v>0</v>
      </c>
      <c r="X27" s="45" t="n">
        <f aca="false">X16+X19+X25</f>
        <v>0</v>
      </c>
      <c r="Y27" s="45" t="n">
        <f aca="false">Y16+Y19+Y25</f>
        <v>0</v>
      </c>
      <c r="Z27" s="45" t="n">
        <f aca="false">Z16+Z19+Z25</f>
        <v>0</v>
      </c>
      <c r="AA27" s="45" t="n">
        <f aca="false">AA16+AA19+AA25</f>
        <v>0</v>
      </c>
      <c r="AB27" s="45" t="n">
        <f aca="false">AB16+AB19+AB25</f>
        <v>0</v>
      </c>
      <c r="AC27" s="45" t="n">
        <f aca="false">AC16+AC19+AC25</f>
        <v>0</v>
      </c>
      <c r="AD27" s="45" t="n">
        <f aca="false">AD16+AD19+AD25</f>
        <v>0</v>
      </c>
      <c r="AE27" s="45" t="n">
        <f aca="false">AE16+AE19+AE25</f>
        <v>0</v>
      </c>
      <c r="AF27" s="45" t="n">
        <f aca="false">AF16+AF19+AF25</f>
        <v>0</v>
      </c>
      <c r="AG27" s="45" t="n">
        <f aca="false">AG16+AG19+AG25</f>
        <v>0</v>
      </c>
      <c r="AH27" s="45" t="n">
        <f aca="false">AH16+AH19+AH25</f>
        <v>0</v>
      </c>
      <c r="AI27" s="45" t="n">
        <f aca="false">AI16+AI19+AI25</f>
        <v>0</v>
      </c>
      <c r="AJ27" s="45" t="n">
        <f aca="false">AJ16+AJ19+AJ25</f>
        <v>0</v>
      </c>
      <c r="AK27" s="45" t="n">
        <f aca="false">AK16+AK19+AK25</f>
        <v>0</v>
      </c>
    </row>
    <row r="28" customFormat="false" ht="15" hidden="false" customHeight="false" outlineLevel="0" collapsed="false">
      <c r="A28" s="5"/>
      <c r="B28" s="34" t="s">
        <v>284</v>
      </c>
      <c r="C28" s="45" t="n">
        <f aca="false">0</f>
        <v>0</v>
      </c>
      <c r="D28" s="45" t="n">
        <f aca="false">0</f>
        <v>0</v>
      </c>
      <c r="E28" s="45" t="n">
        <f aca="false">0</f>
        <v>0</v>
      </c>
      <c r="F28" s="45" t="n">
        <f aca="false">0</f>
        <v>0</v>
      </c>
      <c r="G28" s="45" t="n">
        <f aca="false">0</f>
        <v>0</v>
      </c>
      <c r="H28" s="45" t="n">
        <f aca="false">CF_Cash_Close_CY5-DSRA_Target_At_COD</f>
        <v>-2976374.8230167</v>
      </c>
      <c r="I28" s="45" t="n">
        <f aca="false">CF_Cash_Close_OpsYr1</f>
        <v>-8536124.46905011</v>
      </c>
      <c r="J28" s="45" t="n">
        <f aca="false">CF_Cash_Close_OpsYr2</f>
        <v>-6510874.11508352</v>
      </c>
      <c r="K28" s="45" t="n">
        <f aca="false">CF_Cash_Close_OpsYr3</f>
        <v>-14338214.2920668</v>
      </c>
      <c r="L28" s="45" t="n">
        <f aca="false">CF_Cash_Close_OpsYr4</f>
        <v>-17986729.8670668</v>
      </c>
      <c r="M28" s="45" t="n">
        <f aca="false">CF_Cash_Close_OpsYr5</f>
        <v>-18961136.1124418</v>
      </c>
      <c r="N28" s="45" t="n">
        <f aca="false">CF_Cash_Close_OpsYr6</f>
        <v>-19606722.6783812</v>
      </c>
      <c r="O28" s="45" t="n">
        <f aca="false">CF_Cash_Close_OpsYr7</f>
        <v>-19915173.6778319</v>
      </c>
      <c r="P28" s="45" t="n">
        <f aca="false">CF_Cash_Close_OpsYr8</f>
        <v>-19915173.6778319</v>
      </c>
      <c r="Q28" s="45" t="n">
        <f aca="false">CF_Cash_Close_OpsYr9</f>
        <v>-19915173.6778319</v>
      </c>
      <c r="R28" s="45" t="n">
        <f aca="false">CF_Cash_Close_OpsYr10</f>
        <v>-19915173.6778319</v>
      </c>
      <c r="S28" s="45" t="n">
        <f aca="false">CF_Cash_Close_OpsYr11</f>
        <v>-19915173.6778319</v>
      </c>
      <c r="T28" s="45" t="n">
        <f aca="false">CF_Cash_Close_OpsYr12</f>
        <v>-19915173.6778319</v>
      </c>
      <c r="U28" s="45" t="n">
        <f aca="false">CF_Cash_Close_OpsYr13</f>
        <v>-19915173.6778319</v>
      </c>
      <c r="V28" s="45" t="n">
        <f aca="false">CF_Cash_Close_OpsYr14</f>
        <v>-19915173.6778319</v>
      </c>
      <c r="W28" s="45" t="n">
        <f aca="false">CF_Cash_Close_OpsYr15</f>
        <v>-77200717.4855757</v>
      </c>
      <c r="X28" s="45" t="n">
        <f aca="false">CF_Cash_Close_OpsYr16</f>
        <v>-77200717.4855757</v>
      </c>
      <c r="Y28" s="45" t="n">
        <f aca="false">CF_Cash_Close_OpsYr17</f>
        <v>-77200717.4855757</v>
      </c>
      <c r="Z28" s="45" t="n">
        <f aca="false">CF_Cash_Close_OpsYr18</f>
        <v>-77200717.4855757</v>
      </c>
      <c r="AA28" s="45" t="n">
        <f aca="false">CF_Cash_Close_OpsYr19</f>
        <v>-77200717.4855757</v>
      </c>
      <c r="AB28" s="45" t="n">
        <f aca="false">CF_Cash_Close_OpsYr20</f>
        <v>-77200717.4855757</v>
      </c>
      <c r="AC28" s="45" t="n">
        <f aca="false">CF_Cash_Close_OpsYr21</f>
        <v>-77200717.4855757</v>
      </c>
      <c r="AD28" s="45" t="n">
        <f aca="false">CF_Cash_Close_OpsYr22</f>
        <v>-77200717.4855757</v>
      </c>
      <c r="AE28" s="45" t="n">
        <f aca="false">CF_Cash_Close_OpsYr23</f>
        <v>-77200717.4855757</v>
      </c>
      <c r="AF28" s="45" t="n">
        <f aca="false">CF_Cash_Close_OpsYr24</f>
        <v>-77200717.4855757</v>
      </c>
      <c r="AG28" s="45" t="n">
        <f aca="false">CF_Cash_Close_OpsYr25</f>
        <v>-77200717.4855757</v>
      </c>
      <c r="AH28" s="45" t="n">
        <f aca="false">CF_Cash_Close_OpsYr26</f>
        <v>-77200717.4855757</v>
      </c>
      <c r="AI28" s="45" t="n">
        <f aca="false">CF_Cash_Close_OpsYr27</f>
        <v>-77200717.4855757</v>
      </c>
      <c r="AJ28" s="45" t="n">
        <f aca="false">CF_Cash_Close_OpsYr28</f>
        <v>-77200717.4855757</v>
      </c>
      <c r="AK28" s="45" t="n">
        <f aca="false">CF_Cash_Close_OpsYr29</f>
        <v>-77200717.4855757</v>
      </c>
    </row>
    <row r="29" customFormat="false" ht="15" hidden="false" customHeight="false" outlineLevel="0" collapsed="false">
      <c r="A29" s="5"/>
      <c r="B29" s="46" t="s">
        <v>285</v>
      </c>
      <c r="C29" s="47" t="n">
        <f aca="false">0</f>
        <v>0</v>
      </c>
      <c r="D29" s="47" t="n">
        <f aca="false">0</f>
        <v>0</v>
      </c>
      <c r="E29" s="47" t="n">
        <f aca="false">0</f>
        <v>0</v>
      </c>
      <c r="F29" s="47" t="n">
        <f aca="false">0</f>
        <v>0</v>
      </c>
      <c r="G29" s="47" t="n">
        <f aca="false">0</f>
        <v>0</v>
      </c>
      <c r="H29" s="47" t="n">
        <f aca="false">H28+H27</f>
        <v>-8536124.46905011</v>
      </c>
      <c r="I29" s="47" t="n">
        <f aca="false">I28+I27</f>
        <v>-6510874.11508352</v>
      </c>
      <c r="J29" s="47" t="n">
        <f aca="false">J28+J27</f>
        <v>-14338214.2920668</v>
      </c>
      <c r="K29" s="47" t="n">
        <f aca="false">K28+K27</f>
        <v>-17986729.8670668</v>
      </c>
      <c r="L29" s="47" t="n">
        <f aca="false">L28+L27</f>
        <v>-18961136.1124418</v>
      </c>
      <c r="M29" s="47" t="n">
        <f aca="false">M28+M27</f>
        <v>-19606722.6783812</v>
      </c>
      <c r="N29" s="47" t="n">
        <f aca="false">N28+N27</f>
        <v>-19915173.6778319</v>
      </c>
      <c r="O29" s="47" t="n">
        <f aca="false">O28+O27</f>
        <v>-19915173.6778319</v>
      </c>
      <c r="P29" s="47" t="n">
        <f aca="false">P28+P27</f>
        <v>-19915173.6778319</v>
      </c>
      <c r="Q29" s="47" t="n">
        <f aca="false">Q28+Q27</f>
        <v>-19915173.6778319</v>
      </c>
      <c r="R29" s="47" t="n">
        <f aca="false">R28+R27</f>
        <v>-19915173.6778319</v>
      </c>
      <c r="S29" s="47" t="n">
        <f aca="false">S28+S27</f>
        <v>-19915173.6778319</v>
      </c>
      <c r="T29" s="47" t="n">
        <f aca="false">T28+T27</f>
        <v>-19915173.6778319</v>
      </c>
      <c r="U29" s="47" t="n">
        <f aca="false">U28+U27</f>
        <v>-19915173.6778319</v>
      </c>
      <c r="V29" s="47" t="n">
        <f aca="false">V28+V27</f>
        <v>-77200717.4855757</v>
      </c>
      <c r="W29" s="47" t="n">
        <f aca="false">W28+W27</f>
        <v>-77200717.4855757</v>
      </c>
      <c r="X29" s="47" t="n">
        <f aca="false">X28+X27</f>
        <v>-77200717.4855757</v>
      </c>
      <c r="Y29" s="47" t="n">
        <f aca="false">Y28+Y27</f>
        <v>-77200717.4855757</v>
      </c>
      <c r="Z29" s="47" t="n">
        <f aca="false">Z28+Z27</f>
        <v>-77200717.4855757</v>
      </c>
      <c r="AA29" s="47" t="n">
        <f aca="false">AA28+AA27</f>
        <v>-77200717.4855757</v>
      </c>
      <c r="AB29" s="47" t="n">
        <f aca="false">AB28+AB27</f>
        <v>-77200717.4855757</v>
      </c>
      <c r="AC29" s="47" t="n">
        <f aca="false">AC28+AC27</f>
        <v>-77200717.4855757</v>
      </c>
      <c r="AD29" s="47" t="n">
        <f aca="false">AD28+AD27</f>
        <v>-77200717.4855757</v>
      </c>
      <c r="AE29" s="47" t="n">
        <f aca="false">AE28+AE27</f>
        <v>-77200717.4855757</v>
      </c>
      <c r="AF29" s="47" t="n">
        <f aca="false">AF28+AF27</f>
        <v>-77200717.4855757</v>
      </c>
      <c r="AG29" s="47" t="n">
        <f aca="false">AG28+AG27</f>
        <v>-77200717.4855757</v>
      </c>
      <c r="AH29" s="47" t="n">
        <f aca="false">AH28+AH27</f>
        <v>-77200717.4855757</v>
      </c>
      <c r="AI29" s="47" t="n">
        <f aca="false">AI28+AI27</f>
        <v>-77200717.4855757</v>
      </c>
      <c r="AJ29" s="47" t="n">
        <f aca="false">AJ28+AJ27</f>
        <v>-77200717.4855757</v>
      </c>
      <c r="AK29" s="47" t="n">
        <f aca="false">AK28+AK27</f>
        <v>-77200717.4855757</v>
      </c>
    </row>
    <row r="30" customFormat="false" ht="15" hidden="false" customHeight="false" outlineLevel="0" collapsed="false">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customFormat="false" ht="15" hidden="false" customHeight="false" outlineLevel="0" collapsed="false">
      <c r="A33" s="5"/>
      <c r="B33" s="55" t="s">
        <v>294</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customFormat="false" ht="15" hidden="false" customHeight="false" outlineLevel="0" collapsed="false">
      <c r="A34" s="5"/>
      <c r="B34" s="31" t="s">
        <v>295</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customFormat="false" ht="15" hidden="false" customHeight="false" outlineLevel="0" collapsed="false">
      <c r="A35" s="5"/>
      <c r="B35" s="34" t="s">
        <v>296</v>
      </c>
      <c r="C35" s="45" t="n">
        <f aca="false">0</f>
        <v>0</v>
      </c>
      <c r="D35" s="45" t="n">
        <f aca="false">0</f>
        <v>0</v>
      </c>
      <c r="E35" s="45" t="n">
        <f aca="false">0</f>
        <v>0</v>
      </c>
      <c r="F35" s="45" t="n">
        <f aca="false">0</f>
        <v>0</v>
      </c>
      <c r="G35" s="45" t="n">
        <f aca="false">0</f>
        <v>0</v>
      </c>
      <c r="H35" s="45" t="n">
        <f aca="false">CF_Cash_Close_OpsYr1</f>
        <v>-8536124.46905011</v>
      </c>
      <c r="I35" s="45" t="n">
        <f aca="false">CF_Cash_Close_OpsYr2</f>
        <v>-6510874.11508352</v>
      </c>
      <c r="J35" s="45" t="n">
        <f aca="false">CF_Cash_Close_OpsYr3</f>
        <v>-14338214.2920668</v>
      </c>
      <c r="K35" s="45" t="n">
        <f aca="false">CF_Cash_Close_OpsYr4</f>
        <v>-17986729.8670668</v>
      </c>
      <c r="L35" s="45" t="n">
        <f aca="false">CF_Cash_Close_OpsYr5</f>
        <v>-18961136.1124418</v>
      </c>
      <c r="M35" s="45" t="n">
        <f aca="false">CF_Cash_Close_OpsYr6</f>
        <v>-19606722.6783812</v>
      </c>
      <c r="N35" s="45" t="n">
        <f aca="false">CF_Cash_Close_OpsYr7</f>
        <v>-19915173.6778319</v>
      </c>
      <c r="O35" s="45" t="n">
        <f aca="false">CF_Cash_Close_OpsYr8</f>
        <v>-19915173.6778319</v>
      </c>
      <c r="P35" s="45" t="n">
        <f aca="false">CF_Cash_Close_OpsYr9</f>
        <v>-19915173.6778319</v>
      </c>
      <c r="Q35" s="45" t="n">
        <f aca="false">CF_Cash_Close_OpsYr10</f>
        <v>-19915173.6778319</v>
      </c>
      <c r="R35" s="45" t="n">
        <f aca="false">CF_Cash_Close_OpsYr11</f>
        <v>-19915173.6778319</v>
      </c>
      <c r="S35" s="45" t="n">
        <f aca="false">CF_Cash_Close_OpsYr12</f>
        <v>-19915173.6778319</v>
      </c>
      <c r="T35" s="45" t="n">
        <f aca="false">CF_Cash_Close_OpsYr13</f>
        <v>-19915173.6778319</v>
      </c>
      <c r="U35" s="45" t="n">
        <f aca="false">CF_Cash_Close_OpsYr14</f>
        <v>-19915173.6778319</v>
      </c>
      <c r="V35" s="45" t="n">
        <f aca="false">CF_Cash_Close_OpsYr15</f>
        <v>-77200717.4855757</v>
      </c>
      <c r="W35" s="45" t="n">
        <f aca="false">CF_Cash_Close_OpsYr16</f>
        <v>-77200717.4855757</v>
      </c>
      <c r="X35" s="45" t="n">
        <f aca="false">CF_Cash_Close_OpsYr17</f>
        <v>-77200717.4855757</v>
      </c>
      <c r="Y35" s="45" t="n">
        <f aca="false">CF_Cash_Close_OpsYr18</f>
        <v>-77200717.4855757</v>
      </c>
      <c r="Z35" s="45" t="n">
        <f aca="false">CF_Cash_Close_OpsYr19</f>
        <v>-77200717.4855757</v>
      </c>
      <c r="AA35" s="45" t="n">
        <f aca="false">CF_Cash_Close_OpsYr20</f>
        <v>-77200717.4855757</v>
      </c>
      <c r="AB35" s="45" t="n">
        <f aca="false">CF_Cash_Close_OpsYr21</f>
        <v>-77200717.4855757</v>
      </c>
      <c r="AC35" s="45" t="n">
        <f aca="false">CF_Cash_Close_OpsYr22</f>
        <v>-77200717.4855757</v>
      </c>
      <c r="AD35" s="45" t="n">
        <f aca="false">CF_Cash_Close_OpsYr23</f>
        <v>-77200717.4855757</v>
      </c>
      <c r="AE35" s="45" t="n">
        <f aca="false">CF_Cash_Close_OpsYr24</f>
        <v>-77200717.4855757</v>
      </c>
      <c r="AF35" s="45" t="n">
        <f aca="false">CF_Cash_Close_OpsYr25</f>
        <v>-77200717.4855757</v>
      </c>
      <c r="AG35" s="45" t="n">
        <f aca="false">CF_Cash_Close_OpsYr26</f>
        <v>-77200717.4855757</v>
      </c>
      <c r="AH35" s="45" t="n">
        <f aca="false">CF_Cash_Close_OpsYr27</f>
        <v>-77200717.4855757</v>
      </c>
      <c r="AI35" s="45" t="n">
        <f aca="false">CF_Cash_Close_OpsYr28</f>
        <v>-77200717.4855757</v>
      </c>
      <c r="AJ35" s="45" t="n">
        <f aca="false">CF_Cash_Close_OpsYr29</f>
        <v>-77200717.4855757</v>
      </c>
      <c r="AK35" s="45" t="n">
        <f aca="false">CF_Cash_Close_OpsYr30</f>
        <v>-77200717.4855757</v>
      </c>
    </row>
    <row r="36" customFormat="false" ht="15" hidden="false" customHeight="false" outlineLevel="0" collapsed="false">
      <c r="A36" s="5"/>
      <c r="B36" s="34" t="s">
        <v>297</v>
      </c>
      <c r="C36" s="45" t="n">
        <f aca="false">0</f>
        <v>0</v>
      </c>
      <c r="D36" s="45" t="n">
        <f aca="false">0</f>
        <v>0</v>
      </c>
      <c r="E36" s="45" t="n">
        <f aca="false">0</f>
        <v>0</v>
      </c>
      <c r="F36" s="45" t="n">
        <f aca="false">0</f>
        <v>0</v>
      </c>
      <c r="G36" s="45" t="n">
        <f aca="false">0</f>
        <v>0</v>
      </c>
      <c r="H36" s="45" t="n">
        <f aca="false">DSRA_Closing_OpsYr1</f>
        <v>18029874.8230167</v>
      </c>
      <c r="I36" s="45" t="n">
        <f aca="false">DSRA_Closing_OpsYr2</f>
        <v>18029874.8230167</v>
      </c>
      <c r="J36" s="45" t="n">
        <f aca="false">DSRA_Closing_OpsYr3</f>
        <v>23714430</v>
      </c>
      <c r="K36" s="45" t="n">
        <f aca="false">DSRA_Closing_OpsYr4</f>
        <v>26725891.15</v>
      </c>
      <c r="L36" s="45" t="n">
        <f aca="false">DSRA_Closing_OpsYr5</f>
        <v>27400594.79075</v>
      </c>
      <c r="M36" s="45" t="n">
        <f aca="false">DSRA_Closing_OpsYr6</f>
        <v>28092362.7133787</v>
      </c>
      <c r="N36" s="45" t="n">
        <f aca="false">DSRA_Closing_OpsYr7</f>
        <v>28801627.425659</v>
      </c>
      <c r="O36" s="45" t="n">
        <f aca="false">DSRA_Closing_OpsYr8</f>
        <v>29528832.4250797</v>
      </c>
      <c r="P36" s="45" t="n">
        <f aca="false">DSRA_Closing_OpsYr9</f>
        <v>30274432.4788992</v>
      </c>
      <c r="Q36" s="45" t="n">
        <f aca="false">DSRA_Closing_OpsYr10</f>
        <v>31038893.91136</v>
      </c>
      <c r="R36" s="45" t="n">
        <f aca="false">DSRA_Closing_OpsYr11</f>
        <v>31822694.898247</v>
      </c>
      <c r="S36" s="45" t="n">
        <f aca="false">DSRA_Closing_OpsYr12</f>
        <v>32626325.7689792</v>
      </c>
      <c r="T36" s="45" t="n">
        <f aca="false">DSRA_Closing_OpsYr13</f>
        <v>33450289.316428</v>
      </c>
      <c r="U36" s="45" t="n">
        <f aca="false">DSRA_Closing_OpsYr14</f>
        <v>34295101.1146598</v>
      </c>
      <c r="V36" s="45" t="n">
        <f aca="false">DSRA_Closing_OpsYr15</f>
        <v>35161289.844807</v>
      </c>
      <c r="W36" s="45" t="n">
        <f aca="false">DSRA_Closing_OpsYr16</f>
        <v>36049397.6292763</v>
      </c>
      <c r="X36" s="45" t="n">
        <f aca="false">DSRA_Closing_OpsYr17</f>
        <v>36959980.3745078</v>
      </c>
      <c r="Y36" s="45" t="n">
        <f aca="false">DSRA_Closing_OpsYr18</f>
        <v>37893608.1225051</v>
      </c>
      <c r="Z36" s="45" t="n">
        <f aca="false">DSRA_Closing_OpsYr19</f>
        <v>20522165.7123856</v>
      </c>
      <c r="AA36" s="45" t="n">
        <f aca="false">DSRA_Closing_OpsYr20</f>
        <v>0</v>
      </c>
      <c r="AB36" s="45" t="n">
        <f aca="false">DSRA_Closing_OpsYr21</f>
        <v>0</v>
      </c>
      <c r="AC36" s="45" t="n">
        <f aca="false">DSRA_Closing_OpsYr22</f>
        <v>0</v>
      </c>
      <c r="AD36" s="45" t="n">
        <f aca="false">DSRA_Closing_OpsYr23</f>
        <v>0</v>
      </c>
      <c r="AE36" s="45" t="n">
        <f aca="false">DSRA_Closing_OpsYr24</f>
        <v>0</v>
      </c>
      <c r="AF36" s="45" t="n">
        <f aca="false">DSRA_Closing_OpsYr25</f>
        <v>0</v>
      </c>
      <c r="AG36" s="45" t="n">
        <f aca="false">DSRA_Closing_OpsYr26</f>
        <v>0</v>
      </c>
      <c r="AH36" s="45" t="n">
        <f aca="false">DSRA_Closing_OpsYr27</f>
        <v>0</v>
      </c>
      <c r="AI36" s="45" t="n">
        <f aca="false">DSRA_Closing_OpsYr28</f>
        <v>0</v>
      </c>
      <c r="AJ36" s="45" t="n">
        <f aca="false">DSRA_Closing_OpsYr29</f>
        <v>0</v>
      </c>
      <c r="AK36" s="45" t="n">
        <f aca="false">DSRA_Closing_OpsYr30</f>
        <v>0</v>
      </c>
    </row>
    <row r="37" customFormat="false" ht="15" hidden="false" customHeight="false" outlineLevel="0" collapsed="false">
      <c r="A37" s="5"/>
      <c r="B37" s="34" t="s">
        <v>298</v>
      </c>
      <c r="C37" s="45" t="n">
        <f aca="false">0</f>
        <v>0</v>
      </c>
      <c r="D37" s="45" t="n">
        <f aca="false">0</f>
        <v>0</v>
      </c>
      <c r="E37" s="45" t="n">
        <f aca="false">0</f>
        <v>0</v>
      </c>
      <c r="F37" s="45" t="n">
        <f aca="false">0</f>
        <v>0</v>
      </c>
      <c r="G37" s="45" t="n">
        <f aca="false">0</f>
        <v>0</v>
      </c>
      <c r="H37" s="45" t="n">
        <f aca="false">PPE_At_COD</f>
        <v>898178311.746062</v>
      </c>
      <c r="I37" s="45" t="n">
        <f aca="false">BS_PPE_Net_OpsYr1</f>
        <v>868239034.68786</v>
      </c>
      <c r="J37" s="45" t="n">
        <f aca="false">BS_PPE_Net_OpsYr2</f>
        <v>838299757.629658</v>
      </c>
      <c r="K37" s="45" t="n">
        <f aca="false">BS_PPE_Net_OpsYr3</f>
        <v>808360480.571456</v>
      </c>
      <c r="L37" s="45" t="n">
        <f aca="false">BS_PPE_Net_OpsYr4</f>
        <v>778421203.513254</v>
      </c>
      <c r="M37" s="45" t="n">
        <f aca="false">BS_PPE_Net_OpsYr5</f>
        <v>748481926.455051</v>
      </c>
      <c r="N37" s="45" t="n">
        <f aca="false">BS_PPE_Net_OpsYr6</f>
        <v>718542649.396849</v>
      </c>
      <c r="O37" s="45" t="n">
        <f aca="false">BS_PPE_Net_OpsYr7</f>
        <v>688603372.338647</v>
      </c>
      <c r="P37" s="45" t="n">
        <f aca="false">BS_PPE_Net_OpsYr8</f>
        <v>658664095.280445</v>
      </c>
      <c r="Q37" s="45" t="n">
        <f aca="false">BS_PPE_Net_OpsYr9</f>
        <v>628724818.222243</v>
      </c>
      <c r="R37" s="45" t="n">
        <f aca="false">BS_PPE_Net_OpsYr10</f>
        <v>598785541.164041</v>
      </c>
      <c r="S37" s="45" t="n">
        <f aca="false">BS_PPE_Net_OpsYr11</f>
        <v>568846264.105839</v>
      </c>
      <c r="T37" s="45" t="n">
        <f aca="false">BS_PPE_Net_OpsYr12</f>
        <v>538906987.047637</v>
      </c>
      <c r="U37" s="45" t="n">
        <f aca="false">BS_PPE_Net_OpsYr13</f>
        <v>508967709.989435</v>
      </c>
      <c r="V37" s="45" t="n">
        <f aca="false">BS_PPE_Net_OpsYr14</f>
        <v>479028432.931233</v>
      </c>
      <c r="W37" s="45" t="n">
        <f aca="false">BS_PPE_Net_OpsYr15</f>
        <v>449089155.873031</v>
      </c>
      <c r="X37" s="45" t="n">
        <f aca="false">BS_PPE_Net_OpsYr16</f>
        <v>419149878.814829</v>
      </c>
      <c r="Y37" s="45" t="n">
        <f aca="false">BS_PPE_Net_OpsYr17</f>
        <v>389210601.756627</v>
      </c>
      <c r="Z37" s="45" t="n">
        <f aca="false">BS_PPE_Net_OpsYr18</f>
        <v>359271324.698424</v>
      </c>
      <c r="AA37" s="45" t="n">
        <f aca="false">BS_PPE_Net_OpsYr19</f>
        <v>329332047.640222</v>
      </c>
      <c r="AB37" s="45" t="n">
        <f aca="false">BS_PPE_Net_OpsYr20</f>
        <v>299392770.58202</v>
      </c>
      <c r="AC37" s="45" t="n">
        <f aca="false">BS_PPE_Net_OpsYr21</f>
        <v>269453493.523818</v>
      </c>
      <c r="AD37" s="45" t="n">
        <f aca="false">BS_PPE_Net_OpsYr22</f>
        <v>239514216.465616</v>
      </c>
      <c r="AE37" s="45" t="n">
        <f aca="false">BS_PPE_Net_OpsYr23</f>
        <v>209574939.407414</v>
      </c>
      <c r="AF37" s="45" t="n">
        <f aca="false">BS_PPE_Net_OpsYr24</f>
        <v>179635662.349212</v>
      </c>
      <c r="AG37" s="45" t="n">
        <f aca="false">BS_PPE_Net_OpsYr25</f>
        <v>149696385.29101</v>
      </c>
      <c r="AH37" s="45" t="n">
        <f aca="false">BS_PPE_Net_OpsYr26</f>
        <v>119757108.232808</v>
      </c>
      <c r="AI37" s="45" t="n">
        <f aca="false">BS_PPE_Net_OpsYr27</f>
        <v>89817831.1746062</v>
      </c>
      <c r="AJ37" s="45" t="n">
        <f aca="false">BS_PPE_Net_OpsYr28</f>
        <v>59878554.1164042</v>
      </c>
      <c r="AK37" s="45" t="n">
        <f aca="false">BS_PPE_Net_OpsYr29</f>
        <v>29939277.0582021</v>
      </c>
    </row>
    <row r="38" customFormat="false" ht="15" hidden="false" customHeight="false" outlineLevel="0" collapsed="false">
      <c r="A38" s="5"/>
      <c r="B38" s="34" t="s">
        <v>299</v>
      </c>
      <c r="C38" s="45" t="n">
        <f aca="false">0</f>
        <v>0</v>
      </c>
      <c r="D38" s="45" t="n">
        <f aca="false">0</f>
        <v>0</v>
      </c>
      <c r="E38" s="45" t="n">
        <f aca="false">0</f>
        <v>0</v>
      </c>
      <c r="F38" s="45" t="n">
        <f aca="false">0</f>
        <v>0</v>
      </c>
      <c r="G38" s="45" t="n">
        <f aca="false">0</f>
        <v>0</v>
      </c>
      <c r="H38" s="45" t="n">
        <f aca="false">IS_Depreciation_OpsYr1</f>
        <v>-29939277.0582021</v>
      </c>
      <c r="I38" s="45" t="n">
        <f aca="false">BS_Cum_Depr_OpsYr1+IS_Depreciation_OpsYr2</f>
        <v>-59878554.1164041</v>
      </c>
      <c r="J38" s="45" t="n">
        <f aca="false">BS_Cum_Depr_OpsYr2+IS_Depreciation_OpsYr3</f>
        <v>-89817831.1746062</v>
      </c>
      <c r="K38" s="45" t="n">
        <f aca="false">BS_Cum_Depr_OpsYr3+IS_Depreciation_OpsYr4</f>
        <v>-119757108.232808</v>
      </c>
      <c r="L38" s="45" t="n">
        <f aca="false">BS_Cum_Depr_OpsYr4+IS_Depreciation_OpsYr5</f>
        <v>-149696385.29101</v>
      </c>
      <c r="M38" s="45" t="n">
        <f aca="false">BS_Cum_Depr_OpsYr5+IS_Depreciation_OpsYr6</f>
        <v>-179635662.349212</v>
      </c>
      <c r="N38" s="45" t="n">
        <f aca="false">BS_Cum_Depr_OpsYr6+IS_Depreciation_OpsYr7</f>
        <v>-209574939.407414</v>
      </c>
      <c r="O38" s="45" t="n">
        <f aca="false">BS_Cum_Depr_OpsYr7+IS_Depreciation_OpsYr8</f>
        <v>-239514216.465617</v>
      </c>
      <c r="P38" s="45" t="n">
        <f aca="false">BS_Cum_Depr_OpsYr8+IS_Depreciation_OpsYr9</f>
        <v>-269453493.523819</v>
      </c>
      <c r="Q38" s="45" t="n">
        <f aca="false">BS_Cum_Depr_OpsYr9+IS_Depreciation_OpsYr10</f>
        <v>-299392770.582021</v>
      </c>
      <c r="R38" s="45" t="n">
        <f aca="false">BS_Cum_Depr_OpsYr10+IS_Depreciation_OpsYr11</f>
        <v>-329332047.640223</v>
      </c>
      <c r="S38" s="45" t="n">
        <f aca="false">BS_Cum_Depr_OpsYr11+IS_Depreciation_OpsYr12</f>
        <v>-359271324.698425</v>
      </c>
      <c r="T38" s="45" t="n">
        <f aca="false">BS_Cum_Depr_OpsYr12+IS_Depreciation_OpsYr13</f>
        <v>-389210601.756627</v>
      </c>
      <c r="U38" s="45" t="n">
        <f aca="false">BS_Cum_Depr_OpsYr13+IS_Depreciation_OpsYr14</f>
        <v>-419149878.814829</v>
      </c>
      <c r="V38" s="45" t="n">
        <f aca="false">BS_Cum_Depr_OpsYr14+IS_Depreciation_OpsYr15</f>
        <v>-449089155.873031</v>
      </c>
      <c r="W38" s="45" t="n">
        <f aca="false">BS_Cum_Depr_OpsYr15+IS_Depreciation_OpsYr16</f>
        <v>-479028432.931233</v>
      </c>
      <c r="X38" s="45" t="n">
        <f aca="false">BS_Cum_Depr_OpsYr16+IS_Depreciation_OpsYr17</f>
        <v>-508967709.989435</v>
      </c>
      <c r="Y38" s="45" t="n">
        <f aca="false">BS_Cum_Depr_OpsYr17+IS_Depreciation_OpsYr18</f>
        <v>-538906987.047637</v>
      </c>
      <c r="Z38" s="45" t="n">
        <f aca="false">BS_Cum_Depr_OpsYr18+IS_Depreciation_OpsYr19</f>
        <v>-568846264.105839</v>
      </c>
      <c r="AA38" s="45" t="n">
        <f aca="false">BS_Cum_Depr_OpsYr19+IS_Depreciation_OpsYr20</f>
        <v>-598785541.164041</v>
      </c>
      <c r="AB38" s="45" t="n">
        <f aca="false">BS_Cum_Depr_OpsYr20+IS_Depreciation_OpsYr21</f>
        <v>-628724818.222243</v>
      </c>
      <c r="AC38" s="45" t="n">
        <f aca="false">BS_Cum_Depr_OpsYr21+IS_Depreciation_OpsYr22</f>
        <v>-658664095.280446</v>
      </c>
      <c r="AD38" s="45" t="n">
        <f aca="false">BS_Cum_Depr_OpsYr22+IS_Depreciation_OpsYr23</f>
        <v>-688603372.338648</v>
      </c>
      <c r="AE38" s="45" t="n">
        <f aca="false">BS_Cum_Depr_OpsYr23+IS_Depreciation_OpsYr24</f>
        <v>-718542649.39685</v>
      </c>
      <c r="AF38" s="45" t="n">
        <f aca="false">BS_Cum_Depr_OpsYr24+IS_Depreciation_OpsYr25</f>
        <v>-748481926.455052</v>
      </c>
      <c r="AG38" s="45" t="n">
        <f aca="false">BS_Cum_Depr_OpsYr25+IS_Depreciation_OpsYr26</f>
        <v>-778421203.513254</v>
      </c>
      <c r="AH38" s="45" t="n">
        <f aca="false">BS_Cum_Depr_OpsYr26+IS_Depreciation_OpsYr27</f>
        <v>-808360480.571456</v>
      </c>
      <c r="AI38" s="45" t="n">
        <f aca="false">BS_Cum_Depr_OpsYr27+IS_Depreciation_OpsYr28</f>
        <v>-838299757.629658</v>
      </c>
      <c r="AJ38" s="45" t="n">
        <f aca="false">BS_Cum_Depr_OpsYr28+IS_Depreciation_OpsYr29</f>
        <v>-868239034.68786</v>
      </c>
      <c r="AK38" s="45" t="n">
        <f aca="false">BS_Cum_Depr_OpsYr29+IS_Depreciation_OpsYr30</f>
        <v>-898178311.746062</v>
      </c>
    </row>
    <row r="39" customFormat="false" ht="15" hidden="false" customHeight="false" outlineLevel="0" collapsed="false">
      <c r="A39" s="5"/>
      <c r="B39" s="34" t="s">
        <v>300</v>
      </c>
      <c r="C39" s="45" t="n">
        <f aca="false">0</f>
        <v>0</v>
      </c>
      <c r="D39" s="45" t="n">
        <f aca="false">0</f>
        <v>0</v>
      </c>
      <c r="E39" s="45" t="n">
        <f aca="false">0</f>
        <v>0</v>
      </c>
      <c r="F39" s="45" t="n">
        <f aca="false">0</f>
        <v>0</v>
      </c>
      <c r="G39" s="45" t="n">
        <f aca="false">0</f>
        <v>0</v>
      </c>
      <c r="H39" s="45" t="n">
        <f aca="false">PPE_At_COD+BS_Cum_Depr_OpsYr1</f>
        <v>868239034.68786</v>
      </c>
      <c r="I39" s="45" t="n">
        <f aca="false">PPE_At_COD+BS_Cum_Depr_OpsYr2</f>
        <v>838299757.629658</v>
      </c>
      <c r="J39" s="45" t="n">
        <f aca="false">PPE_At_COD+BS_Cum_Depr_OpsYr3</f>
        <v>808360480.571456</v>
      </c>
      <c r="K39" s="45" t="n">
        <f aca="false">PPE_At_COD+BS_Cum_Depr_OpsYr4</f>
        <v>778421203.513254</v>
      </c>
      <c r="L39" s="45" t="n">
        <f aca="false">PPE_At_COD+BS_Cum_Depr_OpsYr5</f>
        <v>748481926.455051</v>
      </c>
      <c r="M39" s="45" t="n">
        <f aca="false">PPE_At_COD+BS_Cum_Depr_OpsYr6</f>
        <v>718542649.396849</v>
      </c>
      <c r="N39" s="45" t="n">
        <f aca="false">PPE_At_COD+BS_Cum_Depr_OpsYr7</f>
        <v>688603372.338647</v>
      </c>
      <c r="O39" s="45" t="n">
        <f aca="false">PPE_At_COD+BS_Cum_Depr_OpsYr8</f>
        <v>658664095.280445</v>
      </c>
      <c r="P39" s="45" t="n">
        <f aca="false">PPE_At_COD+BS_Cum_Depr_OpsYr9</f>
        <v>628724818.222243</v>
      </c>
      <c r="Q39" s="45" t="n">
        <f aca="false">PPE_At_COD+BS_Cum_Depr_OpsYr10</f>
        <v>598785541.164041</v>
      </c>
      <c r="R39" s="45" t="n">
        <f aca="false">PPE_At_COD+BS_Cum_Depr_OpsYr11</f>
        <v>568846264.105839</v>
      </c>
      <c r="S39" s="45" t="n">
        <f aca="false">PPE_At_COD+BS_Cum_Depr_OpsYr12</f>
        <v>538906987.047637</v>
      </c>
      <c r="T39" s="45" t="n">
        <f aca="false">PPE_At_COD+BS_Cum_Depr_OpsYr13</f>
        <v>508967709.989435</v>
      </c>
      <c r="U39" s="45" t="n">
        <f aca="false">PPE_At_COD+BS_Cum_Depr_OpsYr14</f>
        <v>479028432.931233</v>
      </c>
      <c r="V39" s="45" t="n">
        <f aca="false">PPE_At_COD+BS_Cum_Depr_OpsYr15</f>
        <v>449089155.873031</v>
      </c>
      <c r="W39" s="45" t="n">
        <f aca="false">PPE_At_COD+BS_Cum_Depr_OpsYr16</f>
        <v>419149878.814829</v>
      </c>
      <c r="X39" s="45" t="n">
        <f aca="false">PPE_At_COD+BS_Cum_Depr_OpsYr17</f>
        <v>389210601.756627</v>
      </c>
      <c r="Y39" s="45" t="n">
        <f aca="false">PPE_At_COD+BS_Cum_Depr_OpsYr18</f>
        <v>359271324.698424</v>
      </c>
      <c r="Z39" s="45" t="n">
        <f aca="false">PPE_At_COD+BS_Cum_Depr_OpsYr19</f>
        <v>329332047.640222</v>
      </c>
      <c r="AA39" s="45" t="n">
        <f aca="false">PPE_At_COD+BS_Cum_Depr_OpsYr20</f>
        <v>299392770.58202</v>
      </c>
      <c r="AB39" s="45" t="n">
        <f aca="false">PPE_At_COD+BS_Cum_Depr_OpsYr21</f>
        <v>269453493.523818</v>
      </c>
      <c r="AC39" s="45" t="n">
        <f aca="false">PPE_At_COD+BS_Cum_Depr_OpsYr22</f>
        <v>239514216.465616</v>
      </c>
      <c r="AD39" s="45" t="n">
        <f aca="false">PPE_At_COD+BS_Cum_Depr_OpsYr23</f>
        <v>209574939.407414</v>
      </c>
      <c r="AE39" s="45" t="n">
        <f aca="false">PPE_At_COD+BS_Cum_Depr_OpsYr24</f>
        <v>179635662.349212</v>
      </c>
      <c r="AF39" s="45" t="n">
        <f aca="false">PPE_At_COD+BS_Cum_Depr_OpsYr25</f>
        <v>149696385.29101</v>
      </c>
      <c r="AG39" s="45" t="n">
        <f aca="false">PPE_At_COD+BS_Cum_Depr_OpsYr26</f>
        <v>119757108.232808</v>
      </c>
      <c r="AH39" s="45" t="n">
        <f aca="false">PPE_At_COD+BS_Cum_Depr_OpsYr27</f>
        <v>89817831.1746062</v>
      </c>
      <c r="AI39" s="45" t="n">
        <f aca="false">PPE_At_COD+BS_Cum_Depr_OpsYr28</f>
        <v>59878554.1164042</v>
      </c>
      <c r="AJ39" s="45" t="n">
        <f aca="false">PPE_At_COD+BS_Cum_Depr_OpsYr29</f>
        <v>29939277.0582021</v>
      </c>
      <c r="AK39" s="45" t="n">
        <f aca="false">PPE_At_COD+BS_Cum_Depr_OpsYr30</f>
        <v>0</v>
      </c>
    </row>
    <row r="40" customFormat="false" ht="15" hidden="false" customHeight="false" outlineLevel="0" collapsed="false">
      <c r="A40" s="5"/>
      <c r="B40" s="51" t="s">
        <v>301</v>
      </c>
      <c r="C40" s="52" t="n">
        <f aca="false">0</f>
        <v>0</v>
      </c>
      <c r="D40" s="52" t="n">
        <f aca="false">0</f>
        <v>0</v>
      </c>
      <c r="E40" s="52" t="n">
        <f aca="false">0</f>
        <v>0</v>
      </c>
      <c r="F40" s="52" t="n">
        <f aca="false">0</f>
        <v>0</v>
      </c>
      <c r="G40" s="52" t="n">
        <f aca="false">0</f>
        <v>0</v>
      </c>
      <c r="H40" s="52" t="n">
        <f aca="false">BS_Cash_OpsYr1+BS_DSRA_OpsYr1+BS_PPE_Net_OpsYr1</f>
        <v>877732785.041826</v>
      </c>
      <c r="I40" s="52" t="n">
        <f aca="false">BS_Cash_OpsYr2+BS_DSRA_OpsYr2+BS_PPE_Net_OpsYr2</f>
        <v>849818758.337591</v>
      </c>
      <c r="J40" s="52" t="n">
        <f aca="false">BS_Cash_OpsYr3+BS_DSRA_OpsYr3+BS_PPE_Net_OpsYr3</f>
        <v>817736696.279389</v>
      </c>
      <c r="K40" s="52" t="n">
        <f aca="false">BS_Cash_OpsYr4+BS_DSRA_OpsYr4+BS_PPE_Net_OpsYr4</f>
        <v>787160364.796187</v>
      </c>
      <c r="L40" s="52" t="n">
        <f aca="false">BS_Cash_OpsYr5+BS_DSRA_OpsYr5+BS_PPE_Net_OpsYr5</f>
        <v>756921385.13336</v>
      </c>
      <c r="M40" s="52" t="n">
        <f aca="false">BS_Cash_OpsYr6+BS_DSRA_OpsYr6+BS_PPE_Net_OpsYr6</f>
        <v>727028289.431847</v>
      </c>
      <c r="N40" s="52" t="n">
        <f aca="false">BS_Cash_OpsYr7+BS_DSRA_OpsYr7+BS_PPE_Net_OpsYr7</f>
        <v>697489826.086474</v>
      </c>
      <c r="O40" s="52" t="n">
        <f aca="false">BS_Cash_OpsYr8+BS_DSRA_OpsYr8+BS_PPE_Net_OpsYr8</f>
        <v>668277754.027693</v>
      </c>
      <c r="P40" s="52" t="n">
        <f aca="false">BS_Cash_OpsYr9+BS_DSRA_OpsYr9+BS_PPE_Net_OpsYr9</f>
        <v>639084077.023311</v>
      </c>
      <c r="Q40" s="52" t="n">
        <f aca="false">BS_Cash_OpsYr10+BS_DSRA_OpsYr10+BS_PPE_Net_OpsYr10</f>
        <v>609909261.397569</v>
      </c>
      <c r="R40" s="52" t="n">
        <f aca="false">BS_Cash_OpsYr11+BS_DSRA_OpsYr11+BS_PPE_Net_OpsYr11</f>
        <v>580753785.326254</v>
      </c>
      <c r="S40" s="52" t="n">
        <f aca="false">BS_Cash_OpsYr12+BS_DSRA_OpsYr12+BS_PPE_Net_OpsYr12</f>
        <v>551618139.138784</v>
      </c>
      <c r="T40" s="52" t="n">
        <f aca="false">BS_Cash_OpsYr13+BS_DSRA_OpsYr13+BS_PPE_Net_OpsYr13</f>
        <v>522502825.628031</v>
      </c>
      <c r="U40" s="52" t="n">
        <f aca="false">BS_Cash_OpsYr14+BS_DSRA_OpsYr14+BS_PPE_Net_OpsYr14</f>
        <v>493408360.368061</v>
      </c>
      <c r="V40" s="52" t="n">
        <f aca="false">BS_Cash_OpsYr15+BS_DSRA_OpsYr15+BS_PPE_Net_OpsYr15</f>
        <v>407049728.232262</v>
      </c>
      <c r="W40" s="52" t="n">
        <f aca="false">BS_Cash_OpsYr16+BS_DSRA_OpsYr16+BS_PPE_Net_OpsYr16</f>
        <v>377998558.958529</v>
      </c>
      <c r="X40" s="52" t="n">
        <f aca="false">BS_Cash_OpsYr17+BS_DSRA_OpsYr17+BS_PPE_Net_OpsYr17</f>
        <v>348969864.645559</v>
      </c>
      <c r="Y40" s="52" t="n">
        <f aca="false">BS_Cash_OpsYr18+BS_DSRA_OpsYr18+BS_PPE_Net_OpsYr18</f>
        <v>319964215.335354</v>
      </c>
      <c r="Z40" s="52" t="n">
        <f aca="false">BS_Cash_OpsYr19+BS_DSRA_OpsYr19+BS_PPE_Net_OpsYr19</f>
        <v>272653495.867032</v>
      </c>
      <c r="AA40" s="52" t="n">
        <f aca="false">BS_Cash_OpsYr20+BS_DSRA_OpsYr20+BS_PPE_Net_OpsYr20</f>
        <v>222192053.096445</v>
      </c>
      <c r="AB40" s="52" t="n">
        <f aca="false">BS_Cash_OpsYr21+BS_DSRA_OpsYr21+BS_PPE_Net_OpsYr21</f>
        <v>192252776.038243</v>
      </c>
      <c r="AC40" s="52" t="n">
        <f aca="false">BS_Cash_OpsYr22+BS_DSRA_OpsYr22+BS_PPE_Net_OpsYr22</f>
        <v>162313498.980041</v>
      </c>
      <c r="AD40" s="52" t="n">
        <f aca="false">BS_Cash_OpsYr23+BS_DSRA_OpsYr23+BS_PPE_Net_OpsYr23</f>
        <v>132374221.921839</v>
      </c>
      <c r="AE40" s="52" t="n">
        <f aca="false">BS_Cash_OpsYr24+BS_DSRA_OpsYr24+BS_PPE_Net_OpsYr24</f>
        <v>102434944.863637</v>
      </c>
      <c r="AF40" s="52" t="n">
        <f aca="false">BS_Cash_OpsYr25+BS_DSRA_OpsYr25+BS_PPE_Net_OpsYr25</f>
        <v>72495667.8054346</v>
      </c>
      <c r="AG40" s="52" t="n">
        <f aca="false">BS_Cash_OpsYr26+BS_DSRA_OpsYr26+BS_PPE_Net_OpsYr26</f>
        <v>42556390.7472326</v>
      </c>
      <c r="AH40" s="52" t="n">
        <f aca="false">BS_Cash_OpsYr27+BS_DSRA_OpsYr27+BS_PPE_Net_OpsYr27</f>
        <v>12617113.6890306</v>
      </c>
      <c r="AI40" s="52" t="n">
        <f aca="false">BS_Cash_OpsYr28+BS_DSRA_OpsYr28+BS_PPE_Net_OpsYr28</f>
        <v>-17322163.3691715</v>
      </c>
      <c r="AJ40" s="52" t="n">
        <f aca="false">BS_Cash_OpsYr29+BS_DSRA_OpsYr29+BS_PPE_Net_OpsYr29</f>
        <v>-47261440.4273735</v>
      </c>
      <c r="AK40" s="52" t="n">
        <f aca="false">BS_Cash_OpsYr30+BS_DSRA_OpsYr30+BS_PPE_Net_OpsYr30</f>
        <v>-77200717.4855757</v>
      </c>
    </row>
    <row r="41" customFormat="false" ht="15" hidden="false" customHeight="false" outlineLevel="0" collapsed="false">
      <c r="A41" s="5"/>
      <c r="B41" s="31" t="s">
        <v>302</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customFormat="false" ht="15" hidden="false" customHeight="false" outlineLevel="0" collapsed="false">
      <c r="A42" s="5"/>
      <c r="B42" s="34" t="s">
        <v>303</v>
      </c>
      <c r="C42" s="45" t="n">
        <f aca="false">0</f>
        <v>0</v>
      </c>
      <c r="D42" s="45" t="n">
        <f aca="false">0</f>
        <v>0</v>
      </c>
      <c r="E42" s="45" t="n">
        <f aca="false">0</f>
        <v>0</v>
      </c>
      <c r="F42" s="45" t="n">
        <f aca="false">0</f>
        <v>0</v>
      </c>
      <c r="G42" s="45" t="n">
        <f aca="false">0</f>
        <v>0</v>
      </c>
      <c r="H42" s="45" t="n">
        <f aca="false">Debt_Closing_OpsYr1</f>
        <v>655631811.746062</v>
      </c>
      <c r="I42" s="45" t="n">
        <f aca="false">Debt_Closing_OpsYr2</f>
        <v>655631811.746062</v>
      </c>
      <c r="J42" s="45" t="n">
        <f aca="false">Debt_Closing_OpsYr3</f>
        <v>644262701.392095</v>
      </c>
      <c r="K42" s="45" t="n">
        <f aca="false">Debt_Closing_OpsYr4</f>
        <v>626245367.668661</v>
      </c>
      <c r="L42" s="45" t="n">
        <f aca="false">Debt_Closing_OpsYr5</f>
        <v>605887673.308937</v>
      </c>
      <c r="M42" s="45" t="n">
        <f aca="false">Debt_Closing_OpsYr6</f>
        <v>583026769.914171</v>
      </c>
      <c r="N42" s="45" t="n">
        <f aca="false">Debt_Closing_OpsYr7</f>
        <v>557489987.408132</v>
      </c>
      <c r="O42" s="45" t="n">
        <f aca="false">Debt_Closing_OpsYr8</f>
        <v>529094271.86542</v>
      </c>
      <c r="P42" s="45" t="n">
        <f aca="false">Debt_Closing_OpsYr9</f>
        <v>497645591.86022</v>
      </c>
      <c r="Q42" s="45" t="n">
        <f aca="false">Debt_Closing_OpsYr10</f>
        <v>462938311.589812</v>
      </c>
      <c r="R42" s="45" t="n">
        <f aca="false">Debt_Closing_OpsYr11</f>
        <v>424754528.930758</v>
      </c>
      <c r="S42" s="45" t="n">
        <f aca="false">Debt_Closing_OpsYr12</f>
        <v>382863376.483991</v>
      </c>
      <c r="T42" s="45" t="n">
        <f aca="false">Debt_Closing_OpsYr13</f>
        <v>337020283.557755</v>
      </c>
      <c r="U42" s="45" t="n">
        <f aca="false">Debt_Closing_OpsYr14</f>
        <v>286966196.924112</v>
      </c>
      <c r="V42" s="45" t="n">
        <f aca="false">Debt_Closing_OpsYr15</f>
        <v>232426758.065324</v>
      </c>
      <c r="W42" s="45" t="n">
        <f aca="false">Debt_Closing_OpsYr16</f>
        <v>173111434.500364</v>
      </c>
      <c r="X42" s="45" t="n">
        <f aca="false">Debt_Closing_OpsYr17</f>
        <v>108712602.648869</v>
      </c>
      <c r="Y42" s="45" t="n">
        <f aca="false">Debt_Closing_OpsYr18</f>
        <v>38904579.5495462</v>
      </c>
      <c r="Z42" s="45" t="n">
        <f aca="false">Debt_Closing_OpsYr19</f>
        <v>0</v>
      </c>
      <c r="AA42" s="45" t="n">
        <f aca="false">Debt_Closing_OpsYr20</f>
        <v>0</v>
      </c>
      <c r="AB42" s="45" t="n">
        <f aca="false">Debt_Closing_OpsYr21</f>
        <v>0</v>
      </c>
      <c r="AC42" s="45" t="n">
        <f aca="false">Debt_Closing_OpsYr22</f>
        <v>0</v>
      </c>
      <c r="AD42" s="45" t="n">
        <f aca="false">Debt_Closing_OpsYr23</f>
        <v>0</v>
      </c>
      <c r="AE42" s="45" t="n">
        <f aca="false">Debt_Closing_OpsYr24</f>
        <v>0</v>
      </c>
      <c r="AF42" s="45" t="n">
        <f aca="false">Debt_Closing_OpsYr25</f>
        <v>0</v>
      </c>
      <c r="AG42" s="45" t="n">
        <f aca="false">Debt_Closing_OpsYr26</f>
        <v>0</v>
      </c>
      <c r="AH42" s="45" t="n">
        <f aca="false">Debt_Closing_OpsYr27</f>
        <v>0</v>
      </c>
      <c r="AI42" s="45" t="n">
        <f aca="false">Debt_Closing_OpsYr28</f>
        <v>0</v>
      </c>
      <c r="AJ42" s="45" t="n">
        <f aca="false">Debt_Closing_OpsYr29</f>
        <v>0</v>
      </c>
      <c r="AK42" s="45" t="n">
        <f aca="false">Debt_Closing_OpsYr30</f>
        <v>0</v>
      </c>
    </row>
    <row r="43" customFormat="false" ht="15" hidden="false" customHeight="false" outlineLevel="0" collapsed="false">
      <c r="A43" s="5"/>
      <c r="B43" s="34" t="s">
        <v>304</v>
      </c>
      <c r="C43" s="45" t="n">
        <f aca="false">0</f>
        <v>0</v>
      </c>
      <c r="D43" s="45" t="n">
        <f aca="false">0</f>
        <v>0</v>
      </c>
      <c r="E43" s="45" t="n">
        <f aca="false">0</f>
        <v>0</v>
      </c>
      <c r="F43" s="45" t="n">
        <f aca="false">0</f>
        <v>0</v>
      </c>
      <c r="G43" s="45" t="n">
        <f aca="false">0</f>
        <v>0</v>
      </c>
      <c r="H43" s="45" t="n">
        <f aca="false">Constr_Equity_CY1+Constr_Equity_CY2+Constr_Equity_CY3+Constr_Equity_CY4+Constr_Equity_CY5</f>
        <v>257600000</v>
      </c>
      <c r="I43" s="45" t="n">
        <f aca="false">Constr_Equity_CY1+Constr_Equity_CY2+Constr_Equity_CY3+Constr_Equity_CY4+Constr_Equity_CY5</f>
        <v>257600000</v>
      </c>
      <c r="J43" s="45" t="n">
        <f aca="false">Constr_Equity_CY1+Constr_Equity_CY2+Constr_Equity_CY3+Constr_Equity_CY4+Constr_Equity_CY5</f>
        <v>257600000</v>
      </c>
      <c r="K43" s="45" t="n">
        <f aca="false">Constr_Equity_CY1+Constr_Equity_CY2+Constr_Equity_CY3+Constr_Equity_CY4+Constr_Equity_CY5</f>
        <v>257600000</v>
      </c>
      <c r="L43" s="45" t="n">
        <f aca="false">Constr_Equity_CY1+Constr_Equity_CY2+Constr_Equity_CY3+Constr_Equity_CY4+Constr_Equity_CY5</f>
        <v>257600000</v>
      </c>
      <c r="M43" s="45" t="n">
        <f aca="false">Constr_Equity_CY1+Constr_Equity_CY2+Constr_Equity_CY3+Constr_Equity_CY4+Constr_Equity_CY5</f>
        <v>257600000</v>
      </c>
      <c r="N43" s="45" t="n">
        <f aca="false">Constr_Equity_CY1+Constr_Equity_CY2+Constr_Equity_CY3+Constr_Equity_CY4+Constr_Equity_CY5</f>
        <v>257600000</v>
      </c>
      <c r="O43" s="45" t="n">
        <f aca="false">Constr_Equity_CY1+Constr_Equity_CY2+Constr_Equity_CY3+Constr_Equity_CY4+Constr_Equity_CY5</f>
        <v>257600000</v>
      </c>
      <c r="P43" s="45" t="n">
        <f aca="false">Constr_Equity_CY1+Constr_Equity_CY2+Constr_Equity_CY3+Constr_Equity_CY4+Constr_Equity_CY5</f>
        <v>257600000</v>
      </c>
      <c r="Q43" s="45" t="n">
        <f aca="false">Constr_Equity_CY1+Constr_Equity_CY2+Constr_Equity_CY3+Constr_Equity_CY4+Constr_Equity_CY5</f>
        <v>257600000</v>
      </c>
      <c r="R43" s="45" t="n">
        <f aca="false">Constr_Equity_CY1+Constr_Equity_CY2+Constr_Equity_CY3+Constr_Equity_CY4+Constr_Equity_CY5</f>
        <v>257600000</v>
      </c>
      <c r="S43" s="45" t="n">
        <f aca="false">Constr_Equity_CY1+Constr_Equity_CY2+Constr_Equity_CY3+Constr_Equity_CY4+Constr_Equity_CY5</f>
        <v>257600000</v>
      </c>
      <c r="T43" s="45" t="n">
        <f aca="false">Constr_Equity_CY1+Constr_Equity_CY2+Constr_Equity_CY3+Constr_Equity_CY4+Constr_Equity_CY5</f>
        <v>257600000</v>
      </c>
      <c r="U43" s="45" t="n">
        <f aca="false">Constr_Equity_CY1+Constr_Equity_CY2+Constr_Equity_CY3+Constr_Equity_CY4+Constr_Equity_CY5</f>
        <v>257600000</v>
      </c>
      <c r="V43" s="45" t="n">
        <f aca="false">Constr_Equity_CY1+Constr_Equity_CY2+Constr_Equity_CY3+Constr_Equity_CY4+Constr_Equity_CY5</f>
        <v>257600000</v>
      </c>
      <c r="W43" s="45" t="n">
        <f aca="false">Constr_Equity_CY1+Constr_Equity_CY2+Constr_Equity_CY3+Constr_Equity_CY4+Constr_Equity_CY5</f>
        <v>257600000</v>
      </c>
      <c r="X43" s="45" t="n">
        <f aca="false">Constr_Equity_CY1+Constr_Equity_CY2+Constr_Equity_CY3+Constr_Equity_CY4+Constr_Equity_CY5</f>
        <v>257600000</v>
      </c>
      <c r="Y43" s="45" t="n">
        <f aca="false">Constr_Equity_CY1+Constr_Equity_CY2+Constr_Equity_CY3+Constr_Equity_CY4+Constr_Equity_CY5</f>
        <v>257600000</v>
      </c>
      <c r="Z43" s="45" t="n">
        <f aca="false">Constr_Equity_CY1+Constr_Equity_CY2+Constr_Equity_CY3+Constr_Equity_CY4+Constr_Equity_CY5</f>
        <v>257600000</v>
      </c>
      <c r="AA43" s="45" t="n">
        <f aca="false">Constr_Equity_CY1+Constr_Equity_CY2+Constr_Equity_CY3+Constr_Equity_CY4+Constr_Equity_CY5</f>
        <v>257600000</v>
      </c>
      <c r="AB43" s="45" t="n">
        <f aca="false">Constr_Equity_CY1+Constr_Equity_CY2+Constr_Equity_CY3+Constr_Equity_CY4+Constr_Equity_CY5</f>
        <v>257600000</v>
      </c>
      <c r="AC43" s="45" t="n">
        <f aca="false">Constr_Equity_CY1+Constr_Equity_CY2+Constr_Equity_CY3+Constr_Equity_CY4+Constr_Equity_CY5</f>
        <v>257600000</v>
      </c>
      <c r="AD43" s="45" t="n">
        <f aca="false">Constr_Equity_CY1+Constr_Equity_CY2+Constr_Equity_CY3+Constr_Equity_CY4+Constr_Equity_CY5</f>
        <v>257600000</v>
      </c>
      <c r="AE43" s="45" t="n">
        <f aca="false">Constr_Equity_CY1+Constr_Equity_CY2+Constr_Equity_CY3+Constr_Equity_CY4+Constr_Equity_CY5</f>
        <v>257600000</v>
      </c>
      <c r="AF43" s="45" t="n">
        <f aca="false">Constr_Equity_CY1+Constr_Equity_CY2+Constr_Equity_CY3+Constr_Equity_CY4+Constr_Equity_CY5</f>
        <v>257600000</v>
      </c>
      <c r="AG43" s="45" t="n">
        <f aca="false">Constr_Equity_CY1+Constr_Equity_CY2+Constr_Equity_CY3+Constr_Equity_CY4+Constr_Equity_CY5</f>
        <v>257600000</v>
      </c>
      <c r="AH43" s="45" t="n">
        <f aca="false">Constr_Equity_CY1+Constr_Equity_CY2+Constr_Equity_CY3+Constr_Equity_CY4+Constr_Equity_CY5</f>
        <v>257600000</v>
      </c>
      <c r="AI43" s="45" t="n">
        <f aca="false">Constr_Equity_CY1+Constr_Equity_CY2+Constr_Equity_CY3+Constr_Equity_CY4+Constr_Equity_CY5</f>
        <v>257600000</v>
      </c>
      <c r="AJ43" s="45" t="n">
        <f aca="false">Constr_Equity_CY1+Constr_Equity_CY2+Constr_Equity_CY3+Constr_Equity_CY4+Constr_Equity_CY5</f>
        <v>257600000</v>
      </c>
      <c r="AK43" s="45" t="n">
        <f aca="false">Constr_Equity_CY1+Constr_Equity_CY2+Constr_Equity_CY3+Constr_Equity_CY4+Constr_Equity_CY5</f>
        <v>257600000</v>
      </c>
    </row>
    <row r="44" customFormat="false" ht="15" hidden="false" customHeight="false" outlineLevel="0" collapsed="false">
      <c r="A44" s="5"/>
      <c r="B44" s="34" t="s">
        <v>305</v>
      </c>
      <c r="C44" s="45" t="n">
        <f aca="false">0</f>
        <v>0</v>
      </c>
      <c r="D44" s="45" t="n">
        <f aca="false">0</f>
        <v>0</v>
      </c>
      <c r="E44" s="45" t="n">
        <f aca="false">0</f>
        <v>0</v>
      </c>
      <c r="F44" s="45" t="n">
        <f aca="false">0</f>
        <v>0</v>
      </c>
      <c r="G44" s="45" t="n">
        <f aca="false">0</f>
        <v>0</v>
      </c>
      <c r="H44" s="45" t="n">
        <f aca="false">IS_RE_OpsYr1</f>
        <v>-35499026.7042355</v>
      </c>
      <c r="I44" s="45" t="n">
        <f aca="false">IS_RE_OpsYr2</f>
        <v>-63413053.4084709</v>
      </c>
      <c r="J44" s="45" t="n">
        <f aca="false">IS_RE_OpsYr3</f>
        <v>-84126005.1127064</v>
      </c>
      <c r="K44" s="45" t="n">
        <f aca="false">IS_RE_OpsYr4</f>
        <v>-96685002.8724737</v>
      </c>
      <c r="L44" s="45" t="n">
        <f aca="false">IS_RE_OpsYr5</f>
        <v>-106566288.175577</v>
      </c>
      <c r="M44" s="45" t="n">
        <f aca="false">IS_RE_OpsYr6</f>
        <v>-113598480.482324</v>
      </c>
      <c r="N44" s="45" t="n">
        <f aca="false">IS_RE_OpsYr7</f>
        <v>-117600161.321658</v>
      </c>
      <c r="O44" s="45" t="n">
        <f aca="false">IS_RE_OpsYr8</f>
        <v>-118416517.837727</v>
      </c>
      <c r="P44" s="45" t="n">
        <f aca="false">IS_RE_OpsYr9</f>
        <v>-116161514.83691</v>
      </c>
      <c r="Q44" s="45" t="n">
        <f aca="false">IS_RE_OpsYr10</f>
        <v>-110629050.192243</v>
      </c>
      <c r="R44" s="45" t="n">
        <f aca="false">IS_RE_OpsYr11</f>
        <v>-101600743.604504</v>
      </c>
      <c r="S44" s="45" t="n">
        <f aca="false">IS_RE_OpsYr12</f>
        <v>-88845237.3452069</v>
      </c>
      <c r="T44" s="45" t="n">
        <f aca="false">IS_RE_OpsYr13</f>
        <v>-72117457.9297237</v>
      </c>
      <c r="U44" s="45" t="n">
        <f aca="false">IS_RE_OpsYr14</f>
        <v>-51157836.5560509</v>
      </c>
      <c r="V44" s="45" t="n">
        <f aca="false">IS_RE_OpsYr15</f>
        <v>-82977029.8330616</v>
      </c>
      <c r="W44" s="45" t="n">
        <f aca="false">IS_RE_OpsYr16</f>
        <v>-52712875.5418346</v>
      </c>
      <c r="X44" s="45" t="n">
        <f aca="false">IS_RE_OpsYr17</f>
        <v>-17342738.0033095</v>
      </c>
      <c r="Y44" s="45" t="n">
        <f aca="false">IS_RE_OpsYr18</f>
        <v>23459635.7858081</v>
      </c>
      <c r="Z44" s="45" t="n">
        <f aca="false">IS_RE_OpsYr19</f>
        <v>15053495.8670327</v>
      </c>
      <c r="AA44" s="45" t="n">
        <f aca="false">IS_RE_OpsYr20</f>
        <v>-35407946.9035549</v>
      </c>
      <c r="AB44" s="45" t="n">
        <f aca="false">IS_RE_OpsYr21</f>
        <v>-65347223.961757</v>
      </c>
      <c r="AC44" s="45" t="n">
        <f aca="false">IS_RE_OpsYr22</f>
        <v>-95286501.0199591</v>
      </c>
      <c r="AD44" s="45" t="n">
        <f aca="false">IS_RE_OpsYr23</f>
        <v>-125225778.078161</v>
      </c>
      <c r="AE44" s="45" t="n">
        <f aca="false">IS_RE_OpsYr24</f>
        <v>-155165055.136363</v>
      </c>
      <c r="AF44" s="45" t="n">
        <f aca="false">IS_RE_OpsYr25</f>
        <v>-185104332.194565</v>
      </c>
      <c r="AG44" s="45" t="n">
        <f aca="false">IS_RE_OpsYr26</f>
        <v>-215043609.252767</v>
      </c>
      <c r="AH44" s="45" t="n">
        <f aca="false">IS_RE_OpsYr27</f>
        <v>-244982886.310969</v>
      </c>
      <c r="AI44" s="45" t="n">
        <f aca="false">IS_RE_OpsYr28</f>
        <v>-274922163.369171</v>
      </c>
      <c r="AJ44" s="45" t="n">
        <f aca="false">IS_RE_OpsYr29</f>
        <v>-304861440.427373</v>
      </c>
      <c r="AK44" s="45" t="n">
        <f aca="false">IS_RE_OpsYr30</f>
        <v>-334800717.485576</v>
      </c>
    </row>
    <row r="45" customFormat="false" ht="15" hidden="false" customHeight="false" outlineLevel="0" collapsed="false">
      <c r="A45" s="5"/>
      <c r="B45" s="51" t="s">
        <v>306</v>
      </c>
      <c r="C45" s="52" t="n">
        <f aca="false">0</f>
        <v>0</v>
      </c>
      <c r="D45" s="52" t="n">
        <f aca="false">0</f>
        <v>0</v>
      </c>
      <c r="E45" s="52" t="n">
        <f aca="false">0</f>
        <v>0</v>
      </c>
      <c r="F45" s="52" t="n">
        <f aca="false">0</f>
        <v>0</v>
      </c>
      <c r="G45" s="52" t="n">
        <f aca="false">0</f>
        <v>0</v>
      </c>
      <c r="H45" s="52" t="n">
        <f aca="false">BS_Debt_OpsYr1+H43+BS_RE_OpsYr1</f>
        <v>877732785.041827</v>
      </c>
      <c r="I45" s="52" t="n">
        <f aca="false">BS_Debt_OpsYr2+I43+BS_RE_OpsYr2</f>
        <v>849818758.337591</v>
      </c>
      <c r="J45" s="52" t="n">
        <f aca="false">BS_Debt_OpsYr3+J43+BS_RE_OpsYr3</f>
        <v>817736696.279389</v>
      </c>
      <c r="K45" s="52" t="n">
        <f aca="false">BS_Debt_OpsYr4+K43+BS_RE_OpsYr4</f>
        <v>787160364.796187</v>
      </c>
      <c r="L45" s="52" t="n">
        <f aca="false">BS_Debt_OpsYr5+L43+BS_RE_OpsYr5</f>
        <v>756921385.13336</v>
      </c>
      <c r="M45" s="52" t="n">
        <f aca="false">BS_Debt_OpsYr6+M43+BS_RE_OpsYr6</f>
        <v>727028289.431847</v>
      </c>
      <c r="N45" s="52" t="n">
        <f aca="false">BS_Debt_OpsYr7+N43+BS_RE_OpsYr7</f>
        <v>697489826.086475</v>
      </c>
      <c r="O45" s="52" t="n">
        <f aca="false">BS_Debt_OpsYr8+O43+BS_RE_OpsYr8</f>
        <v>668277754.027693</v>
      </c>
      <c r="P45" s="52" t="n">
        <f aca="false">BS_Debt_OpsYr9+P43+BS_RE_OpsYr9</f>
        <v>639084077.023311</v>
      </c>
      <c r="Q45" s="52" t="n">
        <f aca="false">BS_Debt_OpsYr10+Q43+BS_RE_OpsYr10</f>
        <v>609909261.397569</v>
      </c>
      <c r="R45" s="52" t="n">
        <f aca="false">BS_Debt_OpsYr11+R43+BS_RE_OpsYr11</f>
        <v>580753785.326254</v>
      </c>
      <c r="S45" s="52" t="n">
        <f aca="false">BS_Debt_OpsYr12+S43+BS_RE_OpsYr12</f>
        <v>551618139.138784</v>
      </c>
      <c r="T45" s="52" t="n">
        <f aca="false">BS_Debt_OpsYr13+T43+BS_RE_OpsYr13</f>
        <v>522502825.628031</v>
      </c>
      <c r="U45" s="52" t="n">
        <f aca="false">BS_Debt_OpsYr14+U43+BS_RE_OpsYr14</f>
        <v>493408360.368061</v>
      </c>
      <c r="V45" s="52" t="n">
        <f aca="false">BS_Debt_OpsYr15+V43+BS_RE_OpsYr15</f>
        <v>407049728.232262</v>
      </c>
      <c r="W45" s="52" t="n">
        <f aca="false">BS_Debt_OpsYr16+W43+BS_RE_OpsYr16</f>
        <v>377998558.95853</v>
      </c>
      <c r="X45" s="52" t="n">
        <f aca="false">BS_Debt_OpsYr17+X43+BS_RE_OpsYr17</f>
        <v>348969864.645559</v>
      </c>
      <c r="Y45" s="52" t="n">
        <f aca="false">BS_Debt_OpsYr18+Y43+BS_RE_OpsYr18</f>
        <v>319964215.335354</v>
      </c>
      <c r="Z45" s="52" t="n">
        <f aca="false">BS_Debt_OpsYr19+Z43+BS_RE_OpsYr19</f>
        <v>272653495.867033</v>
      </c>
      <c r="AA45" s="52" t="n">
        <f aca="false">BS_Debt_OpsYr20+AA43+BS_RE_OpsYr20</f>
        <v>222192053.096445</v>
      </c>
      <c r="AB45" s="52" t="n">
        <f aca="false">BS_Debt_OpsYr21+AB43+BS_RE_OpsYr21</f>
        <v>192252776.038243</v>
      </c>
      <c r="AC45" s="52" t="n">
        <f aca="false">BS_Debt_OpsYr22+AC43+BS_RE_OpsYr22</f>
        <v>162313498.980041</v>
      </c>
      <c r="AD45" s="52" t="n">
        <f aca="false">BS_Debt_OpsYr23+AD43+BS_RE_OpsYr23</f>
        <v>132374221.921839</v>
      </c>
      <c r="AE45" s="52" t="n">
        <f aca="false">BS_Debt_OpsYr24+AE43+BS_RE_OpsYr24</f>
        <v>102434944.863637</v>
      </c>
      <c r="AF45" s="52" t="n">
        <f aca="false">BS_Debt_OpsYr25+AF43+BS_RE_OpsYr25</f>
        <v>72495667.8054348</v>
      </c>
      <c r="AG45" s="52" t="n">
        <f aca="false">BS_Debt_OpsYr26+AG43+BS_RE_OpsYr26</f>
        <v>42556390.7472327</v>
      </c>
      <c r="AH45" s="52" t="n">
        <f aca="false">BS_Debt_OpsYr27+AH43+BS_RE_OpsYr27</f>
        <v>12617113.6890306</v>
      </c>
      <c r="AI45" s="52" t="n">
        <f aca="false">BS_Debt_OpsYr28+AI43+BS_RE_OpsYr28</f>
        <v>-17322163.3691714</v>
      </c>
      <c r="AJ45" s="52" t="n">
        <f aca="false">BS_Debt_OpsYr29+AJ43+BS_RE_OpsYr29</f>
        <v>-47261440.4273735</v>
      </c>
      <c r="AK45" s="52" t="n">
        <f aca="false">BS_Debt_OpsYr30+AK43+BS_RE_OpsYr30</f>
        <v>-77200717.4855756</v>
      </c>
    </row>
    <row r="46" customFormat="false" ht="15" hidden="false" customHeight="false" outlineLevel="0" collapsed="false">
      <c r="A46" s="5"/>
      <c r="B46" s="46" t="s">
        <v>307</v>
      </c>
      <c r="C46" s="47" t="n">
        <f aca="false">0</f>
        <v>0</v>
      </c>
      <c r="D46" s="47" t="n">
        <f aca="false">0</f>
        <v>0</v>
      </c>
      <c r="E46" s="47" t="n">
        <f aca="false">0</f>
        <v>0</v>
      </c>
      <c r="F46" s="47" t="n">
        <f aca="false">0</f>
        <v>0</v>
      </c>
      <c r="G46" s="47" t="n">
        <f aca="false">0</f>
        <v>0</v>
      </c>
      <c r="H46" s="47" t="n">
        <f aca="false">BS_Total_Assets_OpsYr1-BS_Total_LE_OpsYr1</f>
        <v>0</v>
      </c>
      <c r="I46" s="47" t="n">
        <f aca="false">BS_Total_Assets_OpsYr2-BS_Total_LE_OpsYr2</f>
        <v>0</v>
      </c>
      <c r="J46" s="47" t="n">
        <f aca="false">BS_Total_Assets_OpsYr3-BS_Total_LE_OpsYr3</f>
        <v>0</v>
      </c>
      <c r="K46" s="47" t="n">
        <f aca="false">BS_Total_Assets_OpsYr4-BS_Total_LE_OpsYr4</f>
        <v>0</v>
      </c>
      <c r="L46" s="47" t="n">
        <f aca="false">BS_Total_Assets_OpsYr5-BS_Total_LE_OpsYr5</f>
        <v>0</v>
      </c>
      <c r="M46" s="47" t="n">
        <f aca="false">BS_Total_Assets_OpsYr6-BS_Total_LE_OpsYr6</f>
        <v>0</v>
      </c>
      <c r="N46" s="47" t="n">
        <f aca="false">BS_Total_Assets_OpsYr7-BS_Total_LE_OpsYr7</f>
        <v>0</v>
      </c>
      <c r="O46" s="47" t="n">
        <f aca="false">BS_Total_Assets_OpsYr8-BS_Total_LE_OpsYr8</f>
        <v>0</v>
      </c>
      <c r="P46" s="47" t="n">
        <f aca="false">BS_Total_Assets_OpsYr9-BS_Total_LE_OpsYr9</f>
        <v>0</v>
      </c>
      <c r="Q46" s="47" t="n">
        <f aca="false">BS_Total_Assets_OpsYr10-BS_Total_LE_OpsYr10</f>
        <v>0</v>
      </c>
      <c r="R46" s="47" t="n">
        <f aca="false">BS_Total_Assets_OpsYr11-BS_Total_LE_OpsYr11</f>
        <v>0</v>
      </c>
      <c r="S46" s="47" t="n">
        <f aca="false">BS_Total_Assets_OpsYr12-BS_Total_LE_OpsYr12</f>
        <v>0</v>
      </c>
      <c r="T46" s="47" t="n">
        <f aca="false">BS_Total_Assets_OpsYr13-BS_Total_LE_OpsYr13</f>
        <v>0</v>
      </c>
      <c r="U46" s="47" t="n">
        <f aca="false">BS_Total_Assets_OpsYr14-BS_Total_LE_OpsYr14</f>
        <v>0</v>
      </c>
      <c r="V46" s="47" t="n">
        <f aca="false">BS_Total_Assets_OpsYr15-BS_Total_LE_OpsYr15</f>
        <v>0</v>
      </c>
      <c r="W46" s="47" t="n">
        <f aca="false">BS_Total_Assets_OpsYr16-BS_Total_LE_OpsYr16</f>
        <v>0</v>
      </c>
      <c r="X46" s="47" t="n">
        <f aca="false">BS_Total_Assets_OpsYr17-BS_Total_LE_OpsYr17</f>
        <v>0</v>
      </c>
      <c r="Y46" s="47" t="n">
        <f aca="false">BS_Total_Assets_OpsYr18-BS_Total_LE_OpsYr18</f>
        <v>0</v>
      </c>
      <c r="Z46" s="47" t="n">
        <f aca="false">BS_Total_Assets_OpsYr19-BS_Total_LE_OpsYr19</f>
        <v>0</v>
      </c>
      <c r="AA46" s="47" t="n">
        <f aca="false">BS_Total_Assets_OpsYr20-BS_Total_LE_OpsYr20</f>
        <v>0</v>
      </c>
      <c r="AB46" s="47" t="n">
        <f aca="false">BS_Total_Assets_OpsYr21-BS_Total_LE_OpsYr21</f>
        <v>0</v>
      </c>
      <c r="AC46" s="47" t="n">
        <f aca="false">BS_Total_Assets_OpsYr22-BS_Total_LE_OpsYr22</f>
        <v>0</v>
      </c>
      <c r="AD46" s="47" t="n">
        <f aca="false">BS_Total_Assets_OpsYr23-BS_Total_LE_OpsYr23</f>
        <v>0</v>
      </c>
      <c r="AE46" s="47" t="n">
        <f aca="false">BS_Total_Assets_OpsYr24-BS_Total_LE_OpsYr24</f>
        <v>0</v>
      </c>
      <c r="AF46" s="47" t="n">
        <f aca="false">BS_Total_Assets_OpsYr25-BS_Total_LE_OpsYr25</f>
        <v>0</v>
      </c>
      <c r="AG46" s="47" t="n">
        <f aca="false">BS_Total_Assets_OpsYr26-BS_Total_LE_OpsYr26</f>
        <v>0</v>
      </c>
      <c r="AH46" s="47" t="n">
        <f aca="false">BS_Total_Assets_OpsYr27-BS_Total_LE_OpsYr27</f>
        <v>-8.94069671630859E-008</v>
      </c>
      <c r="AI46" s="47" t="n">
        <f aca="false">BS_Total_Assets_OpsYr28-BS_Total_LE_OpsYr28</f>
        <v>0</v>
      </c>
      <c r="AJ46" s="47" t="n">
        <f aca="false">BS_Total_Assets_OpsYr29-BS_Total_LE_OpsYr29</f>
        <v>0</v>
      </c>
      <c r="AK46" s="47" t="n">
        <f aca="false">BS_Total_Assets_OpsYr30-BS_Total_LE_OpsYr30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2026-05-15T18:53:38Z</dcterms:created>
  <dc:creator>openpyxl</dc:creator>
  <dc:description/>
  <dc:language>en-GB</dc:language>
  <cp:lastModifiedBy/>
  <dcterms:modified xsi:type="dcterms:W3CDTF">2026-05-15T18:53:39Z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