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sset_Rollup" sheetId="3" state="visible" r:id="rId5"/>
    <sheet name="Fund_Cash_Flow" sheetId="4" state="visible" r:id="rId6"/>
    <sheet name="Sub_Line" sheetId="5" state="visible" r:id="rId7"/>
    <sheet name="Waterfall" sheetId="6" state="visible" r:id="rId8"/>
    <sheet name="Fund_NAV" sheetId="7" state="visible" r:id="rId9"/>
    <sheet name="Returns" sheetId="8" state="visible" r:id="rId10"/>
    <sheet name="Checks" sheetId="9" state="visible" r:id="rId11"/>
    <sheet name="Disclaimer" sheetId="10" state="visible" r:id="rId12"/>
  </sheets>
  <definedNames>
    <definedName function="false" hidden="false" name="Avg_Hold" vbProcedure="false">Assumptions!$C$10</definedName>
    <definedName function="false" hidden="false" name="Carry_Rate" vbProcedure="false">Assumptions!$C$16</definedName>
    <definedName function="false" hidden="false" name="Catchup_Rate" vbProcedure="false">Assumptions!$C$17</definedName>
    <definedName function="false" hidden="false" name="Dep_Y1" vbProcedure="false">Assumptions!$C$24</definedName>
    <definedName function="false" hidden="false" name="Dep_Y2" vbProcedure="false">Assumptions!$C$25</definedName>
    <definedName function="false" hidden="false" name="Dep_Y3" vbProcedure="false">Assumptions!$C$26</definedName>
    <definedName function="false" hidden="false" name="Dep_Y4" vbProcedure="false">Assumptions!$C$27</definedName>
    <definedName function="false" hidden="false" name="Exit_Mult" vbProcedure="false">Assumptions!$C$18</definedName>
    <definedName function="false" hidden="false" name="Exit_Y1_Pct" vbProcedure="false">Assumptions!$C$28</definedName>
    <definedName function="false" hidden="false" name="Exit_Y1_Year" vbProcedure="false">Assumptions!$C$35</definedName>
    <definedName function="false" hidden="false" name="Exit_Y2_Pct" vbProcedure="false">Assumptions!$C$29</definedName>
    <definedName function="false" hidden="false" name="Exit_Y2_Year" vbProcedure="false">Assumptions!$C$36</definedName>
    <definedName function="false" hidden="false" name="Exit_Y3_Pct" vbProcedure="false">Assumptions!$C$30</definedName>
    <definedName function="false" hidden="false" name="Exit_Y3_Year" vbProcedure="false">Assumptions!$C$37</definedName>
    <definedName function="false" hidden="false" name="Fee_Invest" vbProcedure="false">Assumptions!$C$12</definedName>
    <definedName function="false" hidden="false" name="Fee_Post" vbProcedure="false">Assumptions!$C$13</definedName>
    <definedName function="false" hidden="false" name="Fund_Life" vbProcedure="false">Assumptions!$C$9</definedName>
    <definedName function="false" hidden="false" name="Fund_OpEx_Abs" vbProcedure="false">Assumptions!$C$34</definedName>
    <definedName function="false" hidden="false" name="Fund_OpEx_Rate" vbProcedure="false">Assumptions!$C$14</definedName>
    <definedName function="false" hidden="false" name="Fund_Size" vbProcedure="false">Assumptions!$C$7</definedName>
    <definedName function="false" hidden="false" name="GP_Net_IRR" vbProcedure="false">Returns!$C$11</definedName>
    <definedName function="false" hidden="false" name="Gross_IRR" vbProcedure="false">Returns!$C$9</definedName>
    <definedName function="false" hidden="false" name="Invest_Period" vbProcedure="false">Assumptions!$C$8</definedName>
    <definedName function="false" hidden="false" name="LP_Net_IRR" vbProcedure="false">Returns!$C$10</definedName>
    <definedName function="false" hidden="false" name="LP_Net_MOIC" vbProcedure="false">Returns!$C$16</definedName>
    <definedName function="false" hidden="false" name="NAV_Closing_Y10" vbProcedure="false">Fund_NAV!$L$7</definedName>
    <definedName function="false" hidden="false" name="Num_Assets" vbProcedure="false">Assumptions!$C$11</definedName>
    <definedName function="false" hidden="false" name="Pref_Return" vbProcedure="false">Assumptions!$C$15</definedName>
    <definedName function="false" hidden="false" name="SL_Facility_Pct" vbProcedure="false">Assumptions!$C$21</definedName>
    <definedName function="false" hidden="false" name="SL_Max_Balance" vbProcedure="false">Assumptions!$C$33</definedName>
    <definedName function="false" hidden="false" name="SL_Rate" vbProcedure="false">Assumptions!$C$22</definedName>
    <definedName function="false" hidden="false" name="SL_Unused_Fee" vbProcedure="false">Assumptions!$C$23</definedName>
    <definedName function="false" hidden="false" name="Target_IRR" vbProcedure="false">Assumptions!$C$31</definedName>
    <definedName function="false" hidden="false" name="Yield_Growth" vbProcedure="false">Assumptions!$C$20</definedName>
    <definedName function="false" hidden="false" name="Yield_Init" vbProcedure="false">Assumptions!$C$19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<sst xmlns="http://schemas.openxmlformats.org/spreadsheetml/2006/main" count="295" uniqueCount="219">
  <si>
    <t xml:space="preserve">Real Estate Fund Model</t>
  </si>
  <si>
    <t xml:space="preserve">FINAMODEL.com</t>
  </si>
  <si>
    <t xml:space="preserve">Closed-End Fund | 10-Year Life | European Waterfall</t>
  </si>
  <si>
    <t xml:space="preserve">Fund Size: $500M</t>
  </si>
  <si>
    <t xml:space="preserve">Investment Period: 4 Years | Fund Life: 10 Years</t>
  </si>
  <si>
    <t xml:space="preserve">Preferred Return: 8% | Carried Interest: 20% | Exit Multiple: 1.8x</t>
  </si>
  <si>
    <t xml:space="preserve">Model Structure</t>
  </si>
  <si>
    <t xml:space="preserve">Sheet</t>
  </si>
  <si>
    <t xml:space="preserve">Purpose</t>
  </si>
  <si>
    <t xml:space="preserve">Cover</t>
  </si>
  <si>
    <t xml:space="preserve">Model overview and structure guide</t>
  </si>
  <si>
    <t xml:space="preserve">Assumptions</t>
  </si>
  <si>
    <t xml:space="preserve">All input parameters (single source of truth)</t>
  </si>
  <si>
    <t xml:space="preserve">Asset_Rollup</t>
  </si>
  <si>
    <t xml:space="preserve">Deployment schedule, exit timing, cost basis, yield income</t>
  </si>
  <si>
    <t xml:space="preserve">Fund_Cash_Flow</t>
  </si>
  <si>
    <t xml:space="preserve">Net cash flows, capital calls, distributions</t>
  </si>
  <si>
    <t xml:space="preserve">Sub_Line</t>
  </si>
  <si>
    <t xml:space="preserve">Subscription credit facility roll-forward</t>
  </si>
  <si>
    <t xml:space="preserve">Waterfall</t>
  </si>
  <si>
    <t xml:space="preserve">European whole-fund distribution waterfall</t>
  </si>
  <si>
    <t xml:space="preserve">Fund_NAV</t>
  </si>
  <si>
    <t xml:space="preserve">NAV = cost basis held + unrealised gain (derived fresh each year)</t>
  </si>
  <si>
    <t xml:space="preserve">Returns</t>
  </si>
  <si>
    <t xml:space="preserve">IRR, MOIC, DPI, RVPI, TVPI for LP, GP, and gross</t>
  </si>
  <si>
    <t xml:space="preserve">Checks</t>
  </si>
  <si>
    <t xml:space="preserve">10 model integrity checks — all must show PASS</t>
  </si>
  <si>
    <t xml:space="preserve">Sign Convention</t>
  </si>
  <si>
    <t xml:space="preserve">Capital calls = positive to fund / negative to LP. Distributions = negative from fund / positive to LP.</t>
  </si>
  <si>
    <t xml:space="preserve">About this model</t>
  </si>
  <si>
    <t xml:space="preserve">Track a multi-property real estate fund's deployment, hold, and exit cycle with property-level underwriting and LP net returns. This template deploys committed capital across multiple properties over a defined investment period, models property-level operating cash flow and value creation via rent growth and operating margin expansion, calculates exit proceeds from property sales, and distributes cash through a waterfall prioritizing LP capital return and preferred return before GP carry.
The workbook includes a capital call schedule, a portfolio sheet tracking each property's deployment date, hold period, operating IRR, and exit proceeds, loan financing and debt repayment by property, fee mechanics (management fees stepping down from committed capital to invested capital net of exits), and a waterfall sheet. The model calculates LP net IRR accounting for all capital calls, annual management fees, carried interest earned by the GP, and realized distributions. It handles the J-curve: negative cash in years 1â3 (capital calls and fees), positive from Year 4+ as exits commence.
Target users are institutional LPs evaluating real estate fund commitments, real estate GPs managing fundraising, secondary buyers assessing fund-to-fund opportunities, and advisors on real estate fund selection in the $200M to $5B fund size range.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</si>
  <si>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</si>
  <si>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</si>
  <si>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</si>
  <si>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</si>
  <si>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Real Estate Fund — 10-Year Life | European Waterfall</t>
  </si>
  <si>
    <t xml:space="preserve">Parameter</t>
  </si>
  <si>
    <t xml:space="preserve">Value</t>
  </si>
  <si>
    <t xml:space="preserve">Unit</t>
  </si>
  <si>
    <t xml:space="preserve">Notes</t>
  </si>
  <si>
    <t xml:space="preserve">Rows 5-6 reserved for scenario toggle</t>
  </si>
  <si>
    <t xml:space="preserve">Fund Size</t>
  </si>
  <si>
    <t xml:space="preserve">USD</t>
  </si>
  <si>
    <t xml:space="preserve">Total commitments</t>
  </si>
  <si>
    <t xml:space="preserve">Investment Period</t>
  </si>
  <si>
    <t xml:space="preserve">Yrs</t>
  </si>
  <si>
    <t xml:space="preserve">Years of active deployment</t>
  </si>
  <si>
    <t xml:space="preserve">Fund Life</t>
  </si>
  <si>
    <t xml:space="preserve">Total fund life</t>
  </si>
  <si>
    <t xml:space="preserve">Avg Hold Period</t>
  </si>
  <si>
    <t xml:space="preserve">Average asset hold period</t>
  </si>
  <si>
    <t xml:space="preserve">Number of Assets</t>
  </si>
  <si>
    <t xml:space="preserve">Cnt</t>
  </si>
  <si>
    <t xml:space="preserve">Informational only</t>
  </si>
  <si>
    <t xml:space="preserve">Mgmt Fee (Invest Period)</t>
  </si>
  <si>
    <t xml:space="preserve">%</t>
  </si>
  <si>
    <t xml:space="preserve">% of committed capital</t>
  </si>
  <si>
    <t xml:space="preserve">Mgmt Fee (Post-Invest)</t>
  </si>
  <si>
    <t xml:space="preserve">% of prior yr cost basis held</t>
  </si>
  <si>
    <t xml:space="preserve">Fund OpEx Rate</t>
  </si>
  <si>
    <t xml:space="preserve">% of fund size per year</t>
  </si>
  <si>
    <t xml:space="preserve">Preferred Return</t>
  </si>
  <si>
    <t xml:space="preserve">Compounded annually</t>
  </si>
  <si>
    <t xml:space="preserve">Carried Interest</t>
  </si>
  <si>
    <t xml:space="preserve">GP share of profits above pref</t>
  </si>
  <si>
    <t xml:space="preserve">Catch-Up Rate</t>
  </si>
  <si>
    <t xml:space="preserve">50/50 split during catch-up</t>
  </si>
  <si>
    <t xml:space="preserve">Exit Multiple</t>
  </si>
  <si>
    <t xml:space="preserve">x</t>
  </si>
  <si>
    <t xml:space="preserve">Gross exit multiple on cost</t>
  </si>
  <si>
    <t xml:space="preserve">Initial Yield</t>
  </si>
  <si>
    <t xml:space="preserve">Annual yield on invested capital</t>
  </si>
  <si>
    <t xml:space="preserve">Yield Growth Rate</t>
  </si>
  <si>
    <t xml:space="preserve">Annual yield growth</t>
  </si>
  <si>
    <t xml:space="preserve">SL Facility %</t>
  </si>
  <si>
    <t xml:space="preserve">% of commitments</t>
  </si>
  <si>
    <t xml:space="preserve">SL Interest Rate</t>
  </si>
  <si>
    <t xml:space="preserve">Annual rate on drawn balance</t>
  </si>
  <si>
    <t xml:space="preserve">SL Unused Commitment Fee</t>
  </si>
  <si>
    <t xml:space="preserve">Annual fee on undrawn amount</t>
  </si>
  <si>
    <t xml:space="preserve">Year 1 Deployment %</t>
  </si>
  <si>
    <t xml:space="preserve">% of fund size deployed Y1</t>
  </si>
  <si>
    <t xml:space="preserve">Year 2 Deployment %</t>
  </si>
  <si>
    <t xml:space="preserve">% of fund size deployed Y2</t>
  </si>
  <si>
    <t xml:space="preserve">Year 3 Deployment %</t>
  </si>
  <si>
    <t xml:space="preserve">% of fund size deployed Y3</t>
  </si>
  <si>
    <t xml:space="preserve">Year 4 Deployment %</t>
  </si>
  <si>
    <t xml:space="preserve">% of fund size deployed Y4</t>
  </si>
  <si>
    <t xml:space="preserve">Exit % — Tranche 1</t>
  </si>
  <si>
    <t xml:space="preserve">Exit % at Avg_Hold (Year 6)</t>
  </si>
  <si>
    <t xml:space="preserve">Exit % — Tranche 2</t>
  </si>
  <si>
    <t xml:space="preserve">Exit % at Avg_Hold+1 (Year 7)</t>
  </si>
  <si>
    <t xml:space="preserve">Exit % — Tranche 3 (Residual)</t>
  </si>
  <si>
    <t xml:space="preserve">FORMULA: residual, ensures Y1+Y2+Y3 &lt;= 100%</t>
  </si>
  <si>
    <t xml:space="preserve">Target LP Net IRR</t>
  </si>
  <si>
    <t xml:space="preserve">Benchmark for Checks sheet</t>
  </si>
  <si>
    <t xml:space="preserve">— Derived Parameters —</t>
  </si>
  <si>
    <t xml:space="preserve">Sub-Line Max Balance</t>
  </si>
  <si>
    <t xml:space="preserve">Max draw = $75M</t>
  </si>
  <si>
    <t xml:space="preserve">Fund OpEx (Absolute)</t>
  </si>
  <si>
    <t xml:space="preserve">Annual absolute fund opex</t>
  </si>
  <si>
    <t xml:space="preserve">Exit Year — Tranche 1</t>
  </si>
  <si>
    <t xml:space="preserve">Year of first exit tranche</t>
  </si>
  <si>
    <t xml:space="preserve">Exit Year — Tranche 2</t>
  </si>
  <si>
    <t xml:space="preserve">Year of second exit tranche</t>
  </si>
  <si>
    <t xml:space="preserve">Exit Year — Tranche 3</t>
  </si>
  <si>
    <t xml:space="preserve">Year of third exit tranche</t>
  </si>
  <si>
    <t xml:space="preserve">Asset Rollup</t>
  </si>
  <si>
    <t xml:space="preserve">Deployment, Exit Schedule, Cost Basis, and Yield Income</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</si>
  <si>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</si>
  <si>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</si>
  <si>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</si>
  <si>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</si>
  <si>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</si>
  <si>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</si>
  <si>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</si>
  <si>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</si>
  <si>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</si>
  <si>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</si>
  <si>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Annual Deployment</t>
  </si>
  <si>
    <t xml:space="preserve">Cumul Deployment</t>
  </si>
  <si>
    <t xml:space="preserve">Exit % Annual</t>
  </si>
  <si>
    <t xml:space="preserve">Exit % Cumul</t>
  </si>
  <si>
    <t xml:space="preserve">Exit Cost</t>
  </si>
  <si>
    <t xml:space="preserve">Exit Proceeds</t>
  </si>
  <si>
    <t xml:space="preserve">Cost Basis Held</t>
  </si>
  <si>
    <t xml:space="preserve">Yield Income</t>
  </si>
  <si>
    <t xml:space="preserve">Fund Cash Flow</t>
  </si>
  <si>
    <t xml:space="preserve">Net Cash Flows, Capital Calls, Distributions (Fund Perspective)</t>
  </si>
  <si>
    <t xml:space="preserve">Gross Asset CF</t>
  </si>
  <si>
    <t xml:space="preserve">Mgmt Fee</t>
  </si>
  <si>
    <t xml:space="preserve">Fund OpEx</t>
  </si>
  <si>
    <t xml:space="preserve">SL Drawdown (cash in)</t>
  </si>
  <si>
    <t xml:space="preserve">SL Repayment (cash out)</t>
  </si>
  <si>
    <t xml:space="preserve">SL Interest</t>
  </si>
  <si>
    <t xml:space="preserve">SL Unused Fee</t>
  </si>
  <si>
    <t xml:space="preserve">Net CF</t>
  </si>
  <si>
    <t xml:space="preserve">Capital Calls</t>
  </si>
  <si>
    <t xml:space="preserve">LP Distributions</t>
  </si>
  <si>
    <t xml:space="preserve">Ending Cash (=0)</t>
  </si>
  <si>
    <t xml:space="preserve">Sub-Line Credit Facility</t>
  </si>
  <si>
    <t xml:space="preserve">Subscription Credit Facility Roll-Forward (Opening → Drawdown → Repayment → Closing)</t>
  </si>
  <si>
    <t xml:space="preserve">Opening Balance</t>
  </si>
  <si>
    <t xml:space="preserve">Drawdown</t>
  </si>
  <si>
    <t xml:space="preserve">Repayment (exits only)</t>
  </si>
  <si>
    <t xml:space="preserve">Closing Balance</t>
  </si>
  <si>
    <t xml:space="preserve">European Whole-Fund: ROC → 8% Pref (Compounded) → 50/50 Catch-Up → 80/20 Residual</t>
  </si>
  <si>
    <t xml:space="preserve">Dist Available</t>
  </si>
  <si>
    <t xml:space="preserve">Cumul Dist Available</t>
  </si>
  <si>
    <t xml:space="preserve">Cumul Called Capital</t>
  </si>
  <si>
    <t xml:space="preserve">— Tier 1: Return of Capital —</t>
  </si>
  <si>
    <t xml:space="preserve">T1 Threshold (ROC)</t>
  </si>
  <si>
    <t xml:space="preserve">T1 Cumul Allocated</t>
  </si>
  <si>
    <t xml:space="preserve">T1 Periodic (ROC)</t>
  </si>
  <si>
    <t xml:space="preserve">— Tier 2: Preferred Return (8% Compounded) —</t>
  </si>
  <si>
    <t xml:space="preserve">T2 Threshold (Pref Return)</t>
  </si>
  <si>
    <t xml:space="preserve">T2 Cumul Allocated</t>
  </si>
  <si>
    <t xml:space="preserve">T2 Periodic (Pref)</t>
  </si>
  <si>
    <t xml:space="preserve">— Tier 3: GP Catch-Up (50/50) —</t>
  </si>
  <si>
    <t xml:space="preserve">T3 Threshold (Catch-Up)</t>
  </si>
  <si>
    <t xml:space="preserve">T3 Cumul Allocated</t>
  </si>
  <si>
    <t xml:space="preserve">T3 Periodic (Catch-Up)</t>
  </si>
  <si>
    <t xml:space="preserve">— Tier 4: Residual (80/20) —</t>
  </si>
  <si>
    <t xml:space="preserve">T4 Cumul Allocated</t>
  </si>
  <si>
    <t xml:space="preserve">T4 Periodic (Residual)</t>
  </si>
  <si>
    <t xml:space="preserve">— LP / GP Split —</t>
  </si>
  <si>
    <t xml:space="preserve">LP Distribution</t>
  </si>
  <si>
    <t xml:space="preserve">GP Distribution</t>
  </si>
  <si>
    <t xml:space="preserve">Waterfall Check (=0)</t>
  </si>
  <si>
    <t xml:space="preserve">Fund NAV</t>
  </si>
  <si>
    <t xml:space="preserve">NAV = Cost Basis Held + Unrealised Gain — Derived Fresh Each Year (NOT a running sum)</t>
  </si>
  <si>
    <t xml:space="preserve">Unrealised Gain</t>
  </si>
  <si>
    <t xml:space="preserve">Closing NAV</t>
  </si>
  <si>
    <t xml:space="preserve">IRR, MOIC, DPI, RVPI, TVPI — LP Perspective (Calls Negative / Distributions Positive)</t>
  </si>
  <si>
    <t xml:space="preserve">Gross CF Stream</t>
  </si>
  <si>
    <t xml:space="preserve">LP Net CF Stream</t>
  </si>
  <si>
    <t xml:space="preserve">GP Net CF Stream</t>
  </si>
  <si>
    <t xml:space="preserve">— IRR Calculations (single cells, column C only) —</t>
  </si>
  <si>
    <t xml:space="preserve">Gross IRR</t>
  </si>
  <si>
    <t xml:space="preserve">LP Net IRR</t>
  </si>
  <si>
    <t xml:space="preserve">GP Net IRR</t>
  </si>
  <si>
    <t xml:space="preserve">— Per-Period Multiples —</t>
  </si>
  <si>
    <t xml:space="preserve">DPI (Distributed / Paid-In)</t>
  </si>
  <si>
    <t xml:space="preserve">RVPI (Residual / Paid-In)</t>
  </si>
  <si>
    <t xml:space="preserve">TVPI (Total / Paid-In)</t>
  </si>
  <si>
    <t xml:space="preserve">LP Net MOIC</t>
  </si>
  <si>
    <t xml:space="preserve">— Target vs Actual —</t>
  </si>
  <si>
    <t xml:space="preserve">LP IRR vs Target</t>
  </si>
  <si>
    <t xml:space="preserve">Model Integrity — All must show PASS with base case inputs</t>
  </si>
  <si>
    <t xml:space="preserve">Check</t>
  </si>
  <si>
    <t xml:space="preserve">Result</t>
  </si>
  <si>
    <t xml:space="preserve">Status</t>
  </si>
  <si>
    <t xml:space="preserve">Cumul Exit % never exceeds 100%</t>
  </si>
  <si>
    <t xml:space="preserve">Fund NAV reaches zero at Year 10</t>
  </si>
  <si>
    <t xml:space="preserve">Sub-Line balance never negative</t>
  </si>
  <si>
    <t xml:space="preserve">Sub-Line fully repaid by Year 10</t>
  </si>
  <si>
    <t xml:space="preserve">Total capital calls do not exceed fund size</t>
  </si>
  <si>
    <t xml:space="preserve">LP + GP distributions equal available for distribution</t>
  </si>
  <si>
    <t xml:space="preserve">TVPI = DPI + RVPI at Year 10</t>
  </si>
  <si>
    <t xml:space="preserve">Gross IRR exceeds LP Net IRR</t>
  </si>
  <si>
    <t xml:space="preserve">LP Net IRR is in plausible range (5%-30%)</t>
  </si>
  <si>
    <t xml:space="preserve">Exit proceeds = exit cost x exit multiple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</si>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</sst>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
    <numFmt numFmtId="167" formatCode="0.00%"/>
    <numFmt numFmtId="168" formatCode="0.00\x"/>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sz val="10"/>
      <color rgb="FF000000"/>
      <name val="Arial"/>
      <family val="0"/>
      <charset val="1"/>
    </font>
    <font>
      <b val="true"/>
      <sz val="10"/>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9"/>
      <color rgb="FF808080"/>
      <name val="Arial"/>
      <family val="0"/>
      <charset val="1"/>
    </font>
    <font>
      <sz val="10"/>
      <color theme="3"/>
      <name val="Arial"/>
      <family val="0"/>
      <charset val="1"/>
    </font>
    <font>
      <b val="true"/>
      <i val="true"/>
      <sz val="9"/>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F2F2F2"/>
        <bgColor rgb="FFFFFFFF"/>
      </patternFill>
    </fill>
    <fill>
      <patternFill patternType="solid">
        <fgColor rgb="FFD6E4F0"/>
        <bgColor rgb="FFC6D9F1"/>
      </patternFill>
    </fill>
    <fill>
      <patternFill patternType="solid">
        <fgColor rgb="FFFFF2CC"/>
        <bgColor rgb="FFF2F2F2"/>
      </patternFill>
    </fill>
    <fill>
      <patternFill patternType="solid">
        <fgColor rgb="FF1F4E79"/>
        <bgColor rgb="FF1F497D"/>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true" applyProtection="false">
      <alignment horizontal="left" vertical="center" textRotation="0" wrapText="false" indent="0" shrinkToFit="false"/>
      <protection locked="true" hidden="false"/>
    </xf>
    <xf numFmtId="164" fontId="13" fillId="5"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8" fillId="6" borderId="0" xfId="0" applyFont="true" applyBorder="false" applyAlignment="true" applyProtection="false">
      <alignment horizontal="right" vertical="center" textRotation="0" wrapText="false" indent="0" shrinkToFit="false"/>
      <protection locked="true" hidden="false"/>
    </xf>
    <xf numFmtId="166" fontId="18" fillId="6" borderId="0" xfId="0" applyFont="true" applyBorder="false" applyAlignment="true" applyProtection="false">
      <alignment horizontal="right" vertical="center" textRotation="0" wrapText="false" indent="0" shrinkToFit="false"/>
      <protection locked="true" hidden="false"/>
    </xf>
    <xf numFmtId="167" fontId="18" fillId="6" borderId="0" xfId="0" applyFont="true" applyBorder="false" applyAlignment="true" applyProtection="false">
      <alignment horizontal="right" vertical="center" textRotation="0" wrapText="false" indent="0" shrinkToFit="false"/>
      <protection locked="true" hidden="false"/>
    </xf>
    <xf numFmtId="168" fontId="18" fillId="6" borderId="0" xfId="0" applyFont="true" applyBorder="false" applyAlignment="true" applyProtection="false">
      <alignment horizontal="right" vertical="center" textRotation="0" wrapText="false" indent="0" shrinkToFit="false"/>
      <protection locked="true" hidden="false"/>
    </xf>
    <xf numFmtId="167" fontId="10" fillId="6"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4" fontId="11" fillId="3"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1" fillId="0" borderId="1" xfId="0" applyFont="true" applyBorder="tru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21" fillId="7"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4" fillId="4"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006100"/>
        <sz val="10"/>
      </font>
      <fill>
        <patternFill>
          <bgColor rgb="FFC6EFCE"/>
        </patternFill>
      </fill>
    </dxf>
    <dxf>
      <font>
        <name val="Arial"/>
        <charset val="1"/>
        <family val="0"/>
        <b val="1"/>
        <color rgb="FF9C0006"/>
        <sz val="10"/>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6EFCE"/>
      <rgbColor rgb="FFFFFF99"/>
      <rgbColor rgb="FF99CCFF"/>
      <rgbColor rgb="FFFF99CC"/>
      <rgbColor rgb="FFCC99FF"/>
      <rgbColor rgb="FFFFC7CE"/>
      <rgbColor rgb="FF4472C4"/>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8"/>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6"/>
    </row>
    <row r="6" customFormat="false" ht="15" hidden="false" customHeight="false" outlineLevel="0" collapsed="false">
      <c r="A6" s="6"/>
      <c r="B6" s="7" t="s">
        <v>4</v>
      </c>
      <c r="C6" s="6"/>
    </row>
    <row r="7" customFormat="false" ht="15" hidden="false" customHeight="false" outlineLevel="0" collapsed="false">
      <c r="A7" s="6"/>
      <c r="B7" s="7" t="s">
        <v>5</v>
      </c>
      <c r="C7" s="6"/>
    </row>
    <row r="8" customFormat="false" ht="15" hidden="false" customHeight="false" outlineLevel="0" collapsed="false">
      <c r="A8" s="6"/>
      <c r="B8" s="6"/>
      <c r="C8" s="6"/>
    </row>
    <row r="9" customFormat="false" ht="15" hidden="false" customHeight="false" outlineLevel="0" collapsed="false">
      <c r="A9" s="6"/>
      <c r="B9" s="8" t="s">
        <v>6</v>
      </c>
      <c r="C9" s="6"/>
    </row>
    <row r="10" customFormat="false" ht="15" hidden="false" customHeight="false" outlineLevel="0" collapsed="false">
      <c r="A10" s="6"/>
      <c r="B10" s="9" t="s">
        <v>7</v>
      </c>
      <c r="C10" s="9" t="s">
        <v>8</v>
      </c>
    </row>
    <row r="11" customFormat="false" ht="15" hidden="false" customHeight="false" outlineLevel="0" collapsed="false">
      <c r="A11" s="6"/>
      <c r="B11" s="7" t="s">
        <v>9</v>
      </c>
      <c r="C11" s="7" t="s">
        <v>10</v>
      </c>
    </row>
    <row r="12" customFormat="false" ht="15" hidden="false" customHeight="false" outlineLevel="0" collapsed="false">
      <c r="A12" s="6"/>
      <c r="B12" s="10" t="s">
        <v>11</v>
      </c>
      <c r="C12" s="10" t="s">
        <v>12</v>
      </c>
    </row>
    <row r="13" customFormat="false" ht="15" hidden="false" customHeight="false" outlineLevel="0" collapsed="false">
      <c r="A13" s="6"/>
      <c r="B13" s="7" t="s">
        <v>13</v>
      </c>
      <c r="C13" s="7" t="s">
        <v>14</v>
      </c>
    </row>
    <row r="14" customFormat="false" ht="15" hidden="false" customHeight="false" outlineLevel="0" collapsed="false">
      <c r="A14" s="6"/>
      <c r="B14" s="10" t="s">
        <v>15</v>
      </c>
      <c r="C14" s="10" t="s">
        <v>16</v>
      </c>
    </row>
    <row r="15" customFormat="false" ht="15" hidden="false" customHeight="false" outlineLevel="0" collapsed="false">
      <c r="A15" s="6"/>
      <c r="B15" s="7" t="s">
        <v>17</v>
      </c>
      <c r="C15" s="7" t="s">
        <v>18</v>
      </c>
    </row>
    <row r="16" customFormat="false" ht="15" hidden="false" customHeight="false" outlineLevel="0" collapsed="false">
      <c r="A16" s="6"/>
      <c r="B16" s="10" t="s">
        <v>19</v>
      </c>
      <c r="C16" s="10" t="s">
        <v>20</v>
      </c>
    </row>
    <row r="17" customFormat="false" ht="15" hidden="false" customHeight="false" outlineLevel="0" collapsed="false">
      <c r="A17" s="6"/>
      <c r="B17" s="7" t="s">
        <v>21</v>
      </c>
      <c r="C17" s="7" t="s">
        <v>22</v>
      </c>
    </row>
    <row r="18" customFormat="false" ht="15" hidden="false" customHeight="false" outlineLevel="0" collapsed="false">
      <c r="A18" s="6"/>
      <c r="B18" s="10" t="s">
        <v>23</v>
      </c>
      <c r="C18" s="10" t="s">
        <v>24</v>
      </c>
    </row>
    <row r="19" customFormat="false" ht="15" hidden="false" customHeight="false" outlineLevel="0" collapsed="false">
      <c r="A19" s="6"/>
      <c r="B19" s="7" t="s">
        <v>25</v>
      </c>
      <c r="C19" s="7" t="s">
        <v>26</v>
      </c>
    </row>
    <row r="20" customFormat="false" ht="15" hidden="false" customHeight="false" outlineLevel="0" collapsed="false">
      <c r="A20" s="6"/>
      <c r="B20" s="8" t="s">
        <v>27</v>
      </c>
      <c r="C20" s="6"/>
    </row>
    <row r="21" customFormat="false" ht="15" hidden="false" customHeight="false" outlineLevel="0" collapsed="false">
      <c r="A21" s="6"/>
      <c r="B21" s="7" t="s">
        <v>28</v>
      </c>
      <c r="C21" s="6"/>
    </row>
    <row r="24" customFormat="false" ht="19.5" hidden="false" customHeight="true" outlineLevel="0" collapsed="false">
      <c r="B24" s="11" t="s">
        <v>29</v>
      </c>
      <c r="C24" s="12"/>
      <c r="D24" s="12"/>
      <c r="E24" s="12"/>
      <c r="F24" s="12"/>
      <c r="G24" s="12"/>
    </row>
    <row r="25" customFormat="false" ht="208.5" hidden="false" customHeight="true" outlineLevel="0" collapsed="false">
      <c r="B25" s="13" t="s">
        <v>30</v>
      </c>
      <c r="C25" s="13"/>
      <c r="D25" s="13"/>
      <c r="E25" s="13"/>
      <c r="F25" s="13"/>
      <c r="G25" s="13"/>
    </row>
    <row r="27" customFormat="false" ht="19.5" hidden="false" customHeight="true" outlineLevel="0" collapsed="false">
      <c r="B27" s="11" t="s">
        <v>31</v>
      </c>
      <c r="C27" s="12"/>
      <c r="D27" s="12"/>
      <c r="E27" s="12"/>
      <c r="F27" s="12"/>
      <c r="G27" s="12"/>
    </row>
    <row r="28" customFormat="false" ht="57" hidden="false" customHeight="true" outlineLevel="0" collapsed="false">
      <c r="B28" s="13" t="s">
        <v>32</v>
      </c>
      <c r="C28" s="13"/>
      <c r="D28" s="13"/>
      <c r="E28" s="13"/>
      <c r="F28" s="13"/>
      <c r="G28" s="13"/>
    </row>
    <row r="29" customFormat="false" ht="15" hidden="false" customHeight="false" outlineLevel="0" collapsed="false">
      <c r="B29" s="14" t="s">
        <v>33</v>
      </c>
      <c r="C29" s="14"/>
      <c r="D29" s="14"/>
      <c r="E29" s="14"/>
      <c r="F29" s="14"/>
      <c r="G29" s="14"/>
    </row>
    <row r="30" customFormat="false" ht="15" hidden="false" customHeight="false" outlineLevel="0" collapsed="false">
      <c r="B30" s="15" t="s">
        <v>34</v>
      </c>
    </row>
  </sheetData>
  <mergeCells count="3">
    <mergeCell ref="B25:G25"/>
    <mergeCell ref="B28:G28"/>
    <mergeCell ref="B29:G2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4" t="s">
        <v>202</v>
      </c>
    </row>
    <row r="3" customFormat="false" ht="3.75" hidden="false" customHeight="true" outlineLevel="0" collapsed="false">
      <c r="B3" s="35"/>
    </row>
    <row r="5" customFormat="false" ht="19.5" hidden="false" customHeight="true" outlineLevel="0" collapsed="false">
      <c r="B5" s="36" t="s">
        <v>203</v>
      </c>
    </row>
    <row r="6" customFormat="false" ht="48" hidden="false" customHeight="true" outlineLevel="0" collapsed="false">
      <c r="B6" s="37" t="s">
        <v>204</v>
      </c>
    </row>
    <row r="8" customFormat="false" ht="19.5" hidden="false" customHeight="true" outlineLevel="0" collapsed="false">
      <c r="B8" s="36" t="s">
        <v>205</v>
      </c>
    </row>
    <row r="9" customFormat="false" ht="61.5" hidden="false" customHeight="true" outlineLevel="0" collapsed="false">
      <c r="B9" s="37" t="s">
        <v>206</v>
      </c>
    </row>
    <row r="11" customFormat="false" ht="19.5" hidden="false" customHeight="true" outlineLevel="0" collapsed="false">
      <c r="B11" s="36" t="s">
        <v>207</v>
      </c>
    </row>
    <row r="12" customFormat="false" ht="75.75" hidden="false" customHeight="true" outlineLevel="0" collapsed="false">
      <c r="B12" s="37" t="s">
        <v>208</v>
      </c>
    </row>
    <row r="14" customFormat="false" ht="19.5" hidden="false" customHeight="true" outlineLevel="0" collapsed="false">
      <c r="B14" s="36" t="s">
        <v>209</v>
      </c>
    </row>
    <row r="15" customFormat="false" ht="61.5" hidden="false" customHeight="true" outlineLevel="0" collapsed="false">
      <c r="B15" s="37" t="s">
        <v>210</v>
      </c>
    </row>
    <row r="17" customFormat="false" ht="19.5" hidden="false" customHeight="true" outlineLevel="0" collapsed="false">
      <c r="B17" s="36" t="s">
        <v>211</v>
      </c>
    </row>
    <row r="18" customFormat="false" ht="33.75" hidden="false" customHeight="true" outlineLevel="0" collapsed="false">
      <c r="B18" s="37" t="s">
        <v>212</v>
      </c>
    </row>
    <row r="20" customFormat="false" ht="19.5" hidden="false" customHeight="true" outlineLevel="0" collapsed="false">
      <c r="B20" s="36" t="s">
        <v>213</v>
      </c>
    </row>
    <row r="21" customFormat="false" ht="33.75" hidden="false" customHeight="true" outlineLevel="0" collapsed="false">
      <c r="B21" s="37" t="s">
        <v>214</v>
      </c>
    </row>
    <row r="23" customFormat="false" ht="21.75" hidden="false" customHeight="true" outlineLevel="0" collapsed="false">
      <c r="B23" s="38" t="s">
        <v>215</v>
      </c>
    </row>
    <row r="25" customFormat="false" ht="18" hidden="false" customHeight="true" outlineLevel="0" collapsed="false">
      <c r="B25" s="39" t="s">
        <v>216</v>
      </c>
    </row>
    <row r="26" customFormat="false" ht="201.75" hidden="false" customHeight="true" outlineLevel="0" collapsed="false">
      <c r="B26" s="40" t="s">
        <v>217</v>
      </c>
    </row>
    <row r="28" customFormat="false" ht="18" hidden="false" customHeight="true" outlineLevel="0" collapsed="false">
      <c r="B28" s="41" t="s">
        <v>218</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0"/>
    <col collapsed="false" customWidth="true" hidden="false" outlineLevel="0" max="5" min="5" style="0" width="4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35</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9" t="s">
        <v>36</v>
      </c>
      <c r="C5" s="9" t="s">
        <v>37</v>
      </c>
      <c r="D5" s="9" t="s">
        <v>38</v>
      </c>
      <c r="E5" s="9" t="s">
        <v>39</v>
      </c>
    </row>
    <row r="6" customFormat="false" ht="15" hidden="false" customHeight="false" outlineLevel="0" collapsed="false">
      <c r="A6" s="6"/>
      <c r="B6" s="16" t="s">
        <v>40</v>
      </c>
      <c r="C6" s="6"/>
      <c r="D6" s="6"/>
      <c r="E6" s="6"/>
    </row>
    <row r="7" customFormat="false" ht="15" hidden="false" customHeight="false" outlineLevel="0" collapsed="false">
      <c r="A7" s="6"/>
      <c r="B7" s="7" t="s">
        <v>41</v>
      </c>
      <c r="C7" s="17" t="n">
        <v>500000000</v>
      </c>
      <c r="D7" s="7" t="s">
        <v>42</v>
      </c>
      <c r="E7" s="16" t="s">
        <v>43</v>
      </c>
    </row>
    <row r="8" customFormat="false" ht="15" hidden="false" customHeight="false" outlineLevel="0" collapsed="false">
      <c r="A8" s="6"/>
      <c r="B8" s="7" t="s">
        <v>44</v>
      </c>
      <c r="C8" s="18" t="n">
        <v>4</v>
      </c>
      <c r="D8" s="7" t="s">
        <v>45</v>
      </c>
      <c r="E8" s="16" t="s">
        <v>46</v>
      </c>
    </row>
    <row r="9" customFormat="false" ht="15" hidden="false" customHeight="false" outlineLevel="0" collapsed="false">
      <c r="A9" s="6"/>
      <c r="B9" s="7" t="s">
        <v>47</v>
      </c>
      <c r="C9" s="18" t="n">
        <v>10</v>
      </c>
      <c r="D9" s="7" t="s">
        <v>45</v>
      </c>
      <c r="E9" s="16" t="s">
        <v>48</v>
      </c>
    </row>
    <row r="10" customFormat="false" ht="15" hidden="false" customHeight="false" outlineLevel="0" collapsed="false">
      <c r="A10" s="6"/>
      <c r="B10" s="7" t="s">
        <v>49</v>
      </c>
      <c r="C10" s="18" t="n">
        <v>6</v>
      </c>
      <c r="D10" s="7" t="s">
        <v>45</v>
      </c>
      <c r="E10" s="16" t="s">
        <v>50</v>
      </c>
    </row>
    <row r="11" customFormat="false" ht="15" hidden="false" customHeight="false" outlineLevel="0" collapsed="false">
      <c r="A11" s="6"/>
      <c r="B11" s="7" t="s">
        <v>51</v>
      </c>
      <c r="C11" s="18" t="n">
        <v>10</v>
      </c>
      <c r="D11" s="7" t="s">
        <v>52</v>
      </c>
      <c r="E11" s="16" t="s">
        <v>53</v>
      </c>
    </row>
    <row r="12" customFormat="false" ht="15" hidden="false" customHeight="false" outlineLevel="0" collapsed="false">
      <c r="A12" s="6"/>
      <c r="B12" s="7" t="s">
        <v>54</v>
      </c>
      <c r="C12" s="19" t="n">
        <v>0.015</v>
      </c>
      <c r="D12" s="7" t="s">
        <v>55</v>
      </c>
      <c r="E12" s="16" t="s">
        <v>56</v>
      </c>
    </row>
    <row r="13" customFormat="false" ht="15" hidden="false" customHeight="false" outlineLevel="0" collapsed="false">
      <c r="A13" s="6"/>
      <c r="B13" s="7" t="s">
        <v>57</v>
      </c>
      <c r="C13" s="19" t="n">
        <v>0.01</v>
      </c>
      <c r="D13" s="7" t="s">
        <v>55</v>
      </c>
      <c r="E13" s="16" t="s">
        <v>58</v>
      </c>
    </row>
    <row r="14" customFormat="false" ht="15" hidden="false" customHeight="false" outlineLevel="0" collapsed="false">
      <c r="A14" s="6"/>
      <c r="B14" s="7" t="s">
        <v>59</v>
      </c>
      <c r="C14" s="19" t="n">
        <v>0.0015</v>
      </c>
      <c r="D14" s="7" t="s">
        <v>55</v>
      </c>
      <c r="E14" s="16" t="s">
        <v>60</v>
      </c>
    </row>
    <row r="15" customFormat="false" ht="15" hidden="false" customHeight="false" outlineLevel="0" collapsed="false">
      <c r="A15" s="6"/>
      <c r="B15" s="7" t="s">
        <v>61</v>
      </c>
      <c r="C15" s="19" t="n">
        <v>0.08</v>
      </c>
      <c r="D15" s="7" t="s">
        <v>55</v>
      </c>
      <c r="E15" s="16" t="s">
        <v>62</v>
      </c>
    </row>
    <row r="16" customFormat="false" ht="15" hidden="false" customHeight="false" outlineLevel="0" collapsed="false">
      <c r="A16" s="6"/>
      <c r="B16" s="7" t="s">
        <v>63</v>
      </c>
      <c r="C16" s="19" t="n">
        <v>0.2</v>
      </c>
      <c r="D16" s="7" t="s">
        <v>55</v>
      </c>
      <c r="E16" s="16" t="s">
        <v>64</v>
      </c>
    </row>
    <row r="17" customFormat="false" ht="15" hidden="false" customHeight="false" outlineLevel="0" collapsed="false">
      <c r="A17" s="6"/>
      <c r="B17" s="7" t="s">
        <v>65</v>
      </c>
      <c r="C17" s="19" t="n">
        <v>0.5</v>
      </c>
      <c r="D17" s="7" t="s">
        <v>55</v>
      </c>
      <c r="E17" s="16" t="s">
        <v>66</v>
      </c>
    </row>
    <row r="18" customFormat="false" ht="15" hidden="false" customHeight="false" outlineLevel="0" collapsed="false">
      <c r="A18" s="6"/>
      <c r="B18" s="7" t="s">
        <v>67</v>
      </c>
      <c r="C18" s="20" t="n">
        <v>1.8</v>
      </c>
      <c r="D18" s="7" t="s">
        <v>68</v>
      </c>
      <c r="E18" s="16" t="s">
        <v>69</v>
      </c>
    </row>
    <row r="19" customFormat="false" ht="15" hidden="false" customHeight="false" outlineLevel="0" collapsed="false">
      <c r="A19" s="6"/>
      <c r="B19" s="7" t="s">
        <v>70</v>
      </c>
      <c r="C19" s="19" t="n">
        <v>0.055</v>
      </c>
      <c r="D19" s="7" t="s">
        <v>55</v>
      </c>
      <c r="E19" s="16" t="s">
        <v>71</v>
      </c>
    </row>
    <row r="20" customFormat="false" ht="15" hidden="false" customHeight="false" outlineLevel="0" collapsed="false">
      <c r="A20" s="6"/>
      <c r="B20" s="7" t="s">
        <v>72</v>
      </c>
      <c r="C20" s="19" t="n">
        <v>0.02</v>
      </c>
      <c r="D20" s="7" t="s">
        <v>55</v>
      </c>
      <c r="E20" s="16" t="s">
        <v>73</v>
      </c>
    </row>
    <row r="21" customFormat="false" ht="15" hidden="false" customHeight="false" outlineLevel="0" collapsed="false">
      <c r="A21" s="6"/>
      <c r="B21" s="7" t="s">
        <v>74</v>
      </c>
      <c r="C21" s="19" t="n">
        <v>0.15</v>
      </c>
      <c r="D21" s="7" t="s">
        <v>55</v>
      </c>
      <c r="E21" s="16" t="s">
        <v>75</v>
      </c>
    </row>
    <row r="22" customFormat="false" ht="15" hidden="false" customHeight="false" outlineLevel="0" collapsed="false">
      <c r="A22" s="6"/>
      <c r="B22" s="7" t="s">
        <v>76</v>
      </c>
      <c r="C22" s="19" t="n">
        <v>0.075</v>
      </c>
      <c r="D22" s="7" t="s">
        <v>55</v>
      </c>
      <c r="E22" s="16" t="s">
        <v>77</v>
      </c>
    </row>
    <row r="23" customFormat="false" ht="15" hidden="false" customHeight="false" outlineLevel="0" collapsed="false">
      <c r="A23" s="6"/>
      <c r="B23" s="7" t="s">
        <v>78</v>
      </c>
      <c r="C23" s="19" t="n">
        <v>0.0025</v>
      </c>
      <c r="D23" s="7" t="s">
        <v>55</v>
      </c>
      <c r="E23" s="16" t="s">
        <v>79</v>
      </c>
    </row>
    <row r="24" customFormat="false" ht="15" hidden="false" customHeight="false" outlineLevel="0" collapsed="false">
      <c r="A24" s="6"/>
      <c r="B24" s="7" t="s">
        <v>80</v>
      </c>
      <c r="C24" s="19" t="n">
        <v>0.15</v>
      </c>
      <c r="D24" s="7" t="s">
        <v>55</v>
      </c>
      <c r="E24" s="16" t="s">
        <v>81</v>
      </c>
    </row>
    <row r="25" customFormat="false" ht="15" hidden="false" customHeight="false" outlineLevel="0" collapsed="false">
      <c r="A25" s="6"/>
      <c r="B25" s="7" t="s">
        <v>82</v>
      </c>
      <c r="C25" s="19" t="n">
        <v>0.3</v>
      </c>
      <c r="D25" s="7" t="s">
        <v>55</v>
      </c>
      <c r="E25" s="16" t="s">
        <v>83</v>
      </c>
    </row>
    <row r="26" customFormat="false" ht="15" hidden="false" customHeight="false" outlineLevel="0" collapsed="false">
      <c r="A26" s="6"/>
      <c r="B26" s="7" t="s">
        <v>84</v>
      </c>
      <c r="C26" s="19" t="n">
        <v>0.35</v>
      </c>
      <c r="D26" s="7" t="s">
        <v>55</v>
      </c>
      <c r="E26" s="16" t="s">
        <v>85</v>
      </c>
    </row>
    <row r="27" customFormat="false" ht="15" hidden="false" customHeight="false" outlineLevel="0" collapsed="false">
      <c r="A27" s="6"/>
      <c r="B27" s="7" t="s">
        <v>86</v>
      </c>
      <c r="C27" s="19" t="n">
        <v>0.2</v>
      </c>
      <c r="D27" s="7" t="s">
        <v>55</v>
      </c>
      <c r="E27" s="16" t="s">
        <v>87</v>
      </c>
    </row>
    <row r="28" customFormat="false" ht="15" hidden="false" customHeight="false" outlineLevel="0" collapsed="false">
      <c r="A28" s="6"/>
      <c r="B28" s="7" t="s">
        <v>88</v>
      </c>
      <c r="C28" s="19" t="n">
        <v>0.5</v>
      </c>
      <c r="D28" s="7" t="s">
        <v>55</v>
      </c>
      <c r="E28" s="16" t="s">
        <v>89</v>
      </c>
    </row>
    <row r="29" customFormat="false" ht="15" hidden="false" customHeight="false" outlineLevel="0" collapsed="false">
      <c r="A29" s="6"/>
      <c r="B29" s="7" t="s">
        <v>90</v>
      </c>
      <c r="C29" s="19" t="n">
        <v>0.3</v>
      </c>
      <c r="D29" s="7" t="s">
        <v>55</v>
      </c>
      <c r="E29" s="16" t="s">
        <v>91</v>
      </c>
    </row>
    <row r="30" customFormat="false" ht="15" hidden="false" customHeight="false" outlineLevel="0" collapsed="false">
      <c r="A30" s="6"/>
      <c r="B30" s="7" t="s">
        <v>92</v>
      </c>
      <c r="C30" s="21" t="n">
        <f aca="false">MAX(0,1-Exit_Y1_Pct-Exit_Y2_Pct)</f>
        <v>0.2</v>
      </c>
      <c r="D30" s="7" t="s">
        <v>55</v>
      </c>
      <c r="E30" s="16" t="s">
        <v>93</v>
      </c>
    </row>
    <row r="31" customFormat="false" ht="15" hidden="false" customHeight="false" outlineLevel="0" collapsed="false">
      <c r="A31" s="6"/>
      <c r="B31" s="7" t="s">
        <v>94</v>
      </c>
      <c r="C31" s="19" t="n">
        <v>0.12</v>
      </c>
      <c r="D31" s="7" t="s">
        <v>55</v>
      </c>
      <c r="E31" s="16" t="s">
        <v>95</v>
      </c>
    </row>
    <row r="32" customFormat="false" ht="15" hidden="false" customHeight="false" outlineLevel="0" collapsed="false">
      <c r="A32" s="6"/>
      <c r="B32" s="22" t="s">
        <v>96</v>
      </c>
      <c r="C32" s="6"/>
      <c r="D32" s="6"/>
      <c r="E32" s="6"/>
    </row>
    <row r="33" customFormat="false" ht="15" hidden="false" customHeight="false" outlineLevel="0" collapsed="false">
      <c r="A33" s="6"/>
      <c r="B33" s="7" t="s">
        <v>97</v>
      </c>
      <c r="C33" s="23" t="n">
        <f aca="false">Fund_Size*SL_Facility_Pct</f>
        <v>75000000</v>
      </c>
      <c r="D33" s="6"/>
      <c r="E33" s="16" t="s">
        <v>98</v>
      </c>
    </row>
    <row r="34" customFormat="false" ht="15" hidden="false" customHeight="false" outlineLevel="0" collapsed="false">
      <c r="A34" s="6"/>
      <c r="B34" s="7" t="s">
        <v>99</v>
      </c>
      <c r="C34" s="23" t="n">
        <f aca="false">Fund_Size*Fund_OpEx_Rate</f>
        <v>750000</v>
      </c>
      <c r="D34" s="6"/>
      <c r="E34" s="16" t="s">
        <v>100</v>
      </c>
    </row>
    <row r="35" customFormat="false" ht="15" hidden="false" customHeight="false" outlineLevel="0" collapsed="false">
      <c r="A35" s="6"/>
      <c r="B35" s="7" t="s">
        <v>101</v>
      </c>
      <c r="C35" s="24" t="n">
        <f aca="false">Avg_Hold</f>
        <v>6</v>
      </c>
      <c r="D35" s="6"/>
      <c r="E35" s="16" t="s">
        <v>102</v>
      </c>
    </row>
    <row r="36" customFormat="false" ht="15" hidden="false" customHeight="false" outlineLevel="0" collapsed="false">
      <c r="A36" s="6"/>
      <c r="B36" s="7" t="s">
        <v>103</v>
      </c>
      <c r="C36" s="24" t="n">
        <f aca="false">Avg_Hold+1</f>
        <v>7</v>
      </c>
      <c r="D36" s="6"/>
      <c r="E36" s="16" t="s">
        <v>104</v>
      </c>
    </row>
    <row r="37" customFormat="false" ht="15" hidden="false" customHeight="false" outlineLevel="0" collapsed="false">
      <c r="A37" s="6"/>
      <c r="B37" s="7" t="s">
        <v>105</v>
      </c>
      <c r="C37" s="24" t="n">
        <f aca="false">Avg_Hold+2</f>
        <v>8</v>
      </c>
      <c r="D37" s="6"/>
      <c r="E37" s="16" t="s">
        <v>106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107</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108</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119</v>
      </c>
      <c r="C5" s="23" t="n">
        <f aca="false">IF(1&lt;=Invest_Period,Fund_Size*Dep_Y1,0)</f>
        <v>75000000</v>
      </c>
      <c r="D5" s="23" t="n">
        <f aca="false">IF(2&lt;=Invest_Period,Fund_Size*Dep_Y2,0)</f>
        <v>150000000</v>
      </c>
      <c r="E5" s="23" t="n">
        <f aca="false">IF(3&lt;=Invest_Period,Fund_Size*Dep_Y3,0)</f>
        <v>175000000</v>
      </c>
      <c r="F5" s="23" t="n">
        <f aca="false">IF(4&lt;=Invest_Period,Fund_Size*Dep_Y4,0)</f>
        <v>100000000</v>
      </c>
      <c r="G5" s="23" t="n">
        <f aca="false">0</f>
        <v>0</v>
      </c>
      <c r="H5" s="23" t="n">
        <f aca="false">0</f>
        <v>0</v>
      </c>
      <c r="I5" s="23" t="n">
        <f aca="false">0</f>
        <v>0</v>
      </c>
      <c r="J5" s="23" t="n">
        <f aca="false">0</f>
        <v>0</v>
      </c>
      <c r="K5" s="23" t="n">
        <f aca="false">0</f>
        <v>0</v>
      </c>
      <c r="L5" s="23" t="n">
        <f aca="false">0</f>
        <v>0</v>
      </c>
    </row>
    <row r="6" customFormat="false" ht="15" hidden="false" customHeight="false" outlineLevel="0" collapsed="false">
      <c r="A6" s="6"/>
      <c r="B6" s="26" t="s">
        <v>120</v>
      </c>
      <c r="C6" s="23" t="n">
        <f aca="false">C5</f>
        <v>75000000</v>
      </c>
      <c r="D6" s="23" t="n">
        <f aca="false">C6+D5</f>
        <v>225000000</v>
      </c>
      <c r="E6" s="23" t="n">
        <f aca="false">D6+E5</f>
        <v>400000000</v>
      </c>
      <c r="F6" s="23" t="n">
        <f aca="false">E6+F5</f>
        <v>500000000</v>
      </c>
      <c r="G6" s="23" t="n">
        <f aca="false">F6+G5</f>
        <v>500000000</v>
      </c>
      <c r="H6" s="23" t="n">
        <f aca="false">G6+H5</f>
        <v>500000000</v>
      </c>
      <c r="I6" s="23" t="n">
        <f aca="false">H6+I5</f>
        <v>500000000</v>
      </c>
      <c r="J6" s="23" t="n">
        <f aca="false">I6+J5</f>
        <v>500000000</v>
      </c>
      <c r="K6" s="23" t="n">
        <f aca="false">J6+K5</f>
        <v>500000000</v>
      </c>
      <c r="L6" s="23" t="n">
        <f aca="false">K6+L5</f>
        <v>500000000</v>
      </c>
    </row>
    <row r="7" customFormat="false" ht="15" hidden="false" customHeight="false" outlineLevel="0" collapsed="false">
      <c r="A7" s="6"/>
      <c r="B7" s="26" t="s">
        <v>121</v>
      </c>
      <c r="C7" s="27" t="n">
        <f aca="false">IF(1=Fund_Life,MAX(0,1-0),IF(1=Exit_Y1_Year,Exit_Y1_Pct,IF(1=Exit_Y2_Year,Exit_Y2_Pct,IF(1=Exit_Y3_Year,Exit_Y3_Pct,0))))</f>
        <v>0</v>
      </c>
      <c r="D7" s="27" t="n">
        <f aca="false">IF(2=Fund_Life,MAX(0,1-C8),IF(2=Exit_Y1_Year,Exit_Y1_Pct,IF(2=Exit_Y2_Year,Exit_Y2_Pct,IF(2=Exit_Y3_Year,Exit_Y3_Pct,0))))</f>
        <v>0</v>
      </c>
      <c r="E7" s="27" t="n">
        <f aca="false">IF(3=Fund_Life,MAX(0,1-D8),IF(3=Exit_Y1_Year,Exit_Y1_Pct,IF(3=Exit_Y2_Year,Exit_Y2_Pct,IF(3=Exit_Y3_Year,Exit_Y3_Pct,0))))</f>
        <v>0</v>
      </c>
      <c r="F7" s="27" t="n">
        <f aca="false">IF(4=Fund_Life,MAX(0,1-E8),IF(4=Exit_Y1_Year,Exit_Y1_Pct,IF(4=Exit_Y2_Year,Exit_Y2_Pct,IF(4=Exit_Y3_Year,Exit_Y3_Pct,0))))</f>
        <v>0</v>
      </c>
      <c r="G7" s="27" t="n">
        <f aca="false">IF(5=Fund_Life,MAX(0,1-F8),IF(5=Exit_Y1_Year,Exit_Y1_Pct,IF(5=Exit_Y2_Year,Exit_Y2_Pct,IF(5=Exit_Y3_Year,Exit_Y3_Pct,0))))</f>
        <v>0</v>
      </c>
      <c r="H7" s="27" t="n">
        <f aca="false">IF(6=Fund_Life,MAX(0,1-G8),IF(6=Exit_Y1_Year,Exit_Y1_Pct,IF(6=Exit_Y2_Year,Exit_Y2_Pct,IF(6=Exit_Y3_Year,Exit_Y3_Pct,0))))</f>
        <v>0.5</v>
      </c>
      <c r="I7" s="27" t="n">
        <f aca="false">IF(7=Fund_Life,MAX(0,1-H8),IF(7=Exit_Y1_Year,Exit_Y1_Pct,IF(7=Exit_Y2_Year,Exit_Y2_Pct,IF(7=Exit_Y3_Year,Exit_Y3_Pct,0))))</f>
        <v>0.3</v>
      </c>
      <c r="J7" s="27" t="n">
        <f aca="false">IF(8=Fund_Life,MAX(0,1-I8),IF(8=Exit_Y1_Year,Exit_Y1_Pct,IF(8=Exit_Y2_Year,Exit_Y2_Pct,IF(8=Exit_Y3_Year,Exit_Y3_Pct,0))))</f>
        <v>0.2</v>
      </c>
      <c r="K7" s="27" t="n">
        <f aca="false">IF(9=Fund_Life,MAX(0,1-J8),IF(9=Exit_Y1_Year,Exit_Y1_Pct,IF(9=Exit_Y2_Year,Exit_Y2_Pct,IF(9=Exit_Y3_Year,Exit_Y3_Pct,0))))</f>
        <v>0</v>
      </c>
      <c r="L7" s="27" t="n">
        <f aca="false">IF(10=Fund_Life,MAX(0,1-K8),IF(10=Exit_Y1_Year,Exit_Y1_Pct,IF(10=Exit_Y2_Year,Exit_Y2_Pct,IF(10=Exit_Y3_Year,Exit_Y3_Pct,0))))</f>
        <v>0</v>
      </c>
    </row>
    <row r="8" customFormat="false" ht="15" hidden="false" customHeight="false" outlineLevel="0" collapsed="false">
      <c r="A8" s="6"/>
      <c r="B8" s="26" t="s">
        <v>122</v>
      </c>
      <c r="C8" s="27" t="n">
        <f aca="false">C7</f>
        <v>0</v>
      </c>
      <c r="D8" s="27" t="n">
        <f aca="false">C8+D7</f>
        <v>0</v>
      </c>
      <c r="E8" s="27" t="n">
        <f aca="false">D8+E7</f>
        <v>0</v>
      </c>
      <c r="F8" s="27" t="n">
        <f aca="false">E8+F7</f>
        <v>0</v>
      </c>
      <c r="G8" s="27" t="n">
        <f aca="false">F8+G7</f>
        <v>0</v>
      </c>
      <c r="H8" s="27" t="n">
        <f aca="false">G8+H7</f>
        <v>0.5</v>
      </c>
      <c r="I8" s="27" t="n">
        <f aca="false">H8+I7</f>
        <v>0.8</v>
      </c>
      <c r="J8" s="27" t="n">
        <f aca="false">I8+J7</f>
        <v>1</v>
      </c>
      <c r="K8" s="27" t="n">
        <f aca="false">J8+K7</f>
        <v>1</v>
      </c>
      <c r="L8" s="27" t="n">
        <f aca="false">K8+L7</f>
        <v>1</v>
      </c>
    </row>
    <row r="9" customFormat="false" ht="15" hidden="false" customHeight="false" outlineLevel="0" collapsed="false">
      <c r="A9" s="6"/>
      <c r="B9" s="26" t="s">
        <v>123</v>
      </c>
      <c r="C9" s="23" t="n">
        <f aca="false">IF(1=Fund_Life,0,C6*C7)</f>
        <v>0</v>
      </c>
      <c r="D9" s="23" t="n">
        <f aca="false">IF(2=Fund_Life,C11,D6*D7)</f>
        <v>0</v>
      </c>
      <c r="E9" s="23" t="n">
        <f aca="false">IF(3=Fund_Life,D11,E6*E7)</f>
        <v>0</v>
      </c>
      <c r="F9" s="23" t="n">
        <f aca="false">IF(4=Fund_Life,E11,F6*F7)</f>
        <v>0</v>
      </c>
      <c r="G9" s="23" t="n">
        <f aca="false">IF(5=Fund_Life,F11,G6*G7)</f>
        <v>0</v>
      </c>
      <c r="H9" s="23" t="n">
        <f aca="false">IF(6=Fund_Life,G11,H6*H7)</f>
        <v>250000000</v>
      </c>
      <c r="I9" s="23" t="n">
        <f aca="false">IF(7=Fund_Life,H11,I6*I7)</f>
        <v>150000000</v>
      </c>
      <c r="J9" s="23" t="n">
        <f aca="false">IF(8=Fund_Life,I11,J6*J7)</f>
        <v>100000000</v>
      </c>
      <c r="K9" s="23" t="n">
        <f aca="false">IF(9=Fund_Life,J11,K6*K7)</f>
        <v>0</v>
      </c>
      <c r="L9" s="23" t="n">
        <f aca="false">IF(10=Fund_Life,K11,L6*L7)</f>
        <v>0</v>
      </c>
    </row>
    <row r="10" customFormat="false" ht="15" hidden="false" customHeight="false" outlineLevel="0" collapsed="false">
      <c r="A10" s="6"/>
      <c r="B10" s="26" t="s">
        <v>124</v>
      </c>
      <c r="C10" s="23" t="n">
        <f aca="false">C9*Exit_Mult</f>
        <v>0</v>
      </c>
      <c r="D10" s="23" t="n">
        <f aca="false">D9*Exit_Mult</f>
        <v>0</v>
      </c>
      <c r="E10" s="23" t="n">
        <f aca="false">E9*Exit_Mult</f>
        <v>0</v>
      </c>
      <c r="F10" s="23" t="n">
        <f aca="false">F9*Exit_Mult</f>
        <v>0</v>
      </c>
      <c r="G10" s="23" t="n">
        <f aca="false">G9*Exit_Mult</f>
        <v>0</v>
      </c>
      <c r="H10" s="23" t="n">
        <f aca="false">H9*Exit_Mult</f>
        <v>450000000</v>
      </c>
      <c r="I10" s="23" t="n">
        <f aca="false">I9*Exit_Mult</f>
        <v>270000000</v>
      </c>
      <c r="J10" s="23" t="n">
        <f aca="false">J9*Exit_Mult</f>
        <v>180000000</v>
      </c>
      <c r="K10" s="23" t="n">
        <f aca="false">K9*Exit_Mult</f>
        <v>0</v>
      </c>
      <c r="L10" s="23" t="n">
        <f aca="false">L9*Exit_Mult</f>
        <v>0</v>
      </c>
    </row>
    <row r="11" customFormat="false" ht="15" hidden="false" customHeight="false" outlineLevel="0" collapsed="false">
      <c r="A11" s="6"/>
      <c r="B11" s="26" t="s">
        <v>125</v>
      </c>
      <c r="C11" s="23" t="n">
        <f aca="false">C6-C9</f>
        <v>75000000</v>
      </c>
      <c r="D11" s="23" t="n">
        <f aca="false">C11+D5-D9</f>
        <v>225000000</v>
      </c>
      <c r="E11" s="23" t="n">
        <f aca="false">D11+E5-E9</f>
        <v>400000000</v>
      </c>
      <c r="F11" s="23" t="n">
        <f aca="false">E11+F5-F9</f>
        <v>500000000</v>
      </c>
      <c r="G11" s="23" t="n">
        <f aca="false">F11+G5-G9</f>
        <v>500000000</v>
      </c>
      <c r="H11" s="23" t="n">
        <f aca="false">G11+H5-H9</f>
        <v>250000000</v>
      </c>
      <c r="I11" s="23" t="n">
        <f aca="false">H11+I5-I9</f>
        <v>100000000</v>
      </c>
      <c r="J11" s="23" t="n">
        <f aca="false">I11+J5-J9</f>
        <v>0</v>
      </c>
      <c r="K11" s="23" t="n">
        <f aca="false">J11+K5-K9</f>
        <v>0</v>
      </c>
      <c r="L11" s="23" t="n">
        <f aca="false">K11+L5-L9</f>
        <v>0</v>
      </c>
    </row>
    <row r="12" customFormat="false" ht="15" hidden="false" customHeight="false" outlineLevel="0" collapsed="false">
      <c r="A12" s="6"/>
      <c r="B12" s="26" t="s">
        <v>126</v>
      </c>
      <c r="C12" s="23" t="n">
        <f aca="false">C5*Yield_Init*(1+Yield_Growth)^0</f>
        <v>4125000</v>
      </c>
      <c r="D12" s="23" t="n">
        <f aca="false">C11*Yield_Init*(1+Yield_Growth)^1</f>
        <v>4207500</v>
      </c>
      <c r="E12" s="23" t="n">
        <f aca="false">D11*Yield_Init*(1+Yield_Growth)^2</f>
        <v>12874950</v>
      </c>
      <c r="F12" s="23" t="n">
        <f aca="false">E11*Yield_Init*(1+Yield_Growth)^3</f>
        <v>23346576</v>
      </c>
      <c r="G12" s="23" t="n">
        <f aca="false">F11*Yield_Init*(1+Yield_Growth)^4</f>
        <v>29766884.4</v>
      </c>
      <c r="H12" s="23" t="n">
        <f aca="false">G11*Yield_Init*(1+Yield_Growth)^5</f>
        <v>30362222.088</v>
      </c>
      <c r="I12" s="23" t="n">
        <f aca="false">H11*Yield_Init*(1+Yield_Growth)^6</f>
        <v>15484733.26488</v>
      </c>
      <c r="J12" s="23" t="n">
        <f aca="false">I11*Yield_Init*(1+Yield_Growth)^7</f>
        <v>6317771.17207104</v>
      </c>
      <c r="K12" s="23" t="n">
        <f aca="false">J11*Yield_Init*(1+Yield_Growth)^8</f>
        <v>0</v>
      </c>
      <c r="L12" s="23" t="n">
        <f aca="false">K11*Yield_Init*(1+Yield_Growth)^9</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127</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128</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129</v>
      </c>
      <c r="C5" s="23" t="n">
        <f aca="false">Asset_Rollup!C12+Asset_Rollup!C10-Asset_Rollup!C5</f>
        <v>-70875000</v>
      </c>
      <c r="D5" s="23" t="n">
        <f aca="false">Asset_Rollup!D12+Asset_Rollup!D10-Asset_Rollup!D5</f>
        <v>-145792500</v>
      </c>
      <c r="E5" s="23" t="n">
        <f aca="false">Asset_Rollup!E12+Asset_Rollup!E10-Asset_Rollup!E5</f>
        <v>-162125050</v>
      </c>
      <c r="F5" s="23" t="n">
        <f aca="false">Asset_Rollup!F12+Asset_Rollup!F10-Asset_Rollup!F5</f>
        <v>-76653424</v>
      </c>
      <c r="G5" s="23" t="n">
        <f aca="false">Asset_Rollup!G12+Asset_Rollup!G10-Asset_Rollup!G5</f>
        <v>29766884.4</v>
      </c>
      <c r="H5" s="23" t="n">
        <f aca="false">Asset_Rollup!H12+Asset_Rollup!H10-Asset_Rollup!H5</f>
        <v>480362222.088</v>
      </c>
      <c r="I5" s="23" t="n">
        <f aca="false">Asset_Rollup!I12+Asset_Rollup!I10-Asset_Rollup!I5</f>
        <v>285484733.26488</v>
      </c>
      <c r="J5" s="23" t="n">
        <f aca="false">Asset_Rollup!J12+Asset_Rollup!J10-Asset_Rollup!J5</f>
        <v>186317771.172071</v>
      </c>
      <c r="K5" s="23" t="n">
        <f aca="false">Asset_Rollup!K12+Asset_Rollup!K10-Asset_Rollup!K5</f>
        <v>0</v>
      </c>
      <c r="L5" s="23" t="n">
        <f aca="false">Asset_Rollup!L12+Asset_Rollup!L10-Asset_Rollup!L5</f>
        <v>0</v>
      </c>
    </row>
    <row r="6" customFormat="false" ht="15" hidden="false" customHeight="false" outlineLevel="0" collapsed="false">
      <c r="A6" s="6"/>
      <c r="B6" s="26" t="s">
        <v>130</v>
      </c>
      <c r="C6" s="23" t="n">
        <f aca="false">IF(1&lt;=Invest_Period,-Fund_Size*Fee_Invest,-Asset_Rollup!C11*Fee_Post)</f>
        <v>-7500000</v>
      </c>
      <c r="D6" s="23" t="n">
        <f aca="false">IF(2&lt;=Invest_Period,-Fund_Size*Fee_Invest,-Asset_Rollup!C11*Fee_Post)</f>
        <v>-7500000</v>
      </c>
      <c r="E6" s="23" t="n">
        <f aca="false">IF(3&lt;=Invest_Period,-Fund_Size*Fee_Invest,-Asset_Rollup!D11*Fee_Post)</f>
        <v>-7500000</v>
      </c>
      <c r="F6" s="23" t="n">
        <f aca="false">IF(4&lt;=Invest_Period,-Fund_Size*Fee_Invest,-Asset_Rollup!E11*Fee_Post)</f>
        <v>-7500000</v>
      </c>
      <c r="G6" s="23" t="n">
        <f aca="false">IF(5&lt;=Invest_Period,-Fund_Size*Fee_Invest,-Asset_Rollup!F11*Fee_Post)</f>
        <v>-5000000</v>
      </c>
      <c r="H6" s="23" t="n">
        <f aca="false">IF(6&lt;=Invest_Period,-Fund_Size*Fee_Invest,-Asset_Rollup!G11*Fee_Post)</f>
        <v>-5000000</v>
      </c>
      <c r="I6" s="23" t="n">
        <f aca="false">IF(7&lt;=Invest_Period,-Fund_Size*Fee_Invest,-Asset_Rollup!H11*Fee_Post)</f>
        <v>-2500000</v>
      </c>
      <c r="J6" s="23" t="n">
        <f aca="false">IF(8&lt;=Invest_Period,-Fund_Size*Fee_Invest,-Asset_Rollup!I11*Fee_Post)</f>
        <v>-1000000</v>
      </c>
      <c r="K6" s="23" t="n">
        <f aca="false">IF(9&lt;=Invest_Period,-Fund_Size*Fee_Invest,-Asset_Rollup!J11*Fee_Post)</f>
        <v>-0</v>
      </c>
      <c r="L6" s="23" t="n">
        <f aca="false">IF(10&lt;=Invest_Period,-Fund_Size*Fee_Invest,-Asset_Rollup!K11*Fee_Post)</f>
        <v>-0</v>
      </c>
    </row>
    <row r="7" customFormat="false" ht="15" hidden="false" customHeight="false" outlineLevel="0" collapsed="false">
      <c r="A7" s="6"/>
      <c r="B7" s="26" t="s">
        <v>131</v>
      </c>
      <c r="C7" s="23" t="n">
        <f aca="false">-Fund_OpEx_Abs</f>
        <v>-750000</v>
      </c>
      <c r="D7" s="23" t="n">
        <f aca="false">-Fund_OpEx_Abs</f>
        <v>-750000</v>
      </c>
      <c r="E7" s="23" t="n">
        <f aca="false">-Fund_OpEx_Abs</f>
        <v>-750000</v>
      </c>
      <c r="F7" s="23" t="n">
        <f aca="false">-Fund_OpEx_Abs</f>
        <v>-750000</v>
      </c>
      <c r="G7" s="23" t="n">
        <f aca="false">-Fund_OpEx_Abs</f>
        <v>-750000</v>
      </c>
      <c r="H7" s="23" t="n">
        <f aca="false">-Fund_OpEx_Abs</f>
        <v>-750000</v>
      </c>
      <c r="I7" s="23" t="n">
        <f aca="false">-Fund_OpEx_Abs</f>
        <v>-750000</v>
      </c>
      <c r="J7" s="23" t="n">
        <f aca="false">-Fund_OpEx_Abs</f>
        <v>-750000</v>
      </c>
      <c r="K7" s="23" t="n">
        <f aca="false">-Fund_OpEx_Abs</f>
        <v>-750000</v>
      </c>
      <c r="L7" s="23" t="n">
        <f aca="false">-Fund_OpEx_Abs</f>
        <v>-750000</v>
      </c>
    </row>
    <row r="8" customFormat="false" ht="15" hidden="false" customHeight="false" outlineLevel="0" collapsed="false">
      <c r="A8" s="6"/>
      <c r="B8" s="26" t="s">
        <v>132</v>
      </c>
      <c r="C8" s="23" t="n">
        <f aca="false">Sub_Line!C6</f>
        <v>75000000</v>
      </c>
      <c r="D8" s="23" t="n">
        <f aca="false">Sub_Line!D6</f>
        <v>0</v>
      </c>
      <c r="E8" s="23" t="n">
        <f aca="false">Sub_Line!E6</f>
        <v>0</v>
      </c>
      <c r="F8" s="23" t="n">
        <f aca="false">Sub_Line!F6</f>
        <v>0</v>
      </c>
      <c r="G8" s="23" t="n">
        <f aca="false">Sub_Line!G6</f>
        <v>0</v>
      </c>
      <c r="H8" s="23" t="n">
        <f aca="false">Sub_Line!H6</f>
        <v>0</v>
      </c>
      <c r="I8" s="23" t="n">
        <f aca="false">Sub_Line!I6</f>
        <v>0</v>
      </c>
      <c r="J8" s="23" t="n">
        <f aca="false">Sub_Line!J6</f>
        <v>0</v>
      </c>
      <c r="K8" s="23" t="n">
        <f aca="false">Sub_Line!K6</f>
        <v>0</v>
      </c>
      <c r="L8" s="23" t="n">
        <f aca="false">Sub_Line!L6</f>
        <v>0</v>
      </c>
    </row>
    <row r="9" customFormat="false" ht="15" hidden="false" customHeight="false" outlineLevel="0" collapsed="false">
      <c r="A9" s="6"/>
      <c r="B9" s="26" t="s">
        <v>133</v>
      </c>
      <c r="C9" s="23" t="n">
        <f aca="false">-Sub_Line!C7</f>
        <v>-0</v>
      </c>
      <c r="D9" s="23" t="n">
        <f aca="false">-Sub_Line!D7</f>
        <v>-0</v>
      </c>
      <c r="E9" s="23" t="n">
        <f aca="false">-Sub_Line!E7</f>
        <v>-0</v>
      </c>
      <c r="F9" s="23" t="n">
        <f aca="false">-Sub_Line!F7</f>
        <v>-0</v>
      </c>
      <c r="G9" s="23" t="n">
        <f aca="false">-Sub_Line!G7</f>
        <v>-0</v>
      </c>
      <c r="H9" s="23" t="n">
        <f aca="false">-Sub_Line!H7</f>
        <v>-75000000</v>
      </c>
      <c r="I9" s="23" t="n">
        <f aca="false">-Sub_Line!I7</f>
        <v>-0</v>
      </c>
      <c r="J9" s="23" t="n">
        <f aca="false">-Sub_Line!J7</f>
        <v>-0</v>
      </c>
      <c r="K9" s="23" t="n">
        <f aca="false">-Sub_Line!K7</f>
        <v>-0</v>
      </c>
      <c r="L9" s="23" t="n">
        <f aca="false">-Sub_Line!L7</f>
        <v>-0</v>
      </c>
    </row>
    <row r="10" customFormat="false" ht="15" hidden="false" customHeight="false" outlineLevel="0" collapsed="false">
      <c r="A10" s="6"/>
      <c r="B10" s="26" t="s">
        <v>134</v>
      </c>
      <c r="C10" s="23" t="n">
        <f aca="false">-(C5+Sub_Line!C8)/2*SL_Rate</f>
        <v>-154687.5</v>
      </c>
      <c r="D10" s="23" t="n">
        <f aca="false">-(Sub_Line!C8+Sub_Line!D8)/2*SL_Rate</f>
        <v>-5625000</v>
      </c>
      <c r="E10" s="23" t="n">
        <f aca="false">-(Sub_Line!D8+Sub_Line!E8)/2*SL_Rate</f>
        <v>-5625000</v>
      </c>
      <c r="F10" s="23" t="n">
        <f aca="false">-(Sub_Line!E8+Sub_Line!F8)/2*SL_Rate</f>
        <v>-5625000</v>
      </c>
      <c r="G10" s="23" t="n">
        <f aca="false">-(Sub_Line!F8+Sub_Line!G8)/2*SL_Rate</f>
        <v>-5625000</v>
      </c>
      <c r="H10" s="23" t="n">
        <f aca="false">-(Sub_Line!G8+Sub_Line!H8)/2*SL_Rate</f>
        <v>-2812500</v>
      </c>
      <c r="I10" s="23" t="n">
        <f aca="false">-(Sub_Line!H8+Sub_Line!I8)/2*SL_Rate</f>
        <v>-0</v>
      </c>
      <c r="J10" s="23" t="n">
        <f aca="false">-(Sub_Line!I8+Sub_Line!J8)/2*SL_Rate</f>
        <v>-0</v>
      </c>
      <c r="K10" s="23" t="n">
        <f aca="false">-(Sub_Line!J8+Sub_Line!K8)/2*SL_Rate</f>
        <v>-0</v>
      </c>
      <c r="L10" s="23" t="n">
        <f aca="false">-(Sub_Line!K8+Sub_Line!L8)/2*SL_Rate</f>
        <v>-0</v>
      </c>
    </row>
    <row r="11" customFormat="false" ht="15" hidden="false" customHeight="false" outlineLevel="0" collapsed="false">
      <c r="A11" s="6"/>
      <c r="B11" s="26" t="s">
        <v>135</v>
      </c>
      <c r="C11" s="23" t="n">
        <f aca="false">-(SL_Max_Balance-(0+Sub_Line!C8)/2)*SL_Unused_Fee</f>
        <v>-93750</v>
      </c>
      <c r="D11" s="23" t="n">
        <f aca="false">-(SL_Max_Balance-(Sub_Line!C8+Sub_Line!D8)/2)*SL_Unused_Fee</f>
        <v>-0</v>
      </c>
      <c r="E11" s="23" t="n">
        <f aca="false">-(SL_Max_Balance-(Sub_Line!D8+Sub_Line!E8)/2)*SL_Unused_Fee</f>
        <v>-0</v>
      </c>
      <c r="F11" s="23" t="n">
        <f aca="false">-(SL_Max_Balance-(Sub_Line!E8+Sub_Line!F8)/2)*SL_Unused_Fee</f>
        <v>-0</v>
      </c>
      <c r="G11" s="23" t="n">
        <f aca="false">-(SL_Max_Balance-(Sub_Line!F8+Sub_Line!G8)/2)*SL_Unused_Fee</f>
        <v>-0</v>
      </c>
      <c r="H11" s="23" t="n">
        <f aca="false">-(SL_Max_Balance-(Sub_Line!G8+Sub_Line!H8)/2)*SL_Unused_Fee</f>
        <v>-93750</v>
      </c>
      <c r="I11" s="23" t="n">
        <f aca="false">-(SL_Max_Balance-(Sub_Line!H8+Sub_Line!I8)/2)*SL_Unused_Fee</f>
        <v>-187500</v>
      </c>
      <c r="J11" s="23" t="n">
        <f aca="false">-(SL_Max_Balance-(Sub_Line!I8+Sub_Line!J8)/2)*SL_Unused_Fee</f>
        <v>-187500</v>
      </c>
      <c r="K11" s="23" t="n">
        <f aca="false">-(SL_Max_Balance-(Sub_Line!J8+Sub_Line!K8)/2)*SL_Unused_Fee</f>
        <v>-187500</v>
      </c>
      <c r="L11" s="23" t="n">
        <f aca="false">-(SL_Max_Balance-(Sub_Line!K8+Sub_Line!L8)/2)*SL_Unused_Fee</f>
        <v>-187500</v>
      </c>
    </row>
    <row r="12" customFormat="false" ht="15" hidden="false" customHeight="false" outlineLevel="0" collapsed="false">
      <c r="A12" s="6"/>
      <c r="B12" s="28" t="s">
        <v>136</v>
      </c>
      <c r="C12" s="29" t="n">
        <f aca="false">SUM(C5:C11)</f>
        <v>-4373437.5</v>
      </c>
      <c r="D12" s="29" t="n">
        <f aca="false">SUM(D5:D11)</f>
        <v>-159667500</v>
      </c>
      <c r="E12" s="29" t="n">
        <f aca="false">SUM(E5:E11)</f>
        <v>-176000050</v>
      </c>
      <c r="F12" s="29" t="n">
        <f aca="false">SUM(F5:F11)</f>
        <v>-90528424</v>
      </c>
      <c r="G12" s="29" t="n">
        <f aca="false">SUM(G5:G11)</f>
        <v>18391884.4</v>
      </c>
      <c r="H12" s="29" t="n">
        <f aca="false">SUM(H5:H11)</f>
        <v>396705972.088</v>
      </c>
      <c r="I12" s="29" t="n">
        <f aca="false">SUM(I5:I11)</f>
        <v>282047233.26488</v>
      </c>
      <c r="J12" s="29" t="n">
        <f aca="false">SUM(J5:J11)</f>
        <v>184380271.172071</v>
      </c>
      <c r="K12" s="29" t="n">
        <f aca="false">SUM(K5:K11)</f>
        <v>-937500</v>
      </c>
      <c r="L12" s="29" t="n">
        <f aca="false">SUM(L5:L11)</f>
        <v>-937500</v>
      </c>
    </row>
    <row r="13" customFormat="false" ht="15" hidden="false" customHeight="false" outlineLevel="0" collapsed="false">
      <c r="A13" s="6"/>
      <c r="B13" s="26" t="s">
        <v>137</v>
      </c>
      <c r="C13" s="23" t="n">
        <f aca="false">MAX(0,-C12)</f>
        <v>4373437.5</v>
      </c>
      <c r="D13" s="23" t="n">
        <f aca="false">MAX(0,-D12)</f>
        <v>159667500</v>
      </c>
      <c r="E13" s="23" t="n">
        <f aca="false">MAX(0,-E12)</f>
        <v>176000050</v>
      </c>
      <c r="F13" s="23" t="n">
        <f aca="false">MAX(0,-F12)</f>
        <v>90528424</v>
      </c>
      <c r="G13" s="23" t="n">
        <f aca="false">MAX(0,-G12)</f>
        <v>0</v>
      </c>
      <c r="H13" s="23" t="n">
        <f aca="false">MAX(0,-H12)</f>
        <v>0</v>
      </c>
      <c r="I13" s="23" t="n">
        <f aca="false">MAX(0,-I12)</f>
        <v>0</v>
      </c>
      <c r="J13" s="23" t="n">
        <f aca="false">MAX(0,-J12)</f>
        <v>0</v>
      </c>
      <c r="K13" s="23" t="n">
        <f aca="false">MAX(0,-K12)</f>
        <v>937500</v>
      </c>
      <c r="L13" s="23" t="n">
        <f aca="false">MAX(0,-L12)</f>
        <v>937500</v>
      </c>
    </row>
    <row r="14" customFormat="false" ht="15" hidden="false" customHeight="false" outlineLevel="0" collapsed="false">
      <c r="A14" s="6"/>
      <c r="B14" s="26" t="s">
        <v>138</v>
      </c>
      <c r="C14" s="23" t="n">
        <f aca="false">Waterfall!C28</f>
        <v>0</v>
      </c>
      <c r="D14" s="23" t="n">
        <f aca="false">Waterfall!D28</f>
        <v>0</v>
      </c>
      <c r="E14" s="23" t="n">
        <f aca="false">Waterfall!E28</f>
        <v>0</v>
      </c>
      <c r="F14" s="23" t="n">
        <f aca="false">Waterfall!F28</f>
        <v>0</v>
      </c>
      <c r="G14" s="23" t="n">
        <f aca="false">Waterfall!G28</f>
        <v>18391884.4</v>
      </c>
      <c r="H14" s="23" t="n">
        <f aca="false">Waterfall!H28</f>
        <v>396705972.088</v>
      </c>
      <c r="I14" s="23" t="n">
        <f aca="false">Waterfall!I28</f>
        <v>282047233.26488</v>
      </c>
      <c r="J14" s="23" t="n">
        <f aca="false">Waterfall!J28</f>
        <v>142094556.393916</v>
      </c>
      <c r="K14" s="23" t="n">
        <f aca="false">Waterfall!K28</f>
        <v>0</v>
      </c>
      <c r="L14" s="23" t="n">
        <f aca="false">Waterfall!L28</f>
        <v>0</v>
      </c>
    </row>
    <row r="15" customFormat="false" ht="15" hidden="false" customHeight="false" outlineLevel="0" collapsed="false">
      <c r="A15" s="6"/>
      <c r="B15" s="28" t="s">
        <v>139</v>
      </c>
      <c r="C15" s="29" t="n">
        <f aca="false">C12+C13-C14</f>
        <v>0</v>
      </c>
      <c r="D15" s="29" t="n">
        <f aca="false">D12+D13-D14</f>
        <v>0</v>
      </c>
      <c r="E15" s="29" t="n">
        <f aca="false">E12+E13-E14</f>
        <v>0</v>
      </c>
      <c r="F15" s="29" t="n">
        <f aca="false">F12+F13-F14</f>
        <v>0</v>
      </c>
      <c r="G15" s="29" t="n">
        <f aca="false">G12+G13-G14</f>
        <v>0</v>
      </c>
      <c r="H15" s="29" t="n">
        <f aca="false">H12+H13-H14</f>
        <v>0</v>
      </c>
      <c r="I15" s="29" t="n">
        <f aca="false">I12+I13-I14</f>
        <v>0</v>
      </c>
      <c r="J15" s="29" t="n">
        <f aca="false">J12+J13-J14</f>
        <v>42285714.7781548</v>
      </c>
      <c r="K15" s="29" t="n">
        <f aca="false">K12+K13-K14</f>
        <v>0</v>
      </c>
      <c r="L15" s="29" t="n">
        <f aca="false">L12+L13-L14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140</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141</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142</v>
      </c>
      <c r="C5" s="23" t="n">
        <f aca="false">0</f>
        <v>0</v>
      </c>
      <c r="D5" s="23" t="n">
        <f aca="false">C8</f>
        <v>75000000</v>
      </c>
      <c r="E5" s="23" t="n">
        <f aca="false">D8</f>
        <v>75000000</v>
      </c>
      <c r="F5" s="23" t="n">
        <f aca="false">E8</f>
        <v>75000000</v>
      </c>
      <c r="G5" s="23" t="n">
        <f aca="false">F8</f>
        <v>75000000</v>
      </c>
      <c r="H5" s="23" t="n">
        <f aca="false">G8</f>
        <v>75000000</v>
      </c>
      <c r="I5" s="23" t="n">
        <f aca="false">H8</f>
        <v>0</v>
      </c>
      <c r="J5" s="23" t="n">
        <f aca="false">I8</f>
        <v>0</v>
      </c>
      <c r="K5" s="23" t="n">
        <f aca="false">J8</f>
        <v>0</v>
      </c>
      <c r="L5" s="23" t="n">
        <f aca="false">K8</f>
        <v>0</v>
      </c>
    </row>
    <row r="6" customFormat="false" ht="15" hidden="false" customHeight="false" outlineLevel="0" collapsed="false">
      <c r="A6" s="6"/>
      <c r="B6" s="26" t="s">
        <v>143</v>
      </c>
      <c r="C6" s="23" t="n">
        <f aca="false">IF(Asset_Rollup!C11=0,0,MAX(0,MIN(SL_Max_Balance-C5,MAX(0,-(Fund_Cash_Flow!C5+Fund_Cash_Flow!C6+Fund_Cash_Flow!C7)))))</f>
        <v>75000000</v>
      </c>
      <c r="D6" s="23" t="n">
        <f aca="false">IF(Asset_Rollup!D11=0,0,MAX(0,MIN(SL_Max_Balance-D5,MAX(0,-(Fund_Cash_Flow!D5+Fund_Cash_Flow!D6+Fund_Cash_Flow!D7)))))</f>
        <v>0</v>
      </c>
      <c r="E6" s="23" t="n">
        <f aca="false">IF(Asset_Rollup!E11=0,0,MAX(0,MIN(SL_Max_Balance-E5,MAX(0,-(Fund_Cash_Flow!E5+Fund_Cash_Flow!E6+Fund_Cash_Flow!E7)))))</f>
        <v>0</v>
      </c>
      <c r="F6" s="23" t="n">
        <f aca="false">IF(Asset_Rollup!F11=0,0,MAX(0,MIN(SL_Max_Balance-F5,MAX(0,-(Fund_Cash_Flow!F5+Fund_Cash_Flow!F6+Fund_Cash_Flow!F7)))))</f>
        <v>0</v>
      </c>
      <c r="G6" s="23" t="n">
        <f aca="false">IF(Asset_Rollup!G11=0,0,MAX(0,MIN(SL_Max_Balance-G5,MAX(0,-(Fund_Cash_Flow!G5+Fund_Cash_Flow!G6+Fund_Cash_Flow!G7)))))</f>
        <v>0</v>
      </c>
      <c r="H6" s="23" t="n">
        <f aca="false">IF(Asset_Rollup!H11=0,0,MAX(0,MIN(SL_Max_Balance-H5,MAX(0,-(Fund_Cash_Flow!H5+Fund_Cash_Flow!H6+Fund_Cash_Flow!H7)))))</f>
        <v>0</v>
      </c>
      <c r="I6" s="23" t="n">
        <f aca="false">IF(Asset_Rollup!I11=0,0,MAX(0,MIN(SL_Max_Balance-I5,MAX(0,-(Fund_Cash_Flow!I5+Fund_Cash_Flow!I6+Fund_Cash_Flow!I7)))))</f>
        <v>0</v>
      </c>
      <c r="J6" s="23" t="n">
        <f aca="false">IF(Asset_Rollup!J11=0,0,MAX(0,MIN(SL_Max_Balance-J5,MAX(0,-(Fund_Cash_Flow!J5+Fund_Cash_Flow!J6+Fund_Cash_Flow!J7)))))</f>
        <v>0</v>
      </c>
      <c r="K6" s="23" t="n">
        <f aca="false">IF(Asset_Rollup!K11=0,0,MAX(0,MIN(SL_Max_Balance-K5,MAX(0,-(Fund_Cash_Flow!K5+Fund_Cash_Flow!K6+Fund_Cash_Flow!K7)))))</f>
        <v>0</v>
      </c>
      <c r="L6" s="23" t="n">
        <f aca="false">IF(Asset_Rollup!L11=0,0,MAX(0,MIN(SL_Max_Balance-L5,MAX(0,-(Fund_Cash_Flow!L5+Fund_Cash_Flow!L6+Fund_Cash_Flow!L7)))))</f>
        <v>0</v>
      </c>
    </row>
    <row r="7" customFormat="false" ht="15" hidden="false" customHeight="false" outlineLevel="0" collapsed="false">
      <c r="A7" s="6"/>
      <c r="B7" s="26" t="s">
        <v>144</v>
      </c>
      <c r="C7" s="23" t="n">
        <f aca="false">MIN(C5+C6,MAX(0,Asset_Rollup!C10))</f>
        <v>0</v>
      </c>
      <c r="D7" s="23" t="n">
        <f aca="false">MIN(D5+D6,MAX(0,Asset_Rollup!D10))</f>
        <v>0</v>
      </c>
      <c r="E7" s="23" t="n">
        <f aca="false">MIN(E5+E6,MAX(0,Asset_Rollup!E10))</f>
        <v>0</v>
      </c>
      <c r="F7" s="23" t="n">
        <f aca="false">MIN(F5+F6,MAX(0,Asset_Rollup!F10))</f>
        <v>0</v>
      </c>
      <c r="G7" s="23" t="n">
        <f aca="false">MIN(G5+G6,MAX(0,Asset_Rollup!G10))</f>
        <v>0</v>
      </c>
      <c r="H7" s="23" t="n">
        <f aca="false">MIN(H5+H6,MAX(0,Asset_Rollup!H10))</f>
        <v>75000000</v>
      </c>
      <c r="I7" s="23" t="n">
        <f aca="false">MIN(I5+I6,MAX(0,Asset_Rollup!I10))</f>
        <v>0</v>
      </c>
      <c r="J7" s="23" t="n">
        <f aca="false">MIN(J5+J6,MAX(0,Asset_Rollup!J10))</f>
        <v>0</v>
      </c>
      <c r="K7" s="23" t="n">
        <f aca="false">MIN(K5+K6,MAX(0,Asset_Rollup!K10))</f>
        <v>0</v>
      </c>
      <c r="L7" s="23" t="n">
        <f aca="false">MIN(L5+L6,MAX(0,Asset_Rollup!L10))</f>
        <v>0</v>
      </c>
    </row>
    <row r="8" customFormat="false" ht="15" hidden="false" customHeight="false" outlineLevel="0" collapsed="false">
      <c r="A8" s="6"/>
      <c r="B8" s="28" t="s">
        <v>145</v>
      </c>
      <c r="C8" s="29" t="n">
        <f aca="false">C5+C6-C7</f>
        <v>75000000</v>
      </c>
      <c r="D8" s="29" t="n">
        <f aca="false">D5+D6-D7</f>
        <v>75000000</v>
      </c>
      <c r="E8" s="29" t="n">
        <f aca="false">E5+E6-E7</f>
        <v>75000000</v>
      </c>
      <c r="F8" s="29" t="n">
        <f aca="false">F5+F6-F7</f>
        <v>75000000</v>
      </c>
      <c r="G8" s="29" t="n">
        <f aca="false">G5+G6-G7</f>
        <v>75000000</v>
      </c>
      <c r="H8" s="29" t="n">
        <f aca="false">H5+H6-H7</f>
        <v>0</v>
      </c>
      <c r="I8" s="29" t="n">
        <f aca="false">I5+I6-I7</f>
        <v>0</v>
      </c>
      <c r="J8" s="29" t="n">
        <f aca="false">J5+J6-J7</f>
        <v>0</v>
      </c>
      <c r="K8" s="29" t="n">
        <f aca="false">K5+K6-K7</f>
        <v>0</v>
      </c>
      <c r="L8" s="29" t="n">
        <f aca="false">L5+L6-L7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147</v>
      </c>
      <c r="C5" s="23" t="n">
        <f aca="false">MAX(0,Fund_Cash_Flow!C12)</f>
        <v>0</v>
      </c>
      <c r="D5" s="23" t="n">
        <f aca="false">MAX(0,Fund_Cash_Flow!D12)</f>
        <v>0</v>
      </c>
      <c r="E5" s="23" t="n">
        <f aca="false">MAX(0,Fund_Cash_Flow!E12)</f>
        <v>0</v>
      </c>
      <c r="F5" s="23" t="n">
        <f aca="false">MAX(0,Fund_Cash_Flow!F12)</f>
        <v>0</v>
      </c>
      <c r="G5" s="23" t="n">
        <f aca="false">MAX(0,Fund_Cash_Flow!G12)</f>
        <v>18391884.4</v>
      </c>
      <c r="H5" s="23" t="n">
        <f aca="false">MAX(0,Fund_Cash_Flow!H12)</f>
        <v>396705972.088</v>
      </c>
      <c r="I5" s="23" t="n">
        <f aca="false">MAX(0,Fund_Cash_Flow!I12)</f>
        <v>282047233.26488</v>
      </c>
      <c r="J5" s="23" t="n">
        <f aca="false">MAX(0,Fund_Cash_Flow!J12)</f>
        <v>184380271.172071</v>
      </c>
      <c r="K5" s="23" t="n">
        <f aca="false">MAX(0,Fund_Cash_Flow!K12)</f>
        <v>0</v>
      </c>
      <c r="L5" s="23" t="n">
        <f aca="false">MAX(0,Fund_Cash_Flow!L12)</f>
        <v>0</v>
      </c>
    </row>
    <row r="6" customFormat="false" ht="15" hidden="false" customHeight="false" outlineLevel="0" collapsed="false">
      <c r="A6" s="6"/>
      <c r="B6" s="26" t="s">
        <v>148</v>
      </c>
      <c r="C6" s="23" t="n">
        <f aca="false">C5</f>
        <v>0</v>
      </c>
      <c r="D6" s="23" t="n">
        <f aca="false">C6+D5</f>
        <v>0</v>
      </c>
      <c r="E6" s="23" t="n">
        <f aca="false">D6+E5</f>
        <v>0</v>
      </c>
      <c r="F6" s="23" t="n">
        <f aca="false">E6+F5</f>
        <v>0</v>
      </c>
      <c r="G6" s="23" t="n">
        <f aca="false">F6+G5</f>
        <v>18391884.4</v>
      </c>
      <c r="H6" s="23" t="n">
        <f aca="false">G6+H5</f>
        <v>415097856.488</v>
      </c>
      <c r="I6" s="23" t="n">
        <f aca="false">H6+I5</f>
        <v>697145089.75288</v>
      </c>
      <c r="J6" s="23" t="n">
        <f aca="false">I6+J5</f>
        <v>881525360.924951</v>
      </c>
      <c r="K6" s="23" t="n">
        <f aca="false">J6+K5</f>
        <v>881525360.924951</v>
      </c>
      <c r="L6" s="23" t="n">
        <f aca="false">K6+L5</f>
        <v>881525360.924951</v>
      </c>
    </row>
    <row r="7" customFormat="false" ht="15" hidden="false" customHeight="false" outlineLevel="0" collapsed="false">
      <c r="A7" s="6"/>
      <c r="B7" s="26" t="s">
        <v>149</v>
      </c>
      <c r="C7" s="23" t="n">
        <f aca="false">Fund_Cash_Flow!C13</f>
        <v>4373437.5</v>
      </c>
      <c r="D7" s="23" t="n">
        <f aca="false">C7+Fund_Cash_Flow!D13</f>
        <v>164040937.5</v>
      </c>
      <c r="E7" s="23" t="n">
        <f aca="false">D7+Fund_Cash_Flow!E13</f>
        <v>340040987.5</v>
      </c>
      <c r="F7" s="23" t="n">
        <f aca="false">E7+Fund_Cash_Flow!F13</f>
        <v>430569411.5</v>
      </c>
      <c r="G7" s="23" t="n">
        <f aca="false">F7+Fund_Cash_Flow!G13</f>
        <v>430569411.5</v>
      </c>
      <c r="H7" s="23" t="n">
        <f aca="false">G7+Fund_Cash_Flow!H13</f>
        <v>430569411.5</v>
      </c>
      <c r="I7" s="23" t="n">
        <f aca="false">H7+Fund_Cash_Flow!I13</f>
        <v>430569411.5</v>
      </c>
      <c r="J7" s="23" t="n">
        <f aca="false">I7+Fund_Cash_Flow!J13</f>
        <v>430569411.5</v>
      </c>
      <c r="K7" s="23" t="n">
        <f aca="false">J7+Fund_Cash_Flow!K13</f>
        <v>431506911.5</v>
      </c>
      <c r="L7" s="23" t="n">
        <f aca="false">K7+Fund_Cash_Flow!L13</f>
        <v>432444411.5</v>
      </c>
    </row>
    <row r="8" customFormat="false" ht="15" hidden="false" customHeight="false" outlineLevel="0" collapsed="false">
      <c r="A8" s="6"/>
      <c r="B8" s="16" t="s">
        <v>150</v>
      </c>
      <c r="C8" s="6"/>
      <c r="D8" s="6"/>
      <c r="E8" s="6"/>
      <c r="F8" s="6"/>
      <c r="G8" s="6"/>
      <c r="H8" s="6"/>
      <c r="I8" s="6"/>
      <c r="J8" s="6"/>
      <c r="K8" s="6"/>
      <c r="L8" s="6"/>
    </row>
    <row r="9" customFormat="false" ht="15" hidden="false" customHeight="false" outlineLevel="0" collapsed="false">
      <c r="A9" s="6"/>
      <c r="B9" s="26" t="s">
        <v>151</v>
      </c>
      <c r="C9" s="23" t="n">
        <f aca="false">C7</f>
        <v>4373437.5</v>
      </c>
      <c r="D9" s="23" t="n">
        <f aca="false">D7</f>
        <v>164040937.5</v>
      </c>
      <c r="E9" s="23" t="n">
        <f aca="false">E7</f>
        <v>340040987.5</v>
      </c>
      <c r="F9" s="23" t="n">
        <f aca="false">F7</f>
        <v>430569411.5</v>
      </c>
      <c r="G9" s="23" t="n">
        <f aca="false">G7</f>
        <v>430569411.5</v>
      </c>
      <c r="H9" s="23" t="n">
        <f aca="false">H7</f>
        <v>430569411.5</v>
      </c>
      <c r="I9" s="23" t="n">
        <f aca="false">I7</f>
        <v>430569411.5</v>
      </c>
      <c r="J9" s="23" t="n">
        <f aca="false">J7</f>
        <v>430569411.5</v>
      </c>
      <c r="K9" s="23" t="n">
        <f aca="false">K7</f>
        <v>431506911.5</v>
      </c>
      <c r="L9" s="23" t="n">
        <f aca="false">L7</f>
        <v>432444411.5</v>
      </c>
    </row>
    <row r="10" customFormat="false" ht="15" hidden="false" customHeight="false" outlineLevel="0" collapsed="false">
      <c r="A10" s="6"/>
      <c r="B10" s="26" t="s">
        <v>152</v>
      </c>
      <c r="C10" s="23" t="n">
        <f aca="false">MIN(C6,C9)</f>
        <v>0</v>
      </c>
      <c r="D10" s="23" t="n">
        <f aca="false">MIN(D6,D9)</f>
        <v>0</v>
      </c>
      <c r="E10" s="23" t="n">
        <f aca="false">MIN(E6,E9)</f>
        <v>0</v>
      </c>
      <c r="F10" s="23" t="n">
        <f aca="false">MIN(F6,F9)</f>
        <v>0</v>
      </c>
      <c r="G10" s="23" t="n">
        <f aca="false">MIN(G6,G9)</f>
        <v>18391884.4</v>
      </c>
      <c r="H10" s="23" t="n">
        <f aca="false">MIN(H6,H9)</f>
        <v>415097856.488</v>
      </c>
      <c r="I10" s="23" t="n">
        <f aca="false">MIN(I6,I9)</f>
        <v>430569411.5</v>
      </c>
      <c r="J10" s="23" t="n">
        <f aca="false">MIN(J6,J9)</f>
        <v>430569411.5</v>
      </c>
      <c r="K10" s="23" t="n">
        <f aca="false">MIN(K6,K9)</f>
        <v>431506911.5</v>
      </c>
      <c r="L10" s="23" t="n">
        <f aca="false">MIN(L6,L9)</f>
        <v>432444411.5</v>
      </c>
    </row>
    <row r="11" customFormat="false" ht="15" hidden="false" customHeight="false" outlineLevel="0" collapsed="false">
      <c r="A11" s="6"/>
      <c r="B11" s="26" t="s">
        <v>153</v>
      </c>
      <c r="C11" s="23" t="n">
        <f aca="false">IF(C5=0,0,C10)</f>
        <v>0</v>
      </c>
      <c r="D11" s="23" t="n">
        <f aca="false">IF(D5=0,0,D10-C10)</f>
        <v>0</v>
      </c>
      <c r="E11" s="23" t="n">
        <f aca="false">IF(E5=0,0,E10-D10)</f>
        <v>0</v>
      </c>
      <c r="F11" s="23" t="n">
        <f aca="false">IF(F5=0,0,F10-E10)</f>
        <v>0</v>
      </c>
      <c r="G11" s="23" t="n">
        <f aca="false">IF(G5=0,0,G10-F10)</f>
        <v>18391884.4</v>
      </c>
      <c r="H11" s="23" t="n">
        <f aca="false">IF(H5=0,0,H10-G10)</f>
        <v>396705972.088</v>
      </c>
      <c r="I11" s="23" t="n">
        <f aca="false">IF(I5=0,0,I10-H10)</f>
        <v>15471555.012</v>
      </c>
      <c r="J11" s="23" t="n">
        <f aca="false">IF(J5=0,0,J10-I10)</f>
        <v>0</v>
      </c>
      <c r="K11" s="23" t="n">
        <f aca="false">IF(K5=0,0,K10-J10)</f>
        <v>0</v>
      </c>
      <c r="L11" s="23" t="n">
        <f aca="false">IF(L5=0,0,L10-K10)</f>
        <v>0</v>
      </c>
    </row>
    <row r="12" customFormat="false" ht="15" hidden="false" customHeight="false" outlineLevel="0" collapsed="false">
      <c r="A12" s="6"/>
      <c r="B12" s="6"/>
      <c r="C12" s="6"/>
      <c r="D12" s="6"/>
      <c r="E12" s="6"/>
      <c r="F12" s="6"/>
      <c r="G12" s="6"/>
      <c r="H12" s="6"/>
      <c r="I12" s="6"/>
      <c r="J12" s="6"/>
      <c r="K12" s="6"/>
      <c r="L12" s="6"/>
    </row>
    <row r="13" customFormat="false" ht="15" hidden="false" customHeight="false" outlineLevel="0" collapsed="false">
      <c r="A13" s="6"/>
      <c r="B13" s="16" t="s">
        <v>154</v>
      </c>
      <c r="C13" s="6"/>
      <c r="D13" s="6"/>
      <c r="E13" s="6"/>
      <c r="F13" s="6"/>
      <c r="G13" s="6"/>
      <c r="H13" s="6"/>
      <c r="I13" s="6"/>
      <c r="J13" s="6"/>
      <c r="K13" s="6"/>
      <c r="L13" s="6"/>
    </row>
    <row r="14" customFormat="false" ht="15" hidden="false" customHeight="false" outlineLevel="0" collapsed="false">
      <c r="A14" s="6"/>
      <c r="B14" s="26" t="s">
        <v>155</v>
      </c>
      <c r="C14" s="23" t="n">
        <f aca="false">C7*(1+Pref_Return)^1</f>
        <v>4723312.5</v>
      </c>
      <c r="D14" s="23" t="n">
        <f aca="false">D7*(1+Pref_Return)^2</f>
        <v>191337349.5</v>
      </c>
      <c r="E14" s="23" t="n">
        <f aca="false">E7*(1+Pref_Return)^3</f>
        <v>428353712.4456</v>
      </c>
      <c r="F14" s="23" t="n">
        <f aca="false">F7*(1+Pref_Return)^4</f>
        <v>585784930.859447</v>
      </c>
      <c r="G14" s="23" t="n">
        <f aca="false">G7*(1+Pref_Return)^5</f>
        <v>632647725.328203</v>
      </c>
      <c r="H14" s="23" t="n">
        <f aca="false">H7*(1+Pref_Return)^6</f>
        <v>683259543.354459</v>
      </c>
      <c r="I14" s="23" t="n">
        <f aca="false">I7*(1+Pref_Return)^7</f>
        <v>737920306.822816</v>
      </c>
      <c r="J14" s="23" t="n">
        <f aca="false">J7*(1+Pref_Return)^8</f>
        <v>796953931.368641</v>
      </c>
      <c r="K14" s="23" t="n">
        <f aca="false">K7*(1+Pref_Return)^9</f>
        <v>862584312.716043</v>
      </c>
      <c r="L14" s="23" t="n">
        <f aca="false">L7*(1+Pref_Return)^10</f>
        <v>933615049.91827</v>
      </c>
    </row>
    <row r="15" customFormat="false" ht="15" hidden="false" customHeight="false" outlineLevel="0" collapsed="false">
      <c r="A15" s="6"/>
      <c r="B15" s="26" t="s">
        <v>156</v>
      </c>
      <c r="C15" s="23" t="n">
        <f aca="false">MAX(0,MIN(C6,C14)-C10)</f>
        <v>0</v>
      </c>
      <c r="D15" s="23" t="n">
        <f aca="false">MAX(0,MIN(D6,D14)-D10)</f>
        <v>0</v>
      </c>
      <c r="E15" s="23" t="n">
        <f aca="false">MAX(0,MIN(E6,E14)-E10)</f>
        <v>0</v>
      </c>
      <c r="F15" s="23" t="n">
        <f aca="false">MAX(0,MIN(F6,F14)-F10)</f>
        <v>0</v>
      </c>
      <c r="G15" s="23" t="n">
        <f aca="false">MAX(0,MIN(G6,G14)-G10)</f>
        <v>0</v>
      </c>
      <c r="H15" s="23" t="n">
        <f aca="false">MAX(0,MIN(H6,H14)-H10)</f>
        <v>0</v>
      </c>
      <c r="I15" s="23" t="n">
        <f aca="false">MAX(0,MIN(I6,I14)-I10)</f>
        <v>266575678.25288</v>
      </c>
      <c r="J15" s="23" t="n">
        <f aca="false">MAX(0,MIN(J6,J14)-J10)</f>
        <v>366384519.868641</v>
      </c>
      <c r="K15" s="23" t="n">
        <f aca="false">MAX(0,MIN(K6,K14)-K10)</f>
        <v>431077401.216043</v>
      </c>
      <c r="L15" s="23" t="n">
        <f aca="false">MAX(0,MIN(L6,L14)-L10)</f>
        <v>449080949.424951</v>
      </c>
    </row>
    <row r="16" customFormat="false" ht="15" hidden="false" customHeight="false" outlineLevel="0" collapsed="false">
      <c r="A16" s="6"/>
      <c r="B16" s="26" t="s">
        <v>157</v>
      </c>
      <c r="C16" s="23" t="n">
        <f aca="false">IF(C5=0,0,C15)</f>
        <v>0</v>
      </c>
      <c r="D16" s="23" t="n">
        <f aca="false">IF(D5=0,0,D15-C15)</f>
        <v>0</v>
      </c>
      <c r="E16" s="23" t="n">
        <f aca="false">IF(E5=0,0,E15-D15)</f>
        <v>0</v>
      </c>
      <c r="F16" s="23" t="n">
        <f aca="false">IF(F5=0,0,F15-E15)</f>
        <v>0</v>
      </c>
      <c r="G16" s="23" t="n">
        <f aca="false">IF(G5=0,0,G15-F15)</f>
        <v>0</v>
      </c>
      <c r="H16" s="23" t="n">
        <f aca="false">IF(H5=0,0,H15-G15)</f>
        <v>0</v>
      </c>
      <c r="I16" s="23" t="n">
        <f aca="false">IF(I5=0,0,I15-H15)</f>
        <v>266575678.25288</v>
      </c>
      <c r="J16" s="23" t="n">
        <f aca="false">IF(J5=0,0,J15-I15)</f>
        <v>99808841.6157614</v>
      </c>
      <c r="K16" s="23" t="n">
        <f aca="false">IF(K5=0,0,K15-J15)</f>
        <v>0</v>
      </c>
      <c r="L16" s="23" t="n">
        <f aca="false">IF(L5=0,0,L15-K15)</f>
        <v>0</v>
      </c>
    </row>
    <row r="17" customFormat="false" ht="15" hidden="false" customHeight="false" outlineLevel="0" collapsed="false">
      <c r="A17" s="6"/>
      <c r="B17" s="6"/>
      <c r="C17" s="6"/>
      <c r="D17" s="6"/>
      <c r="E17" s="6"/>
      <c r="F17" s="6"/>
      <c r="G17" s="6"/>
      <c r="H17" s="6"/>
      <c r="I17" s="6"/>
      <c r="J17" s="6"/>
      <c r="K17" s="6"/>
      <c r="L17" s="6"/>
    </row>
    <row r="18" customFormat="false" ht="15" hidden="false" customHeight="false" outlineLevel="0" collapsed="false">
      <c r="A18" s="6"/>
      <c r="B18" s="16" t="s">
        <v>158</v>
      </c>
      <c r="C18" s="6"/>
      <c r="D18" s="6"/>
      <c r="E18" s="6"/>
      <c r="F18" s="6"/>
      <c r="G18" s="6"/>
      <c r="H18" s="6"/>
      <c r="I18" s="6"/>
      <c r="J18" s="6"/>
      <c r="K18" s="6"/>
      <c r="L18" s="6"/>
    </row>
    <row r="19" customFormat="false" ht="15" hidden="false" customHeight="false" outlineLevel="0" collapsed="false">
      <c r="A19" s="6"/>
      <c r="B19" s="26" t="s">
        <v>159</v>
      </c>
      <c r="C19" s="23" t="n">
        <f aca="false">C14+(C10+C15)*Carry_Rate/(1-Carry_Rate)/Catchup_Rate</f>
        <v>4723312.5</v>
      </c>
      <c r="D19" s="23" t="n">
        <f aca="false">D14+(D10+D15)*Carry_Rate/(1-Carry_Rate)/Catchup_Rate</f>
        <v>191337349.5</v>
      </c>
      <c r="E19" s="23" t="n">
        <f aca="false">E14+(E10+E15)*Carry_Rate/(1-Carry_Rate)/Catchup_Rate</f>
        <v>428353712.4456</v>
      </c>
      <c r="F19" s="23" t="n">
        <f aca="false">F14+(F10+F15)*Carry_Rate/(1-Carry_Rate)/Catchup_Rate</f>
        <v>585784930.859447</v>
      </c>
      <c r="G19" s="23" t="n">
        <f aca="false">G14+(G10+G15)*Carry_Rate/(1-Carry_Rate)/Catchup_Rate</f>
        <v>641843667.528203</v>
      </c>
      <c r="H19" s="23" t="n">
        <f aca="false">H14+(H10+H15)*Carry_Rate/(1-Carry_Rate)/Catchup_Rate</f>
        <v>890808471.598459</v>
      </c>
      <c r="I19" s="23" t="n">
        <f aca="false">I14+(I10+I15)*Carry_Rate/(1-Carry_Rate)/Catchup_Rate</f>
        <v>1086492851.69926</v>
      </c>
      <c r="J19" s="23" t="n">
        <f aca="false">J14+(J10+J15)*Carry_Rate/(1-Carry_Rate)/Catchup_Rate</f>
        <v>1195430897.05296</v>
      </c>
      <c r="K19" s="23" t="n">
        <f aca="false">K14+(K10+K15)*Carry_Rate/(1-Carry_Rate)/Catchup_Rate</f>
        <v>1293876469.07406</v>
      </c>
      <c r="L19" s="23" t="n">
        <f aca="false">L14+(L10+L15)*Carry_Rate/(1-Carry_Rate)/Catchup_Rate</f>
        <v>1374377730.38075</v>
      </c>
    </row>
    <row r="20" customFormat="false" ht="15" hidden="false" customHeight="false" outlineLevel="0" collapsed="false">
      <c r="A20" s="6"/>
      <c r="B20" s="26" t="s">
        <v>160</v>
      </c>
      <c r="C20" s="23" t="n">
        <f aca="false">MAX(0,MIN(C6,C19)-C10-C15)</f>
        <v>0</v>
      </c>
      <c r="D20" s="23" t="n">
        <f aca="false">MAX(0,MIN(D6,D19)-D10-D15)</f>
        <v>0</v>
      </c>
      <c r="E20" s="23" t="n">
        <f aca="false">MAX(0,MIN(E6,E19)-E10-E15)</f>
        <v>0</v>
      </c>
      <c r="F20" s="23" t="n">
        <f aca="false">MAX(0,MIN(F6,F19)-F10-F15)</f>
        <v>0</v>
      </c>
      <c r="G20" s="23" t="n">
        <f aca="false">MAX(0,MIN(G6,G19)-G10-G15)</f>
        <v>0</v>
      </c>
      <c r="H20" s="23" t="n">
        <f aca="false">MAX(0,MIN(H6,H19)-H10-H15)</f>
        <v>0</v>
      </c>
      <c r="I20" s="23" t="n">
        <f aca="false">MAX(0,MIN(I6,I19)-I10-I15)</f>
        <v>0</v>
      </c>
      <c r="J20" s="23" t="n">
        <f aca="false">MAX(0,MIN(J6,J19)-J10-J15)</f>
        <v>84571429.5563097</v>
      </c>
      <c r="K20" s="23" t="n">
        <f aca="false">MAX(0,MIN(K6,K19)-K10-K15)</f>
        <v>18941048.2089078</v>
      </c>
      <c r="L20" s="23" t="n">
        <f aca="false">MAX(0,MIN(L6,L19)-L10-L15)</f>
        <v>0</v>
      </c>
    </row>
    <row r="21" customFormat="false" ht="15" hidden="false" customHeight="false" outlineLevel="0" collapsed="false">
      <c r="A21" s="6"/>
      <c r="B21" s="26" t="s">
        <v>161</v>
      </c>
      <c r="C21" s="23" t="n">
        <f aca="false">IF(C5=0,0,C20)</f>
        <v>0</v>
      </c>
      <c r="D21" s="23" t="n">
        <f aca="false">IF(D5=0,0,D20-C20)</f>
        <v>0</v>
      </c>
      <c r="E21" s="23" t="n">
        <f aca="false">IF(E5=0,0,E20-D20)</f>
        <v>0</v>
      </c>
      <c r="F21" s="23" t="n">
        <f aca="false">IF(F5=0,0,F20-E20)</f>
        <v>0</v>
      </c>
      <c r="G21" s="23" t="n">
        <f aca="false">IF(G5=0,0,G20-F20)</f>
        <v>0</v>
      </c>
      <c r="H21" s="23" t="n">
        <f aca="false">IF(H5=0,0,H20-G20)</f>
        <v>0</v>
      </c>
      <c r="I21" s="23" t="n">
        <f aca="false">IF(I5=0,0,I20-H20)</f>
        <v>0</v>
      </c>
      <c r="J21" s="23" t="n">
        <f aca="false">IF(J5=0,0,J20-I20)</f>
        <v>84571429.5563097</v>
      </c>
      <c r="K21" s="23" t="n">
        <f aca="false">IF(K5=0,0,K20-J20)</f>
        <v>0</v>
      </c>
      <c r="L21" s="23" t="n">
        <f aca="false">IF(L5=0,0,L20-K20)</f>
        <v>0</v>
      </c>
    </row>
    <row r="22" customFormat="false" ht="15" hidden="false" customHeight="false" outlineLevel="0" collapsed="false">
      <c r="A22" s="6"/>
      <c r="B22" s="6"/>
      <c r="C22" s="6"/>
      <c r="D22" s="6"/>
      <c r="E22" s="6"/>
      <c r="F22" s="6"/>
      <c r="G22" s="6"/>
      <c r="H22" s="6"/>
      <c r="I22" s="6"/>
      <c r="J22" s="6"/>
      <c r="K22" s="6"/>
      <c r="L22" s="6"/>
    </row>
    <row r="23" customFormat="false" ht="15" hidden="false" customHeight="false" outlineLevel="0" collapsed="false">
      <c r="A23" s="6"/>
      <c r="B23" s="16" t="s">
        <v>162</v>
      </c>
      <c r="C23" s="6"/>
      <c r="D23" s="6"/>
      <c r="E23" s="6"/>
      <c r="F23" s="6"/>
      <c r="G23" s="6"/>
      <c r="H23" s="6"/>
      <c r="I23" s="6"/>
      <c r="J23" s="6"/>
      <c r="K23" s="6"/>
      <c r="L23" s="6"/>
    </row>
    <row r="24" customFormat="false" ht="15" hidden="false" customHeight="false" outlineLevel="0" collapsed="false">
      <c r="A24" s="6"/>
      <c r="B24" s="26" t="s">
        <v>163</v>
      </c>
      <c r="C24" s="23" t="n">
        <f aca="false">MAX(0,C6-C10-C15-C20)</f>
        <v>0</v>
      </c>
      <c r="D24" s="23" t="n">
        <f aca="false">MAX(0,D6-D10-D15-D20)</f>
        <v>0</v>
      </c>
      <c r="E24" s="23" t="n">
        <f aca="false">MAX(0,E6-E10-E15-E20)</f>
        <v>0</v>
      </c>
      <c r="F24" s="23" t="n">
        <f aca="false">MAX(0,F6-F10-F15-F20)</f>
        <v>0</v>
      </c>
      <c r="G24" s="23" t="n">
        <f aca="false">MAX(0,G6-G10-G15-G20)</f>
        <v>0</v>
      </c>
      <c r="H24" s="23" t="n">
        <f aca="false">MAX(0,H6-H10-H15-H20)</f>
        <v>0</v>
      </c>
      <c r="I24" s="23" t="n">
        <f aca="false">MAX(0,I6-I10-I15-I20)</f>
        <v>0</v>
      </c>
      <c r="J24" s="23" t="n">
        <f aca="false">MAX(0,J6-J10-J15-J20)</f>
        <v>0</v>
      </c>
      <c r="K24" s="23" t="n">
        <f aca="false">MAX(0,K6-K10-K15-K20)</f>
        <v>0</v>
      </c>
      <c r="L24" s="23" t="n">
        <f aca="false">MAX(0,L6-L10-L15-L20)</f>
        <v>0</v>
      </c>
    </row>
    <row r="25" customFormat="false" ht="15" hidden="false" customHeight="false" outlineLevel="0" collapsed="false">
      <c r="A25" s="6"/>
      <c r="B25" s="26" t="s">
        <v>164</v>
      </c>
      <c r="C25" s="23" t="n">
        <f aca="false">IF(C5=0,0,C24)</f>
        <v>0</v>
      </c>
      <c r="D25" s="23" t="n">
        <f aca="false">IF(D5=0,0,D24-C24)</f>
        <v>0</v>
      </c>
      <c r="E25" s="23" t="n">
        <f aca="false">IF(E5=0,0,E24-D24)</f>
        <v>0</v>
      </c>
      <c r="F25" s="23" t="n">
        <f aca="false">IF(F5=0,0,F24-E24)</f>
        <v>0</v>
      </c>
      <c r="G25" s="23" t="n">
        <f aca="false">IF(G5=0,0,G24-F24)</f>
        <v>0</v>
      </c>
      <c r="H25" s="23" t="n">
        <f aca="false">IF(H5=0,0,H24-G24)</f>
        <v>0</v>
      </c>
      <c r="I25" s="23" t="n">
        <f aca="false">IF(I5=0,0,I24-H24)</f>
        <v>0</v>
      </c>
      <c r="J25" s="23" t="n">
        <f aca="false">IF(J5=0,0,J24-I24)</f>
        <v>0</v>
      </c>
      <c r="K25" s="23" t="n">
        <f aca="false">IF(K5=0,0,K24-J24)</f>
        <v>0</v>
      </c>
      <c r="L25" s="23" t="n">
        <f aca="false">IF(L5=0,0,L24-K24)</f>
        <v>0</v>
      </c>
    </row>
    <row r="26" customFormat="false" ht="15" hidden="false" customHeight="false" outlineLevel="0" collapsed="false">
      <c r="A26" s="6"/>
      <c r="B26" s="6"/>
      <c r="C26" s="6"/>
      <c r="D26" s="6"/>
      <c r="E26" s="6"/>
      <c r="F26" s="6"/>
      <c r="G26" s="6"/>
      <c r="H26" s="6"/>
      <c r="I26" s="6"/>
      <c r="J26" s="6"/>
      <c r="K26" s="6"/>
      <c r="L26" s="6"/>
    </row>
    <row r="27" customFormat="false" ht="15" hidden="false" customHeight="false" outlineLevel="0" collapsed="false">
      <c r="A27" s="6"/>
      <c r="B27" s="16" t="s">
        <v>165</v>
      </c>
      <c r="C27" s="6"/>
      <c r="D27" s="6"/>
      <c r="E27" s="6"/>
      <c r="F27" s="6"/>
      <c r="G27" s="6"/>
      <c r="H27" s="6"/>
      <c r="I27" s="6"/>
      <c r="J27" s="6"/>
      <c r="K27" s="6"/>
      <c r="L27" s="6"/>
    </row>
    <row r="28" customFormat="false" ht="15" hidden="false" customHeight="false" outlineLevel="0" collapsed="false">
      <c r="A28" s="6"/>
      <c r="B28" s="28" t="s">
        <v>166</v>
      </c>
      <c r="C28" s="29" t="n">
        <f aca="false">C11+C16+(1-Catchup_Rate)*C21+(1-Carry_Rate)*C25</f>
        <v>0</v>
      </c>
      <c r="D28" s="29" t="n">
        <f aca="false">D11+D16+(1-Catchup_Rate)*D21+(1-Carry_Rate)*D25</f>
        <v>0</v>
      </c>
      <c r="E28" s="29" t="n">
        <f aca="false">E11+E16+(1-Catchup_Rate)*E21+(1-Carry_Rate)*E25</f>
        <v>0</v>
      </c>
      <c r="F28" s="29" t="n">
        <f aca="false">F11+F16+(1-Catchup_Rate)*F21+(1-Carry_Rate)*F25</f>
        <v>0</v>
      </c>
      <c r="G28" s="29" t="n">
        <f aca="false">G11+G16+(1-Catchup_Rate)*G21+(1-Carry_Rate)*G25</f>
        <v>18391884.4</v>
      </c>
      <c r="H28" s="29" t="n">
        <f aca="false">H11+H16+(1-Catchup_Rate)*H21+(1-Carry_Rate)*H25</f>
        <v>396705972.088</v>
      </c>
      <c r="I28" s="29" t="n">
        <f aca="false">I11+I16+(1-Catchup_Rate)*I21+(1-Carry_Rate)*I25</f>
        <v>282047233.26488</v>
      </c>
      <c r="J28" s="29" t="n">
        <f aca="false">J11+J16+(1-Catchup_Rate)*J21+(1-Carry_Rate)*J25</f>
        <v>142094556.393916</v>
      </c>
      <c r="K28" s="29" t="n">
        <f aca="false">K11+K16+(1-Catchup_Rate)*K21+(1-Carry_Rate)*K25</f>
        <v>0</v>
      </c>
      <c r="L28" s="29" t="n">
        <f aca="false">L11+L16+(1-Catchup_Rate)*L21+(1-Carry_Rate)*L25</f>
        <v>0</v>
      </c>
    </row>
    <row r="29" customFormat="false" ht="15" hidden="false" customHeight="false" outlineLevel="0" collapsed="false">
      <c r="A29" s="6"/>
      <c r="B29" s="28" t="s">
        <v>167</v>
      </c>
      <c r="C29" s="29" t="n">
        <f aca="false">Catchup_Rate*C21+Carry_Rate*C25</f>
        <v>0</v>
      </c>
      <c r="D29" s="29" t="n">
        <f aca="false">Catchup_Rate*D21+Carry_Rate*D25</f>
        <v>0</v>
      </c>
      <c r="E29" s="29" t="n">
        <f aca="false">Catchup_Rate*E21+Carry_Rate*E25</f>
        <v>0</v>
      </c>
      <c r="F29" s="29" t="n">
        <f aca="false">Catchup_Rate*F21+Carry_Rate*F25</f>
        <v>0</v>
      </c>
      <c r="G29" s="29" t="n">
        <f aca="false">Catchup_Rate*G21+Carry_Rate*G25</f>
        <v>0</v>
      </c>
      <c r="H29" s="29" t="n">
        <f aca="false">Catchup_Rate*H21+Carry_Rate*H25</f>
        <v>0</v>
      </c>
      <c r="I29" s="29" t="n">
        <f aca="false">Catchup_Rate*I21+Carry_Rate*I25</f>
        <v>0</v>
      </c>
      <c r="J29" s="29" t="n">
        <f aca="false">Catchup_Rate*J21+Carry_Rate*J25</f>
        <v>42285714.7781549</v>
      </c>
      <c r="K29" s="29" t="n">
        <f aca="false">Catchup_Rate*K21+Carry_Rate*K25</f>
        <v>0</v>
      </c>
      <c r="L29" s="29" t="n">
        <f aca="false">Catchup_Rate*L21+Carry_Rate*L25</f>
        <v>0</v>
      </c>
    </row>
    <row r="30" customFormat="false" ht="15" hidden="false" customHeight="false" outlineLevel="0" collapsed="false">
      <c r="A30" s="6"/>
      <c r="B30" s="26" t="s">
        <v>168</v>
      </c>
      <c r="C30" s="23" t="n">
        <f aca="false">C28+C29-C5</f>
        <v>0</v>
      </c>
      <c r="D30" s="23" t="n">
        <f aca="false">D28+D29-D5</f>
        <v>0</v>
      </c>
      <c r="E30" s="23" t="n">
        <f aca="false">E28+E29-E5</f>
        <v>0</v>
      </c>
      <c r="F30" s="23" t="n">
        <f aca="false">F28+F29-F5</f>
        <v>0</v>
      </c>
      <c r="G30" s="23" t="n">
        <f aca="false">G28+G29-G5</f>
        <v>0</v>
      </c>
      <c r="H30" s="23" t="n">
        <f aca="false">H28+H29-H5</f>
        <v>0</v>
      </c>
      <c r="I30" s="23" t="n">
        <f aca="false">I28+I29-I5</f>
        <v>0</v>
      </c>
      <c r="J30" s="23" t="n">
        <f aca="false">J28+J29-J5</f>
        <v>0</v>
      </c>
      <c r="K30" s="23" t="n">
        <f aca="false">K28+K29-K5</f>
        <v>0</v>
      </c>
      <c r="L30" s="23" t="n">
        <f aca="false">L28+L29-L5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169</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170</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125</v>
      </c>
      <c r="C5" s="23" t="n">
        <f aca="false">Asset_Rollup!C11</f>
        <v>75000000</v>
      </c>
      <c r="D5" s="23" t="n">
        <f aca="false">Asset_Rollup!D11</f>
        <v>225000000</v>
      </c>
      <c r="E5" s="23" t="n">
        <f aca="false">Asset_Rollup!E11</f>
        <v>400000000</v>
      </c>
      <c r="F5" s="23" t="n">
        <f aca="false">Asset_Rollup!F11</f>
        <v>500000000</v>
      </c>
      <c r="G5" s="23" t="n">
        <f aca="false">Asset_Rollup!G11</f>
        <v>500000000</v>
      </c>
      <c r="H5" s="23" t="n">
        <f aca="false">Asset_Rollup!H11</f>
        <v>250000000</v>
      </c>
      <c r="I5" s="23" t="n">
        <f aca="false">Asset_Rollup!I11</f>
        <v>100000000</v>
      </c>
      <c r="J5" s="23" t="n">
        <f aca="false">Asset_Rollup!J11</f>
        <v>0</v>
      </c>
      <c r="K5" s="23" t="n">
        <f aca="false">Asset_Rollup!K11</f>
        <v>0</v>
      </c>
      <c r="L5" s="23" t="n">
        <f aca="false">Asset_Rollup!L11</f>
        <v>0</v>
      </c>
    </row>
    <row r="6" customFormat="false" ht="15" hidden="false" customHeight="false" outlineLevel="0" collapsed="false">
      <c r="A6" s="6"/>
      <c r="B6" s="26" t="s">
        <v>171</v>
      </c>
      <c r="C6" s="23" t="n">
        <f aca="false">C5*(Exit_Mult-1)*MIN(1,1/Avg_Hold)</f>
        <v>10000000</v>
      </c>
      <c r="D6" s="23" t="n">
        <f aca="false">D5*(Exit_Mult-1)*MIN(1,2/Avg_Hold)</f>
        <v>60000000</v>
      </c>
      <c r="E6" s="23" t="n">
        <f aca="false">E5*(Exit_Mult-1)*MIN(1,3/Avg_Hold)</f>
        <v>160000000</v>
      </c>
      <c r="F6" s="23" t="n">
        <f aca="false">F5*(Exit_Mult-1)*MIN(1,4/Avg_Hold)</f>
        <v>266666666.666667</v>
      </c>
      <c r="G6" s="23" t="n">
        <f aca="false">G5*(Exit_Mult-1)*MIN(1,5/Avg_Hold)</f>
        <v>333333333.333333</v>
      </c>
      <c r="H6" s="23" t="n">
        <f aca="false">H5*(Exit_Mult-1)*MIN(1,6/Avg_Hold)</f>
        <v>200000000</v>
      </c>
      <c r="I6" s="23" t="n">
        <f aca="false">I5*(Exit_Mult-1)*MIN(1,7/Avg_Hold)</f>
        <v>80000000</v>
      </c>
      <c r="J6" s="23" t="n">
        <f aca="false">J5*(Exit_Mult-1)*MIN(1,8/Avg_Hold)</f>
        <v>0</v>
      </c>
      <c r="K6" s="23" t="n">
        <f aca="false">K5*(Exit_Mult-1)*MIN(1,9/Avg_Hold)</f>
        <v>0</v>
      </c>
      <c r="L6" s="23" t="n">
        <f aca="false">L5*(Exit_Mult-1)*MIN(1,10/Avg_Hold)</f>
        <v>0</v>
      </c>
    </row>
    <row r="7" customFormat="false" ht="15" hidden="false" customHeight="false" outlineLevel="0" collapsed="false">
      <c r="A7" s="6"/>
      <c r="B7" s="28" t="s">
        <v>172</v>
      </c>
      <c r="C7" s="29" t="n">
        <f aca="false">C5+C6</f>
        <v>85000000</v>
      </c>
      <c r="D7" s="29" t="n">
        <f aca="false">D5+D6</f>
        <v>285000000</v>
      </c>
      <c r="E7" s="29" t="n">
        <f aca="false">E5+E6</f>
        <v>560000000</v>
      </c>
      <c r="F7" s="29" t="n">
        <f aca="false">F5+F6</f>
        <v>766666666.666667</v>
      </c>
      <c r="G7" s="29" t="n">
        <f aca="false">G5+G6</f>
        <v>833333333.333333</v>
      </c>
      <c r="H7" s="29" t="n">
        <f aca="false">H5+H6</f>
        <v>450000000</v>
      </c>
      <c r="I7" s="29" t="n">
        <f aca="false">I5+I6</f>
        <v>180000000</v>
      </c>
      <c r="J7" s="29" t="n">
        <f aca="false">J5+J6</f>
        <v>0</v>
      </c>
      <c r="K7" s="29" t="n">
        <f aca="false">K5+K6</f>
        <v>0</v>
      </c>
      <c r="L7" s="29" t="n">
        <f aca="false">L5+L6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173</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9"/>
      <c r="C4" s="25" t="s">
        <v>109</v>
      </c>
      <c r="D4" s="25" t="s">
        <v>110</v>
      </c>
      <c r="E4" s="25" t="s">
        <v>111</v>
      </c>
      <c r="F4" s="25" t="s">
        <v>112</v>
      </c>
      <c r="G4" s="25" t="s">
        <v>113</v>
      </c>
      <c r="H4" s="25" t="s">
        <v>114</v>
      </c>
      <c r="I4" s="25" t="s">
        <v>115</v>
      </c>
      <c r="J4" s="25" t="s">
        <v>116</v>
      </c>
      <c r="K4" s="25" t="s">
        <v>117</v>
      </c>
      <c r="L4" s="25" t="s">
        <v>118</v>
      </c>
    </row>
    <row r="5" customFormat="false" ht="15" hidden="false" customHeight="false" outlineLevel="0" collapsed="false">
      <c r="A5" s="6"/>
      <c r="B5" s="26" t="s">
        <v>174</v>
      </c>
      <c r="C5" s="23" t="n">
        <f aca="false">-Asset_Rollup!C5+Asset_Rollup!C10+Asset_Rollup!C12</f>
        <v>-70875000</v>
      </c>
      <c r="D5" s="23" t="n">
        <f aca="false">-Asset_Rollup!D5+Asset_Rollup!D10+Asset_Rollup!D12</f>
        <v>-145792500</v>
      </c>
      <c r="E5" s="23" t="n">
        <f aca="false">-Asset_Rollup!E5+Asset_Rollup!E10+Asset_Rollup!E12</f>
        <v>-162125050</v>
      </c>
      <c r="F5" s="23" t="n">
        <f aca="false">-Asset_Rollup!F5+Asset_Rollup!F10+Asset_Rollup!F12</f>
        <v>-76653424</v>
      </c>
      <c r="G5" s="23" t="n">
        <f aca="false">-Asset_Rollup!G5+Asset_Rollup!G10+Asset_Rollup!G12</f>
        <v>29766884.4</v>
      </c>
      <c r="H5" s="23" t="n">
        <f aca="false">-Asset_Rollup!H5+Asset_Rollup!H10+Asset_Rollup!H12</f>
        <v>480362222.088</v>
      </c>
      <c r="I5" s="23" t="n">
        <f aca="false">-Asset_Rollup!I5+Asset_Rollup!I10+Asset_Rollup!I12</f>
        <v>285484733.26488</v>
      </c>
      <c r="J5" s="23" t="n">
        <f aca="false">-Asset_Rollup!J5+Asset_Rollup!J10+Asset_Rollup!J12</f>
        <v>186317771.172071</v>
      </c>
      <c r="K5" s="23" t="n">
        <f aca="false">-Asset_Rollup!K5+Asset_Rollup!K10+Asset_Rollup!K12</f>
        <v>0</v>
      </c>
      <c r="L5" s="23" t="n">
        <f aca="false">-Asset_Rollup!L5+Asset_Rollup!L10+Asset_Rollup!L12</f>
        <v>0</v>
      </c>
    </row>
    <row r="6" customFormat="false" ht="15" hidden="false" customHeight="false" outlineLevel="0" collapsed="false">
      <c r="A6" s="6"/>
      <c r="B6" s="26" t="s">
        <v>175</v>
      </c>
      <c r="C6" s="23" t="n">
        <f aca="false">-Fund_Cash_Flow!C13+Waterfall!C28</f>
        <v>-4373437.5</v>
      </c>
      <c r="D6" s="23" t="n">
        <f aca="false">-Fund_Cash_Flow!D13+Waterfall!D28</f>
        <v>-159667500</v>
      </c>
      <c r="E6" s="23" t="n">
        <f aca="false">-Fund_Cash_Flow!E13+Waterfall!E28</f>
        <v>-176000050</v>
      </c>
      <c r="F6" s="23" t="n">
        <f aca="false">-Fund_Cash_Flow!F13+Waterfall!F28</f>
        <v>-90528424</v>
      </c>
      <c r="G6" s="23" t="n">
        <f aca="false">-Fund_Cash_Flow!G13+Waterfall!G28</f>
        <v>18391884.4</v>
      </c>
      <c r="H6" s="23" t="n">
        <f aca="false">-Fund_Cash_Flow!H13+Waterfall!H28</f>
        <v>396705972.088</v>
      </c>
      <c r="I6" s="23" t="n">
        <f aca="false">-Fund_Cash_Flow!I13+Waterfall!I28</f>
        <v>282047233.26488</v>
      </c>
      <c r="J6" s="23" t="n">
        <f aca="false">-Fund_Cash_Flow!J13+Waterfall!J28</f>
        <v>142094556.393916</v>
      </c>
      <c r="K6" s="23" t="n">
        <f aca="false">-Fund_Cash_Flow!K13+Waterfall!K28</f>
        <v>-937500</v>
      </c>
      <c r="L6" s="23" t="n">
        <f aca="false">-Fund_Cash_Flow!L13+Waterfall!L28</f>
        <v>-937500</v>
      </c>
    </row>
    <row r="7" customFormat="false" ht="15" hidden="false" customHeight="false" outlineLevel="0" collapsed="false">
      <c r="A7" s="6"/>
      <c r="B7" s="26" t="s">
        <v>176</v>
      </c>
      <c r="C7" s="23" t="n">
        <f aca="false">-(Fund_Cash_Flow!C13*0.01/0.99)+Waterfall!C29</f>
        <v>-44176.1363636364</v>
      </c>
      <c r="D7" s="23" t="n">
        <f aca="false">-(Fund_Cash_Flow!D13*0.01/0.99)+Waterfall!D29</f>
        <v>-1612803.03030303</v>
      </c>
      <c r="E7" s="23" t="n">
        <f aca="false">-(Fund_Cash_Flow!E13*0.01/0.99)+Waterfall!E29</f>
        <v>-1777778.28282828</v>
      </c>
      <c r="F7" s="23" t="n">
        <f aca="false">-(Fund_Cash_Flow!F13*0.01/0.99)+Waterfall!F29</f>
        <v>-914428.525252525</v>
      </c>
      <c r="G7" s="23" t="n">
        <f aca="false">-(Fund_Cash_Flow!G13*0.01/0.99)+Waterfall!G29</f>
        <v>0</v>
      </c>
      <c r="H7" s="23" t="n">
        <f aca="false">-(Fund_Cash_Flow!H13*0.01/0.99)+Waterfall!H29</f>
        <v>0</v>
      </c>
      <c r="I7" s="23" t="n">
        <f aca="false">-(Fund_Cash_Flow!I13*0.01/0.99)+Waterfall!I29</f>
        <v>0</v>
      </c>
      <c r="J7" s="23" t="n">
        <f aca="false">-(Fund_Cash_Flow!J13*0.01/0.99)+Waterfall!J29</f>
        <v>42285714.7781549</v>
      </c>
      <c r="K7" s="23" t="n">
        <f aca="false">-(Fund_Cash_Flow!K13*0.01/0.99)+Waterfall!K29</f>
        <v>-9469.69696969697</v>
      </c>
      <c r="L7" s="23" t="n">
        <f aca="false">-(Fund_Cash_Flow!L13*0.01/0.99)+Waterfall!L29</f>
        <v>-9469.69696969697</v>
      </c>
    </row>
    <row r="8" customFormat="false" ht="15" hidden="false" customHeight="false" outlineLevel="0" collapsed="false">
      <c r="A8" s="6"/>
      <c r="B8" s="16" t="s">
        <v>177</v>
      </c>
      <c r="C8" s="6"/>
      <c r="D8" s="6"/>
      <c r="E8" s="6"/>
      <c r="F8" s="6"/>
      <c r="G8" s="6"/>
      <c r="H8" s="6"/>
      <c r="I8" s="6"/>
      <c r="J8" s="6"/>
      <c r="K8" s="6"/>
      <c r="L8" s="6"/>
    </row>
    <row r="9" customFormat="false" ht="15" hidden="false" customHeight="false" outlineLevel="0" collapsed="false">
      <c r="A9" s="6"/>
      <c r="B9" s="8" t="s">
        <v>178</v>
      </c>
      <c r="C9" s="27" t="n">
        <f aca="false">IFERROR(IRR(C5:L5),"N/A")</f>
        <v>0.204684785511047</v>
      </c>
      <c r="D9" s="6"/>
      <c r="E9" s="6"/>
      <c r="F9" s="6"/>
      <c r="G9" s="6"/>
      <c r="H9" s="6"/>
      <c r="I9" s="6"/>
      <c r="J9" s="6"/>
      <c r="K9" s="6"/>
      <c r="L9" s="6"/>
    </row>
    <row r="10" customFormat="false" ht="15" hidden="false" customHeight="false" outlineLevel="0" collapsed="false">
      <c r="A10" s="6"/>
      <c r="B10" s="8" t="s">
        <v>179</v>
      </c>
      <c r="C10" s="27" t="n">
        <f aca="false">IFERROR(IRR(C6:L6),"N/A")</f>
        <v>0.189800650476104</v>
      </c>
      <c r="D10" s="6"/>
      <c r="E10" s="6"/>
      <c r="F10" s="6"/>
      <c r="G10" s="6"/>
      <c r="H10" s="6"/>
      <c r="I10" s="6"/>
      <c r="J10" s="6"/>
      <c r="K10" s="6"/>
      <c r="L10" s="6"/>
    </row>
    <row r="11" customFormat="false" ht="15" hidden="false" customHeight="false" outlineLevel="0" collapsed="false">
      <c r="A11" s="6"/>
      <c r="B11" s="8" t="s">
        <v>180</v>
      </c>
      <c r="C11" s="27" t="n">
        <f aca="false">IFERROR(IRR(C7:L7),"N/A")</f>
        <v>0.535428960475659</v>
      </c>
      <c r="D11" s="6"/>
      <c r="E11" s="6"/>
      <c r="F11" s="6"/>
      <c r="G11" s="6"/>
      <c r="H11" s="6"/>
      <c r="I11" s="6"/>
      <c r="J11" s="6"/>
      <c r="K11" s="6"/>
      <c r="L11" s="6"/>
    </row>
    <row r="12" customFormat="false" ht="15" hidden="false" customHeight="false" outlineLevel="0" collapsed="false">
      <c r="A12" s="6"/>
      <c r="B12" s="16" t="s">
        <v>181</v>
      </c>
      <c r="C12" s="6"/>
      <c r="D12" s="6"/>
      <c r="E12" s="6"/>
      <c r="F12" s="6"/>
      <c r="G12" s="6"/>
      <c r="H12" s="6"/>
      <c r="I12" s="6"/>
      <c r="J12" s="6"/>
      <c r="K12" s="6"/>
      <c r="L12" s="6"/>
    </row>
    <row r="13" customFormat="false" ht="15" hidden="false" customHeight="false" outlineLevel="0" collapsed="false">
      <c r="A13" s="6"/>
      <c r="B13" s="26" t="s">
        <v>182</v>
      </c>
      <c r="C13" s="30" t="n">
        <f aca="false">IFERROR(SUM(Waterfall!$C$28:C28)/SUM(Fund_Cash_Flow!$C$13:C13),0)</f>
        <v>0</v>
      </c>
      <c r="D13" s="30" t="n">
        <f aca="false">IFERROR(SUM(Waterfall!$C$28:D28)/SUM(Fund_Cash_Flow!$C$13:D13),0)</f>
        <v>0</v>
      </c>
      <c r="E13" s="30" t="n">
        <f aca="false">IFERROR(SUM(Waterfall!$C$28:E28)/SUM(Fund_Cash_Flow!$C$13:E13),0)</f>
        <v>0</v>
      </c>
      <c r="F13" s="30" t="n">
        <f aca="false">IFERROR(SUM(Waterfall!$C$28:F28)/SUM(Fund_Cash_Flow!$C$13:F13),0)</f>
        <v>0</v>
      </c>
      <c r="G13" s="30" t="n">
        <f aca="false">IFERROR(SUM(Waterfall!$C$28:G28)/SUM(Fund_Cash_Flow!$C$13:G13),0)</f>
        <v>0.0427152600922743</v>
      </c>
      <c r="H13" s="30" t="n">
        <f aca="false">IFERROR(SUM(Waterfall!$C$28:H28)/SUM(Fund_Cash_Flow!$C$13:H13),0)</f>
        <v>0.96406722215101</v>
      </c>
      <c r="I13" s="30" t="n">
        <f aca="false">IFERROR(SUM(Waterfall!$C$28:I28)/SUM(Fund_Cash_Flow!$C$13:I13),0)</f>
        <v>1.61912358642523</v>
      </c>
      <c r="J13" s="30" t="n">
        <f aca="false">IFERROR(SUM(Waterfall!$C$28:J28)/SUM(Fund_Cash_Flow!$C$13:J13),0)</f>
        <v>1.94913903248047</v>
      </c>
      <c r="K13" s="30" t="n">
        <f aca="false">IFERROR(SUM(Waterfall!$C$28:K28)/SUM(Fund_Cash_Flow!$C$13:K13),0)</f>
        <v>1.94490429650232</v>
      </c>
      <c r="L13" s="30" t="n">
        <f aca="false">IFERROR(SUM(Waterfall!$C$28:L28)/SUM(Fund_Cash_Flow!$C$13:L13),0)</f>
        <v>1.94068792156607</v>
      </c>
    </row>
    <row r="14" customFormat="false" ht="15" hidden="false" customHeight="false" outlineLevel="0" collapsed="false">
      <c r="A14" s="6"/>
      <c r="B14" s="26" t="s">
        <v>183</v>
      </c>
      <c r="C14" s="30" t="n">
        <f aca="false">IFERROR(Fund_NAV!C7/SUM(Fund_Cash_Flow!$C$13:C13),0)</f>
        <v>19.4355126831011</v>
      </c>
      <c r="D14" s="30" t="n">
        <f aca="false">IFERROR(Fund_NAV!D7/SUM(Fund_Cash_Flow!$C$13:D13),0)</f>
        <v>1.73737119735737</v>
      </c>
      <c r="E14" s="30" t="n">
        <f aca="false">IFERROR(Fund_NAV!E7/SUM(Fund_Cash_Flow!$C$13:E13),0)</f>
        <v>1.64686029209935</v>
      </c>
      <c r="F14" s="30" t="n">
        <f aca="false">IFERROR(Fund_NAV!F7/SUM(Fund_Cash_Flow!$C$13:F13),0)</f>
        <v>1.78058785921597</v>
      </c>
      <c r="G14" s="30" t="n">
        <f aca="false">IFERROR(Fund_NAV!G7/SUM(Fund_Cash_Flow!$C$13:G13),0)</f>
        <v>1.93542158610432</v>
      </c>
      <c r="H14" s="30" t="n">
        <f aca="false">IFERROR(Fund_NAV!H7/SUM(Fund_Cash_Flow!$C$13:H13),0)</f>
        <v>1.04512765649633</v>
      </c>
      <c r="I14" s="30" t="n">
        <f aca="false">IFERROR(Fund_NAV!I7/SUM(Fund_Cash_Flow!$C$13:I13),0)</f>
        <v>0.418051062598533</v>
      </c>
      <c r="J14" s="30" t="n">
        <f aca="false">IFERROR(Fund_NAV!J7/SUM(Fund_Cash_Flow!$C$13:J13),0)</f>
        <v>0</v>
      </c>
      <c r="K14" s="30" t="n">
        <f aca="false">IFERROR(Fund_NAV!K7/SUM(Fund_Cash_Flow!$C$13:K13),0)</f>
        <v>0</v>
      </c>
      <c r="L14" s="30" t="n">
        <f aca="false">IFERROR(Fund_NAV!L7/SUM(Fund_Cash_Flow!$C$13:L13),0)</f>
        <v>0</v>
      </c>
    </row>
    <row r="15" customFormat="false" ht="15" hidden="false" customHeight="false" outlineLevel="0" collapsed="false">
      <c r="A15" s="6"/>
      <c r="B15" s="26" t="s">
        <v>184</v>
      </c>
      <c r="C15" s="30" t="n">
        <f aca="false">C13+C14</f>
        <v>19.4355126831011</v>
      </c>
      <c r="D15" s="30" t="n">
        <f aca="false">D13+D14</f>
        <v>1.73737119735737</v>
      </c>
      <c r="E15" s="30" t="n">
        <f aca="false">E13+E14</f>
        <v>1.64686029209935</v>
      </c>
      <c r="F15" s="30" t="n">
        <f aca="false">F13+F14</f>
        <v>1.78058785921597</v>
      </c>
      <c r="G15" s="30" t="n">
        <f aca="false">G13+G14</f>
        <v>1.97813684619659</v>
      </c>
      <c r="H15" s="30" t="n">
        <f aca="false">H13+H14</f>
        <v>2.00919487864734</v>
      </c>
      <c r="I15" s="30" t="n">
        <f aca="false">I13+I14</f>
        <v>2.03717464902376</v>
      </c>
      <c r="J15" s="30" t="n">
        <f aca="false">J13+J14</f>
        <v>1.94913903248047</v>
      </c>
      <c r="K15" s="30" t="n">
        <f aca="false">K13+K14</f>
        <v>1.94490429650232</v>
      </c>
      <c r="L15" s="30" t="n">
        <f aca="false">L13+L14</f>
        <v>1.94068792156607</v>
      </c>
    </row>
    <row r="16" customFormat="false" ht="15" hidden="false" customHeight="false" outlineLevel="0" collapsed="false">
      <c r="A16" s="6"/>
      <c r="B16" s="8" t="s">
        <v>185</v>
      </c>
      <c r="C16" s="30" t="n">
        <f aca="false">IFERROR(SUM(Waterfall!C28:L28)/SUM(Fund_Cash_Flow!C13:L13),0)</f>
        <v>1.94068792156607</v>
      </c>
      <c r="D16" s="6"/>
      <c r="E16" s="6"/>
      <c r="F16" s="6"/>
      <c r="G16" s="6"/>
      <c r="H16" s="6"/>
      <c r="I16" s="6"/>
      <c r="J16" s="6"/>
      <c r="K16" s="6"/>
      <c r="L16" s="6"/>
    </row>
    <row r="17" customFormat="false" ht="15" hidden="false" customHeight="false" outlineLevel="0" collapsed="false">
      <c r="A17" s="6"/>
      <c r="B17" s="16" t="s">
        <v>186</v>
      </c>
      <c r="C17" s="6"/>
      <c r="D17" s="6"/>
      <c r="E17" s="6"/>
      <c r="F17" s="6"/>
      <c r="G17" s="6"/>
      <c r="H17" s="6"/>
      <c r="I17" s="6"/>
      <c r="J17" s="6"/>
      <c r="K17" s="6"/>
      <c r="L17" s="6"/>
    </row>
    <row r="18" customFormat="false" ht="15" hidden="false" customHeight="false" outlineLevel="0" collapsed="false">
      <c r="A18" s="6"/>
      <c r="B18" s="7" t="s">
        <v>94</v>
      </c>
      <c r="C18" s="31" t="n">
        <f aca="false">Target_IRR</f>
        <v>0.12</v>
      </c>
      <c r="D18" s="6"/>
      <c r="E18" s="6"/>
      <c r="F18" s="6"/>
      <c r="G18" s="6"/>
      <c r="H18" s="6"/>
      <c r="I18" s="6"/>
      <c r="J18" s="6"/>
      <c r="K18" s="6"/>
      <c r="L18" s="6"/>
    </row>
    <row r="19" customFormat="false" ht="15" hidden="false" customHeight="false" outlineLevel="0" collapsed="false">
      <c r="A19" s="6"/>
      <c r="B19" s="7" t="s">
        <v>187</v>
      </c>
      <c r="C19" s="31" t="n">
        <f aca="false">C10-C18</f>
        <v>0.0698006504761037</v>
      </c>
      <c r="D19" s="6"/>
      <c r="E19" s="6"/>
      <c r="F19" s="6"/>
      <c r="G19" s="6"/>
      <c r="H19" s="6"/>
      <c r="I19" s="6"/>
      <c r="J19" s="6"/>
      <c r="K19" s="6"/>
      <c r="L19"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2"/>
    <col collapsed="false" customWidth="true" hidden="false" outlineLevel="0" max="3" min="3" style="0" width="16"/>
    <col collapsed="false" customWidth="true" hidden="false" outlineLevel="0" max="4" min="4" style="0" width="1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188</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9" t="s">
        <v>189</v>
      </c>
      <c r="C4" s="9" t="s">
        <v>190</v>
      </c>
      <c r="D4" s="9" t="s">
        <v>191</v>
      </c>
    </row>
    <row r="5" customFormat="false" ht="15" hidden="false" customHeight="false" outlineLevel="0" collapsed="false">
      <c r="A5" s="6"/>
      <c r="B5" s="7" t="s">
        <v>192</v>
      </c>
      <c r="C5" s="32" t="b">
        <f aca="false">MAX(Asset_Rollup!C8:L8)&lt;=1.001</f>
        <v>1</v>
      </c>
      <c r="D5" s="33" t="str">
        <f aca="false">IF(C5,"PASS","FAIL")</f>
        <v>PASS</v>
      </c>
    </row>
    <row r="6" customFormat="false" ht="15" hidden="false" customHeight="false" outlineLevel="0" collapsed="false">
      <c r="A6" s="6"/>
      <c r="B6" s="7" t="s">
        <v>193</v>
      </c>
      <c r="C6" s="32" t="b">
        <f aca="false">ABS(Fund_NAV!L7)&lt;Fund_Size*0.001</f>
        <v>1</v>
      </c>
      <c r="D6" s="33" t="str">
        <f aca="false">IF(C6,"PASS","FAIL")</f>
        <v>PASS</v>
      </c>
    </row>
    <row r="7" customFormat="false" ht="15" hidden="false" customHeight="false" outlineLevel="0" collapsed="false">
      <c r="A7" s="6"/>
      <c r="B7" s="7" t="s">
        <v>194</v>
      </c>
      <c r="C7" s="32" t="b">
        <f aca="false">MIN(Sub_Line!C8:L8)&gt;=-1</f>
        <v>1</v>
      </c>
      <c r="D7" s="33" t="str">
        <f aca="false">IF(C7,"PASS","FAIL")</f>
        <v>PASS</v>
      </c>
    </row>
    <row r="8" customFormat="false" ht="15" hidden="false" customHeight="false" outlineLevel="0" collapsed="false">
      <c r="A8" s="6"/>
      <c r="B8" s="7" t="s">
        <v>195</v>
      </c>
      <c r="C8" s="32" t="b">
        <f aca="false">ABS(Sub_Line!L8)&lt;Fund_Size*0.001</f>
        <v>1</v>
      </c>
      <c r="D8" s="33" t="str">
        <f aca="false">IF(C8,"PASS","FAIL")</f>
        <v>PASS</v>
      </c>
    </row>
    <row r="9" customFormat="false" ht="15" hidden="false" customHeight="false" outlineLevel="0" collapsed="false">
      <c r="A9" s="6"/>
      <c r="B9" s="7" t="s">
        <v>196</v>
      </c>
      <c r="C9" s="32" t="b">
        <f aca="false">SUM(Fund_Cash_Flow!C13:L13)&lt;=Fund_Size*1.001</f>
        <v>1</v>
      </c>
      <c r="D9" s="33" t="str">
        <f aca="false">IF(C9,"PASS","FAIL")</f>
        <v>PASS</v>
      </c>
    </row>
    <row r="10" customFormat="false" ht="15" hidden="false" customHeight="false" outlineLevel="0" collapsed="false">
      <c r="A10" s="6"/>
      <c r="B10" s="7" t="s">
        <v>197</v>
      </c>
      <c r="C10" s="32" t="b">
        <f aca="false">ROUND(SUM(Waterfall!C28:L28)+SUM(Waterfall!C29:L29)-SUM(Waterfall!C5:L5),0)=0</f>
        <v>1</v>
      </c>
      <c r="D10" s="33" t="str">
        <f aca="false">IF(C10,"PASS","FAIL")</f>
        <v>PASS</v>
      </c>
    </row>
    <row r="11" customFormat="false" ht="15" hidden="false" customHeight="false" outlineLevel="0" collapsed="false">
      <c r="A11" s="6"/>
      <c r="B11" s="7" t="s">
        <v>198</v>
      </c>
      <c r="C11" s="32" t="b">
        <f aca="false">ROUND(Returns!L15-Returns!L13-Returns!L14,4)=0</f>
        <v>1</v>
      </c>
      <c r="D11" s="33" t="str">
        <f aca="false">IF(C11,"PASS","FAIL")</f>
        <v>PASS</v>
      </c>
    </row>
    <row r="12" customFormat="false" ht="15" hidden="false" customHeight="false" outlineLevel="0" collapsed="false">
      <c r="A12" s="6"/>
      <c r="B12" s="7" t="s">
        <v>199</v>
      </c>
      <c r="C12" s="32" t="b">
        <f aca="false">Returns!C9&gt;Returns!C10</f>
        <v>1</v>
      </c>
      <c r="D12" s="33" t="str">
        <f aca="false">IF(C12,"PASS","FAIL")</f>
        <v>PASS</v>
      </c>
    </row>
    <row r="13" customFormat="false" ht="15" hidden="false" customHeight="false" outlineLevel="0" collapsed="false">
      <c r="A13" s="6"/>
      <c r="B13" s="7" t="s">
        <v>200</v>
      </c>
      <c r="C13" s="32" t="b">
        <f aca="false">AND(Returns!C10&gt;0.05,Returns!C10&lt;0.3)</f>
        <v>1</v>
      </c>
      <c r="D13" s="33" t="str">
        <f aca="false">IF(C13,"PASS","FAIL")</f>
        <v>PASS</v>
      </c>
    </row>
    <row r="14" customFormat="false" ht="15" hidden="false" customHeight="false" outlineLevel="0" collapsed="false">
      <c r="A14" s="6"/>
      <c r="B14" s="7" t="s">
        <v>201</v>
      </c>
      <c r="C14" s="32" t="b">
        <f aca="false">ROUND(SUM(Asset_Rollup!C10:L10)-SUM(Asset_Rollup!C9:L9)*Exit_Mult,0)=0</f>
        <v>1</v>
      </c>
      <c r="D14" s="33" t="str">
        <f aca="false">IF(C14,"PASS","FAIL")</f>
        <v>PASS</v>
      </c>
    </row>
  </sheetData>
  <conditionalFormatting sqref="D5:D14">
    <cfRule type="cellIs" priority="2" operator="equal" aboveAverage="0" equalAverage="0" bottom="0" percent="0" rank="0" text="" dxfId="0">
      <formula>"PASS"</formula>
    </cfRule>
    <cfRule type="cellIs" priority="3" operator="equal" aboveAverage="0" equalAverage="0" bottom="0" percent="0" rank="0" text="" dxfId="1">
      <formula>"FAIL"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2026-05-15T18:53:39Z</dcterms:created>
  <dc:creator>openpyxl</dc:creator>
  <dc:description/>
  <dc:language>en-GB</dc:language>
  <cp:lastModifiedBy/>
  <dcterms:modified xsi:type="dcterms:W3CDTF">2026-05-15T18:53:40Z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