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remium_Build" sheetId="3" state="visible" r:id="rId5"/>
    <sheet name="Claims_Reserving" sheetId="4" state="visible" r:id="rId6"/>
    <sheet name="Investments" sheetId="5" state="visible" r:id="rId7"/>
    <sheet name="Opex_DAC" sheetId="6" state="visible" r:id="rId8"/>
    <sheet name="Income_Statement" sheetId="7" state="visible" r:id="rId9"/>
    <sheet name="Balance_Sheet" sheetId="8" state="visible" r:id="rId10"/>
    <sheet name="Cash_Flow" sheetId="9" state="visible" r:id="rId11"/>
    <sheet name="Capital_Adequacy" sheetId="10" state="visible" r:id="rId12"/>
    <sheet name="Returns_Valuation" sheetId="11" state="visible" r:id="rId13"/>
    <sheet name="Checks" sheetId="12" state="visible" r:id="rId14"/>
    <sheet name="Disclaimer" sheetId="13" state="visible" r:id="rId15"/>
  </sheets>
  <definedNames>
    <definedName function="false" hidden="false" name="Acq_Ratio" vbProcedure="false">Assumptions!$C$13</definedName>
    <definedName function="false" hidden="false" name="BS_Cash" vbProcedure="false">Balance_Sheet!$C$7</definedName>
    <definedName function="false" hidden="false" name="BS_Check" vbProcedure="false">Balance_Sheet!$C$32</definedName>
    <definedName function="false" hidden="false" name="BS_DAC" vbProcedure="false">Balance_Sheet!$C$8</definedName>
    <definedName function="false" hidden="false" name="BS_Debt_Close" vbProcedure="false">Balance_Sheet!$C$18</definedName>
    <definedName function="false" hidden="false" name="BS_Debt_Open" vbProcedure="false">Balance_Sheet!$C$16</definedName>
    <definedName function="false" hidden="false" name="BS_Debt_Rep" vbProcedure="false">Balance_Sheet!$C$17</definedName>
    <definedName function="false" hidden="false" name="BS_Div" vbProcedure="false">Balance_Sheet!$C$26</definedName>
    <definedName function="false" hidden="false" name="BS_Inv_Assets" vbProcedure="false">Balance_Sheet!$C$6</definedName>
    <definedName function="false" hidden="false" name="BS_Loss_Res" vbProcedure="false">Balance_Sheet!$C$15</definedName>
    <definedName function="false" hidden="false" name="BS_NI" vbProcedure="false">Balance_Sheet!$C$25</definedName>
    <definedName function="false" hidden="false" name="BS_Retro_Rec" vbProcedure="false">Balance_Sheet!$C$9</definedName>
    <definedName function="false" hidden="false" name="BS_RE_Close" vbProcedure="false">Balance_Sheet!$C$27</definedName>
    <definedName function="false" hidden="false" name="BS_RE_Open" vbProcedure="false">Balance_Sheet!$C$24</definedName>
    <definedName function="false" hidden="false" name="BS_Share_Cap" vbProcedure="false">Balance_Sheet!$C$23</definedName>
    <definedName function="false" hidden="false" name="BS_Total_Assets" vbProcedure="false">Balance_Sheet!$C$11</definedName>
    <definedName function="false" hidden="false" name="BS_Total_Equity" vbProcedure="false">Balance_Sheet!$C$29</definedName>
    <definedName function="false" hidden="false" name="BS_Total_LE" vbProcedure="false">Balance_Sheet!$C$31</definedName>
    <definedName function="false" hidden="false" name="BS_Total_Liab" vbProcedure="false">Balance_Sheet!$C$20</definedName>
    <definedName function="false" hidden="false" name="BS_UPR" vbProcedure="false">Balance_Sheet!$C$14</definedName>
    <definedName function="false" hidden="false" name="CA_Debt_Cap" vbProcedure="false">Capital_Adequacy!$C$14</definedName>
    <definedName function="false" hidden="false" name="CA_Debt_Eq" vbProcedure="false">Capital_Adequacy!$C$15</definedName>
    <definedName function="false" hidden="false" name="CA_Prem_Surplus" vbProcedure="false">Capital_Adequacy!$C$12</definedName>
    <definedName function="false" hidden="false" name="CA_Res_NEP" vbProcedure="false">Capital_Adequacy!$C$13</definedName>
    <definedName function="false" hidden="false" name="Cession_Rate" vbProcedure="false">Assumptions!$C$9</definedName>
    <definedName function="false" hidden="false" name="CF_Cash_Open" vbProcedure="false">Cash_Flow!$C$21</definedName>
    <definedName function="false" hidden="false" name="CF_CFF" vbProcedure="false">Cash_Flow!$C$18</definedName>
    <definedName function="false" hidden="false" name="CF_CFI" vbProcedure="false">Cash_Flow!$C$14</definedName>
    <definedName function="false" hidden="false" name="CF_Close_Cash" vbProcedure="false">Cash_Flow!$C$23</definedName>
    <definedName function="false" hidden="false" name="CF_NI" vbProcedure="false">Cash_Flow!$C$5</definedName>
    <definedName function="false" hidden="false" name="CF_OCF" vbProcedure="false">Cash_Flow!$C$11</definedName>
    <definedName function="false" hidden="false" name="Cost_of_Equity" vbProcedure="false">Assumptions!$C$40</definedName>
    <definedName function="false" hidden="false" name="CR_Curr_Total" vbProcedure="false">Claims_Reserving!$C$24</definedName>
    <definedName function="false" hidden="false" name="CR_Incurred" vbProcedure="false">Claims_Reserving!$C$5</definedName>
    <definedName function="false" hidden="false" name="CR_Open_Bal" vbProcedure="false">Claims_Reserving!$C$15</definedName>
    <definedName function="false" hidden="false" name="CR_Open_Total" vbProcedure="false">Claims_Reserving!$C$14</definedName>
    <definedName function="false" hidden="false" name="CR_Res_Close" vbProcedure="false">Claims_Reserving!$C$31</definedName>
    <definedName function="false" hidden="false" name="CR_Res_Open" vbProcedure="false">Claims_Reserving!$C$27</definedName>
    <definedName function="false" hidden="false" name="Curr_Pay_Y1" vbProcedure="false">Assumptions!$C$35</definedName>
    <definedName function="false" hidden="false" name="Curr_Pay_Y2" vbProcedure="false">Assumptions!$C$36</definedName>
    <definedName function="false" hidden="false" name="Curr_Pay_Y3" vbProcedure="false">Assumptions!$C$37</definedName>
    <definedName function="false" hidden="false" name="Curr_Pay_Y4" vbProcedure="false">Assumptions!$C$38</definedName>
    <definedName function="false" hidden="false" name="Curr_Pay_Y5" vbProcedure="false">Assumptions!$C$39</definedName>
    <definedName function="false" hidden="false" name="Debt_Rate" vbProcedure="false">Assumptions!$C$19</definedName>
    <definedName function="false" hidden="false" name="Debt_Rep_Y1" vbProcedure="false">Assumptions!$C$20</definedName>
    <definedName function="false" hidden="false" name="Debt_Rep_Y2" vbProcedure="false">Assumptions!$C$21</definedName>
    <definedName function="false" hidden="false" name="Debt_Rep_Y3" vbProcedure="false">Assumptions!$C$22</definedName>
    <definedName function="false" hidden="false" name="Debt_Rep_Y4" vbProcedure="false">Assumptions!$C$23</definedName>
    <definedName function="false" hidden="false" name="Debt_Rep_Y5" vbProcedure="false">Assumptions!$C$24</definedName>
    <definedName function="false" hidden="false" name="Div_Ratio" vbProcedure="false">Assumptions!$C$26</definedName>
    <definedName function="false" hidden="false" name="Earn_Y1" vbProcedure="false">Assumptions!$C$10</definedName>
    <definedName function="false" hidden="false" name="Earn_Y2" vbProcedure="false">Assumptions!$C$11</definedName>
    <definedName function="false" hidden="false" name="GA_Ratio" vbProcedure="false">Assumptions!$C$14</definedName>
    <definedName function="false" hidden="false" name="GWP_Base" vbProcedure="false">Assumptions!$C$7</definedName>
    <definedName function="false" hidden="false" name="GWP_Growth" vbProcedure="false">Assumptions!$C$8</definedName>
    <definedName function="false" hidden="false" name="INV_Close" vbProcedure="false">Investments!$C$12</definedName>
    <definedName function="false" hidden="false" name="INV_Income" vbProcedure="false">Investments!$C$14</definedName>
    <definedName function="false" hidden="false" name="INV_Open" vbProcedure="false">Investments!$C$5</definedName>
    <definedName function="false" hidden="false" name="INV_UW_CF" vbProcedure="false">Investments!$C$6</definedName>
    <definedName function="false" hidden="false" name="Inv_Yield" vbProcedure="false">Assumptions!$C$15</definedName>
    <definedName function="false" hidden="false" name="IS_Comb_Ratio" vbProcedure="false">Income_Statement!$C$23</definedName>
    <definedName function="false" hidden="false" name="IS_DAC_Amort" vbProcedure="false">Income_Statement!$C$7</definedName>
    <definedName function="false" hidden="false" name="IS_Dividends" vbProcedure="false">Income_Statement!$C$19</definedName>
    <definedName function="false" hidden="false" name="IS_EBIT" vbProcedure="false">Income_Statement!$C$13</definedName>
    <definedName function="false" hidden="false" name="IS_EBT" vbProcedure="false">Income_Statement!$C$15</definedName>
    <definedName function="false" hidden="false" name="IS_Exp_Ratio" vbProcedure="false">Income_Statement!$C$22</definedName>
    <definedName function="false" hidden="false" name="IS_GA" vbProcedure="false">Income_Statement!$C$8</definedName>
    <definedName function="false" hidden="false" name="IS_Incurred" vbProcedure="false">Income_Statement!$C$6</definedName>
    <definedName function="false" hidden="false" name="IS_Interest" vbProcedure="false">Income_Statement!$C$14</definedName>
    <definedName function="false" hidden="false" name="IS_Inv_Income" vbProcedure="false">Income_Statement!$C$11</definedName>
    <definedName function="false" hidden="false" name="IS_Loss_Ratio" vbProcedure="false">Income_Statement!$C$21</definedName>
    <definedName function="false" hidden="false" name="IS_NEP" vbProcedure="false">Income_Statement!$C$5</definedName>
    <definedName function="false" hidden="false" name="IS_Net_Income" vbProcedure="false">Income_Statement!$C$17</definedName>
    <definedName function="false" hidden="false" name="IS_Tax" vbProcedure="false">Income_Statement!$C$16</definedName>
    <definedName function="false" hidden="false" name="IS_UW_Profit" vbProcedure="false">Income_Statement!$C$9</definedName>
    <definedName function="false" hidden="false" name="Loss_Ratio" vbProcedure="false">Assumptions!$C$12</definedName>
    <definedName function="false" hidden="false" name="OD_Acq_Written" vbProcedure="false">Opex_DAC!$C$5</definedName>
    <definedName function="false" hidden="false" name="OD_DAC_Amort" vbProcedure="false">Opex_DAC!$C$8</definedName>
    <definedName function="false" hidden="false" name="OD_DAC_Close" vbProcedure="false">Opex_DAC!$C$7</definedName>
    <definedName function="false" hidden="false" name="OD_DAC_Open" vbProcedure="false">Opex_DAC!$C$6</definedName>
    <definedName function="false" hidden="false" name="OD_GA" vbProcedure="false">Opex_DAC!$C$10</definedName>
    <definedName function="false" hidden="false" name="Open_Cash" vbProcedure="false">Assumptions!$C$29</definedName>
    <definedName function="false" hidden="false" name="Open_Debt" vbProcedure="false">Assumptions!$C$18</definedName>
    <definedName function="false" hidden="false" name="Open_Inv_Assets" vbProcedure="false">Assumptions!$C$16</definedName>
    <definedName function="false" hidden="false" name="Open_Loss_Res" vbProcedure="false">Assumptions!$C$17</definedName>
    <definedName function="false" hidden="false" name="Open_Pay_Y1" vbProcedure="false">Assumptions!$C$30</definedName>
    <definedName function="false" hidden="false" name="Open_Pay_Y2" vbProcedure="false">Assumptions!$C$31</definedName>
    <definedName function="false" hidden="false" name="Open_Pay_Y3" vbProcedure="false">Assumptions!$C$32</definedName>
    <definedName function="false" hidden="false" name="Open_Pay_Y4" vbProcedure="false">Assumptions!$C$33</definedName>
    <definedName function="false" hidden="false" name="Open_Pay_Y5" vbProcedure="false">Assumptions!$C$34</definedName>
    <definedName function="false" hidden="false" name="Open_RE" vbProcedure="false">Assumptions!$C$28</definedName>
    <definedName function="false" hidden="false" name="PB_GWP" vbProcedure="false">Premium_Build!$C$5</definedName>
    <definedName function="false" hidden="false" name="PB_NEP" vbProcedure="false">Premium_Build!$C$14</definedName>
    <definedName function="false" hidden="false" name="PB_NWP" vbProcedure="false">Premium_Build!$C$7</definedName>
    <definedName function="false" hidden="false" name="PB_UPR_Close" vbProcedure="false">Premium_Build!$C$12</definedName>
    <definedName function="false" hidden="false" name="PB_UPR_Open" vbProcedure="false">Premium_Build!$C$9</definedName>
    <definedName function="false" hidden="false" name="RV_BVPS" vbProcedure="false">Returns_Valuation!$C$10</definedName>
    <definedName function="false" hidden="false" name="RV_DDM" vbProcedure="false">Returns_Valuation!$C$22</definedName>
    <definedName function="false" hidden="false" name="RV_DDM_PS" vbProcedure="false">Returns_Valuation!$C$23</definedName>
    <definedName function="false" hidden="false" name="RV_ROE" vbProcedure="false">Returns_Valuation!$C$9</definedName>
    <definedName function="false" hidden="false" name="Shares_Out" vbProcedure="false">Assumptions!$C$42</definedName>
    <definedName function="false" hidden="false" name="Share_Capital" vbProcedure="false">Assumptions!$C$27</definedName>
    <definedName function="false" hidden="false" name="Tax_Rate" vbProcedure="false">Assumptions!$C$25</definedName>
    <definedName function="false" hidden="false" name="Terminal_PB" vbProcedure="false">Assumptions!$C$41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<sst xmlns="http://schemas.openxmlformats.org/spreadsheetml/2006/main" count="357" uniqueCount="266">
  <si>
    <t xml:space="preserve">Reinsurance Company — Financial Model</t>
  </si>
  <si>
    <t xml:space="preserve">FINAMODEL.com</t>
  </si>
  <si>
    <t xml:space="preserve">5-Year Projection | Base Case</t>
  </si>
  <si>
    <t xml:space="preserve">Prepared by:</t>
  </si>
  <si>
    <t xml:space="preserve">Date:</t>
  </si>
  <si>
    <t xml:space="preserve">Version:</t>
  </si>
  <si>
    <t xml:space="preserve">1.0</t>
  </si>
  <si>
    <t xml:space="preserve">This model is for illustrative and planning purposes only. All projections are based on assumptions and do not constitute financial advice.</t>
  </si>
  <si>
    <t xml:space="preserve">About this model</t>
  </si>
  <si>
    <t xml:space="preserve">Model reinsurance underwriting profit, loss reserves, and investment income for a multi-line reinsurer navigating hard and soft market cycles. This template projects gross written premium (GWP) with cession rates for retrocession, calculates net earned premium (NEP) using two-year earning patterns (policies earn 50% in year written, 50% next year), and applies loss ratios and expense ratios to compute combined ratio. Reserve adequacy is tracked through reserve development and loss payout triangles.
The workbook contains a premium building sheet with NWP and UPR (unearned premium reserve) roll-forwards, a claims reserving sheet tracking incurred losses by cohort and payout patterns over 5+ years (long-tail lines carry reserves forward multiple years), an opex sheet with acquisition cost deferral via DAC (deferred acquisition costs), and an income statement combining underwriting profit (NEP less incurred losses and expenses) with investment income from the float. The balance sheet tracks loss reserves, DAC, and retro recoverables (receivables from retrocessionaires). Key ratios include loss ratio, expense ratio, combined ratio (target â¤95% for profitability), and premium/surplus ratio.
Target users are reinsurance company CFOs, insurance-focused PE investors, underwriting managers, and analysts evaluating reinsurers by underwriting cycle and investment performance in the $500M to $10B market cap range.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</si>
  <si>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</si>
  <si>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</si>
  <si>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</si>
  <si>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</si>
  <si>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</si>
  <si>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Parameter</t>
  </si>
  <si>
    <t xml:space="preserve">Value</t>
  </si>
  <si>
    <t xml:space="preserve">Unit</t>
  </si>
  <si>
    <t xml:space="preserve">Notes</t>
  </si>
  <si>
    <t xml:space="preserve">Rows 5-6 reserved for scenario toggle</t>
  </si>
  <si>
    <t xml:space="preserve">GWP Base</t>
  </si>
  <si>
    <t xml:space="preserve">M</t>
  </si>
  <si>
    <t xml:space="preserve">Opening GWP (Y0 base for Y1 growth)</t>
  </si>
  <si>
    <t xml:space="preserve">GWP Growth</t>
  </si>
  <si>
    <t xml:space="preserve">%</t>
  </si>
  <si>
    <t xml:space="preserve">Annual GWP growth rate</t>
  </si>
  <si>
    <t xml:space="preserve">Cession Rate</t>
  </si>
  <si>
    <t xml:space="preserve">Retrocession cession rate</t>
  </si>
  <si>
    <t xml:space="preserve">Earn Y1</t>
  </si>
  <si>
    <t xml:space="preserve">Premium earning in year written</t>
  </si>
  <si>
    <t xml:space="preserve">Earn Y2</t>
  </si>
  <si>
    <t xml:space="preserve">Premium earning in following year</t>
  </si>
  <si>
    <t xml:space="preserve">Loss Ratio</t>
  </si>
  <si>
    <t xml:space="preserve">Incurred losses / NEP</t>
  </si>
  <si>
    <t xml:space="preserve">Acq Ratio</t>
  </si>
  <si>
    <t xml:space="preserve">Acquisition costs / NWP</t>
  </si>
  <si>
    <t xml:space="preserve">GA Ratio</t>
  </si>
  <si>
    <t xml:space="preserve">G&amp;A expenses / NEP</t>
  </si>
  <si>
    <t xml:space="preserve">Inv Yield</t>
  </si>
  <si>
    <t xml:space="preserve">Investment yield on opening invested assets</t>
  </si>
  <si>
    <t xml:space="preserve">Open Inv Assets</t>
  </si>
  <si>
    <t xml:space="preserve">Opening invested assets (Y0)</t>
  </si>
  <si>
    <t xml:space="preserve">Open Loss Res</t>
  </si>
  <si>
    <t xml:space="preserve">Opening loss reserve (prior cohort)</t>
  </si>
  <si>
    <t xml:space="preserve">Open Debt</t>
  </si>
  <si>
    <t xml:space="preserve">Opening debt balance (Y0)</t>
  </si>
  <si>
    <t xml:space="preserve">Debt Rate</t>
  </si>
  <si>
    <t xml:space="preserve">Interest rate on debt</t>
  </si>
  <si>
    <t xml:space="preserve">Debt Rep Y1</t>
  </si>
  <si>
    <t xml:space="preserve">Principal repayment Y1</t>
  </si>
  <si>
    <t xml:space="preserve">Debt Rep Y2</t>
  </si>
  <si>
    <t xml:space="preserve">Principal repayment Y2</t>
  </si>
  <si>
    <t xml:space="preserve">Debt Rep Y3</t>
  </si>
  <si>
    <t xml:space="preserve">Principal repayment Y3</t>
  </si>
  <si>
    <t xml:space="preserve">Debt Rep Y4</t>
  </si>
  <si>
    <t xml:space="preserve">Principal repayment Y4</t>
  </si>
  <si>
    <t xml:space="preserve">Debt Rep Y5</t>
  </si>
  <si>
    <t xml:space="preserve">Principal repayment Y5</t>
  </si>
  <si>
    <t xml:space="preserve">Tax Rate</t>
  </si>
  <si>
    <t xml:space="preserve">Corporate tax rate</t>
  </si>
  <si>
    <t xml:space="preserve">Div Ratio</t>
  </si>
  <si>
    <t xml:space="preserve">Dividend payout ratio (% of NI)</t>
  </si>
  <si>
    <t xml:space="preserve">Share Capital</t>
  </si>
  <si>
    <t xml:space="preserve">Fixed share capital throughout</t>
  </si>
  <si>
    <t xml:space="preserve">Open RE</t>
  </si>
  <si>
    <t xml:space="preserve">Opening retained earnings (Y0)</t>
  </si>
  <si>
    <t xml:space="preserve">Open Cash</t>
  </si>
  <si>
    <t xml:space="preserve">Opening cash balance (Y0)</t>
  </si>
  <si>
    <t xml:space="preserve">Open Pay Y1</t>
  </si>
  <si>
    <t xml:space="preserve">Opening cohort payout % Y1</t>
  </si>
  <si>
    <t xml:space="preserve">Open Pay Y2</t>
  </si>
  <si>
    <t xml:space="preserve">Opening cohort payout % Y2</t>
  </si>
  <si>
    <t xml:space="preserve">Open Pay Y3</t>
  </si>
  <si>
    <t xml:space="preserve">Opening cohort payout % Y3</t>
  </si>
  <si>
    <t xml:space="preserve">Open Pay Y4</t>
  </si>
  <si>
    <t xml:space="preserve">Opening cohort payout % Y4</t>
  </si>
  <si>
    <t xml:space="preserve">Open Pay Y5</t>
  </si>
  <si>
    <t xml:space="preserve">Opening cohort payout % Y5</t>
  </si>
  <si>
    <t xml:space="preserve">Curr Pay Y1</t>
  </si>
  <si>
    <t xml:space="preserve">Current cohort payout % in Y1 of cohort</t>
  </si>
  <si>
    <t xml:space="preserve">Curr Pay Y2</t>
  </si>
  <si>
    <t xml:space="preserve">Current cohort payout % in Y2 of cohort</t>
  </si>
  <si>
    <t xml:space="preserve">Curr Pay Y3</t>
  </si>
  <si>
    <t xml:space="preserve">Current cohort payout % in Y3 of cohort</t>
  </si>
  <si>
    <t xml:space="preserve">Curr Pay Y4</t>
  </si>
  <si>
    <t xml:space="preserve">Current cohort payout % in Y4 of cohort</t>
  </si>
  <si>
    <t xml:space="preserve">Curr Pay Y5</t>
  </si>
  <si>
    <t xml:space="preserve">Current cohort payout % in Y5 of cohort</t>
  </si>
  <si>
    <t xml:space="preserve">Cost of Equity</t>
  </si>
  <si>
    <t xml:space="preserve">DDM discount rate</t>
  </si>
  <si>
    <t xml:space="preserve">Terminal PB</t>
  </si>
  <si>
    <t xml:space="preserve">x</t>
  </si>
  <si>
    <t xml:space="preserve">Terminal P/B multiple for DDM</t>
  </si>
  <si>
    <t xml:space="preserve">Shares Out</t>
  </si>
  <si>
    <t xml:space="preserve">M shares</t>
  </si>
  <si>
    <t xml:space="preserve">Shares outstanding</t>
  </si>
  <si>
    <t xml:space="preserve">Premium Build</t>
  </si>
  <si>
    <t xml:space="preserve">Written and Earned Premium Schedule</t>
  </si>
  <si>
    <t xml:space="preserve">Y1</t>
  </si>
  <si>
    <t xml:space="preserve">Y2</t>
  </si>
  <si>
    <t xml:space="preserve">Y3</t>
  </si>
  <si>
    <t xml:space="preserve">Y4</t>
  </si>
  <si>
    <t xml:space="preserve">Y5</t>
  </si>
  <si>
    <t xml:space="preserve">GWP</t>
  </si>
  <si>
    <t xml:space="preserve">Retrocession</t>
  </si>
  <si>
    <t xml:space="preserve">NWP</t>
  </si>
  <si>
    <t xml:space="preserve">UPR Open</t>
  </si>
  <si>
    <t xml:space="preserve">UPR Additions</t>
  </si>
  <si>
    <t xml:space="preserve">UPR Released</t>
  </si>
  <si>
    <t xml:space="preserve">UPR Close</t>
  </si>
  <si>
    <t xml:space="preserve">NEP</t>
  </si>
  <si>
    <t xml:space="preserve">Claims Reserving</t>
  </si>
  <si>
    <t xml:space="preserve">Loss Reserve Roll-Forward</t>
  </si>
  <si>
    <t xml:space="preserve">Incurred Losses</t>
  </si>
  <si>
    <t xml:space="preserve">Opening Cohort Run-Off</t>
  </si>
  <si>
    <t xml:space="preserve">Open Cohort Pay Y1</t>
  </si>
  <si>
    <t xml:space="preserve">Open Cohort Pay Y2</t>
  </si>
  <si>
    <t xml:space="preserve">Open Cohort Pay Y3</t>
  </si>
  <si>
    <t xml:space="preserve">Open Cohort Pay Y4</t>
  </si>
  <si>
    <t xml:space="preserve">Open Cohort Pay Y5</t>
  </si>
  <si>
    <t xml:space="preserve">Open Cohort Total Paid</t>
  </si>
  <si>
    <t xml:space="preserve">Open Cohort Balance</t>
  </si>
  <si>
    <t xml:space="preserve">Current Cohort Payouts</t>
  </si>
  <si>
    <t xml:space="preserve">Cohort Y1 Paid</t>
  </si>
  <si>
    <t xml:space="preserve">Cohort Y2 Paid</t>
  </si>
  <si>
    <t xml:space="preserve">Cohort Y3 Paid</t>
  </si>
  <si>
    <t xml:space="preserve">Cohort Y4 Paid</t>
  </si>
  <si>
    <t xml:space="preserve">Cohort Y5 Paid</t>
  </si>
  <si>
    <t xml:space="preserve">Total Current Paid</t>
  </si>
  <si>
    <t xml:space="preserve">Res Open</t>
  </si>
  <si>
    <t xml:space="preserve">Incurred</t>
  </si>
  <si>
    <t xml:space="preserve">Paid (Current)</t>
  </si>
  <si>
    <t xml:space="preserve">Paid (Opening)</t>
  </si>
  <si>
    <t xml:space="preserve">Res Close</t>
  </si>
  <si>
    <t xml:space="preserve">Investments</t>
  </si>
  <si>
    <t xml:space="preserve">Invested Asset Roll-Forward</t>
  </si>
  <si>
    <t xml:space="preserve">Inv Assets Open</t>
  </si>
  <si>
    <t xml:space="preserve">UW Cash Flow</t>
  </si>
  <si>
    <t xml:space="preserve">Debt Interest Paid</t>
  </si>
  <si>
    <t xml:space="preserve">Tax Paid</t>
  </si>
  <si>
    <t xml:space="preserve">Dividends Paid</t>
  </si>
  <si>
    <t xml:space="preserve">Debt Repaid</t>
  </si>
  <si>
    <t xml:space="preserve">Net CF to Portfolio</t>
  </si>
  <si>
    <t xml:space="preserve">Inv Assets Close</t>
  </si>
  <si>
    <t xml:space="preserve">Investment Income</t>
  </si>
  <si>
    <t xml:space="preserve">Opex &amp; DAC</t>
  </si>
  <si>
    <t xml:space="preserve">Acquisition Costs and G&amp;A Expenses</t>
  </si>
  <si>
    <t xml:space="preserve">Acquisition Costs</t>
  </si>
  <si>
    <t xml:space="preserve">Acq Cost Written</t>
  </si>
  <si>
    <t xml:space="preserve">DAC Open</t>
  </si>
  <si>
    <t xml:space="preserve">DAC Close</t>
  </si>
  <si>
    <t xml:space="preserve">DAC Amort</t>
  </si>
  <si>
    <t xml:space="preserve">G&amp;A Expenses</t>
  </si>
  <si>
    <t xml:space="preserve">G&amp;A Expense</t>
  </si>
  <si>
    <t xml:space="preserve">Income Statement</t>
  </si>
  <si>
    <t xml:space="preserve">5-Year Projection</t>
  </si>
  <si>
    <t xml:space="preserve">DAC Amortisation</t>
  </si>
  <si>
    <t xml:space="preserve">UW Profit</t>
  </si>
  <si>
    <t xml:space="preserve">EBIT</t>
  </si>
  <si>
    <t xml:space="preserve">Interest Expense</t>
  </si>
  <si>
    <t xml:space="preserve">EBT</t>
  </si>
  <si>
    <t xml:space="preserve">Tax</t>
  </si>
  <si>
    <t xml:space="preserve">Net Income</t>
  </si>
  <si>
    <t xml:space="preserve">Dividends</t>
  </si>
  <si>
    <t xml:space="preserve">Expense Ratio</t>
  </si>
  <si>
    <t xml:space="preserve">Combined Ratio</t>
  </si>
  <si>
    <t xml:space="preserve">Balance Sheet</t>
  </si>
  <si>
    <t xml:space="preserve">Year-End Positions</t>
  </si>
  <si>
    <t xml:space="preserve">ASSETS</t>
  </si>
  <si>
    <t xml:space="preserve">Invested Assets</t>
  </si>
  <si>
    <t xml:space="preserve">Cash</t>
  </si>
  <si>
    <t xml:space="preserve">DAC</t>
  </si>
  <si>
    <t xml:space="preserve">Retro Recoverables</t>
  </si>
  <si>
    <t xml:space="preserve">TOTAL ASSETS</t>
  </si>
  <si>
    <t xml:space="preserve">LIABILITIES</t>
  </si>
  <si>
    <t xml:space="preserve">UPR</t>
  </si>
  <si>
    <t xml:space="preserve">Loss Reserves</t>
  </si>
  <si>
    <t xml:space="preserve">Debt Open</t>
  </si>
  <si>
    <t xml:space="preserve">Debt Repayment</t>
  </si>
  <si>
    <t xml:space="preserve">Debt Close</t>
  </si>
  <si>
    <t xml:space="preserve">TOTAL LIABILITIES</t>
  </si>
  <si>
    <t xml:space="preserve">EQUITY</t>
  </si>
  <si>
    <t xml:space="preserve">RE Open</t>
  </si>
  <si>
    <t xml:space="preserve">RE Close</t>
  </si>
  <si>
    <t xml:space="preserve">TOTAL EQUITY</t>
  </si>
  <si>
    <t xml:space="preserve">TOTAL L&amp;E</t>
  </si>
  <si>
    <t xml:space="preserve">BS Check</t>
  </si>
  <si>
    <t xml:space="preserve">Cash Flow Statement</t>
  </si>
  <si>
    <t xml:space="preserve">Indirect Method</t>
  </si>
  <si>
    <t xml:space="preserve">Operating Cash Flow</t>
  </si>
  <si>
    <t xml:space="preserve">Working Capital Adjustments</t>
  </si>
  <si>
    <t xml:space="preserve">  Chg UPR</t>
  </si>
  <si>
    <t xml:space="preserve">  Chg Loss Res</t>
  </si>
  <si>
    <t xml:space="preserve">  Chg DAC</t>
  </si>
  <si>
    <t xml:space="preserve">  Chg Retro Rec</t>
  </si>
  <si>
    <t xml:space="preserve">Operating CF</t>
  </si>
  <si>
    <t xml:space="preserve">Investing Cash Flow</t>
  </si>
  <si>
    <t xml:space="preserve">  Chg Inv Assets</t>
  </si>
  <si>
    <t xml:space="preserve">Investing CF</t>
  </si>
  <si>
    <t xml:space="preserve">Financing Cash Flow</t>
  </si>
  <si>
    <t xml:space="preserve">  Debt Repayment</t>
  </si>
  <si>
    <t xml:space="preserve">  Dividends Paid</t>
  </si>
  <si>
    <t xml:space="preserve">Financing CF</t>
  </si>
  <si>
    <t xml:space="preserve">Cash Roll</t>
  </si>
  <si>
    <t xml:space="preserve">Cash Open</t>
  </si>
  <si>
    <t xml:space="preserve">Net Change in Cash</t>
  </si>
  <si>
    <t xml:space="preserve">Cash Close</t>
  </si>
  <si>
    <t xml:space="preserve">Capital Adequacy</t>
  </si>
  <si>
    <t xml:space="preserve">Solvency and Leverage Ratios</t>
  </si>
  <si>
    <t xml:space="preserve">Total Equity</t>
  </si>
  <si>
    <t xml:space="preserve">Debt</t>
  </si>
  <si>
    <t xml:space="preserve">Total Capital</t>
  </si>
  <si>
    <t xml:space="preserve">Premium / Surplus</t>
  </si>
  <si>
    <t xml:space="preserve">Reserve / NEP</t>
  </si>
  <si>
    <t xml:space="preserve">Debt / Capital</t>
  </si>
  <si>
    <t xml:space="preserve">Debt / Equity</t>
  </si>
  <si>
    <t xml:space="preserve">Returns &amp; Valuation</t>
  </si>
  <si>
    <t xml:space="preserve">ROE and DDM Equity Value</t>
  </si>
  <si>
    <t xml:space="preserve">Returns</t>
  </si>
  <si>
    <t xml:space="preserve">NI</t>
  </si>
  <si>
    <t xml:space="preserve">Equity Open</t>
  </si>
  <si>
    <t xml:space="preserve">Equity Close</t>
  </si>
  <si>
    <t xml:space="preserve">Avg Equity</t>
  </si>
  <si>
    <t xml:space="preserve">ROE</t>
  </si>
  <si>
    <t xml:space="preserve">BVPS</t>
  </si>
  <si>
    <t xml:space="preserve">DPS</t>
  </si>
  <si>
    <t xml:space="preserve">DDM Valuation</t>
  </si>
  <si>
    <t xml:space="preserve">Discount Factor Y1</t>
  </si>
  <si>
    <t xml:space="preserve">Discount Factor Y2</t>
  </si>
  <si>
    <t xml:space="preserve">Discount Factor Y3</t>
  </si>
  <si>
    <t xml:space="preserve">Discount Factor Y4</t>
  </si>
  <si>
    <t xml:space="preserve">Discount Factor Y5</t>
  </si>
  <si>
    <t xml:space="preserve">PV Dividends</t>
  </si>
  <si>
    <t xml:space="preserve">Terminal Value</t>
  </si>
  <si>
    <t xml:space="preserve">DDM Equity Value</t>
  </si>
  <si>
    <t xml:space="preserve">DDM Value Per Share</t>
  </si>
  <si>
    <t xml:space="preserve">Model Checks</t>
  </si>
  <si>
    <t xml:space="preserve">All checks should return TRUE</t>
  </si>
  <si>
    <t xml:space="preserve">BS Balance</t>
  </si>
  <si>
    <t xml:space="preserve">Combined Ratio Identity</t>
  </si>
  <si>
    <t xml:space="preserve">Loss Res Non-Negative</t>
  </si>
  <si>
    <t xml:space="preserve">DAC &lt;= UPR</t>
  </si>
  <si>
    <t xml:space="preserve">Dividends Non-Negative</t>
  </si>
  <si>
    <t xml:space="preserve">P/S &lt; 2x</t>
  </si>
  <si>
    <t xml:space="preserve">RE Accumulation</t>
  </si>
  <si>
    <t xml:space="preserve">Cash Tie</t>
  </si>
  <si>
    <t xml:space="preserve">Open Payout Sum = 1</t>
  </si>
  <si>
    <t xml:space="preserve">Debt Declining Y3+</t>
  </si>
  <si>
    <t xml:space="preserve">ALL CHECKS PASS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</si>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</sst>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5">
    <numFmt numFmtId="164" formatCode="General"/>
    <numFmt numFmtId="165" formatCode="#,##0.00"/>
    <numFmt numFmtId="166" formatCode="0.00%"/>
    <numFmt numFmtId="167" formatCode="0.00\x"/>
    <numFmt numFmtId="168" formatCode="0.0000"/>
  </numFmts>
  <fonts count="30">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0"/>
      <color rgb="FF000000"/>
      <name val="Arial"/>
      <family val="0"/>
      <charset val="1"/>
    </font>
    <font>
      <sz val="10"/>
      <color rgb="FF000000"/>
      <name val="Arial"/>
      <family val="0"/>
      <charset val="1"/>
    </font>
    <font>
      <i val="true"/>
      <sz val="8"/>
      <color rgb="FF595959"/>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2"/>
      <color theme="0"/>
      <name val="Arial"/>
      <family val="0"/>
      <charset val="1"/>
    </font>
    <font>
      <b val="true"/>
      <sz val="10"/>
      <color theme="0"/>
      <name val="Arial"/>
      <family val="0"/>
      <charset val="1"/>
    </font>
    <font>
      <i val="true"/>
      <sz val="10"/>
      <color rgb="FF595959"/>
      <name val="Arial"/>
      <family val="0"/>
      <charset val="1"/>
    </font>
    <font>
      <sz val="10"/>
      <color theme="3"/>
      <name val="Arial"/>
      <family val="0"/>
      <charset val="1"/>
    </font>
    <font>
      <i val="true"/>
      <sz val="10"/>
      <color theme="0"/>
      <name val="Arial"/>
      <family val="0"/>
      <charset val="1"/>
    </font>
    <font>
      <b val="true"/>
      <sz val="10"/>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7">
    <fill>
      <patternFill patternType="none"/>
    </fill>
    <fill>
      <patternFill patternType="gray125"/>
    </fill>
    <fill>
      <patternFill patternType="solid">
        <fgColor theme="3"/>
        <bgColor rgb="FF1F4E79"/>
      </patternFill>
    </fill>
    <fill>
      <patternFill patternType="solid">
        <fgColor rgb="FFD6E4F0"/>
        <bgColor rgb="FFF2F2F2"/>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14" fillId="3"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2"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5" fontId="21" fillId="4" borderId="0" xfId="0" applyFont="true" applyBorder="false" applyAlignment="true" applyProtection="false">
      <alignment horizontal="right" vertical="center" textRotation="0" wrapText="false" indent="0" shrinkToFit="false"/>
      <protection locked="true" hidden="false"/>
    </xf>
    <xf numFmtId="166" fontId="21" fillId="4" borderId="0" xfId="0" applyFont="true" applyBorder="false" applyAlignment="true" applyProtection="false">
      <alignment horizontal="right" vertical="center" textRotation="0" wrapText="false" indent="0" shrinkToFit="false"/>
      <protection locked="true" hidden="false"/>
    </xf>
    <xf numFmtId="167" fontId="21" fillId="4" borderId="0" xfId="0" applyFont="true" applyBorder="false" applyAlignment="true" applyProtection="false">
      <alignment horizontal="right" vertical="center" textRotation="0" wrapText="false" indent="0" shrinkToFit="false"/>
      <protection locked="true" hidden="false"/>
    </xf>
    <xf numFmtId="164" fontId="18" fillId="2" borderId="0" xfId="0" applyFont="true" applyBorder="false" applyAlignment="true" applyProtection="false">
      <alignment horizontal="left" vertical="center" textRotation="0" wrapText="false" indent="0" shrinkToFit="false"/>
      <protection locked="true" hidden="false"/>
    </xf>
    <xf numFmtId="164" fontId="22" fillId="2" borderId="0" xfId="0" applyFont="true" applyBorder="false" applyAlignment="true" applyProtection="false">
      <alignment horizontal="left" vertical="center" textRotation="0" wrapText="false" indent="0" shrinkToFit="false"/>
      <protection locked="true" hidden="false"/>
    </xf>
    <xf numFmtId="165" fontId="11"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5" fontId="10" fillId="0" borderId="1" xfId="0" applyFont="true" applyBorder="true" applyAlignment="true" applyProtection="false">
      <alignment horizontal="right" vertical="center" textRotation="0" wrapText="false" indent="0" shrinkToFit="false"/>
      <protection locked="true" hidden="false"/>
    </xf>
    <xf numFmtId="165" fontId="10" fillId="0" borderId="2" xfId="0" applyFont="true" applyBorder="true" applyAlignment="true" applyProtection="false">
      <alignment horizontal="right" vertical="center"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5" fontId="23" fillId="0" borderId="0" xfId="0" applyFont="true" applyBorder="false" applyAlignment="true" applyProtection="false">
      <alignment horizontal="right" vertical="center"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8" fontId="11" fillId="0" borderId="0" xfId="0" applyFont="true" applyBorder="false" applyAlignment="true" applyProtection="false">
      <alignment horizontal="right" vertical="center" textRotation="0" wrapText="false" indent="0" shrinkToFit="false"/>
      <protection locked="true" hidden="false"/>
    </xf>
    <xf numFmtId="164" fontId="10" fillId="0" borderId="2"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0" borderId="2"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25" fillId="5" borderId="0" xfId="0" applyFont="true" applyBorder="false" applyAlignment="true" applyProtection="false">
      <alignment horizontal="left" vertical="center" textRotation="0" wrapText="false" indent="1" shrinkToFit="false"/>
      <protection locked="true" hidden="false"/>
    </xf>
    <xf numFmtId="164" fontId="26" fillId="0"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8" fillId="6" borderId="0" xfId="0" applyFont="true" applyBorder="false" applyAlignment="true" applyProtection="false">
      <alignment horizontal="left" vertical="top" textRotation="0" wrapText="true" indent="1" shrinkToFit="false"/>
      <protection locked="true" hidden="false"/>
    </xf>
    <xf numFmtId="164" fontId="29"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 min="3" style="0" width="30"/>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7" t="s">
        <v>3</v>
      </c>
      <c r="C5" s="8"/>
    </row>
    <row r="6" customFormat="false" ht="15" hidden="false" customHeight="false" outlineLevel="0" collapsed="false">
      <c r="A6" s="6"/>
      <c r="B6" s="7" t="s">
        <v>4</v>
      </c>
      <c r="C6" s="8"/>
    </row>
    <row r="7" customFormat="false" ht="15" hidden="false" customHeight="false" outlineLevel="0" collapsed="false">
      <c r="A7" s="6"/>
      <c r="B7" s="7" t="s">
        <v>5</v>
      </c>
      <c r="C7" s="8" t="s">
        <v>6</v>
      </c>
    </row>
    <row r="8" customFormat="false" ht="15" hidden="false" customHeight="false" outlineLevel="0" collapsed="false">
      <c r="A8" s="6"/>
      <c r="B8" s="6"/>
      <c r="C8" s="6"/>
    </row>
    <row r="9" customFormat="false" ht="15" hidden="false" customHeight="false" outlineLevel="0" collapsed="false">
      <c r="A9" s="6"/>
      <c r="B9" s="9" t="s">
        <v>7</v>
      </c>
      <c r="C9" s="6"/>
    </row>
    <row r="12" customFormat="false" ht="19.5" hidden="false" customHeight="true" outlineLevel="0" collapsed="false">
      <c r="B12" s="10" t="s">
        <v>8</v>
      </c>
      <c r="C12" s="11"/>
      <c r="D12" s="11"/>
      <c r="E12" s="11"/>
      <c r="F12" s="11"/>
      <c r="G12" s="11"/>
    </row>
    <row r="13" customFormat="false" ht="208.5" hidden="false" customHeight="true" outlineLevel="0" collapsed="false">
      <c r="B13" s="12" t="s">
        <v>9</v>
      </c>
      <c r="C13" s="12"/>
      <c r="D13" s="12"/>
      <c r="E13" s="12"/>
      <c r="F13" s="12"/>
      <c r="G13" s="12"/>
    </row>
    <row r="15" customFormat="false" ht="19.5" hidden="false" customHeight="true" outlineLevel="0" collapsed="false">
      <c r="B15" s="10" t="s">
        <v>10</v>
      </c>
      <c r="C15" s="11"/>
      <c r="D15" s="11"/>
      <c r="E15" s="11"/>
      <c r="F15" s="11"/>
      <c r="G15" s="11"/>
    </row>
    <row r="16" customFormat="false" ht="57" hidden="false" customHeight="true" outlineLevel="0" collapsed="false">
      <c r="B16" s="12" t="s">
        <v>11</v>
      </c>
      <c r="C16" s="12"/>
      <c r="D16" s="12"/>
      <c r="E16" s="12"/>
      <c r="F16" s="12"/>
      <c r="G16" s="12"/>
    </row>
    <row r="17" customFormat="false" ht="15" hidden="false" customHeight="false" outlineLevel="0" collapsed="false">
      <c r="B17" s="13" t="s">
        <v>12</v>
      </c>
      <c r="C17" s="13"/>
      <c r="D17" s="13"/>
      <c r="E17" s="13"/>
      <c r="F17" s="13"/>
      <c r="G17" s="13"/>
    </row>
    <row r="18" customFormat="false" ht="15" hidden="false" customHeight="false" outlineLevel="0" collapsed="false">
      <c r="B18" s="14" t="s">
        <v>13</v>
      </c>
    </row>
  </sheetData>
  <mergeCells count="3">
    <mergeCell ref="B13:G13"/>
    <mergeCell ref="B16:G16"/>
    <mergeCell ref="B17:G17"/>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2" t="s">
        <v>207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3" t="s">
        <v>208</v>
      </c>
      <c r="C3" s="16" t="s">
        <v>98</v>
      </c>
      <c r="D3" s="16" t="s">
        <v>99</v>
      </c>
      <c r="E3" s="16" t="s">
        <v>100</v>
      </c>
      <c r="F3" s="16" t="s">
        <v>101</v>
      </c>
      <c r="G3" s="16" t="s">
        <v>102</v>
      </c>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18" t="s">
        <v>105</v>
      </c>
      <c r="C5" s="24" t="n">
        <f aca="false">Premium_Build!C7</f>
        <v>1908</v>
      </c>
      <c r="D5" s="24" t="n">
        <f aca="false">Premium_Build!D7</f>
        <v>2022.48</v>
      </c>
      <c r="E5" s="24" t="n">
        <f aca="false">Premium_Build!E7</f>
        <v>2143.8288</v>
      </c>
      <c r="F5" s="24" t="n">
        <f aca="false">Premium_Build!F7</f>
        <v>2272.458528</v>
      </c>
      <c r="G5" s="24" t="n">
        <f aca="false">Premium_Build!G7</f>
        <v>2408.80603968</v>
      </c>
    </row>
    <row r="6" customFormat="false" ht="15" hidden="false" customHeight="false" outlineLevel="0" collapsed="false">
      <c r="A6" s="6"/>
      <c r="B6" s="18" t="s">
        <v>209</v>
      </c>
      <c r="C6" s="24" t="n">
        <f aca="false">Balance_Sheet!C29</f>
        <v>2750.2483</v>
      </c>
      <c r="D6" s="24" t="n">
        <f aca="false">Balance_Sheet!D29</f>
        <v>2917.859877739</v>
      </c>
      <c r="E6" s="24" t="n">
        <f aca="false">Balance_Sheet!E29</f>
        <v>3087.16336503292</v>
      </c>
      <c r="F6" s="24" t="n">
        <f aca="false">Balance_Sheet!F29</f>
        <v>3253.36226136859</v>
      </c>
      <c r="G6" s="24" t="n">
        <f aca="false">Balance_Sheet!G29</f>
        <v>3416.33981551915</v>
      </c>
    </row>
    <row r="7" customFormat="false" ht="15" hidden="false" customHeight="false" outlineLevel="0" collapsed="false">
      <c r="A7" s="6"/>
      <c r="B7" s="18" t="s">
        <v>176</v>
      </c>
      <c r="C7" s="24" t="n">
        <f aca="false">Balance_Sheet!C15</f>
        <v>3089.08</v>
      </c>
      <c r="D7" s="24" t="n">
        <f aca="false">Balance_Sheet!D15</f>
        <v>3124.4748</v>
      </c>
      <c r="E7" s="24" t="n">
        <f aca="false">Balance_Sheet!E15</f>
        <v>2898.218288</v>
      </c>
      <c r="F7" s="24" t="n">
        <f aca="false">Balance_Sheet!F15</f>
        <v>2640.12138528</v>
      </c>
      <c r="G7" s="24" t="n">
        <f aca="false">Balance_Sheet!G15</f>
        <v>2401.0286683968</v>
      </c>
    </row>
    <row r="8" customFormat="false" ht="15" hidden="false" customHeight="false" outlineLevel="0" collapsed="false">
      <c r="A8" s="6"/>
      <c r="B8" s="18" t="s">
        <v>110</v>
      </c>
      <c r="C8" s="24" t="n">
        <f aca="false">Premium_Build!C14</f>
        <v>1854</v>
      </c>
      <c r="D8" s="24" t="n">
        <f aca="false">Premium_Build!D14</f>
        <v>1965.24</v>
      </c>
      <c r="E8" s="24" t="n">
        <f aca="false">Premium_Build!E14</f>
        <v>2083.1544</v>
      </c>
      <c r="F8" s="24" t="n">
        <f aca="false">Premium_Build!F14</f>
        <v>2208.143664</v>
      </c>
      <c r="G8" s="24" t="n">
        <f aca="false">Premium_Build!G14</f>
        <v>2340.63228384</v>
      </c>
    </row>
    <row r="9" customFormat="false" ht="15" hidden="false" customHeight="false" outlineLevel="0" collapsed="false">
      <c r="A9" s="6"/>
      <c r="B9" s="18" t="s">
        <v>210</v>
      </c>
      <c r="C9" s="24" t="n">
        <f aca="false">Balance_Sheet!C18</f>
        <v>800</v>
      </c>
      <c r="D9" s="24" t="n">
        <f aca="false">Balance_Sheet!D18</f>
        <v>800</v>
      </c>
      <c r="E9" s="24" t="n">
        <f aca="false">Balance_Sheet!E18</f>
        <v>700</v>
      </c>
      <c r="F9" s="24" t="n">
        <f aca="false">Balance_Sheet!F18</f>
        <v>600</v>
      </c>
      <c r="G9" s="24" t="n">
        <f aca="false">Balance_Sheet!G18</f>
        <v>500</v>
      </c>
    </row>
    <row r="10" customFormat="false" ht="15" hidden="false" customHeight="false" outlineLevel="0" collapsed="false">
      <c r="A10" s="6"/>
      <c r="B10" s="25" t="s">
        <v>211</v>
      </c>
      <c r="C10" s="26" t="n">
        <f aca="false">C6+C9</f>
        <v>3550.2483</v>
      </c>
      <c r="D10" s="26" t="n">
        <f aca="false">D6+D9</f>
        <v>3717.859877739</v>
      </c>
      <c r="E10" s="26" t="n">
        <f aca="false">E6+E9</f>
        <v>3787.16336503292</v>
      </c>
      <c r="F10" s="26" t="n">
        <f aca="false">F6+F9</f>
        <v>3853.36226136859</v>
      </c>
      <c r="G10" s="26" t="n">
        <f aca="false">G6+G9</f>
        <v>3916.33981551915</v>
      </c>
    </row>
    <row r="11" customFormat="false" ht="15" hidden="false" customHeight="false" outlineLevel="0" collapsed="false">
      <c r="A11" s="6"/>
      <c r="B11" s="6"/>
      <c r="C11" s="6"/>
      <c r="D11" s="6"/>
      <c r="E11" s="6"/>
      <c r="F11" s="6"/>
      <c r="G11" s="6"/>
    </row>
    <row r="12" customFormat="false" ht="15" hidden="false" customHeight="false" outlineLevel="0" collapsed="false">
      <c r="A12" s="6"/>
      <c r="B12" s="18" t="s">
        <v>212</v>
      </c>
      <c r="C12" s="33" t="n">
        <f aca="false">C5/C6</f>
        <v>0.693755541999608</v>
      </c>
      <c r="D12" s="33" t="n">
        <f aca="false">D5/D6</f>
        <v>0.693138150817299</v>
      </c>
      <c r="E12" s="33" t="n">
        <f aca="false">E5/E6</f>
        <v>0.694433221216054</v>
      </c>
      <c r="F12" s="33" t="n">
        <f aca="false">F5/F6</f>
        <v>0.698495385830181</v>
      </c>
      <c r="G12" s="33" t="n">
        <f aca="false">G5/G6</f>
        <v>0.705083852823333</v>
      </c>
    </row>
    <row r="13" customFormat="false" ht="15" hidden="false" customHeight="false" outlineLevel="0" collapsed="false">
      <c r="A13" s="6"/>
      <c r="B13" s="18" t="s">
        <v>213</v>
      </c>
      <c r="C13" s="33" t="n">
        <f aca="false">C7/C8</f>
        <v>1.66617044228695</v>
      </c>
      <c r="D13" s="33" t="n">
        <f aca="false">D7/D8</f>
        <v>1.58986932893692</v>
      </c>
      <c r="E13" s="33" t="n">
        <f aca="false">E7/E8</f>
        <v>1.39126427114572</v>
      </c>
      <c r="F13" s="33" t="n">
        <f aca="false">F7/F8</f>
        <v>1.19562935524652</v>
      </c>
      <c r="G13" s="33" t="n">
        <f aca="false">G7/G8</f>
        <v>1.02580344848432</v>
      </c>
    </row>
    <row r="14" customFormat="false" ht="15" hidden="false" customHeight="false" outlineLevel="0" collapsed="false">
      <c r="A14" s="6"/>
      <c r="B14" s="18" t="s">
        <v>214</v>
      </c>
      <c r="C14" s="30" t="n">
        <f aca="false">C9/C10</f>
        <v>0.225336351826434</v>
      </c>
      <c r="D14" s="30" t="n">
        <f aca="false">D9/D10</f>
        <v>0.215177555450669</v>
      </c>
      <c r="E14" s="30" t="n">
        <f aca="false">E9/E10</f>
        <v>0.184834910070988</v>
      </c>
      <c r="F14" s="30" t="n">
        <f aca="false">F9/F10</f>
        <v>0.155708173616383</v>
      </c>
      <c r="G14" s="30" t="n">
        <f aca="false">G9/G10</f>
        <v>0.127670228721896</v>
      </c>
    </row>
    <row r="15" customFormat="false" ht="15" hidden="false" customHeight="false" outlineLevel="0" collapsed="false">
      <c r="A15" s="6"/>
      <c r="B15" s="18" t="s">
        <v>215</v>
      </c>
      <c r="C15" s="33" t="n">
        <f aca="false">C9/C6</f>
        <v>0.290882826834217</v>
      </c>
      <c r="D15" s="33" t="n">
        <f aca="false">D9/D6</f>
        <v>0.274173549629089</v>
      </c>
      <c r="E15" s="33" t="n">
        <f aca="false">E9/E6</f>
        <v>0.226745370176591</v>
      </c>
      <c r="F15" s="33" t="n">
        <f aca="false">F9/F6</f>
        <v>0.184424589639027</v>
      </c>
      <c r="G15" s="33" t="n">
        <f aca="false">G9/G6</f>
        <v>0.146355464327257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2" t="s">
        <v>216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3" t="s">
        <v>217</v>
      </c>
      <c r="C3" s="16" t="s">
        <v>98</v>
      </c>
      <c r="D3" s="16" t="s">
        <v>99</v>
      </c>
      <c r="E3" s="16" t="s">
        <v>100</v>
      </c>
      <c r="F3" s="16" t="s">
        <v>101</v>
      </c>
      <c r="G3" s="16" t="s">
        <v>102</v>
      </c>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218</v>
      </c>
      <c r="C4" s="29"/>
      <c r="D4" s="29"/>
      <c r="E4" s="29"/>
      <c r="F4" s="29"/>
      <c r="G4" s="29"/>
    </row>
    <row r="5" customFormat="false" ht="15" hidden="false" customHeight="false" outlineLevel="0" collapsed="false">
      <c r="A5" s="6"/>
      <c r="B5" s="18" t="s">
        <v>219</v>
      </c>
      <c r="C5" s="24" t="n">
        <f aca="false">Income_Statement!C17</f>
        <v>417.0805</v>
      </c>
      <c r="D5" s="24" t="n">
        <f aca="false">Income_Statement!D17</f>
        <v>279.352629565</v>
      </c>
      <c r="E5" s="24" t="n">
        <f aca="false">Income_Statement!E17</f>
        <v>282.172478823196</v>
      </c>
      <c r="F5" s="24" t="n">
        <f aca="false">Income_Statement!F17</f>
        <v>276.998160559451</v>
      </c>
      <c r="G5" s="24" t="n">
        <f aca="false">Income_Statement!G17</f>
        <v>271.629256917609</v>
      </c>
    </row>
    <row r="6" customFormat="false" ht="15" hidden="false" customHeight="false" outlineLevel="0" collapsed="false">
      <c r="A6" s="6"/>
      <c r="B6" s="18" t="s">
        <v>220</v>
      </c>
      <c r="C6" s="24" t="n">
        <f aca="false">Share_Capital+Open_RE</f>
        <v>2500</v>
      </c>
      <c r="D6" s="24" t="n">
        <f aca="false">Balance_Sheet!C29</f>
        <v>2750.2483</v>
      </c>
      <c r="E6" s="24" t="n">
        <f aca="false">Balance_Sheet!D29</f>
        <v>2917.859877739</v>
      </c>
      <c r="F6" s="24" t="n">
        <f aca="false">Balance_Sheet!E29</f>
        <v>3087.16336503292</v>
      </c>
      <c r="G6" s="24" t="n">
        <f aca="false">Balance_Sheet!F29</f>
        <v>3253.36226136859</v>
      </c>
    </row>
    <row r="7" customFormat="false" ht="15" hidden="false" customHeight="false" outlineLevel="0" collapsed="false">
      <c r="A7" s="6"/>
      <c r="B7" s="18" t="s">
        <v>221</v>
      </c>
      <c r="C7" s="24" t="n">
        <f aca="false">Balance_Sheet!C29</f>
        <v>2750.2483</v>
      </c>
      <c r="D7" s="24" t="n">
        <f aca="false">Balance_Sheet!D29</f>
        <v>2917.859877739</v>
      </c>
      <c r="E7" s="24" t="n">
        <f aca="false">Balance_Sheet!E29</f>
        <v>3087.16336503292</v>
      </c>
      <c r="F7" s="24" t="n">
        <f aca="false">Balance_Sheet!F29</f>
        <v>3253.36226136859</v>
      </c>
      <c r="G7" s="24" t="n">
        <f aca="false">Balance_Sheet!G29</f>
        <v>3416.33981551915</v>
      </c>
    </row>
    <row r="8" customFormat="false" ht="15" hidden="false" customHeight="false" outlineLevel="0" collapsed="false">
      <c r="A8" s="6"/>
      <c r="B8" s="18" t="s">
        <v>222</v>
      </c>
      <c r="C8" s="24" t="n">
        <f aca="false">(C6+C7)/2</f>
        <v>2625.12415</v>
      </c>
      <c r="D8" s="24" t="n">
        <f aca="false">(D6+D7)/2</f>
        <v>2834.0540888695</v>
      </c>
      <c r="E8" s="24" t="n">
        <f aca="false">(E6+E7)/2</f>
        <v>3002.51162138596</v>
      </c>
      <c r="F8" s="24" t="n">
        <f aca="false">(F6+F7)/2</f>
        <v>3170.26281320075</v>
      </c>
      <c r="G8" s="24" t="n">
        <f aca="false">(G6+G7)/2</f>
        <v>3334.85103844387</v>
      </c>
    </row>
    <row r="9" customFormat="false" ht="15" hidden="false" customHeight="false" outlineLevel="0" collapsed="false">
      <c r="A9" s="6"/>
      <c r="B9" s="18" t="s">
        <v>223</v>
      </c>
      <c r="C9" s="30" t="n">
        <f aca="false">C5/C8</f>
        <v>0.158880295242417</v>
      </c>
      <c r="D9" s="30" t="n">
        <f aca="false">D5/D8</f>
        <v>0.0985699710750522</v>
      </c>
      <c r="E9" s="30" t="n">
        <f aca="false">E5/E8</f>
        <v>0.0939788132087048</v>
      </c>
      <c r="F9" s="30" t="n">
        <f aca="false">F5/F8</f>
        <v>0.0873738793534878</v>
      </c>
      <c r="G9" s="30" t="n">
        <f aca="false">G5/G8</f>
        <v>0.0814516911808926</v>
      </c>
    </row>
    <row r="10" customFormat="false" ht="15" hidden="false" customHeight="false" outlineLevel="0" collapsed="false">
      <c r="A10" s="6"/>
      <c r="B10" s="18" t="s">
        <v>224</v>
      </c>
      <c r="C10" s="24" t="n">
        <f aca="false">C7/Shares_Out</f>
        <v>27.502483</v>
      </c>
      <c r="D10" s="24" t="n">
        <f aca="false">D7/Shares_Out</f>
        <v>29.17859877739</v>
      </c>
      <c r="E10" s="24" t="n">
        <f aca="false">E7/Shares_Out</f>
        <v>30.8716336503292</v>
      </c>
      <c r="F10" s="24" t="n">
        <f aca="false">F7/Shares_Out</f>
        <v>32.5336226136859</v>
      </c>
      <c r="G10" s="24" t="n">
        <f aca="false">G7/Shares_Out</f>
        <v>34.1633981551915</v>
      </c>
    </row>
    <row r="11" customFormat="false" ht="15" hidden="false" customHeight="false" outlineLevel="0" collapsed="false">
      <c r="A11" s="6"/>
      <c r="B11" s="18" t="s">
        <v>163</v>
      </c>
      <c r="C11" s="24" t="n">
        <f aca="false">-Income_Statement!C19</f>
        <v>166.8322</v>
      </c>
      <c r="D11" s="24" t="n">
        <f aca="false">-Income_Statement!D19</f>
        <v>111.741051826</v>
      </c>
      <c r="E11" s="24" t="n">
        <f aca="false">-Income_Statement!E19</f>
        <v>112.868991529279</v>
      </c>
      <c r="F11" s="24" t="n">
        <f aca="false">-Income_Statement!F19</f>
        <v>110.799264223781</v>
      </c>
      <c r="G11" s="24" t="n">
        <f aca="false">-Income_Statement!G19</f>
        <v>108.651702767044</v>
      </c>
    </row>
    <row r="12" customFormat="false" ht="15" hidden="false" customHeight="false" outlineLevel="0" collapsed="false">
      <c r="A12" s="6"/>
      <c r="B12" s="18" t="s">
        <v>225</v>
      </c>
      <c r="C12" s="24" t="n">
        <f aca="false">C11/Shares_Out</f>
        <v>1.668322</v>
      </c>
      <c r="D12" s="24" t="n">
        <f aca="false">D11/Shares_Out</f>
        <v>1.11741051826</v>
      </c>
      <c r="E12" s="24" t="n">
        <f aca="false">E11/Shares_Out</f>
        <v>1.12868991529279</v>
      </c>
      <c r="F12" s="24" t="n">
        <f aca="false">F11/Shares_Out</f>
        <v>1.10799264223781</v>
      </c>
      <c r="G12" s="24" t="n">
        <f aca="false">G11/Shares_Out</f>
        <v>1.08651702767044</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28" t="s">
        <v>226</v>
      </c>
      <c r="C14" s="29"/>
      <c r="D14" s="29"/>
      <c r="E14" s="29"/>
      <c r="F14" s="29"/>
      <c r="G14" s="29"/>
    </row>
    <row r="15" customFormat="false" ht="15" hidden="false" customHeight="false" outlineLevel="0" collapsed="false">
      <c r="A15" s="6"/>
      <c r="B15" s="18" t="s">
        <v>227</v>
      </c>
      <c r="C15" s="34" t="n">
        <f aca="false">1/(1+Cost_of_Equity)^1</f>
        <v>0.909090909090909</v>
      </c>
      <c r="D15" s="6"/>
      <c r="E15" s="6"/>
      <c r="F15" s="6"/>
      <c r="G15" s="6"/>
    </row>
    <row r="16" customFormat="false" ht="15" hidden="false" customHeight="false" outlineLevel="0" collapsed="false">
      <c r="A16" s="6"/>
      <c r="B16" s="18" t="s">
        <v>228</v>
      </c>
      <c r="C16" s="34" t="n">
        <f aca="false">1/(1+Cost_of_Equity)^2</f>
        <v>0.826446280991735</v>
      </c>
      <c r="D16" s="6"/>
      <c r="E16" s="6"/>
      <c r="F16" s="6"/>
      <c r="G16" s="6"/>
    </row>
    <row r="17" customFormat="false" ht="15" hidden="false" customHeight="false" outlineLevel="0" collapsed="false">
      <c r="A17" s="6"/>
      <c r="B17" s="18" t="s">
        <v>229</v>
      </c>
      <c r="C17" s="34" t="n">
        <f aca="false">1/(1+Cost_of_Equity)^3</f>
        <v>0.751314800901578</v>
      </c>
      <c r="D17" s="6"/>
      <c r="E17" s="6"/>
      <c r="F17" s="6"/>
      <c r="G17" s="6"/>
    </row>
    <row r="18" customFormat="false" ht="15" hidden="false" customHeight="false" outlineLevel="0" collapsed="false">
      <c r="A18" s="6"/>
      <c r="B18" s="18" t="s">
        <v>230</v>
      </c>
      <c r="C18" s="34" t="n">
        <f aca="false">1/(1+Cost_of_Equity)^4</f>
        <v>0.683013455365071</v>
      </c>
      <c r="D18" s="6"/>
      <c r="E18" s="6"/>
      <c r="F18" s="6"/>
      <c r="G18" s="6"/>
    </row>
    <row r="19" customFormat="false" ht="15" hidden="false" customHeight="false" outlineLevel="0" collapsed="false">
      <c r="A19" s="6"/>
      <c r="B19" s="18" t="s">
        <v>231</v>
      </c>
      <c r="C19" s="34" t="n">
        <f aca="false">1/(1+Cost_of_Equity)^5</f>
        <v>0.620921323059155</v>
      </c>
      <c r="D19" s="6"/>
      <c r="E19" s="6"/>
      <c r="F19" s="6"/>
      <c r="G19" s="6"/>
    </row>
    <row r="20" customFormat="false" ht="15" hidden="false" customHeight="false" outlineLevel="0" collapsed="false">
      <c r="A20" s="6"/>
      <c r="B20" s="18" t="s">
        <v>232</v>
      </c>
      <c r="C20" s="24" t="n">
        <f aca="false">Returns_Valuation!C11*Returns_Valuation!C15+Returns_Valuation!D11*Returns_Valuation!C16+Returns_Valuation!E11*Returns_Valuation!C17+Returns_Valuation!F11*Returns_Valuation!C18+Returns_Valuation!G11*Returns_Valuation!C19</f>
        <v>471.955304322255</v>
      </c>
      <c r="D20" s="6"/>
      <c r="E20" s="6"/>
      <c r="F20" s="6"/>
      <c r="G20" s="6"/>
    </row>
    <row r="21" customFormat="false" ht="15" hidden="false" customHeight="false" outlineLevel="0" collapsed="false">
      <c r="A21" s="6"/>
      <c r="B21" s="18" t="s">
        <v>233</v>
      </c>
      <c r="C21" s="24" t="n">
        <f aca="false">Returns_Valuation!G7*Terminal_PB*Returns_Valuation!C19</f>
        <v>2545.53388592619</v>
      </c>
      <c r="D21" s="6"/>
      <c r="E21" s="6"/>
      <c r="F21" s="6"/>
      <c r="G21" s="6"/>
    </row>
    <row r="22" customFormat="false" ht="15" hidden="false" customHeight="false" outlineLevel="0" collapsed="false">
      <c r="A22" s="6"/>
      <c r="B22" s="25" t="s">
        <v>234</v>
      </c>
      <c r="C22" s="27" t="n">
        <f aca="false">C20+C21</f>
        <v>3017.48919024844</v>
      </c>
      <c r="D22" s="35"/>
      <c r="E22" s="35"/>
      <c r="F22" s="35"/>
      <c r="G22" s="35"/>
    </row>
    <row r="23" customFormat="false" ht="15" hidden="false" customHeight="false" outlineLevel="0" collapsed="false">
      <c r="A23" s="6"/>
      <c r="B23" s="18" t="s">
        <v>235</v>
      </c>
      <c r="C23" s="24" t="n">
        <f aca="false">C22/Shares_Out</f>
        <v>30.1748919024844</v>
      </c>
      <c r="D23" s="6"/>
      <c r="E23" s="6"/>
      <c r="F23" s="6"/>
      <c r="G23"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2" t="s">
        <v>236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3" t="s">
        <v>237</v>
      </c>
      <c r="C3" s="16" t="s">
        <v>98</v>
      </c>
      <c r="D3" s="16" t="s">
        <v>99</v>
      </c>
      <c r="E3" s="16" t="s">
        <v>100</v>
      </c>
      <c r="F3" s="16" t="s">
        <v>101</v>
      </c>
      <c r="G3" s="16" t="s">
        <v>102</v>
      </c>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18" t="s">
        <v>238</v>
      </c>
      <c r="C5" s="36" t="b">
        <f aca="false">ABS(Balance_Sheet!C11-Balance_Sheet!C31)&lt;1</f>
        <v>1</v>
      </c>
      <c r="D5" s="36" t="b">
        <f aca="false">ABS(Balance_Sheet!D11-Balance_Sheet!D31)&lt;1</f>
        <v>1</v>
      </c>
      <c r="E5" s="36" t="b">
        <f aca="false">ABS(Balance_Sheet!E11-Balance_Sheet!E31)&lt;1</f>
        <v>1</v>
      </c>
      <c r="F5" s="36" t="b">
        <f aca="false">ABS(Balance_Sheet!F11-Balance_Sheet!F31)&lt;1</f>
        <v>1</v>
      </c>
      <c r="G5" s="36" t="b">
        <f aca="false">ABS(Balance_Sheet!G11-Balance_Sheet!G31)&lt;1</f>
        <v>1</v>
      </c>
    </row>
    <row r="6" customFormat="false" ht="15" hidden="false" customHeight="false" outlineLevel="0" collapsed="false">
      <c r="A6" s="6"/>
      <c r="B6" s="18" t="s">
        <v>239</v>
      </c>
      <c r="C6" s="36" t="b">
        <f aca="false">ABS(Income_Statement!C23-Income_Statement!C21-Income_Statement!C22)&lt;0.0001</f>
        <v>1</v>
      </c>
      <c r="D6" s="36" t="b">
        <f aca="false">ABS(Income_Statement!D23-Income_Statement!D21-Income_Statement!D22)&lt;0.0001</f>
        <v>1</v>
      </c>
      <c r="E6" s="36" t="b">
        <f aca="false">ABS(Income_Statement!E23-Income_Statement!E21-Income_Statement!E22)&lt;0.0001</f>
        <v>1</v>
      </c>
      <c r="F6" s="36" t="b">
        <f aca="false">ABS(Income_Statement!F23-Income_Statement!F21-Income_Statement!F22)&lt;0.0001</f>
        <v>1</v>
      </c>
      <c r="G6" s="36" t="b">
        <f aca="false">ABS(Income_Statement!G23-Income_Statement!G21-Income_Statement!G22)&lt;0.0001</f>
        <v>1</v>
      </c>
    </row>
    <row r="7" customFormat="false" ht="15" hidden="false" customHeight="false" outlineLevel="0" collapsed="false">
      <c r="A7" s="6"/>
      <c r="B7" s="8" t="s">
        <v>240</v>
      </c>
      <c r="C7" s="36" t="b">
        <f aca="false">MIN(Claims_Reserving!C31,Claims_Reserving!D31,Claims_Reserving!E31,Claims_Reserving!F31,Claims_Reserving!G31)&gt;=0</f>
        <v>1</v>
      </c>
      <c r="D7" s="6"/>
      <c r="E7" s="6"/>
      <c r="F7" s="6"/>
      <c r="G7" s="6"/>
    </row>
    <row r="8" customFormat="false" ht="15" hidden="false" customHeight="false" outlineLevel="0" collapsed="false">
      <c r="A8" s="6"/>
      <c r="B8" s="8" t="s">
        <v>241</v>
      </c>
      <c r="C8" s="36" t="b">
        <f aca="false">AND(Opex_DAC!C7&lt;=Premium_Build!C12,Opex_DAC!D7&lt;=Premium_Build!D12,Opex_DAC!E7&lt;=Premium_Build!E12,Opex_DAC!F7&lt;=Premium_Build!F12,Opex_DAC!G7&lt;=Premium_Build!G12)</f>
        <v>1</v>
      </c>
      <c r="D8" s="6"/>
      <c r="E8" s="6"/>
      <c r="F8" s="6"/>
      <c r="G8" s="6"/>
    </row>
    <row r="9" customFormat="false" ht="15" hidden="false" customHeight="false" outlineLevel="0" collapsed="false">
      <c r="A9" s="6"/>
      <c r="B9" s="8" t="s">
        <v>242</v>
      </c>
      <c r="C9" s="36" t="b">
        <f aca="false">MIN(-Income_Statement!C19,-Income_Statement!D19,-Income_Statement!E19,-Income_Statement!F19,-Income_Statement!G19)&gt;=0</f>
        <v>1</v>
      </c>
      <c r="D9" s="6"/>
      <c r="E9" s="6"/>
      <c r="F9" s="6"/>
      <c r="G9" s="6"/>
    </row>
    <row r="10" customFormat="false" ht="15" hidden="false" customHeight="false" outlineLevel="0" collapsed="false">
      <c r="A10" s="6"/>
      <c r="B10" s="8" t="s">
        <v>243</v>
      </c>
      <c r="C10" s="36" t="b">
        <f aca="false">MAX(Capital_Adequacy!C12,Capital_Adequacy!D12,Capital_Adequacy!E12,Capital_Adequacy!F12,Capital_Adequacy!G12)&lt;2</f>
        <v>1</v>
      </c>
      <c r="D10" s="6"/>
      <c r="E10" s="6"/>
      <c r="F10" s="6"/>
      <c r="G10" s="6"/>
    </row>
    <row r="11" customFormat="false" ht="15" hidden="false" customHeight="false" outlineLevel="0" collapsed="false">
      <c r="A11" s="6"/>
      <c r="B11" s="8" t="s">
        <v>244</v>
      </c>
      <c r="C11" s="36" t="b">
        <f aca="false">AND(ABS(Balance_Sheet!C27-(Balance_Sheet!C24+Balance_Sheet!C25+Balance_Sheet!C26))&lt;1,ABS(Balance_Sheet!D27-(Balance_Sheet!D24+Balance_Sheet!D25+Balance_Sheet!D26))&lt;1,ABS(Balance_Sheet!E27-(Balance_Sheet!E24+Balance_Sheet!E25+Balance_Sheet!E26))&lt;1,ABS(Balance_Sheet!F27-(Balance_Sheet!F24+Balance_Sheet!F25+Balance_Sheet!F26))&lt;1,ABS(Balance_Sheet!G27-(Balance_Sheet!G24+Balance_Sheet!G25+Balance_Sheet!G26))&lt;1)</f>
        <v>1</v>
      </c>
      <c r="D11" s="6"/>
      <c r="E11" s="6"/>
      <c r="F11" s="6"/>
      <c r="G11" s="6"/>
    </row>
    <row r="12" customFormat="false" ht="15" hidden="false" customHeight="false" outlineLevel="0" collapsed="false">
      <c r="A12" s="6"/>
      <c r="B12" s="8" t="s">
        <v>245</v>
      </c>
      <c r="C12" s="36" t="b">
        <f aca="false">AND(ABS(Cash_Flow!C23-Balance_Sheet!C7)&lt;1,ABS(Cash_Flow!D23-Balance_Sheet!D7)&lt;1,ABS(Cash_Flow!E23-Balance_Sheet!E7)&lt;1,ABS(Cash_Flow!F23-Balance_Sheet!F7)&lt;1,ABS(Cash_Flow!G23-Balance_Sheet!G7)&lt;1)</f>
        <v>1</v>
      </c>
      <c r="D12" s="6"/>
      <c r="E12" s="6"/>
      <c r="F12" s="6"/>
      <c r="G12" s="6"/>
    </row>
    <row r="13" customFormat="false" ht="15" hidden="false" customHeight="false" outlineLevel="0" collapsed="false">
      <c r="A13" s="6"/>
      <c r="B13" s="8" t="s">
        <v>246</v>
      </c>
      <c r="C13" s="36" t="b">
        <f aca="false">ABS(Open_Pay_Y1+Open_Pay_Y2+Open_Pay_Y3+Open_Pay_Y4+Open_Pay_Y5-1)&lt;0.0001</f>
        <v>1</v>
      </c>
      <c r="D13" s="6"/>
      <c r="E13" s="6"/>
      <c r="F13" s="6"/>
      <c r="G13" s="6"/>
    </row>
    <row r="14" customFormat="false" ht="15" hidden="false" customHeight="false" outlineLevel="0" collapsed="false">
      <c r="A14" s="6"/>
      <c r="B14" s="8" t="s">
        <v>247</v>
      </c>
      <c r="C14" s="36" t="b">
        <f aca="false">AND(Balance_Sheet!E18&lt;=Balance_Sheet!E16,Balance_Sheet!F18&lt;=Balance_Sheet!F16,Balance_Sheet!G18&lt;=Balance_Sheet!G16)</f>
        <v>1</v>
      </c>
      <c r="D14" s="6"/>
      <c r="E14" s="6"/>
      <c r="F14" s="6"/>
      <c r="G14" s="6"/>
    </row>
    <row r="15" customFormat="false" ht="15" hidden="false" customHeight="false" outlineLevel="0" collapsed="false">
      <c r="A15" s="6"/>
      <c r="B15" s="6"/>
      <c r="C15" s="6"/>
      <c r="D15" s="6"/>
      <c r="E15" s="6"/>
      <c r="F15" s="6"/>
      <c r="G15" s="6"/>
    </row>
    <row r="16" customFormat="false" ht="15" hidden="false" customHeight="false" outlineLevel="0" collapsed="false">
      <c r="A16" s="6"/>
      <c r="B16" s="7" t="s">
        <v>248</v>
      </c>
      <c r="C16" s="37" t="b">
        <f aca="false">AND(C5,C6,C7,C8,C9,C10,C11,C12,C13,C14)</f>
        <v>1</v>
      </c>
      <c r="D16" s="35"/>
      <c r="E16" s="35"/>
      <c r="F16" s="35"/>
      <c r="G16" s="3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8" t="s">
        <v>249</v>
      </c>
    </row>
    <row r="3" customFormat="false" ht="3.75" hidden="false" customHeight="true" outlineLevel="0" collapsed="false">
      <c r="B3" s="39"/>
    </row>
    <row r="5" customFormat="false" ht="19.5" hidden="false" customHeight="true" outlineLevel="0" collapsed="false">
      <c r="B5" s="40" t="s">
        <v>250</v>
      </c>
    </row>
    <row r="6" customFormat="false" ht="48" hidden="false" customHeight="true" outlineLevel="0" collapsed="false">
      <c r="B6" s="41" t="s">
        <v>251</v>
      </c>
    </row>
    <row r="8" customFormat="false" ht="19.5" hidden="false" customHeight="true" outlineLevel="0" collapsed="false">
      <c r="B8" s="40" t="s">
        <v>252</v>
      </c>
    </row>
    <row r="9" customFormat="false" ht="61.5" hidden="false" customHeight="true" outlineLevel="0" collapsed="false">
      <c r="B9" s="41" t="s">
        <v>253</v>
      </c>
    </row>
    <row r="11" customFormat="false" ht="19.5" hidden="false" customHeight="true" outlineLevel="0" collapsed="false">
      <c r="B11" s="40" t="s">
        <v>254</v>
      </c>
    </row>
    <row r="12" customFormat="false" ht="75.75" hidden="false" customHeight="true" outlineLevel="0" collapsed="false">
      <c r="B12" s="41" t="s">
        <v>255</v>
      </c>
    </row>
    <row r="14" customFormat="false" ht="19.5" hidden="false" customHeight="true" outlineLevel="0" collapsed="false">
      <c r="B14" s="40" t="s">
        <v>256</v>
      </c>
    </row>
    <row r="15" customFormat="false" ht="61.5" hidden="false" customHeight="true" outlineLevel="0" collapsed="false">
      <c r="B15" s="41" t="s">
        <v>257</v>
      </c>
    </row>
    <row r="17" customFormat="false" ht="19.5" hidden="false" customHeight="true" outlineLevel="0" collapsed="false">
      <c r="B17" s="40" t="s">
        <v>258</v>
      </c>
    </row>
    <row r="18" customFormat="false" ht="33.75" hidden="false" customHeight="true" outlineLevel="0" collapsed="false">
      <c r="B18" s="41" t="s">
        <v>259</v>
      </c>
    </row>
    <row r="20" customFormat="false" ht="19.5" hidden="false" customHeight="true" outlineLevel="0" collapsed="false">
      <c r="B20" s="40" t="s">
        <v>260</v>
      </c>
    </row>
    <row r="21" customFormat="false" ht="33.75" hidden="false" customHeight="true" outlineLevel="0" collapsed="false">
      <c r="B21" s="41" t="s">
        <v>261</v>
      </c>
    </row>
    <row r="23" customFormat="false" ht="21.75" hidden="false" customHeight="true" outlineLevel="0" collapsed="false">
      <c r="B23" s="42" t="s">
        <v>262</v>
      </c>
    </row>
    <row r="25" customFormat="false" ht="18" hidden="false" customHeight="true" outlineLevel="0" collapsed="false">
      <c r="B25" s="43" t="s">
        <v>263</v>
      </c>
    </row>
    <row r="26" customFormat="false" ht="201.75" hidden="false" customHeight="true" outlineLevel="0" collapsed="false">
      <c r="B26" s="44" t="s">
        <v>264</v>
      </c>
    </row>
    <row r="28" customFormat="false" ht="18" hidden="false" customHeight="true" outlineLevel="0" collapsed="false">
      <c r="B28" s="45" t="s">
        <v>265</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6"/>
    <col collapsed="false" customWidth="true" hidden="false" outlineLevel="0" max="4" min="4" style="0" width="12"/>
    <col collapsed="false" customWidth="true" hidden="false" outlineLevel="0" max="5" min="5" style="0" width="36"/>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5" t="s">
        <v>14</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6" t="s">
        <v>15</v>
      </c>
      <c r="C4" s="16" t="s">
        <v>16</v>
      </c>
      <c r="D4" s="16" t="s">
        <v>17</v>
      </c>
      <c r="E4" s="16" t="s">
        <v>18</v>
      </c>
    </row>
    <row r="5" customFormat="false" ht="15" hidden="false" customHeight="false" outlineLevel="0" collapsed="false">
      <c r="A5" s="6"/>
      <c r="B5" s="17" t="s">
        <v>19</v>
      </c>
      <c r="C5" s="6"/>
      <c r="D5" s="6"/>
      <c r="E5" s="6"/>
    </row>
    <row r="6" customFormat="false" ht="15" hidden="false" customHeight="false" outlineLevel="0" collapsed="false">
      <c r="A6" s="6"/>
      <c r="B6" s="6"/>
      <c r="C6" s="6"/>
      <c r="D6" s="6"/>
      <c r="E6" s="6"/>
    </row>
    <row r="7" customFormat="false" ht="15" hidden="false" customHeight="false" outlineLevel="0" collapsed="false">
      <c r="A7" s="6"/>
      <c r="B7" s="18" t="s">
        <v>20</v>
      </c>
      <c r="C7" s="19" t="n">
        <v>2000</v>
      </c>
      <c r="D7" s="17" t="s">
        <v>21</v>
      </c>
      <c r="E7" s="17" t="s">
        <v>22</v>
      </c>
    </row>
    <row r="8" customFormat="false" ht="15" hidden="false" customHeight="false" outlineLevel="0" collapsed="false">
      <c r="A8" s="6"/>
      <c r="B8" s="18" t="s">
        <v>23</v>
      </c>
      <c r="C8" s="20" t="n">
        <v>0.06</v>
      </c>
      <c r="D8" s="17" t="s">
        <v>24</v>
      </c>
      <c r="E8" s="17" t="s">
        <v>25</v>
      </c>
    </row>
    <row r="9" customFormat="false" ht="15" hidden="false" customHeight="false" outlineLevel="0" collapsed="false">
      <c r="A9" s="6"/>
      <c r="B9" s="18" t="s">
        <v>26</v>
      </c>
      <c r="C9" s="20" t="n">
        <v>0.1</v>
      </c>
      <c r="D9" s="17" t="s">
        <v>24</v>
      </c>
      <c r="E9" s="17" t="s">
        <v>27</v>
      </c>
    </row>
    <row r="10" customFormat="false" ht="15" hidden="false" customHeight="false" outlineLevel="0" collapsed="false">
      <c r="A10" s="6"/>
      <c r="B10" s="18" t="s">
        <v>28</v>
      </c>
      <c r="C10" s="20" t="n">
        <v>0.5</v>
      </c>
      <c r="D10" s="17" t="s">
        <v>24</v>
      </c>
      <c r="E10" s="17" t="s">
        <v>29</v>
      </c>
    </row>
    <row r="11" customFormat="false" ht="15" hidden="false" customHeight="false" outlineLevel="0" collapsed="false">
      <c r="A11" s="6"/>
      <c r="B11" s="18" t="s">
        <v>30</v>
      </c>
      <c r="C11" s="20" t="n">
        <v>0.5</v>
      </c>
      <c r="D11" s="17" t="s">
        <v>24</v>
      </c>
      <c r="E11" s="17" t="s">
        <v>31</v>
      </c>
    </row>
    <row r="12" customFormat="false" ht="15" hidden="false" customHeight="false" outlineLevel="0" collapsed="false">
      <c r="A12" s="6"/>
      <c r="B12" s="18" t="s">
        <v>32</v>
      </c>
      <c r="C12" s="20" t="n">
        <v>0.65</v>
      </c>
      <c r="D12" s="17" t="s">
        <v>24</v>
      </c>
      <c r="E12" s="17" t="s">
        <v>33</v>
      </c>
    </row>
    <row r="13" customFormat="false" ht="15" hidden="false" customHeight="false" outlineLevel="0" collapsed="false">
      <c r="A13" s="6"/>
      <c r="B13" s="18" t="s">
        <v>34</v>
      </c>
      <c r="C13" s="20" t="n">
        <v>0.22</v>
      </c>
      <c r="D13" s="17" t="s">
        <v>24</v>
      </c>
      <c r="E13" s="17" t="s">
        <v>35</v>
      </c>
    </row>
    <row r="14" customFormat="false" ht="15" hidden="false" customHeight="false" outlineLevel="0" collapsed="false">
      <c r="A14" s="6"/>
      <c r="B14" s="18" t="s">
        <v>36</v>
      </c>
      <c r="C14" s="20" t="n">
        <v>0.08</v>
      </c>
      <c r="D14" s="17" t="s">
        <v>24</v>
      </c>
      <c r="E14" s="17" t="s">
        <v>37</v>
      </c>
    </row>
    <row r="15" customFormat="false" ht="15" hidden="false" customHeight="false" outlineLevel="0" collapsed="false">
      <c r="A15" s="6"/>
      <c r="B15" s="18" t="s">
        <v>38</v>
      </c>
      <c r="C15" s="20" t="n">
        <v>0.045</v>
      </c>
      <c r="D15" s="17" t="s">
        <v>24</v>
      </c>
      <c r="E15" s="17" t="s">
        <v>39</v>
      </c>
    </row>
    <row r="16" customFormat="false" ht="15" hidden="false" customHeight="false" outlineLevel="0" collapsed="false">
      <c r="A16" s="6"/>
      <c r="B16" s="18" t="s">
        <v>40</v>
      </c>
      <c r="C16" s="19" t="n">
        <v>6250</v>
      </c>
      <c r="D16" s="17" t="s">
        <v>21</v>
      </c>
      <c r="E16" s="17" t="s">
        <v>41</v>
      </c>
    </row>
    <row r="17" customFormat="false" ht="15" hidden="false" customHeight="false" outlineLevel="0" collapsed="false">
      <c r="A17" s="6"/>
      <c r="B17" s="18" t="s">
        <v>42</v>
      </c>
      <c r="C17" s="19" t="n">
        <v>2500</v>
      </c>
      <c r="D17" s="17" t="s">
        <v>21</v>
      </c>
      <c r="E17" s="17" t="s">
        <v>43</v>
      </c>
    </row>
    <row r="18" customFormat="false" ht="15" hidden="false" customHeight="false" outlineLevel="0" collapsed="false">
      <c r="A18" s="6"/>
      <c r="B18" s="18" t="s">
        <v>44</v>
      </c>
      <c r="C18" s="19" t="n">
        <v>800</v>
      </c>
      <c r="D18" s="17" t="s">
        <v>21</v>
      </c>
      <c r="E18" s="17" t="s">
        <v>45</v>
      </c>
    </row>
    <row r="19" customFormat="false" ht="15" hidden="false" customHeight="false" outlineLevel="0" collapsed="false">
      <c r="A19" s="6"/>
      <c r="B19" s="18" t="s">
        <v>46</v>
      </c>
      <c r="C19" s="20" t="n">
        <v>0.055</v>
      </c>
      <c r="D19" s="17" t="s">
        <v>24</v>
      </c>
      <c r="E19" s="17" t="s">
        <v>47</v>
      </c>
    </row>
    <row r="20" customFormat="false" ht="15" hidden="false" customHeight="false" outlineLevel="0" collapsed="false">
      <c r="A20" s="6"/>
      <c r="B20" s="18" t="s">
        <v>48</v>
      </c>
      <c r="C20" s="19" t="n">
        <v>0</v>
      </c>
      <c r="D20" s="17" t="s">
        <v>21</v>
      </c>
      <c r="E20" s="17" t="s">
        <v>49</v>
      </c>
    </row>
    <row r="21" customFormat="false" ht="15" hidden="false" customHeight="false" outlineLevel="0" collapsed="false">
      <c r="A21" s="6"/>
      <c r="B21" s="18" t="s">
        <v>50</v>
      </c>
      <c r="C21" s="19" t="n">
        <v>0</v>
      </c>
      <c r="D21" s="17" t="s">
        <v>21</v>
      </c>
      <c r="E21" s="17" t="s">
        <v>51</v>
      </c>
    </row>
    <row r="22" customFormat="false" ht="15" hidden="false" customHeight="false" outlineLevel="0" collapsed="false">
      <c r="A22" s="6"/>
      <c r="B22" s="18" t="s">
        <v>52</v>
      </c>
      <c r="C22" s="19" t="n">
        <v>100</v>
      </c>
      <c r="D22" s="17" t="s">
        <v>21</v>
      </c>
      <c r="E22" s="17" t="s">
        <v>53</v>
      </c>
    </row>
    <row r="23" customFormat="false" ht="15" hidden="false" customHeight="false" outlineLevel="0" collapsed="false">
      <c r="A23" s="6"/>
      <c r="B23" s="18" t="s">
        <v>54</v>
      </c>
      <c r="C23" s="19" t="n">
        <v>100</v>
      </c>
      <c r="D23" s="17" t="s">
        <v>21</v>
      </c>
      <c r="E23" s="17" t="s">
        <v>55</v>
      </c>
    </row>
    <row r="24" customFormat="false" ht="15" hidden="false" customHeight="false" outlineLevel="0" collapsed="false">
      <c r="A24" s="6"/>
      <c r="B24" s="18" t="s">
        <v>56</v>
      </c>
      <c r="C24" s="19" t="n">
        <v>100</v>
      </c>
      <c r="D24" s="17" t="s">
        <v>21</v>
      </c>
      <c r="E24" s="17" t="s">
        <v>57</v>
      </c>
    </row>
    <row r="25" customFormat="false" ht="15" hidden="false" customHeight="false" outlineLevel="0" collapsed="false">
      <c r="A25" s="6"/>
      <c r="B25" s="18" t="s">
        <v>58</v>
      </c>
      <c r="C25" s="20" t="n">
        <v>0.21</v>
      </c>
      <c r="D25" s="17" t="s">
        <v>24</v>
      </c>
      <c r="E25" s="17" t="s">
        <v>59</v>
      </c>
    </row>
    <row r="26" customFormat="false" ht="15" hidden="false" customHeight="false" outlineLevel="0" collapsed="false">
      <c r="A26" s="6"/>
      <c r="B26" s="18" t="s">
        <v>60</v>
      </c>
      <c r="C26" s="20" t="n">
        <v>0.4</v>
      </c>
      <c r="D26" s="17" t="s">
        <v>24</v>
      </c>
      <c r="E26" s="17" t="s">
        <v>61</v>
      </c>
    </row>
    <row r="27" customFormat="false" ht="15" hidden="false" customHeight="false" outlineLevel="0" collapsed="false">
      <c r="A27" s="6"/>
      <c r="B27" s="18" t="s">
        <v>62</v>
      </c>
      <c r="C27" s="19" t="n">
        <v>1200</v>
      </c>
      <c r="D27" s="17" t="s">
        <v>21</v>
      </c>
      <c r="E27" s="17" t="s">
        <v>63</v>
      </c>
    </row>
    <row r="28" customFormat="false" ht="15" hidden="false" customHeight="false" outlineLevel="0" collapsed="false">
      <c r="A28" s="6"/>
      <c r="B28" s="18" t="s">
        <v>64</v>
      </c>
      <c r="C28" s="19" t="n">
        <v>1300</v>
      </c>
      <c r="D28" s="17" t="s">
        <v>21</v>
      </c>
      <c r="E28" s="17" t="s">
        <v>65</v>
      </c>
    </row>
    <row r="29" customFormat="false" ht="15" hidden="false" customHeight="false" outlineLevel="0" collapsed="false">
      <c r="A29" s="6"/>
      <c r="B29" s="18" t="s">
        <v>66</v>
      </c>
      <c r="C29" s="19" t="n">
        <v>200</v>
      </c>
      <c r="D29" s="17" t="s">
        <v>21</v>
      </c>
      <c r="E29" s="17" t="s">
        <v>67</v>
      </c>
    </row>
    <row r="30" customFormat="false" ht="15" hidden="false" customHeight="false" outlineLevel="0" collapsed="false">
      <c r="A30" s="6"/>
      <c r="B30" s="18" t="s">
        <v>68</v>
      </c>
      <c r="C30" s="20" t="n">
        <v>0.15</v>
      </c>
      <c r="D30" s="17" t="s">
        <v>24</v>
      </c>
      <c r="E30" s="17" t="s">
        <v>69</v>
      </c>
    </row>
    <row r="31" customFormat="false" ht="15" hidden="false" customHeight="false" outlineLevel="0" collapsed="false">
      <c r="A31" s="6"/>
      <c r="B31" s="18" t="s">
        <v>70</v>
      </c>
      <c r="C31" s="20" t="n">
        <v>0.25</v>
      </c>
      <c r="D31" s="17" t="s">
        <v>24</v>
      </c>
      <c r="E31" s="17" t="s">
        <v>71</v>
      </c>
    </row>
    <row r="32" customFormat="false" ht="15" hidden="false" customHeight="false" outlineLevel="0" collapsed="false">
      <c r="A32" s="6"/>
      <c r="B32" s="18" t="s">
        <v>72</v>
      </c>
      <c r="C32" s="20" t="n">
        <v>0.25</v>
      </c>
      <c r="D32" s="17" t="s">
        <v>24</v>
      </c>
      <c r="E32" s="17" t="s">
        <v>73</v>
      </c>
    </row>
    <row r="33" customFormat="false" ht="15" hidden="false" customHeight="false" outlineLevel="0" collapsed="false">
      <c r="A33" s="6"/>
      <c r="B33" s="18" t="s">
        <v>74</v>
      </c>
      <c r="C33" s="20" t="n">
        <v>0.2</v>
      </c>
      <c r="D33" s="17" t="s">
        <v>24</v>
      </c>
      <c r="E33" s="17" t="s">
        <v>75</v>
      </c>
    </row>
    <row r="34" customFormat="false" ht="15" hidden="false" customHeight="false" outlineLevel="0" collapsed="false">
      <c r="A34" s="6"/>
      <c r="B34" s="18" t="s">
        <v>76</v>
      </c>
      <c r="C34" s="20" t="n">
        <v>0.15</v>
      </c>
      <c r="D34" s="17" t="s">
        <v>24</v>
      </c>
      <c r="E34" s="17" t="s">
        <v>77</v>
      </c>
    </row>
    <row r="35" customFormat="false" ht="15" hidden="false" customHeight="false" outlineLevel="0" collapsed="false">
      <c r="A35" s="6"/>
      <c r="B35" s="18" t="s">
        <v>78</v>
      </c>
      <c r="C35" s="20" t="n">
        <v>0.2</v>
      </c>
      <c r="D35" s="17" t="s">
        <v>24</v>
      </c>
      <c r="E35" s="17" t="s">
        <v>79</v>
      </c>
    </row>
    <row r="36" customFormat="false" ht="15" hidden="false" customHeight="false" outlineLevel="0" collapsed="false">
      <c r="A36" s="6"/>
      <c r="B36" s="18" t="s">
        <v>80</v>
      </c>
      <c r="C36" s="20" t="n">
        <v>0.3</v>
      </c>
      <c r="D36" s="17" t="s">
        <v>24</v>
      </c>
      <c r="E36" s="17" t="s">
        <v>81</v>
      </c>
    </row>
    <row r="37" customFormat="false" ht="15" hidden="false" customHeight="false" outlineLevel="0" collapsed="false">
      <c r="A37" s="6"/>
      <c r="B37" s="18" t="s">
        <v>82</v>
      </c>
      <c r="C37" s="20" t="n">
        <v>0.25</v>
      </c>
      <c r="D37" s="17" t="s">
        <v>24</v>
      </c>
      <c r="E37" s="17" t="s">
        <v>83</v>
      </c>
    </row>
    <row r="38" customFormat="false" ht="15" hidden="false" customHeight="false" outlineLevel="0" collapsed="false">
      <c r="A38" s="6"/>
      <c r="B38" s="18" t="s">
        <v>84</v>
      </c>
      <c r="C38" s="20" t="n">
        <v>0.15</v>
      </c>
      <c r="D38" s="17" t="s">
        <v>24</v>
      </c>
      <c r="E38" s="17" t="s">
        <v>85</v>
      </c>
    </row>
    <row r="39" customFormat="false" ht="15" hidden="false" customHeight="false" outlineLevel="0" collapsed="false">
      <c r="A39" s="6"/>
      <c r="B39" s="18" t="s">
        <v>86</v>
      </c>
      <c r="C39" s="20" t="n">
        <v>0.1</v>
      </c>
      <c r="D39" s="17" t="s">
        <v>24</v>
      </c>
      <c r="E39" s="17" t="s">
        <v>87</v>
      </c>
    </row>
    <row r="40" customFormat="false" ht="15" hidden="false" customHeight="false" outlineLevel="0" collapsed="false">
      <c r="A40" s="6"/>
      <c r="B40" s="18" t="s">
        <v>88</v>
      </c>
      <c r="C40" s="20" t="n">
        <v>0.1</v>
      </c>
      <c r="D40" s="17" t="s">
        <v>24</v>
      </c>
      <c r="E40" s="17" t="s">
        <v>89</v>
      </c>
    </row>
    <row r="41" customFormat="false" ht="15" hidden="false" customHeight="false" outlineLevel="0" collapsed="false">
      <c r="A41" s="6"/>
      <c r="B41" s="18" t="s">
        <v>90</v>
      </c>
      <c r="C41" s="21" t="n">
        <v>1.2</v>
      </c>
      <c r="D41" s="17" t="s">
        <v>91</v>
      </c>
      <c r="E41" s="17" t="s">
        <v>92</v>
      </c>
    </row>
    <row r="42" customFormat="false" ht="15" hidden="false" customHeight="false" outlineLevel="0" collapsed="false">
      <c r="A42" s="6"/>
      <c r="B42" s="18" t="s">
        <v>93</v>
      </c>
      <c r="C42" s="19" t="n">
        <v>100</v>
      </c>
      <c r="D42" s="17" t="s">
        <v>94</v>
      </c>
      <c r="E42" s="17" t="s">
        <v>95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2" t="s">
        <v>96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3" t="s">
        <v>97</v>
      </c>
      <c r="C3" s="16" t="s">
        <v>98</v>
      </c>
      <c r="D3" s="16" t="s">
        <v>99</v>
      </c>
      <c r="E3" s="16" t="s">
        <v>100</v>
      </c>
      <c r="F3" s="16" t="s">
        <v>101</v>
      </c>
      <c r="G3" s="16" t="s">
        <v>102</v>
      </c>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18" t="s">
        <v>103</v>
      </c>
      <c r="C5" s="24" t="n">
        <f aca="false">GWP_Base*(1+GWP_Growth)</f>
        <v>2120</v>
      </c>
      <c r="D5" s="24" t="n">
        <f aca="false">C5*(1+GWP_Growth)</f>
        <v>2247.2</v>
      </c>
      <c r="E5" s="24" t="n">
        <f aca="false">D5*(1+GWP_Growth)</f>
        <v>2382.032</v>
      </c>
      <c r="F5" s="24" t="n">
        <f aca="false">E5*(1+GWP_Growth)</f>
        <v>2524.95392</v>
      </c>
      <c r="G5" s="24" t="n">
        <f aca="false">F5*(1+GWP_Growth)</f>
        <v>2676.4511552</v>
      </c>
    </row>
    <row r="6" customFormat="false" ht="15" hidden="false" customHeight="false" outlineLevel="0" collapsed="false">
      <c r="A6" s="6"/>
      <c r="B6" s="18" t="s">
        <v>104</v>
      </c>
      <c r="C6" s="24" t="n">
        <f aca="false">-C5*Cession_Rate</f>
        <v>-212</v>
      </c>
      <c r="D6" s="24" t="n">
        <f aca="false">-D5*Cession_Rate</f>
        <v>-224.72</v>
      </c>
      <c r="E6" s="24" t="n">
        <f aca="false">-E5*Cession_Rate</f>
        <v>-238.2032</v>
      </c>
      <c r="F6" s="24" t="n">
        <f aca="false">-F5*Cession_Rate</f>
        <v>-252.495392</v>
      </c>
      <c r="G6" s="24" t="n">
        <f aca="false">-G5*Cession_Rate</f>
        <v>-267.64511552</v>
      </c>
    </row>
    <row r="7" customFormat="false" ht="15" hidden="false" customHeight="false" outlineLevel="0" collapsed="false">
      <c r="A7" s="6"/>
      <c r="B7" s="25" t="s">
        <v>105</v>
      </c>
      <c r="C7" s="26" t="n">
        <f aca="false">C5+C6</f>
        <v>1908</v>
      </c>
      <c r="D7" s="26" t="n">
        <f aca="false">D5+D6</f>
        <v>2022.48</v>
      </c>
      <c r="E7" s="26" t="n">
        <f aca="false">E5+E6</f>
        <v>2143.8288</v>
      </c>
      <c r="F7" s="26" t="n">
        <f aca="false">F5+F6</f>
        <v>2272.458528</v>
      </c>
      <c r="G7" s="26" t="n">
        <f aca="false">G5+G6</f>
        <v>2408.80603968</v>
      </c>
    </row>
    <row r="8" customFormat="false" ht="15" hidden="false" customHeight="false" outlineLevel="0" collapsed="false">
      <c r="A8" s="6"/>
      <c r="B8" s="6"/>
      <c r="C8" s="6"/>
      <c r="D8" s="6"/>
      <c r="E8" s="6"/>
      <c r="F8" s="6"/>
      <c r="G8" s="6"/>
    </row>
    <row r="9" customFormat="false" ht="15" hidden="false" customHeight="false" outlineLevel="0" collapsed="false">
      <c r="A9" s="6"/>
      <c r="B9" s="18" t="s">
        <v>106</v>
      </c>
      <c r="C9" s="24" t="n">
        <f aca="false">GWP_Base*(1-Cession_Rate)*(1-Earn_Y1)</f>
        <v>900</v>
      </c>
      <c r="D9" s="24" t="n">
        <f aca="false">C12</f>
        <v>954</v>
      </c>
      <c r="E9" s="24" t="n">
        <f aca="false">D12</f>
        <v>1011.24</v>
      </c>
      <c r="F9" s="24" t="n">
        <f aca="false">E12</f>
        <v>1071.9144</v>
      </c>
      <c r="G9" s="24" t="n">
        <f aca="false">F12</f>
        <v>1136.229264</v>
      </c>
    </row>
    <row r="10" customFormat="false" ht="15" hidden="false" customHeight="false" outlineLevel="0" collapsed="false">
      <c r="A10" s="6"/>
      <c r="B10" s="18" t="s">
        <v>107</v>
      </c>
      <c r="C10" s="24" t="n">
        <f aca="false">C7*(1-Earn_Y1)</f>
        <v>954</v>
      </c>
      <c r="D10" s="24" t="n">
        <f aca="false">D7*(1-Earn_Y1)</f>
        <v>1011.24</v>
      </c>
      <c r="E10" s="24" t="n">
        <f aca="false">E7*(1-Earn_Y1)</f>
        <v>1071.9144</v>
      </c>
      <c r="F10" s="24" t="n">
        <f aca="false">F7*(1-Earn_Y1)</f>
        <v>1136.229264</v>
      </c>
      <c r="G10" s="24" t="n">
        <f aca="false">G7*(1-Earn_Y1)</f>
        <v>1204.40301984</v>
      </c>
    </row>
    <row r="11" customFormat="false" ht="15" hidden="false" customHeight="false" outlineLevel="0" collapsed="false">
      <c r="A11" s="6"/>
      <c r="B11" s="18" t="s">
        <v>108</v>
      </c>
      <c r="C11" s="24" t="n">
        <f aca="false">-C9</f>
        <v>-900</v>
      </c>
      <c r="D11" s="24" t="n">
        <f aca="false">-D9</f>
        <v>-954</v>
      </c>
      <c r="E11" s="24" t="n">
        <f aca="false">-E9</f>
        <v>-1011.24</v>
      </c>
      <c r="F11" s="24" t="n">
        <f aca="false">-F9</f>
        <v>-1071.9144</v>
      </c>
      <c r="G11" s="24" t="n">
        <f aca="false">-G9</f>
        <v>-1136.229264</v>
      </c>
    </row>
    <row r="12" customFormat="false" ht="15" hidden="false" customHeight="false" outlineLevel="0" collapsed="false">
      <c r="A12" s="6"/>
      <c r="B12" s="25" t="s">
        <v>109</v>
      </c>
      <c r="C12" s="26" t="n">
        <f aca="false">C9+C10+C11</f>
        <v>954</v>
      </c>
      <c r="D12" s="26" t="n">
        <f aca="false">D9+D10+D11</f>
        <v>1011.24</v>
      </c>
      <c r="E12" s="26" t="n">
        <f aca="false">E9+E10+E11</f>
        <v>1071.9144</v>
      </c>
      <c r="F12" s="26" t="n">
        <f aca="false">F9+F10+F11</f>
        <v>1136.229264</v>
      </c>
      <c r="G12" s="26" t="n">
        <f aca="false">G9+G10+G11</f>
        <v>1204.40301984</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25" t="s">
        <v>110</v>
      </c>
      <c r="C14" s="27" t="n">
        <f aca="false">C7*Earn_Y1+GWP_Base*(1-Cession_Rate)*Earn_Y2</f>
        <v>1854</v>
      </c>
      <c r="D14" s="27" t="n">
        <f aca="false">D7*Earn_Y1+C7*Earn_Y2</f>
        <v>1965.24</v>
      </c>
      <c r="E14" s="27" t="n">
        <f aca="false">E7*Earn_Y1+D7*Earn_Y2</f>
        <v>2083.1544</v>
      </c>
      <c r="F14" s="27" t="n">
        <f aca="false">F7*Earn_Y1+E7*Earn_Y2</f>
        <v>2208.143664</v>
      </c>
      <c r="G14" s="27" t="n">
        <f aca="false">G7*Earn_Y1+F7*Earn_Y2</f>
        <v>2340.63228384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2" t="s">
        <v>111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3" t="s">
        <v>112</v>
      </c>
      <c r="C3" s="16" t="s">
        <v>98</v>
      </c>
      <c r="D3" s="16" t="s">
        <v>99</v>
      </c>
      <c r="E3" s="16" t="s">
        <v>100</v>
      </c>
      <c r="F3" s="16" t="s">
        <v>101</v>
      </c>
      <c r="G3" s="16" t="s">
        <v>102</v>
      </c>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18" t="s">
        <v>113</v>
      </c>
      <c r="C5" s="24" t="n">
        <f aca="false">-Premium_Build!C14*Loss_Ratio</f>
        <v>-1205.1</v>
      </c>
      <c r="D5" s="24" t="n">
        <f aca="false">-Premium_Build!D14*Loss_Ratio</f>
        <v>-1277.406</v>
      </c>
      <c r="E5" s="24" t="n">
        <f aca="false">-Premium_Build!E14*Loss_Ratio</f>
        <v>-1354.05036</v>
      </c>
      <c r="F5" s="24" t="n">
        <f aca="false">-Premium_Build!F14*Loss_Ratio</f>
        <v>-1435.2933816</v>
      </c>
      <c r="G5" s="24" t="n">
        <f aca="false">-Premium_Build!G14*Loss_Ratio</f>
        <v>-1521.410984496</v>
      </c>
    </row>
    <row r="6" customFormat="false" ht="15" hidden="false" customHeight="false" outlineLevel="0" collapsed="false">
      <c r="A6" s="6"/>
      <c r="B6" s="6"/>
      <c r="C6" s="6"/>
      <c r="D6" s="6"/>
      <c r="E6" s="6"/>
      <c r="F6" s="6"/>
      <c r="G6" s="6"/>
    </row>
    <row r="7" customFormat="false" ht="15" hidden="false" customHeight="false" outlineLevel="0" collapsed="false">
      <c r="A7" s="6"/>
      <c r="B7" s="28" t="s">
        <v>114</v>
      </c>
      <c r="C7" s="29"/>
      <c r="D7" s="29"/>
      <c r="E7" s="29"/>
      <c r="F7" s="29"/>
      <c r="G7" s="29"/>
    </row>
    <row r="8" customFormat="false" ht="15" hidden="false" customHeight="false" outlineLevel="0" collapsed="false">
      <c r="A8" s="6"/>
      <c r="B8" s="18" t="s">
        <v>115</v>
      </c>
      <c r="C8" s="24" t="n">
        <f aca="false">Open_Loss_Res*Open_Pay_Y1</f>
        <v>375</v>
      </c>
      <c r="D8" s="24" t="n">
        <f aca="false">0</f>
        <v>0</v>
      </c>
      <c r="E8" s="24" t="n">
        <f aca="false">0</f>
        <v>0</v>
      </c>
      <c r="F8" s="24" t="n">
        <f aca="false">0</f>
        <v>0</v>
      </c>
      <c r="G8" s="24" t="n">
        <f aca="false">0</f>
        <v>0</v>
      </c>
    </row>
    <row r="9" customFormat="false" ht="15" hidden="false" customHeight="false" outlineLevel="0" collapsed="false">
      <c r="A9" s="6"/>
      <c r="B9" s="18" t="s">
        <v>116</v>
      </c>
      <c r="C9" s="24" t="n">
        <f aca="false">0</f>
        <v>0</v>
      </c>
      <c r="D9" s="24" t="n">
        <f aca="false">Open_Loss_Res*Open_Pay_Y2</f>
        <v>625</v>
      </c>
      <c r="E9" s="24" t="n">
        <f aca="false">0</f>
        <v>0</v>
      </c>
      <c r="F9" s="24" t="n">
        <f aca="false">0</f>
        <v>0</v>
      </c>
      <c r="G9" s="24" t="n">
        <f aca="false">0</f>
        <v>0</v>
      </c>
    </row>
    <row r="10" customFormat="false" ht="15" hidden="false" customHeight="false" outlineLevel="0" collapsed="false">
      <c r="A10" s="6"/>
      <c r="B10" s="18" t="s">
        <v>117</v>
      </c>
      <c r="C10" s="24" t="n">
        <f aca="false">0</f>
        <v>0</v>
      </c>
      <c r="D10" s="24" t="n">
        <f aca="false">0</f>
        <v>0</v>
      </c>
      <c r="E10" s="24" t="n">
        <f aca="false">Open_Loss_Res*Open_Pay_Y3</f>
        <v>625</v>
      </c>
      <c r="F10" s="24" t="n">
        <f aca="false">0</f>
        <v>0</v>
      </c>
      <c r="G10" s="24" t="n">
        <f aca="false">0</f>
        <v>0</v>
      </c>
    </row>
    <row r="11" customFormat="false" ht="15" hidden="false" customHeight="false" outlineLevel="0" collapsed="false">
      <c r="A11" s="6"/>
      <c r="B11" s="18" t="s">
        <v>118</v>
      </c>
      <c r="C11" s="24" t="n">
        <f aca="false">0</f>
        <v>0</v>
      </c>
      <c r="D11" s="24" t="n">
        <f aca="false">0</f>
        <v>0</v>
      </c>
      <c r="E11" s="24" t="n">
        <f aca="false">0</f>
        <v>0</v>
      </c>
      <c r="F11" s="24" t="n">
        <f aca="false">Open_Loss_Res*Open_Pay_Y4</f>
        <v>500</v>
      </c>
      <c r="G11" s="24" t="n">
        <f aca="false">0</f>
        <v>0</v>
      </c>
    </row>
    <row r="12" customFormat="false" ht="15" hidden="false" customHeight="false" outlineLevel="0" collapsed="false">
      <c r="A12" s="6"/>
      <c r="B12" s="18" t="s">
        <v>119</v>
      </c>
      <c r="C12" s="24" t="n">
        <f aca="false">0</f>
        <v>0</v>
      </c>
      <c r="D12" s="24" t="n">
        <f aca="false">0</f>
        <v>0</v>
      </c>
      <c r="E12" s="24" t="n">
        <f aca="false">0</f>
        <v>0</v>
      </c>
      <c r="F12" s="24" t="n">
        <f aca="false">0</f>
        <v>0</v>
      </c>
      <c r="G12" s="24" t="n">
        <f aca="false">Open_Loss_Res*Open_Pay_Y5</f>
        <v>375</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25" t="s">
        <v>120</v>
      </c>
      <c r="C14" s="26" t="n">
        <f aca="false">C8+C9+C10+C11+C12</f>
        <v>375</v>
      </c>
      <c r="D14" s="26" t="n">
        <f aca="false">D8+D9+D10+D11+D12</f>
        <v>625</v>
      </c>
      <c r="E14" s="26" t="n">
        <f aca="false">E8+E9+E10+E11+E12</f>
        <v>625</v>
      </c>
      <c r="F14" s="26" t="n">
        <f aca="false">F8+F9+F10+F11+F12</f>
        <v>500</v>
      </c>
      <c r="G14" s="26" t="n">
        <f aca="false">G8+G9+G10+G11+G12</f>
        <v>375</v>
      </c>
    </row>
    <row r="15" customFormat="false" ht="15" hidden="false" customHeight="false" outlineLevel="0" collapsed="false">
      <c r="A15" s="6"/>
      <c r="B15" s="18" t="s">
        <v>121</v>
      </c>
      <c r="C15" s="24" t="n">
        <f aca="false">Open_Loss_Res-C14</f>
        <v>2125</v>
      </c>
      <c r="D15" s="24" t="n">
        <f aca="false">C15-D14</f>
        <v>1500</v>
      </c>
      <c r="E15" s="24" t="n">
        <f aca="false">D15-E14</f>
        <v>875</v>
      </c>
      <c r="F15" s="24" t="n">
        <f aca="false">E15-F14</f>
        <v>375</v>
      </c>
      <c r="G15" s="24" t="n">
        <f aca="false">F15-G14</f>
        <v>0</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28" t="s">
        <v>122</v>
      </c>
      <c r="C17" s="29"/>
      <c r="D17" s="29"/>
      <c r="E17" s="29"/>
      <c r="F17" s="29"/>
      <c r="G17" s="29"/>
    </row>
    <row r="18" customFormat="false" ht="15" hidden="false" customHeight="false" outlineLevel="0" collapsed="false">
      <c r="A18" s="6"/>
      <c r="B18" s="18" t="s">
        <v>123</v>
      </c>
      <c r="C18" s="24" t="n">
        <f aca="false">ABS(C5)*Curr_Pay_Y1</f>
        <v>241.02</v>
      </c>
      <c r="D18" s="24" t="n">
        <f aca="false">ABS(C5)*Curr_Pay_Y2</f>
        <v>361.53</v>
      </c>
      <c r="E18" s="24" t="n">
        <f aca="false">ABS(C5)*Curr_Pay_Y3</f>
        <v>301.275</v>
      </c>
      <c r="F18" s="24" t="n">
        <f aca="false">ABS(C5)*Curr_Pay_Y4</f>
        <v>180.765</v>
      </c>
      <c r="G18" s="24" t="n">
        <f aca="false">ABS(C5)*Curr_Pay_Y5</f>
        <v>120.51</v>
      </c>
    </row>
    <row r="19" customFormat="false" ht="15" hidden="false" customHeight="false" outlineLevel="0" collapsed="false">
      <c r="A19" s="6"/>
      <c r="B19" s="18" t="s">
        <v>124</v>
      </c>
      <c r="C19" s="24" t="n">
        <f aca="false">0</f>
        <v>0</v>
      </c>
      <c r="D19" s="24" t="n">
        <f aca="false">ABS(D5)*Curr_Pay_Y1</f>
        <v>255.4812</v>
      </c>
      <c r="E19" s="24" t="n">
        <f aca="false">ABS(D5)*Curr_Pay_Y2</f>
        <v>383.2218</v>
      </c>
      <c r="F19" s="24" t="n">
        <f aca="false">ABS(D5)*Curr_Pay_Y3</f>
        <v>319.3515</v>
      </c>
      <c r="G19" s="24" t="n">
        <f aca="false">ABS(D5)*Curr_Pay_Y4</f>
        <v>191.6109</v>
      </c>
    </row>
    <row r="20" customFormat="false" ht="15" hidden="false" customHeight="false" outlineLevel="0" collapsed="false">
      <c r="A20" s="6"/>
      <c r="B20" s="18" t="s">
        <v>125</v>
      </c>
      <c r="C20" s="24" t="n">
        <f aca="false">0</f>
        <v>0</v>
      </c>
      <c r="D20" s="24" t="n">
        <f aca="false">0</f>
        <v>0</v>
      </c>
      <c r="E20" s="24" t="n">
        <f aca="false">ABS(E5)*Curr_Pay_Y1</f>
        <v>270.810072</v>
      </c>
      <c r="F20" s="24" t="n">
        <f aca="false">ABS(E5)*Curr_Pay_Y2</f>
        <v>406.215108</v>
      </c>
      <c r="G20" s="24" t="n">
        <f aca="false">ABS(E5)*Curr_Pay_Y3</f>
        <v>338.51259</v>
      </c>
    </row>
    <row r="21" customFormat="false" ht="15" hidden="false" customHeight="false" outlineLevel="0" collapsed="false">
      <c r="A21" s="6"/>
      <c r="B21" s="18" t="s">
        <v>126</v>
      </c>
      <c r="C21" s="24" t="n">
        <f aca="false">0</f>
        <v>0</v>
      </c>
      <c r="D21" s="24" t="n">
        <f aca="false">0</f>
        <v>0</v>
      </c>
      <c r="E21" s="24" t="n">
        <f aca="false">0</f>
        <v>0</v>
      </c>
      <c r="F21" s="24" t="n">
        <f aca="false">ABS(F5)*Curr_Pay_Y1</f>
        <v>287.05867632</v>
      </c>
      <c r="G21" s="24" t="n">
        <f aca="false">ABS(F5)*Curr_Pay_Y2</f>
        <v>430.58801448</v>
      </c>
    </row>
    <row r="22" customFormat="false" ht="15" hidden="false" customHeight="false" outlineLevel="0" collapsed="false">
      <c r="A22" s="6"/>
      <c r="B22" s="18" t="s">
        <v>127</v>
      </c>
      <c r="C22" s="24" t="n">
        <f aca="false">0</f>
        <v>0</v>
      </c>
      <c r="D22" s="24" t="n">
        <f aca="false">0</f>
        <v>0</v>
      </c>
      <c r="E22" s="24" t="n">
        <f aca="false">0</f>
        <v>0</v>
      </c>
      <c r="F22" s="24" t="n">
        <f aca="false">0</f>
        <v>0</v>
      </c>
      <c r="G22" s="24" t="n">
        <f aca="false">ABS(G5)*Curr_Pay_Y1</f>
        <v>304.2821968992</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25" t="s">
        <v>128</v>
      </c>
      <c r="C24" s="26" t="n">
        <f aca="false">C18+C19+C20+C21+C22</f>
        <v>241.02</v>
      </c>
      <c r="D24" s="26" t="n">
        <f aca="false">D18+D19+D20+D21+D22</f>
        <v>617.0112</v>
      </c>
      <c r="E24" s="26" t="n">
        <f aca="false">E18+E19+E20+E21+E22</f>
        <v>955.306872</v>
      </c>
      <c r="F24" s="26" t="n">
        <f aca="false">F18+F19+F20+F21+F22</f>
        <v>1193.39028432</v>
      </c>
      <c r="G24" s="26" t="n">
        <f aca="false">G18+G19+G20+G21+G22</f>
        <v>1385.5037013792</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28" t="s">
        <v>112</v>
      </c>
      <c r="C26" s="29"/>
      <c r="D26" s="29"/>
      <c r="E26" s="29"/>
      <c r="F26" s="29"/>
      <c r="G26" s="29"/>
    </row>
    <row r="27" customFormat="false" ht="15" hidden="false" customHeight="false" outlineLevel="0" collapsed="false">
      <c r="A27" s="6"/>
      <c r="B27" s="18" t="s">
        <v>129</v>
      </c>
      <c r="C27" s="24" t="n">
        <f aca="false">Open_Loss_Res</f>
        <v>2500</v>
      </c>
      <c r="D27" s="24" t="n">
        <f aca="false">C31</f>
        <v>3089.08</v>
      </c>
      <c r="E27" s="24" t="n">
        <f aca="false">D31</f>
        <v>3124.4748</v>
      </c>
      <c r="F27" s="24" t="n">
        <f aca="false">E31</f>
        <v>2898.218288</v>
      </c>
      <c r="G27" s="24" t="n">
        <f aca="false">F31</f>
        <v>2640.12138528</v>
      </c>
    </row>
    <row r="28" customFormat="false" ht="15" hidden="false" customHeight="false" outlineLevel="0" collapsed="false">
      <c r="A28" s="6"/>
      <c r="B28" s="18" t="s">
        <v>130</v>
      </c>
      <c r="C28" s="24" t="n">
        <f aca="false">ABS(C5)</f>
        <v>1205.1</v>
      </c>
      <c r="D28" s="24" t="n">
        <f aca="false">ABS(D5)</f>
        <v>1277.406</v>
      </c>
      <c r="E28" s="24" t="n">
        <f aca="false">ABS(E5)</f>
        <v>1354.05036</v>
      </c>
      <c r="F28" s="24" t="n">
        <f aca="false">ABS(F5)</f>
        <v>1435.2933816</v>
      </c>
      <c r="G28" s="24" t="n">
        <f aca="false">ABS(G5)</f>
        <v>1521.410984496</v>
      </c>
    </row>
    <row r="29" customFormat="false" ht="15" hidden="false" customHeight="false" outlineLevel="0" collapsed="false">
      <c r="A29" s="6"/>
      <c r="B29" s="18" t="s">
        <v>131</v>
      </c>
      <c r="C29" s="24" t="n">
        <f aca="false">-C24</f>
        <v>-241.02</v>
      </c>
      <c r="D29" s="24" t="n">
        <f aca="false">-D24</f>
        <v>-617.0112</v>
      </c>
      <c r="E29" s="24" t="n">
        <f aca="false">-E24</f>
        <v>-955.306872</v>
      </c>
      <c r="F29" s="24" t="n">
        <f aca="false">-F24</f>
        <v>-1193.39028432</v>
      </c>
      <c r="G29" s="24" t="n">
        <f aca="false">-G24</f>
        <v>-1385.5037013792</v>
      </c>
    </row>
    <row r="30" customFormat="false" ht="15" hidden="false" customHeight="false" outlineLevel="0" collapsed="false">
      <c r="A30" s="6"/>
      <c r="B30" s="18" t="s">
        <v>132</v>
      </c>
      <c r="C30" s="24" t="n">
        <f aca="false">-C14</f>
        <v>-375</v>
      </c>
      <c r="D30" s="24" t="n">
        <f aca="false">-D14</f>
        <v>-625</v>
      </c>
      <c r="E30" s="24" t="n">
        <f aca="false">-E14</f>
        <v>-625</v>
      </c>
      <c r="F30" s="24" t="n">
        <f aca="false">-F14</f>
        <v>-500</v>
      </c>
      <c r="G30" s="24" t="n">
        <f aca="false">-G14</f>
        <v>-375</v>
      </c>
    </row>
    <row r="31" customFormat="false" ht="15" hidden="false" customHeight="false" outlineLevel="0" collapsed="false">
      <c r="A31" s="6"/>
      <c r="B31" s="25" t="s">
        <v>133</v>
      </c>
      <c r="C31" s="27" t="n">
        <f aca="false">C27+C28+C29+C30</f>
        <v>3089.08</v>
      </c>
      <c r="D31" s="27" t="n">
        <f aca="false">D27+D28+D29+D30</f>
        <v>3124.4748</v>
      </c>
      <c r="E31" s="27" t="n">
        <f aca="false">E27+E28+E29+E30</f>
        <v>2898.218288</v>
      </c>
      <c r="F31" s="27" t="n">
        <f aca="false">F27+F28+F29+F30</f>
        <v>2640.12138528</v>
      </c>
      <c r="G31" s="27" t="n">
        <f aca="false">G27+G28+G29+G30</f>
        <v>2401.0286683968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2" t="s">
        <v>134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3" t="s">
        <v>135</v>
      </c>
      <c r="C3" s="16" t="s">
        <v>98</v>
      </c>
      <c r="D3" s="16" t="s">
        <v>99</v>
      </c>
      <c r="E3" s="16" t="s">
        <v>100</v>
      </c>
      <c r="F3" s="16" t="s">
        <v>101</v>
      </c>
      <c r="G3" s="16" t="s">
        <v>102</v>
      </c>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18" t="s">
        <v>136</v>
      </c>
      <c r="C5" s="24" t="n">
        <f aca="false">Open_Inv_Assets</f>
        <v>6250</v>
      </c>
      <c r="D5" s="24" t="n">
        <f aca="false">C12</f>
        <v>6652.1983</v>
      </c>
      <c r="E5" s="24" t="n">
        <f aca="false">D12</f>
        <v>6600.502954239</v>
      </c>
      <c r="F5" s="24" t="n">
        <f aca="false">E12</f>
        <v>6193.85332859216</v>
      </c>
      <c r="G5" s="24" t="n">
        <f aca="false">F12</f>
        <v>5773.39751634119</v>
      </c>
    </row>
    <row r="6" customFormat="false" ht="15" hidden="false" customHeight="false" outlineLevel="0" collapsed="false">
      <c r="A6" s="6"/>
      <c r="B6" s="18" t="s">
        <v>137</v>
      </c>
      <c r="C6" s="24" t="n">
        <f aca="false">Premium_Build!C7-Claims_Reserving!C24-Claims_Reserving!C14-(Premium_Build!C7*Acq_Ratio)-(Premium_Build!C14*GA_Ratio)</f>
        <v>723.9</v>
      </c>
      <c r="D6" s="24" t="n">
        <f aca="false">Premium_Build!D7-Claims_Reserving!D24-Claims_Reserving!D14-(Premium_Build!D7*Acq_Ratio)-(Premium_Build!D14*GA_Ratio)</f>
        <v>178.304</v>
      </c>
      <c r="E6" s="24" t="n">
        <f aca="false">Premium_Build!E7-Claims_Reserving!E24-Claims_Reserving!E14-(Premium_Build!E7*Acq_Ratio)-(Premium_Build!E14*GA_Ratio)</f>
        <v>-74.7727599999996</v>
      </c>
      <c r="F6" s="24" t="n">
        <f aca="false">Premium_Build!F7-Claims_Reserving!F24-Claims_Reserving!F14-(Premium_Build!F7*Acq_Ratio)-(Premium_Build!F14*GA_Ratio)</f>
        <v>-97.5241255999999</v>
      </c>
      <c r="G6" s="24" t="n">
        <f aca="false">Premium_Build!G7-Claims_Reserving!G24-Claims_Reserving!G14-(Premium_Build!G7*Acq_Ratio)-(Premium_Build!G14*GA_Ratio)</f>
        <v>-68.8855731359999</v>
      </c>
    </row>
    <row r="7" customFormat="false" ht="15" hidden="false" customHeight="false" outlineLevel="0" collapsed="false">
      <c r="A7" s="6"/>
      <c r="B7" s="18" t="s">
        <v>138</v>
      </c>
      <c r="C7" s="24" t="n">
        <f aca="false">-(Open_Debt*Debt_Rate)</f>
        <v>-44</v>
      </c>
      <c r="D7" s="24" t="n">
        <f aca="false">-((Open_Debt-Debt_Rep_Y1)*Debt_Rate)</f>
        <v>-44</v>
      </c>
      <c r="E7" s="24" t="n">
        <f aca="false">-((Open_Debt-Debt_Rep_Y1-Debt_Rep_Y2)*Debt_Rate)</f>
        <v>-44</v>
      </c>
      <c r="F7" s="24" t="n">
        <f aca="false">-((Open_Debt-Debt_Rep_Y1-Debt_Rep_Y2-Debt_Rep_Y3)*Debt_Rate)</f>
        <v>-38.5</v>
      </c>
      <c r="G7" s="24" t="n">
        <f aca="false">-((Open_Debt-Debt_Rep_Y1-Debt_Rep_Y2-Debt_Rep_Y3-Debt_Rep_Y4)*Debt_Rate)</f>
        <v>-33</v>
      </c>
    </row>
    <row r="8" customFormat="false" ht="15" hidden="false" customHeight="false" outlineLevel="0" collapsed="false">
      <c r="A8" s="6"/>
      <c r="B8" s="18" t="s">
        <v>139</v>
      </c>
      <c r="C8" s="24" t="n">
        <f aca="false">Income_Statement!C16</f>
        <v>-110.8695</v>
      </c>
      <c r="D8" s="24" t="n">
        <f aca="false">Income_Statement!D16</f>
        <v>-74.258293935</v>
      </c>
      <c r="E8" s="24" t="n">
        <f aca="false">Income_Statement!E16</f>
        <v>-75.0078741175585</v>
      </c>
      <c r="F8" s="24" t="n">
        <f aca="false">Income_Statement!F16</f>
        <v>-73.6324224271959</v>
      </c>
      <c r="G8" s="24" t="n">
        <f aca="false">Income_Statement!G16</f>
        <v>-72.2052455097442</v>
      </c>
    </row>
    <row r="9" customFormat="false" ht="15" hidden="false" customHeight="false" outlineLevel="0" collapsed="false">
      <c r="A9" s="6"/>
      <c r="B9" s="18" t="s">
        <v>140</v>
      </c>
      <c r="C9" s="24" t="n">
        <f aca="false">Income_Statement!C19</f>
        <v>-166.8322</v>
      </c>
      <c r="D9" s="24" t="n">
        <f aca="false">Income_Statement!D19</f>
        <v>-111.741051826</v>
      </c>
      <c r="E9" s="24" t="n">
        <f aca="false">Income_Statement!E19</f>
        <v>-112.868991529279</v>
      </c>
      <c r="F9" s="24" t="n">
        <f aca="false">Income_Statement!F19</f>
        <v>-110.799264223781</v>
      </c>
      <c r="G9" s="24" t="n">
        <f aca="false">Income_Statement!G19</f>
        <v>-108.651702767044</v>
      </c>
    </row>
    <row r="10" customFormat="false" ht="15" hidden="false" customHeight="false" outlineLevel="0" collapsed="false">
      <c r="A10" s="6"/>
      <c r="B10" s="18" t="s">
        <v>141</v>
      </c>
      <c r="C10" s="24" t="n">
        <f aca="false">-Debt_Rep_Y1</f>
        <v>-0</v>
      </c>
      <c r="D10" s="24" t="n">
        <f aca="false">-Debt_Rep_Y2</f>
        <v>-0</v>
      </c>
      <c r="E10" s="24" t="n">
        <f aca="false">-Debt_Rep_Y3</f>
        <v>-100</v>
      </c>
      <c r="F10" s="24" t="n">
        <f aca="false">-Debt_Rep_Y4</f>
        <v>-100</v>
      </c>
      <c r="G10" s="24" t="n">
        <f aca="false">-Debt_Rep_Y5</f>
        <v>-100</v>
      </c>
    </row>
    <row r="11" customFormat="false" ht="15" hidden="false" customHeight="false" outlineLevel="0" collapsed="false">
      <c r="A11" s="6"/>
      <c r="B11" s="18" t="s">
        <v>142</v>
      </c>
      <c r="C11" s="24" t="n">
        <f aca="false">C6+C7+C8+C9+C10</f>
        <v>402.1983</v>
      </c>
      <c r="D11" s="24" t="n">
        <f aca="false">D6+D7+D8+D9+D10</f>
        <v>-51.695345761</v>
      </c>
      <c r="E11" s="24" t="n">
        <f aca="false">E6+E7+E8+E9+E10</f>
        <v>-406.649625646837</v>
      </c>
      <c r="F11" s="24" t="n">
        <f aca="false">F6+F7+F8+F9+F10</f>
        <v>-420.455812250976</v>
      </c>
      <c r="G11" s="24" t="n">
        <f aca="false">G6+G7+G8+G9+G10</f>
        <v>-382.742521412788</v>
      </c>
    </row>
    <row r="12" customFormat="false" ht="15" hidden="false" customHeight="false" outlineLevel="0" collapsed="false">
      <c r="A12" s="6"/>
      <c r="B12" s="25" t="s">
        <v>143</v>
      </c>
      <c r="C12" s="27" t="n">
        <f aca="false">C5+C11</f>
        <v>6652.1983</v>
      </c>
      <c r="D12" s="27" t="n">
        <f aca="false">D5+D11</f>
        <v>6600.502954239</v>
      </c>
      <c r="E12" s="27" t="n">
        <f aca="false">E5+E11</f>
        <v>6193.85332859216</v>
      </c>
      <c r="F12" s="27" t="n">
        <f aca="false">F5+F11</f>
        <v>5773.39751634119</v>
      </c>
      <c r="G12" s="27" t="n">
        <f aca="false">G5+G11</f>
        <v>5390.6549949284</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18" t="s">
        <v>144</v>
      </c>
      <c r="C14" s="24" t="n">
        <f aca="false">C5*Inv_Yield</f>
        <v>281.25</v>
      </c>
      <c r="D14" s="24" t="n">
        <f aca="false">D5*Inv_Yield</f>
        <v>299.3489235</v>
      </c>
      <c r="E14" s="24" t="n">
        <f aca="false">E5*Inv_Yield</f>
        <v>297.022632940755</v>
      </c>
      <c r="F14" s="24" t="n">
        <f aca="false">F5*Inv_Yield</f>
        <v>278.723399786647</v>
      </c>
      <c r="G14" s="24" t="n">
        <f aca="false">G5*Inv_Yield</f>
        <v>259.802888235353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2" t="s">
        <v>145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3" t="s">
        <v>146</v>
      </c>
      <c r="C3" s="16" t="s">
        <v>98</v>
      </c>
      <c r="D3" s="16" t="s">
        <v>99</v>
      </c>
      <c r="E3" s="16" t="s">
        <v>100</v>
      </c>
      <c r="F3" s="16" t="s">
        <v>101</v>
      </c>
      <c r="G3" s="16" t="s">
        <v>102</v>
      </c>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147</v>
      </c>
      <c r="C4" s="29"/>
      <c r="D4" s="29"/>
      <c r="E4" s="29"/>
      <c r="F4" s="29"/>
      <c r="G4" s="29"/>
    </row>
    <row r="5" customFormat="false" ht="15" hidden="false" customHeight="false" outlineLevel="0" collapsed="false">
      <c r="A5" s="6"/>
      <c r="B5" s="18" t="s">
        <v>148</v>
      </c>
      <c r="C5" s="24" t="n">
        <f aca="false">Premium_Build!C7*Acq_Ratio</f>
        <v>419.76</v>
      </c>
      <c r="D5" s="24" t="n">
        <f aca="false">Premium_Build!D7*Acq_Ratio</f>
        <v>444.9456</v>
      </c>
      <c r="E5" s="24" t="n">
        <f aca="false">Premium_Build!E7*Acq_Ratio</f>
        <v>471.642336</v>
      </c>
      <c r="F5" s="24" t="n">
        <f aca="false">Premium_Build!F7*Acq_Ratio</f>
        <v>499.94087616</v>
      </c>
      <c r="G5" s="24" t="n">
        <f aca="false">Premium_Build!G7*Acq_Ratio</f>
        <v>529.9373287296</v>
      </c>
    </row>
    <row r="6" customFormat="false" ht="15" hidden="false" customHeight="false" outlineLevel="0" collapsed="false">
      <c r="A6" s="6"/>
      <c r="B6" s="18" t="s">
        <v>149</v>
      </c>
      <c r="C6" s="24" t="n">
        <f aca="false">0</f>
        <v>0</v>
      </c>
      <c r="D6" s="24" t="n">
        <f aca="false">C7</f>
        <v>209.88</v>
      </c>
      <c r="E6" s="24" t="n">
        <f aca="false">D7</f>
        <v>222.4728</v>
      </c>
      <c r="F6" s="24" t="n">
        <f aca="false">E7</f>
        <v>235.821168</v>
      </c>
      <c r="G6" s="24" t="n">
        <f aca="false">F7</f>
        <v>249.97043808</v>
      </c>
    </row>
    <row r="7" customFormat="false" ht="15" hidden="false" customHeight="false" outlineLevel="0" collapsed="false">
      <c r="A7" s="6"/>
      <c r="B7" s="18" t="s">
        <v>150</v>
      </c>
      <c r="C7" s="24" t="n">
        <f aca="false">C5*(Premium_Build!C12/Premium_Build!C7)</f>
        <v>209.88</v>
      </c>
      <c r="D7" s="24" t="n">
        <f aca="false">D5*(Premium_Build!D12/Premium_Build!D7)</f>
        <v>222.4728</v>
      </c>
      <c r="E7" s="24" t="n">
        <f aca="false">E5*(Premium_Build!E12/Premium_Build!E7)</f>
        <v>235.821168</v>
      </c>
      <c r="F7" s="24" t="n">
        <f aca="false">F5*(Premium_Build!F12/Premium_Build!F7)</f>
        <v>249.97043808</v>
      </c>
      <c r="G7" s="24" t="n">
        <f aca="false">G5*(Premium_Build!G12/Premium_Build!G7)</f>
        <v>264.9686643648</v>
      </c>
    </row>
    <row r="8" customFormat="false" ht="15" hidden="false" customHeight="false" outlineLevel="0" collapsed="false">
      <c r="A8" s="6"/>
      <c r="B8" s="25" t="s">
        <v>151</v>
      </c>
      <c r="C8" s="26" t="n">
        <f aca="false">C6+C5-C7</f>
        <v>209.88</v>
      </c>
      <c r="D8" s="26" t="n">
        <f aca="false">D6+D5-D7</f>
        <v>432.3528</v>
      </c>
      <c r="E8" s="26" t="n">
        <f aca="false">E6+E5-E7</f>
        <v>458.293968</v>
      </c>
      <c r="F8" s="26" t="n">
        <f aca="false">F6+F5-F7</f>
        <v>485.79160608</v>
      </c>
      <c r="G8" s="26" t="n">
        <f aca="false">G6+G5-G7</f>
        <v>514.9391024448</v>
      </c>
    </row>
    <row r="9" customFormat="false" ht="15" hidden="false" customHeight="false" outlineLevel="0" collapsed="false">
      <c r="A9" s="6"/>
      <c r="B9" s="28" t="s">
        <v>152</v>
      </c>
      <c r="C9" s="29"/>
      <c r="D9" s="29"/>
      <c r="E9" s="29"/>
      <c r="F9" s="29"/>
      <c r="G9" s="29"/>
    </row>
    <row r="10" customFormat="false" ht="15" hidden="false" customHeight="false" outlineLevel="0" collapsed="false">
      <c r="A10" s="6"/>
      <c r="B10" s="18" t="s">
        <v>153</v>
      </c>
      <c r="C10" s="24" t="n">
        <f aca="false">Premium_Build!C14*GA_Ratio</f>
        <v>148.32</v>
      </c>
      <c r="D10" s="24" t="n">
        <f aca="false">Premium_Build!D14*GA_Ratio</f>
        <v>157.2192</v>
      </c>
      <c r="E10" s="24" t="n">
        <f aca="false">Premium_Build!E14*GA_Ratio</f>
        <v>166.652352</v>
      </c>
      <c r="F10" s="24" t="n">
        <f aca="false">Premium_Build!F14*GA_Ratio</f>
        <v>176.65149312</v>
      </c>
      <c r="G10" s="24" t="n">
        <f aca="false">Premium_Build!G14*GA_Ratio</f>
        <v>187.2505827072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2" t="s">
        <v>154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3" t="s">
        <v>155</v>
      </c>
      <c r="C3" s="16" t="s">
        <v>98</v>
      </c>
      <c r="D3" s="16" t="s">
        <v>99</v>
      </c>
      <c r="E3" s="16" t="s">
        <v>100</v>
      </c>
      <c r="F3" s="16" t="s">
        <v>101</v>
      </c>
      <c r="G3" s="16" t="s">
        <v>102</v>
      </c>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18" t="s">
        <v>110</v>
      </c>
      <c r="C5" s="24" t="n">
        <f aca="false">Premium_Build!C14</f>
        <v>1854</v>
      </c>
      <c r="D5" s="24" t="n">
        <f aca="false">Premium_Build!D14</f>
        <v>1965.24</v>
      </c>
      <c r="E5" s="24" t="n">
        <f aca="false">Premium_Build!E14</f>
        <v>2083.1544</v>
      </c>
      <c r="F5" s="24" t="n">
        <f aca="false">Premium_Build!F14</f>
        <v>2208.143664</v>
      </c>
      <c r="G5" s="24" t="n">
        <f aca="false">Premium_Build!G14</f>
        <v>2340.63228384</v>
      </c>
    </row>
    <row r="6" customFormat="false" ht="15" hidden="false" customHeight="false" outlineLevel="0" collapsed="false">
      <c r="A6" s="6"/>
      <c r="B6" s="18" t="s">
        <v>113</v>
      </c>
      <c r="C6" s="24" t="n">
        <f aca="false">Claims_Reserving!C5</f>
        <v>-1205.1</v>
      </c>
      <c r="D6" s="24" t="n">
        <f aca="false">Claims_Reserving!D5</f>
        <v>-1277.406</v>
      </c>
      <c r="E6" s="24" t="n">
        <f aca="false">Claims_Reserving!E5</f>
        <v>-1354.05036</v>
      </c>
      <c r="F6" s="24" t="n">
        <f aca="false">Claims_Reserving!F5</f>
        <v>-1435.2933816</v>
      </c>
      <c r="G6" s="24" t="n">
        <f aca="false">Claims_Reserving!G5</f>
        <v>-1521.410984496</v>
      </c>
    </row>
    <row r="7" customFormat="false" ht="15" hidden="false" customHeight="false" outlineLevel="0" collapsed="false">
      <c r="A7" s="6"/>
      <c r="B7" s="18" t="s">
        <v>156</v>
      </c>
      <c r="C7" s="24" t="n">
        <f aca="false">-Opex_DAC!C8</f>
        <v>-209.88</v>
      </c>
      <c r="D7" s="24" t="n">
        <f aca="false">-Opex_DAC!D8</f>
        <v>-432.3528</v>
      </c>
      <c r="E7" s="24" t="n">
        <f aca="false">-Opex_DAC!E8</f>
        <v>-458.293968</v>
      </c>
      <c r="F7" s="24" t="n">
        <f aca="false">-Opex_DAC!F8</f>
        <v>-485.79160608</v>
      </c>
      <c r="G7" s="24" t="n">
        <f aca="false">-Opex_DAC!G8</f>
        <v>-514.9391024448</v>
      </c>
    </row>
    <row r="8" customFormat="false" ht="15" hidden="false" customHeight="false" outlineLevel="0" collapsed="false">
      <c r="A8" s="6"/>
      <c r="B8" s="18" t="s">
        <v>153</v>
      </c>
      <c r="C8" s="24" t="n">
        <f aca="false">-Opex_DAC!C10</f>
        <v>-148.32</v>
      </c>
      <c r="D8" s="24" t="n">
        <f aca="false">-Opex_DAC!D10</f>
        <v>-157.2192</v>
      </c>
      <c r="E8" s="24" t="n">
        <f aca="false">-Opex_DAC!E10</f>
        <v>-166.652352</v>
      </c>
      <c r="F8" s="24" t="n">
        <f aca="false">-Opex_DAC!F10</f>
        <v>-176.65149312</v>
      </c>
      <c r="G8" s="24" t="n">
        <f aca="false">-Opex_DAC!G10</f>
        <v>-187.2505827072</v>
      </c>
    </row>
    <row r="9" customFormat="false" ht="15" hidden="false" customHeight="false" outlineLevel="0" collapsed="false">
      <c r="A9" s="6"/>
      <c r="B9" s="25" t="s">
        <v>157</v>
      </c>
      <c r="C9" s="26" t="n">
        <f aca="false">C5+C6+C7+C8</f>
        <v>290.7</v>
      </c>
      <c r="D9" s="26" t="n">
        <f aca="false">D5+D6+D7+D8</f>
        <v>98.262</v>
      </c>
      <c r="E9" s="26" t="n">
        <f aca="false">E5+E6+E7+E8</f>
        <v>104.15772</v>
      </c>
      <c r="F9" s="26" t="n">
        <f aca="false">F5+F6+F7+F8</f>
        <v>110.4071832</v>
      </c>
      <c r="G9" s="26" t="n">
        <f aca="false">G5+G6+G7+G8</f>
        <v>117.031614192</v>
      </c>
    </row>
    <row r="10" customFormat="false" ht="15" hidden="false" customHeight="false" outlineLevel="0" collapsed="false">
      <c r="A10" s="6"/>
      <c r="B10" s="6"/>
      <c r="C10" s="6"/>
      <c r="D10" s="6"/>
      <c r="E10" s="6"/>
      <c r="F10" s="6"/>
      <c r="G10" s="6"/>
    </row>
    <row r="11" customFormat="false" ht="15" hidden="false" customHeight="false" outlineLevel="0" collapsed="false">
      <c r="A11" s="6"/>
      <c r="B11" s="18" t="s">
        <v>144</v>
      </c>
      <c r="C11" s="24" t="n">
        <f aca="false">Investments!C14</f>
        <v>281.25</v>
      </c>
      <c r="D11" s="24" t="n">
        <f aca="false">Investments!D14</f>
        <v>299.3489235</v>
      </c>
      <c r="E11" s="24" t="n">
        <f aca="false">Investments!E14</f>
        <v>297.022632940755</v>
      </c>
      <c r="F11" s="24" t="n">
        <f aca="false">Investments!F14</f>
        <v>278.723399786647</v>
      </c>
      <c r="G11" s="24" t="n">
        <f aca="false">Investments!G14</f>
        <v>259.802888235353</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25" t="s">
        <v>158</v>
      </c>
      <c r="C13" s="26" t="n">
        <f aca="false">C9+C11</f>
        <v>571.95</v>
      </c>
      <c r="D13" s="26" t="n">
        <f aca="false">D9+D11</f>
        <v>397.6109235</v>
      </c>
      <c r="E13" s="26" t="n">
        <f aca="false">E9+E11</f>
        <v>401.180352940755</v>
      </c>
      <c r="F13" s="26" t="n">
        <f aca="false">F9+F11</f>
        <v>389.130582986647</v>
      </c>
      <c r="G13" s="26" t="n">
        <f aca="false">G9+G11</f>
        <v>376.834502427353</v>
      </c>
    </row>
    <row r="14" customFormat="false" ht="15" hidden="false" customHeight="false" outlineLevel="0" collapsed="false">
      <c r="A14" s="6"/>
      <c r="B14" s="18" t="s">
        <v>159</v>
      </c>
      <c r="C14" s="24" t="n">
        <f aca="false">-(Open_Debt*Debt_Rate)</f>
        <v>-44</v>
      </c>
      <c r="D14" s="24" t="n">
        <f aca="false">-((Open_Debt-Debt_Rep_Y1)*Debt_Rate)</f>
        <v>-44</v>
      </c>
      <c r="E14" s="24" t="n">
        <f aca="false">-((Open_Debt-Debt_Rep_Y1-Debt_Rep_Y2)*Debt_Rate)</f>
        <v>-44</v>
      </c>
      <c r="F14" s="24" t="n">
        <f aca="false">-((Open_Debt-Debt_Rep_Y1-Debt_Rep_Y2-Debt_Rep_Y3)*Debt_Rate)</f>
        <v>-38.5</v>
      </c>
      <c r="G14" s="24" t="n">
        <f aca="false">-((Open_Debt-Debt_Rep_Y1-Debt_Rep_Y2-Debt_Rep_Y3-Debt_Rep_Y4)*Debt_Rate)</f>
        <v>-33</v>
      </c>
    </row>
    <row r="15" customFormat="false" ht="15" hidden="false" customHeight="false" outlineLevel="0" collapsed="false">
      <c r="A15" s="6"/>
      <c r="B15" s="25" t="s">
        <v>160</v>
      </c>
      <c r="C15" s="26" t="n">
        <f aca="false">C13+C14</f>
        <v>527.95</v>
      </c>
      <c r="D15" s="26" t="n">
        <f aca="false">D13+D14</f>
        <v>353.6109235</v>
      </c>
      <c r="E15" s="26" t="n">
        <f aca="false">E13+E14</f>
        <v>357.180352940755</v>
      </c>
      <c r="F15" s="26" t="n">
        <f aca="false">F13+F14</f>
        <v>350.630582986647</v>
      </c>
      <c r="G15" s="26" t="n">
        <f aca="false">G13+G14</f>
        <v>343.834502427353</v>
      </c>
    </row>
    <row r="16" customFormat="false" ht="15" hidden="false" customHeight="false" outlineLevel="0" collapsed="false">
      <c r="A16" s="6"/>
      <c r="B16" s="18" t="s">
        <v>161</v>
      </c>
      <c r="C16" s="24" t="n">
        <f aca="false">IF(C15&gt;0,-C15*Tax_Rate,0)</f>
        <v>-110.8695</v>
      </c>
      <c r="D16" s="24" t="n">
        <f aca="false">IF(D15&gt;0,-D15*Tax_Rate,0)</f>
        <v>-74.258293935</v>
      </c>
      <c r="E16" s="24" t="n">
        <f aca="false">IF(E15&gt;0,-E15*Tax_Rate,0)</f>
        <v>-75.0078741175585</v>
      </c>
      <c r="F16" s="24" t="n">
        <f aca="false">IF(F15&gt;0,-F15*Tax_Rate,0)</f>
        <v>-73.6324224271959</v>
      </c>
      <c r="G16" s="24" t="n">
        <f aca="false">IF(G15&gt;0,-G15*Tax_Rate,0)</f>
        <v>-72.2052455097442</v>
      </c>
    </row>
    <row r="17" customFormat="false" ht="15" hidden="false" customHeight="false" outlineLevel="0" collapsed="false">
      <c r="A17" s="6"/>
      <c r="B17" s="25" t="s">
        <v>162</v>
      </c>
      <c r="C17" s="27" t="n">
        <f aca="false">C15+C16</f>
        <v>417.0805</v>
      </c>
      <c r="D17" s="27" t="n">
        <f aca="false">D15+D16</f>
        <v>279.352629565</v>
      </c>
      <c r="E17" s="27" t="n">
        <f aca="false">E15+E16</f>
        <v>282.172478823196</v>
      </c>
      <c r="F17" s="27" t="n">
        <f aca="false">F15+F16</f>
        <v>276.998160559451</v>
      </c>
      <c r="G17" s="27" t="n">
        <f aca="false">G15+G16</f>
        <v>271.629256917609</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18" t="s">
        <v>163</v>
      </c>
      <c r="C19" s="24" t="n">
        <f aca="false">IF(C17&gt;0,-C17*Div_Ratio,0)</f>
        <v>-166.8322</v>
      </c>
      <c r="D19" s="24" t="n">
        <f aca="false">IF(D17&gt;0,-D17*Div_Ratio,0)</f>
        <v>-111.741051826</v>
      </c>
      <c r="E19" s="24" t="n">
        <f aca="false">IF(E17&gt;0,-E17*Div_Ratio,0)</f>
        <v>-112.868991529279</v>
      </c>
      <c r="F19" s="24" t="n">
        <f aca="false">IF(F17&gt;0,-F17*Div_Ratio,0)</f>
        <v>-110.799264223781</v>
      </c>
      <c r="G19" s="24" t="n">
        <f aca="false">IF(G17&gt;0,-G17*Div_Ratio,0)</f>
        <v>-108.651702767044</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18" t="s">
        <v>32</v>
      </c>
      <c r="C21" s="30" t="n">
        <f aca="false">-C6/C5</f>
        <v>0.65</v>
      </c>
      <c r="D21" s="30" t="n">
        <f aca="false">-D6/D5</f>
        <v>0.65</v>
      </c>
      <c r="E21" s="30" t="n">
        <f aca="false">-E6/E5</f>
        <v>0.65</v>
      </c>
      <c r="F21" s="30" t="n">
        <f aca="false">-F6/F5</f>
        <v>0.65</v>
      </c>
      <c r="G21" s="30" t="n">
        <f aca="false">-G6/G5</f>
        <v>0.65</v>
      </c>
    </row>
    <row r="22" customFormat="false" ht="15" hidden="false" customHeight="false" outlineLevel="0" collapsed="false">
      <c r="A22" s="6"/>
      <c r="B22" s="18" t="s">
        <v>164</v>
      </c>
      <c r="C22" s="30" t="n">
        <f aca="false">(-C7-C8)/C5</f>
        <v>0.193203883495146</v>
      </c>
      <c r="D22" s="30" t="n">
        <f aca="false">(-D7-D8)/D5</f>
        <v>0.3</v>
      </c>
      <c r="E22" s="30" t="n">
        <f aca="false">(-E7-E8)/E5</f>
        <v>0.3</v>
      </c>
      <c r="F22" s="30" t="n">
        <f aca="false">(-F7-F8)/F5</f>
        <v>0.3</v>
      </c>
      <c r="G22" s="30" t="n">
        <f aca="false">(-G7-G8)/G5</f>
        <v>0.3</v>
      </c>
    </row>
    <row r="23" customFormat="false" ht="15" hidden="false" customHeight="false" outlineLevel="0" collapsed="false">
      <c r="A23" s="6"/>
      <c r="B23" s="18" t="s">
        <v>165</v>
      </c>
      <c r="C23" s="30" t="n">
        <f aca="false">C21+C22</f>
        <v>0.843203883495146</v>
      </c>
      <c r="D23" s="30" t="n">
        <f aca="false">D21+D22</f>
        <v>0.95</v>
      </c>
      <c r="E23" s="30" t="n">
        <f aca="false">E21+E22</f>
        <v>0.95</v>
      </c>
      <c r="F23" s="30" t="n">
        <f aca="false">F21+F22</f>
        <v>0.95</v>
      </c>
      <c r="G23" s="30" t="n">
        <f aca="false">G21+G22</f>
        <v>0.95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2" t="s">
        <v>166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3" t="s">
        <v>167</v>
      </c>
      <c r="C3" s="16" t="s">
        <v>98</v>
      </c>
      <c r="D3" s="16" t="s">
        <v>99</v>
      </c>
      <c r="E3" s="16" t="s">
        <v>100</v>
      </c>
      <c r="F3" s="16" t="s">
        <v>101</v>
      </c>
      <c r="G3" s="16" t="s">
        <v>102</v>
      </c>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t="s">
        <v>168</v>
      </c>
      <c r="C5" s="29"/>
      <c r="D5" s="29"/>
      <c r="E5" s="29"/>
      <c r="F5" s="29"/>
      <c r="G5" s="29"/>
    </row>
    <row r="6" customFormat="false" ht="15" hidden="false" customHeight="false" outlineLevel="0" collapsed="false">
      <c r="A6" s="6"/>
      <c r="B6" s="18" t="s">
        <v>169</v>
      </c>
      <c r="C6" s="24" t="n">
        <f aca="false">Investments!C12</f>
        <v>6652.1983</v>
      </c>
      <c r="D6" s="24" t="n">
        <f aca="false">Investments!D12</f>
        <v>6600.502954239</v>
      </c>
      <c r="E6" s="24" t="n">
        <f aca="false">Investments!E12</f>
        <v>6193.85332859216</v>
      </c>
      <c r="F6" s="24" t="n">
        <f aca="false">Investments!F12</f>
        <v>5773.39751634119</v>
      </c>
      <c r="G6" s="24" t="n">
        <f aca="false">Investments!G12</f>
        <v>5390.6549949284</v>
      </c>
    </row>
    <row r="7" customFormat="false" ht="15" hidden="false" customHeight="false" outlineLevel="0" collapsed="false">
      <c r="A7" s="6"/>
      <c r="B7" s="18" t="s">
        <v>170</v>
      </c>
      <c r="C7" s="24" t="n">
        <f aca="false">Cash_Flow!C23</f>
        <v>422.342</v>
      </c>
      <c r="D7" s="24" t="n">
        <f aca="false">Cash_Flow!D23</f>
        <v>718.151443500001</v>
      </c>
      <c r="E7" s="24" t="n">
        <f aca="false">Cash_Flow!E23</f>
        <v>1037.79972764075</v>
      </c>
      <c r="F7" s="24" t="n">
        <f aca="false">Cash_Flow!F23</f>
        <v>1342.3328176994</v>
      </c>
      <c r="G7" s="24" t="n">
        <f aca="false">Cash_Flow!G23</f>
        <v>1626.04497762308</v>
      </c>
    </row>
    <row r="8" customFormat="false" ht="15" hidden="false" customHeight="false" outlineLevel="0" collapsed="false">
      <c r="A8" s="6"/>
      <c r="B8" s="18" t="s">
        <v>171</v>
      </c>
      <c r="C8" s="24" t="n">
        <f aca="false">Opex_DAC!C7</f>
        <v>209.88</v>
      </c>
      <c r="D8" s="24" t="n">
        <f aca="false">Opex_DAC!D7</f>
        <v>222.4728</v>
      </c>
      <c r="E8" s="24" t="n">
        <f aca="false">Opex_DAC!E7</f>
        <v>235.821168</v>
      </c>
      <c r="F8" s="24" t="n">
        <f aca="false">Opex_DAC!F7</f>
        <v>249.97043808</v>
      </c>
      <c r="G8" s="24" t="n">
        <f aca="false">Opex_DAC!G7</f>
        <v>264.9686643648</v>
      </c>
    </row>
    <row r="9" customFormat="false" ht="15" hidden="false" customHeight="false" outlineLevel="0" collapsed="false">
      <c r="A9" s="6"/>
      <c r="B9" s="18" t="s">
        <v>172</v>
      </c>
      <c r="C9" s="24" t="n">
        <f aca="false">Cession_Rate*Claims_Reserving!C31</f>
        <v>308.908</v>
      </c>
      <c r="D9" s="24" t="n">
        <f aca="false">Cession_Rate*Claims_Reserving!D31</f>
        <v>312.44748</v>
      </c>
      <c r="E9" s="24" t="n">
        <f aca="false">Cession_Rate*Claims_Reserving!E31</f>
        <v>289.8218288</v>
      </c>
      <c r="F9" s="24" t="n">
        <f aca="false">Cession_Rate*Claims_Reserving!F31</f>
        <v>264.012138528</v>
      </c>
      <c r="G9" s="24" t="n">
        <f aca="false">Cession_Rate*Claims_Reserving!G31</f>
        <v>240.10286683968</v>
      </c>
    </row>
    <row r="10" customFormat="false" ht="15" hidden="false" customHeight="false" outlineLevel="0" collapsed="false">
      <c r="A10" s="6"/>
      <c r="B10" s="6"/>
      <c r="C10" s="6"/>
      <c r="D10" s="6"/>
      <c r="E10" s="6"/>
      <c r="F10" s="6"/>
      <c r="G10" s="6"/>
    </row>
    <row r="11" customFormat="false" ht="15" hidden="false" customHeight="false" outlineLevel="0" collapsed="false">
      <c r="A11" s="6"/>
      <c r="B11" s="25" t="s">
        <v>173</v>
      </c>
      <c r="C11" s="27" t="n">
        <f aca="false">C6+C7+C8+C9</f>
        <v>7593.3283</v>
      </c>
      <c r="D11" s="27" t="n">
        <f aca="false">D6+D7+D8+D9</f>
        <v>7853.574677739</v>
      </c>
      <c r="E11" s="27" t="n">
        <f aca="false">E6+E7+E8+E9</f>
        <v>7757.29605303292</v>
      </c>
      <c r="F11" s="27" t="n">
        <f aca="false">F6+F7+F8+F9</f>
        <v>7629.71291064859</v>
      </c>
      <c r="G11" s="27" t="n">
        <f aca="false">G6+G7+G8+G9</f>
        <v>7521.77150375596</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28" t="s">
        <v>174</v>
      </c>
      <c r="C13" s="29"/>
      <c r="D13" s="29"/>
      <c r="E13" s="29"/>
      <c r="F13" s="29"/>
      <c r="G13" s="29"/>
    </row>
    <row r="14" customFormat="false" ht="15" hidden="false" customHeight="false" outlineLevel="0" collapsed="false">
      <c r="A14" s="6"/>
      <c r="B14" s="18" t="s">
        <v>175</v>
      </c>
      <c r="C14" s="24" t="n">
        <f aca="false">Premium_Build!C12</f>
        <v>954</v>
      </c>
      <c r="D14" s="24" t="n">
        <f aca="false">Premium_Build!D12</f>
        <v>1011.24</v>
      </c>
      <c r="E14" s="24" t="n">
        <f aca="false">Premium_Build!E12</f>
        <v>1071.9144</v>
      </c>
      <c r="F14" s="24" t="n">
        <f aca="false">Premium_Build!F12</f>
        <v>1136.229264</v>
      </c>
      <c r="G14" s="24" t="n">
        <f aca="false">Premium_Build!G12</f>
        <v>1204.40301984</v>
      </c>
    </row>
    <row r="15" customFormat="false" ht="15" hidden="false" customHeight="false" outlineLevel="0" collapsed="false">
      <c r="A15" s="6"/>
      <c r="B15" s="18" t="s">
        <v>176</v>
      </c>
      <c r="C15" s="24" t="n">
        <f aca="false">Claims_Reserving!C31</f>
        <v>3089.08</v>
      </c>
      <c r="D15" s="24" t="n">
        <f aca="false">Claims_Reserving!D31</f>
        <v>3124.4748</v>
      </c>
      <c r="E15" s="24" t="n">
        <f aca="false">Claims_Reserving!E31</f>
        <v>2898.218288</v>
      </c>
      <c r="F15" s="24" t="n">
        <f aca="false">Claims_Reserving!F31</f>
        <v>2640.12138528</v>
      </c>
      <c r="G15" s="24" t="n">
        <f aca="false">Claims_Reserving!G31</f>
        <v>2401.0286683968</v>
      </c>
    </row>
    <row r="16" customFormat="false" ht="15" hidden="false" customHeight="false" outlineLevel="0" collapsed="false">
      <c r="A16" s="6"/>
      <c r="B16" s="18" t="s">
        <v>177</v>
      </c>
      <c r="C16" s="24" t="n">
        <f aca="false">Open_Debt</f>
        <v>800</v>
      </c>
      <c r="D16" s="24" t="n">
        <f aca="false">C18</f>
        <v>800</v>
      </c>
      <c r="E16" s="24" t="n">
        <f aca="false">D18</f>
        <v>800</v>
      </c>
      <c r="F16" s="24" t="n">
        <f aca="false">E18</f>
        <v>700</v>
      </c>
      <c r="G16" s="24" t="n">
        <f aca="false">F18</f>
        <v>600</v>
      </c>
    </row>
    <row r="17" customFormat="false" ht="15" hidden="false" customHeight="false" outlineLevel="0" collapsed="false">
      <c r="A17" s="6"/>
      <c r="B17" s="18" t="s">
        <v>178</v>
      </c>
      <c r="C17" s="24" t="n">
        <f aca="false">-Debt_Rep_Y1</f>
        <v>-0</v>
      </c>
      <c r="D17" s="24" t="n">
        <f aca="false">-Debt_Rep_Y2</f>
        <v>-0</v>
      </c>
      <c r="E17" s="24" t="n">
        <f aca="false">-Debt_Rep_Y3</f>
        <v>-100</v>
      </c>
      <c r="F17" s="24" t="n">
        <f aca="false">-Debt_Rep_Y4</f>
        <v>-100</v>
      </c>
      <c r="G17" s="24" t="n">
        <f aca="false">-Debt_Rep_Y5</f>
        <v>-100</v>
      </c>
    </row>
    <row r="18" customFormat="false" ht="15" hidden="false" customHeight="false" outlineLevel="0" collapsed="false">
      <c r="A18" s="6"/>
      <c r="B18" s="18" t="s">
        <v>179</v>
      </c>
      <c r="C18" s="24" t="n">
        <f aca="false">C16+C17</f>
        <v>800</v>
      </c>
      <c r="D18" s="24" t="n">
        <f aca="false">D16+D17</f>
        <v>800</v>
      </c>
      <c r="E18" s="24" t="n">
        <f aca="false">E16+E17</f>
        <v>700</v>
      </c>
      <c r="F18" s="24" t="n">
        <f aca="false">F16+F17</f>
        <v>600</v>
      </c>
      <c r="G18" s="24" t="n">
        <f aca="false">G16+G17</f>
        <v>500</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25" t="s">
        <v>180</v>
      </c>
      <c r="C20" s="27" t="n">
        <f aca="false">C14+C15+C18</f>
        <v>4843.08</v>
      </c>
      <c r="D20" s="27" t="n">
        <f aca="false">D14+D15+D18</f>
        <v>4935.7148</v>
      </c>
      <c r="E20" s="27" t="n">
        <f aca="false">E14+E15+E18</f>
        <v>4670.132688</v>
      </c>
      <c r="F20" s="27" t="n">
        <f aca="false">F14+F15+F18</f>
        <v>4376.35064928</v>
      </c>
      <c r="G20" s="27" t="n">
        <f aca="false">G14+G15+G18</f>
        <v>4105.4316882368</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28" t="s">
        <v>181</v>
      </c>
      <c r="C22" s="29"/>
      <c r="D22" s="29"/>
      <c r="E22" s="29"/>
      <c r="F22" s="29"/>
      <c r="G22" s="29"/>
    </row>
    <row r="23" customFormat="false" ht="15" hidden="false" customHeight="false" outlineLevel="0" collapsed="false">
      <c r="A23" s="6"/>
      <c r="B23" s="18" t="s">
        <v>62</v>
      </c>
      <c r="C23" s="24" t="n">
        <f aca="false">Share_Capital</f>
        <v>1200</v>
      </c>
      <c r="D23" s="24" t="n">
        <f aca="false">Share_Capital</f>
        <v>1200</v>
      </c>
      <c r="E23" s="24" t="n">
        <f aca="false">Share_Capital</f>
        <v>1200</v>
      </c>
      <c r="F23" s="24" t="n">
        <f aca="false">Share_Capital</f>
        <v>1200</v>
      </c>
      <c r="G23" s="24" t="n">
        <f aca="false">Share_Capital</f>
        <v>1200</v>
      </c>
    </row>
    <row r="24" customFormat="false" ht="15" hidden="false" customHeight="false" outlineLevel="0" collapsed="false">
      <c r="A24" s="6"/>
      <c r="B24" s="18" t="s">
        <v>182</v>
      </c>
      <c r="C24" s="24" t="n">
        <f aca="false">Open_RE</f>
        <v>1300</v>
      </c>
      <c r="D24" s="24" t="n">
        <f aca="false">C27</f>
        <v>1550.2483</v>
      </c>
      <c r="E24" s="24" t="n">
        <f aca="false">D27</f>
        <v>1717.859877739</v>
      </c>
      <c r="F24" s="24" t="n">
        <f aca="false">E27</f>
        <v>1887.16336503292</v>
      </c>
      <c r="G24" s="24" t="n">
        <f aca="false">F27</f>
        <v>2053.36226136859</v>
      </c>
    </row>
    <row r="25" customFormat="false" ht="15" hidden="false" customHeight="false" outlineLevel="0" collapsed="false">
      <c r="A25" s="6"/>
      <c r="B25" s="18" t="s">
        <v>162</v>
      </c>
      <c r="C25" s="24" t="n">
        <f aca="false">Income_Statement!C17</f>
        <v>417.0805</v>
      </c>
      <c r="D25" s="24" t="n">
        <f aca="false">Income_Statement!D17</f>
        <v>279.352629565</v>
      </c>
      <c r="E25" s="24" t="n">
        <f aca="false">Income_Statement!E17</f>
        <v>282.172478823196</v>
      </c>
      <c r="F25" s="24" t="n">
        <f aca="false">Income_Statement!F17</f>
        <v>276.998160559451</v>
      </c>
      <c r="G25" s="24" t="n">
        <f aca="false">Income_Statement!G17</f>
        <v>271.629256917609</v>
      </c>
    </row>
    <row r="26" customFormat="false" ht="15" hidden="false" customHeight="false" outlineLevel="0" collapsed="false">
      <c r="A26" s="6"/>
      <c r="B26" s="18" t="s">
        <v>163</v>
      </c>
      <c r="C26" s="24" t="n">
        <f aca="false">Income_Statement!C19</f>
        <v>-166.8322</v>
      </c>
      <c r="D26" s="24" t="n">
        <f aca="false">Income_Statement!D19</f>
        <v>-111.741051826</v>
      </c>
      <c r="E26" s="24" t="n">
        <f aca="false">Income_Statement!E19</f>
        <v>-112.868991529279</v>
      </c>
      <c r="F26" s="24" t="n">
        <f aca="false">Income_Statement!F19</f>
        <v>-110.799264223781</v>
      </c>
      <c r="G26" s="24" t="n">
        <f aca="false">Income_Statement!G19</f>
        <v>-108.651702767044</v>
      </c>
    </row>
    <row r="27" customFormat="false" ht="15" hidden="false" customHeight="false" outlineLevel="0" collapsed="false">
      <c r="A27" s="6"/>
      <c r="B27" s="18" t="s">
        <v>183</v>
      </c>
      <c r="C27" s="24" t="n">
        <f aca="false">C24+C25+C26</f>
        <v>1550.2483</v>
      </c>
      <c r="D27" s="24" t="n">
        <f aca="false">D24+D25+D26</f>
        <v>1717.859877739</v>
      </c>
      <c r="E27" s="24" t="n">
        <f aca="false">E24+E25+E26</f>
        <v>1887.16336503292</v>
      </c>
      <c r="F27" s="24" t="n">
        <f aca="false">F24+F25+F26</f>
        <v>2053.36226136859</v>
      </c>
      <c r="G27" s="24" t="n">
        <f aca="false">G24+G25+G26</f>
        <v>2216.33981551915</v>
      </c>
    </row>
    <row r="28" customFormat="false" ht="15" hidden="false" customHeight="false" outlineLevel="0" collapsed="false">
      <c r="A28" s="6"/>
      <c r="B28" s="6"/>
      <c r="C28" s="6"/>
      <c r="D28" s="6"/>
      <c r="E28" s="6"/>
      <c r="F28" s="6"/>
      <c r="G28" s="6"/>
    </row>
    <row r="29" customFormat="false" ht="15" hidden="false" customHeight="false" outlineLevel="0" collapsed="false">
      <c r="A29" s="6"/>
      <c r="B29" s="25" t="s">
        <v>184</v>
      </c>
      <c r="C29" s="27" t="n">
        <f aca="false">C23+C27</f>
        <v>2750.2483</v>
      </c>
      <c r="D29" s="27" t="n">
        <f aca="false">D23+D27</f>
        <v>2917.859877739</v>
      </c>
      <c r="E29" s="27" t="n">
        <f aca="false">E23+E27</f>
        <v>3087.16336503292</v>
      </c>
      <c r="F29" s="27" t="n">
        <f aca="false">F23+F27</f>
        <v>3253.36226136859</v>
      </c>
      <c r="G29" s="27" t="n">
        <f aca="false">G23+G27</f>
        <v>3416.33981551915</v>
      </c>
    </row>
    <row r="30" customFormat="false" ht="15" hidden="false" customHeight="false" outlineLevel="0" collapsed="false">
      <c r="A30" s="6"/>
      <c r="B30" s="6"/>
      <c r="C30" s="6"/>
      <c r="D30" s="6"/>
      <c r="E30" s="6"/>
      <c r="F30" s="6"/>
      <c r="G30" s="6"/>
    </row>
    <row r="31" customFormat="false" ht="15" hidden="false" customHeight="false" outlineLevel="0" collapsed="false">
      <c r="A31" s="6"/>
      <c r="B31" s="25" t="s">
        <v>185</v>
      </c>
      <c r="C31" s="27" t="n">
        <f aca="false">C20+C29</f>
        <v>7593.3283</v>
      </c>
      <c r="D31" s="27" t="n">
        <f aca="false">D20+D29</f>
        <v>7853.574677739</v>
      </c>
      <c r="E31" s="27" t="n">
        <f aca="false">E20+E29</f>
        <v>7757.29605303292</v>
      </c>
      <c r="F31" s="27" t="n">
        <f aca="false">F20+F29</f>
        <v>7629.71291064859</v>
      </c>
      <c r="G31" s="27" t="n">
        <f aca="false">G20+G29</f>
        <v>7521.77150375595</v>
      </c>
    </row>
    <row r="32" customFormat="false" ht="15" hidden="false" customHeight="false" outlineLevel="0" collapsed="false">
      <c r="A32" s="6"/>
      <c r="B32" s="31" t="s">
        <v>186</v>
      </c>
      <c r="C32" s="32" t="n">
        <f aca="false">C11-C31</f>
        <v>0</v>
      </c>
      <c r="D32" s="32" t="n">
        <f aca="false">D11-D31</f>
        <v>0</v>
      </c>
      <c r="E32" s="32" t="n">
        <f aca="false">E11-E31</f>
        <v>0</v>
      </c>
      <c r="F32" s="32" t="n">
        <f aca="false">F11-F31</f>
        <v>0</v>
      </c>
      <c r="G32" s="32" t="n">
        <f aca="false">G11-G31</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2" t="s">
        <v>187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3" t="s">
        <v>188</v>
      </c>
      <c r="C3" s="16" t="s">
        <v>98</v>
      </c>
      <c r="D3" s="16" t="s">
        <v>99</v>
      </c>
      <c r="E3" s="16" t="s">
        <v>100</v>
      </c>
      <c r="F3" s="16" t="s">
        <v>101</v>
      </c>
      <c r="G3" s="16" t="s">
        <v>102</v>
      </c>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28" t="s">
        <v>189</v>
      </c>
      <c r="C4" s="29"/>
      <c r="D4" s="29"/>
      <c r="E4" s="29"/>
      <c r="F4" s="29"/>
      <c r="G4" s="29"/>
    </row>
    <row r="5" customFormat="false" ht="15" hidden="false" customHeight="false" outlineLevel="0" collapsed="false">
      <c r="A5" s="6"/>
      <c r="B5" s="18" t="s">
        <v>162</v>
      </c>
      <c r="C5" s="24" t="n">
        <f aca="false">Income_Statement!C17</f>
        <v>417.0805</v>
      </c>
      <c r="D5" s="24" t="n">
        <f aca="false">Income_Statement!D17</f>
        <v>279.352629565</v>
      </c>
      <c r="E5" s="24" t="n">
        <f aca="false">Income_Statement!E17</f>
        <v>282.172478823196</v>
      </c>
      <c r="F5" s="24" t="n">
        <f aca="false">Income_Statement!F17</f>
        <v>276.998160559451</v>
      </c>
      <c r="G5" s="24" t="n">
        <f aca="false">Income_Statement!G17</f>
        <v>271.629256917609</v>
      </c>
    </row>
    <row r="6" customFormat="false" ht="15" hidden="false" customHeight="false" outlineLevel="0" collapsed="false">
      <c r="A6" s="6"/>
      <c r="B6" s="7" t="s">
        <v>190</v>
      </c>
      <c r="C6" s="6"/>
      <c r="D6" s="6"/>
      <c r="E6" s="6"/>
      <c r="F6" s="6"/>
      <c r="G6" s="6"/>
    </row>
    <row r="7" customFormat="false" ht="15" hidden="false" customHeight="false" outlineLevel="0" collapsed="false">
      <c r="A7" s="6"/>
      <c r="B7" s="18" t="s">
        <v>191</v>
      </c>
      <c r="C7" s="24" t="n">
        <f aca="false">Premium_Build!C12-GWP_Base*(1-Cession_Rate)*(1-Earn_Y1)</f>
        <v>54</v>
      </c>
      <c r="D7" s="24" t="n">
        <f aca="false">Premium_Build!D12-Premium_Build!C12</f>
        <v>57.2400000000002</v>
      </c>
      <c r="E7" s="24" t="n">
        <f aca="false">Premium_Build!E12-Premium_Build!D12</f>
        <v>60.6743999999999</v>
      </c>
      <c r="F7" s="24" t="n">
        <f aca="false">Premium_Build!F12-Premium_Build!E12</f>
        <v>64.3148639999999</v>
      </c>
      <c r="G7" s="24" t="n">
        <f aca="false">Premium_Build!G12-Premium_Build!F12</f>
        <v>68.17375584</v>
      </c>
    </row>
    <row r="8" customFormat="false" ht="15" hidden="false" customHeight="false" outlineLevel="0" collapsed="false">
      <c r="A8" s="6"/>
      <c r="B8" s="18" t="s">
        <v>192</v>
      </c>
      <c r="C8" s="24" t="n">
        <f aca="false">Claims_Reserving!C31-Open_Loss_Res</f>
        <v>589.08</v>
      </c>
      <c r="D8" s="24" t="n">
        <f aca="false">Claims_Reserving!D31-Claims_Reserving!C31</f>
        <v>35.3948000000005</v>
      </c>
      <c r="E8" s="24" t="n">
        <f aca="false">Claims_Reserving!E31-Claims_Reserving!D31</f>
        <v>-226.256512</v>
      </c>
      <c r="F8" s="24" t="n">
        <f aca="false">Claims_Reserving!F31-Claims_Reserving!E31</f>
        <v>-258.09690272</v>
      </c>
      <c r="G8" s="24" t="n">
        <f aca="false">Claims_Reserving!G31-Claims_Reserving!F31</f>
        <v>-239.0927168832</v>
      </c>
    </row>
    <row r="9" customFormat="false" ht="15" hidden="false" customHeight="false" outlineLevel="0" collapsed="false">
      <c r="A9" s="6"/>
      <c r="B9" s="18" t="s">
        <v>193</v>
      </c>
      <c r="C9" s="24" t="n">
        <f aca="false">-Opex_DAC!C7</f>
        <v>-209.88</v>
      </c>
      <c r="D9" s="24" t="n">
        <f aca="false">-(Opex_DAC!D7-Opex_DAC!C7)</f>
        <v>-12.5928000000001</v>
      </c>
      <c r="E9" s="24" t="n">
        <f aca="false">-(Opex_DAC!E7-Opex_DAC!D7)</f>
        <v>-13.3483679999999</v>
      </c>
      <c r="F9" s="24" t="n">
        <f aca="false">-(Opex_DAC!F7-Opex_DAC!E7)</f>
        <v>-14.14927008</v>
      </c>
      <c r="G9" s="24" t="n">
        <f aca="false">-(Opex_DAC!G7-Opex_DAC!F7)</f>
        <v>-14.9982262848</v>
      </c>
    </row>
    <row r="10" customFormat="false" ht="15" hidden="false" customHeight="false" outlineLevel="0" collapsed="false">
      <c r="A10" s="6"/>
      <c r="B10" s="18" t="s">
        <v>194</v>
      </c>
      <c r="C10" s="24" t="n">
        <f aca="false">-(Cession_Rate*Claims_Reserving!C31-Cession_Rate*Open_Loss_Res)</f>
        <v>-58.9080000000001</v>
      </c>
      <c r="D10" s="24" t="n">
        <f aca="false">-(Cession_Rate*Claims_Reserving!D31-Cession_Rate*Claims_Reserving!C31)</f>
        <v>-3.53948000000003</v>
      </c>
      <c r="E10" s="24" t="n">
        <f aca="false">-(Cession_Rate*Claims_Reserving!E31-Cession_Rate*Claims_Reserving!D31)</f>
        <v>22.6256512</v>
      </c>
      <c r="F10" s="24" t="n">
        <f aca="false">-(Cession_Rate*Claims_Reserving!F31-Cession_Rate*Claims_Reserving!E31)</f>
        <v>25.809690272</v>
      </c>
      <c r="G10" s="24" t="n">
        <f aca="false">-(Cession_Rate*Claims_Reserving!G31-Cession_Rate*Claims_Reserving!F31)</f>
        <v>23.90927168832</v>
      </c>
    </row>
    <row r="11" customFormat="false" ht="15" hidden="false" customHeight="false" outlineLevel="0" collapsed="false">
      <c r="A11" s="6"/>
      <c r="B11" s="25" t="s">
        <v>195</v>
      </c>
      <c r="C11" s="26" t="n">
        <f aca="false">C5+C7+C8+C9+C10</f>
        <v>791.3725</v>
      </c>
      <c r="D11" s="26" t="n">
        <f aca="false">D5+D7+D8+D9+D10</f>
        <v>355.855149565001</v>
      </c>
      <c r="E11" s="26" t="n">
        <f aca="false">E5+E7+E8+E9+E10</f>
        <v>125.867650023196</v>
      </c>
      <c r="F11" s="26" t="n">
        <f aca="false">F5+F7+F8+F9+F10</f>
        <v>94.8765420314515</v>
      </c>
      <c r="G11" s="26" t="n">
        <f aca="false">G5+G7+G8+G9+G10</f>
        <v>109.621341277929</v>
      </c>
    </row>
    <row r="12" customFormat="false" ht="15" hidden="false" customHeight="false" outlineLevel="0" collapsed="false">
      <c r="A12" s="6"/>
      <c r="B12" s="28" t="s">
        <v>196</v>
      </c>
      <c r="C12" s="29"/>
      <c r="D12" s="29"/>
      <c r="E12" s="29"/>
      <c r="F12" s="29"/>
      <c r="G12" s="29"/>
    </row>
    <row r="13" customFormat="false" ht="15" hidden="false" customHeight="false" outlineLevel="0" collapsed="false">
      <c r="A13" s="6"/>
      <c r="B13" s="18" t="s">
        <v>197</v>
      </c>
      <c r="C13" s="24" t="n">
        <f aca="false">-(Investments!C12-Open_Inv_Assets)</f>
        <v>-402.1983</v>
      </c>
      <c r="D13" s="24" t="n">
        <f aca="false">-(Investments!D12-Investments!C12)</f>
        <v>51.6953457609998</v>
      </c>
      <c r="E13" s="24" t="n">
        <f aca="false">-(Investments!E12-Investments!D12)</f>
        <v>406.649625646836</v>
      </c>
      <c r="F13" s="24" t="n">
        <f aca="false">-(Investments!F12-Investments!E12)</f>
        <v>420.455812250976</v>
      </c>
      <c r="G13" s="24" t="n">
        <f aca="false">-(Investments!G12-Investments!F12)</f>
        <v>382.742521412788</v>
      </c>
    </row>
    <row r="14" customFormat="false" ht="15" hidden="false" customHeight="false" outlineLevel="0" collapsed="false">
      <c r="A14" s="6"/>
      <c r="B14" s="25" t="s">
        <v>198</v>
      </c>
      <c r="C14" s="26" t="n">
        <f aca="false">C13</f>
        <v>-402.1983</v>
      </c>
      <c r="D14" s="26" t="n">
        <f aca="false">D13</f>
        <v>51.6953457609998</v>
      </c>
      <c r="E14" s="26" t="n">
        <f aca="false">E13</f>
        <v>406.649625646836</v>
      </c>
      <c r="F14" s="26" t="n">
        <f aca="false">F13</f>
        <v>420.455812250976</v>
      </c>
      <c r="G14" s="26" t="n">
        <f aca="false">G13</f>
        <v>382.742521412788</v>
      </c>
    </row>
    <row r="15" customFormat="false" ht="15" hidden="false" customHeight="false" outlineLevel="0" collapsed="false">
      <c r="A15" s="6"/>
      <c r="B15" s="28" t="s">
        <v>199</v>
      </c>
      <c r="C15" s="29"/>
      <c r="D15" s="29"/>
      <c r="E15" s="29"/>
      <c r="F15" s="29"/>
      <c r="G15" s="29"/>
    </row>
    <row r="16" customFormat="false" ht="15" hidden="false" customHeight="false" outlineLevel="0" collapsed="false">
      <c r="A16" s="6"/>
      <c r="B16" s="18" t="s">
        <v>200</v>
      </c>
      <c r="C16" s="24" t="n">
        <f aca="false">-Debt_Rep_Y1</f>
        <v>-0</v>
      </c>
      <c r="D16" s="24" t="n">
        <f aca="false">-Debt_Rep_Y2</f>
        <v>-0</v>
      </c>
      <c r="E16" s="24" t="n">
        <f aca="false">-Debt_Rep_Y3</f>
        <v>-100</v>
      </c>
      <c r="F16" s="24" t="n">
        <f aca="false">-Debt_Rep_Y4</f>
        <v>-100</v>
      </c>
      <c r="G16" s="24" t="n">
        <f aca="false">-Debt_Rep_Y5</f>
        <v>-100</v>
      </c>
    </row>
    <row r="17" customFormat="false" ht="15" hidden="false" customHeight="false" outlineLevel="0" collapsed="false">
      <c r="A17" s="6"/>
      <c r="B17" s="18" t="s">
        <v>201</v>
      </c>
      <c r="C17" s="24" t="n">
        <f aca="false">Income_Statement!C19</f>
        <v>-166.8322</v>
      </c>
      <c r="D17" s="24" t="n">
        <f aca="false">Income_Statement!D19</f>
        <v>-111.741051826</v>
      </c>
      <c r="E17" s="24" t="n">
        <f aca="false">Income_Statement!E19</f>
        <v>-112.868991529279</v>
      </c>
      <c r="F17" s="24" t="n">
        <f aca="false">Income_Statement!F19</f>
        <v>-110.799264223781</v>
      </c>
      <c r="G17" s="24" t="n">
        <f aca="false">Income_Statement!G19</f>
        <v>-108.651702767044</v>
      </c>
    </row>
    <row r="18" customFormat="false" ht="15" hidden="false" customHeight="false" outlineLevel="0" collapsed="false">
      <c r="A18" s="6"/>
      <c r="B18" s="25" t="s">
        <v>202</v>
      </c>
      <c r="C18" s="26" t="n">
        <f aca="false">C16+C17</f>
        <v>-166.8322</v>
      </c>
      <c r="D18" s="26" t="n">
        <f aca="false">D16+D17</f>
        <v>-111.741051826</v>
      </c>
      <c r="E18" s="26" t="n">
        <f aca="false">E16+E17</f>
        <v>-212.868991529279</v>
      </c>
      <c r="F18" s="26" t="n">
        <f aca="false">F16+F17</f>
        <v>-210.799264223781</v>
      </c>
      <c r="G18" s="26" t="n">
        <f aca="false">G16+G17</f>
        <v>-208.651702767044</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28" t="s">
        <v>203</v>
      </c>
      <c r="C20" s="29"/>
      <c r="D20" s="29"/>
      <c r="E20" s="29"/>
      <c r="F20" s="29"/>
      <c r="G20" s="29"/>
    </row>
    <row r="21" customFormat="false" ht="15" hidden="false" customHeight="false" outlineLevel="0" collapsed="false">
      <c r="A21" s="6"/>
      <c r="B21" s="18" t="s">
        <v>204</v>
      </c>
      <c r="C21" s="24" t="n">
        <f aca="false">Open_Cash</f>
        <v>200</v>
      </c>
      <c r="D21" s="24" t="n">
        <f aca="false">C23</f>
        <v>422.342</v>
      </c>
      <c r="E21" s="24" t="n">
        <f aca="false">D23</f>
        <v>718.151443500001</v>
      </c>
      <c r="F21" s="24" t="n">
        <f aca="false">E23</f>
        <v>1037.79972764075</v>
      </c>
      <c r="G21" s="24" t="n">
        <f aca="false">F23</f>
        <v>1342.3328176994</v>
      </c>
    </row>
    <row r="22" customFormat="false" ht="15" hidden="false" customHeight="false" outlineLevel="0" collapsed="false">
      <c r="A22" s="6"/>
      <c r="B22" s="18" t="s">
        <v>205</v>
      </c>
      <c r="C22" s="24" t="n">
        <f aca="false">C11+C14+C18</f>
        <v>222.342</v>
      </c>
      <c r="D22" s="24" t="n">
        <f aca="false">D11+D14+D18</f>
        <v>295.8094435</v>
      </c>
      <c r="E22" s="24" t="n">
        <f aca="false">E11+E14+E18</f>
        <v>319.648284140754</v>
      </c>
      <c r="F22" s="24" t="n">
        <f aca="false">F11+F14+F18</f>
        <v>304.533090058647</v>
      </c>
      <c r="G22" s="24" t="n">
        <f aca="false">G11+G14+G18</f>
        <v>283.712159923673</v>
      </c>
    </row>
    <row r="23" customFormat="false" ht="15" hidden="false" customHeight="false" outlineLevel="0" collapsed="false">
      <c r="A23" s="6"/>
      <c r="B23" s="25" t="s">
        <v>206</v>
      </c>
      <c r="C23" s="27" t="n">
        <f aca="false">C21+C22</f>
        <v>422.342</v>
      </c>
      <c r="D23" s="27" t="n">
        <f aca="false">D21+D22</f>
        <v>718.151443500001</v>
      </c>
      <c r="E23" s="27" t="n">
        <f aca="false">E21+E22</f>
        <v>1037.79972764075</v>
      </c>
      <c r="F23" s="27" t="n">
        <f aca="false">F21+F22</f>
        <v>1342.3328176994</v>
      </c>
      <c r="G23" s="27" t="n">
        <f aca="false">G21+G22</f>
        <v>1626.04497762308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2026-05-15T18:53:40Z</dcterms:created>
  <dc:creator>openpyxl</dc:creator>
  <dc:description/>
  <dc:language>en-GB</dc:language>
  <cp:lastModifiedBy/>
  <dcterms:modified xsi:type="dcterms:W3CDTF">2026-05-15T18:53:40Z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