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Advance" sheetId="3" state="visible" r:id="rId5"/>
    <sheet name="Portfolio" sheetId="4" state="visible" r:id="rId6"/>
    <sheet name="Returns" sheetId="5" state="visible" r:id="rId7"/>
    <sheet name="Sensitivity" sheetId="6" state="visible" r:id="rId8"/>
    <sheet name="Checks" sheetId="7" state="visible" r:id="rId9"/>
    <sheet name="Disclaimer" sheetId="8" state="visible" r:id="rId10"/>
  </sheets>
  <definedNames>
    <definedName function="false" hidden="false" name="Adv_Amount" vbProcedure="false">Assumptions!$C$10</definedName>
    <definedName function="false" hidden="false" name="Adv_Factor" vbProcedure="false">Assumptions!$C$11</definedName>
    <definedName function="false" hidden="false" name="Adv_Remit_Pct" vbProcedure="false">Assumptions!$C$12</definedName>
    <definedName function="false" hidden="false" name="Adv_Term_Cap" vbProcedure="false">Assumptions!$C$13</definedName>
    <definedName function="false" hidden="false" name="AD_Closing" vbProcedure="false">OFFSET(Advance!$C$14,0,0,1,36)</definedName>
    <definedName function="false" hidden="false" name="AD_Payback" vbProcedure="false">OFFSET(Advance!$C$18,0,0,1,36)</definedName>
    <definedName function="false" hidden="false" name="AD_Provider" vbProcedure="false">OFFSET(Advance!$C$21,0,0,1,36)</definedName>
    <definedName function="false" hidden="false" name="AD_Remit" vbProcedure="false">OFFSET(Advance!$C$13,0,0,1,36)</definedName>
    <definedName function="false" hidden="false" name="Borr_Rev_Growth" vbProcedure="false">Assumptions!$C$7</definedName>
    <definedName function="false" hidden="false" name="Borr_Rev_M1" vbProcedure="false">Assumptions!$C$6</definedName>
    <definedName function="false" hidden="false" name="Fund_Cost" vbProcedure="false">Assumptions!$C$25</definedName>
    <definedName function="false" hidden="false" name="Fund_Opex_Pct" vbProcedure="false">Assumptions!$C$26</definedName>
    <definedName function="false" hidden="false" name="Port_New_Per_M" vbProcedure="false">Assumptions!$C$16</definedName>
    <definedName function="false" hidden="false" name="Port_Orig_Mths" vbProcedure="false">Assumptions!$C$17</definedName>
    <definedName function="false" hidden="false" name="PT_Defaults" vbProcedure="false">OFFSET(Portfolio!$C$13,0,0,1,24)</definedName>
    <definedName function="false" hidden="false" name="PT_Net_Income" vbProcedure="false">OFFSET(Portfolio!$C$23,0,0,1,24)</definedName>
    <definedName function="false" hidden="false" name="PT_New_Adv" vbProcedure="false">OFFSET(Portfolio!$C$7,0,0,1,24)</definedName>
    <definedName function="false" hidden="false" name="PT_Outstanding" vbProcedure="false">OFFSET(Portfolio!$C$11,0,0,1,24)</definedName>
    <definedName function="false" hidden="false" name="PT_Remit_Gross" vbProcedure="false">OFFSET(Portfolio!$C$12,0,0,1,24)</definedName>
    <definedName function="false" hidden="false" name="PT_Remit_Net" vbProcedure="false">OFFSET(Portfolio!$C$15,0,0,1,24)</definedName>
    <definedName function="false" hidden="false" name="Risk_Default" vbProcedure="false">Assumptions!$C$20</definedName>
    <definedName function="false" hidden="false" name="Risk_LGD" vbProcedure="false">Assumptions!$C$21</definedName>
    <definedName function="false" hidden="false" name="Risk_Recovery" vbProcedure="false">Assumptions!$C$22</definedName>
    <definedName function="false" hidden="false" name="Sens_Factor_Min" vbProcedure="false">Assumptions!$C$29</definedName>
    <definedName function="false" hidden="false" name="Sens_Factor_Step" vbProcedure="false">Assumptions!$C$30</definedName>
    <definedName function="false" hidden="false" name="Sens_Remit_Min" vbProcedure="false">Assumptions!$C$31</definedName>
    <definedName function="false" hidden="false" name="Sens_Remit_Step" vbProcedure="false">Assumptions!$C$32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<sst xmlns="http://schemas.openxmlformats.org/spreadsheetml/2006/main" count="269" uniqueCount="217">
  <si>
    <t xml:space="preserve">Revenue-Based Financing Model</t>
  </si>
  <si>
    <t xml:space="preserve">FINAMODEL.com</t>
  </si>
  <si>
    <t xml:space="preserve">Single advance plus portfolio</t>
  </si>
  <si>
    <t xml:space="preserve">Sheet</t>
  </si>
  <si>
    <t xml:space="preserve">Description</t>
  </si>
  <si>
    <t xml:space="preserve">Tab Colour</t>
  </si>
  <si>
    <t xml:space="preserve">Cover</t>
  </si>
  <si>
    <t xml:space="preserve">Title and navigation</t>
  </si>
  <si>
    <t xml:space="preserve">Dark Blue</t>
  </si>
  <si>
    <t xml:space="preserve">Assumptions</t>
  </si>
  <si>
    <t xml:space="preserve">Borrower revenue, advance terms, risk, funding</t>
  </si>
  <si>
    <t xml:space="preserve">Light Blue</t>
  </si>
  <si>
    <t xml:space="preserve">Advance</t>
  </si>
  <si>
    <t xml:space="preserve">Single-advance 36-month payback roll-forward</t>
  </si>
  <si>
    <t xml:space="preserve">Green</t>
  </si>
  <si>
    <t xml:space="preserve">Portfolio</t>
  </si>
  <si>
    <t xml:space="preserve">24-month aggregate book across rolling cohorts</t>
  </si>
  <si>
    <t xml:space="preserve">Returns</t>
  </si>
  <si>
    <t xml:space="preserve">MOIC, IRR, payback, WAL, spread to funding</t>
  </si>
  <si>
    <t xml:space="preserve">Grey</t>
  </si>
  <si>
    <t xml:space="preserve">Sensitivity</t>
  </si>
  <si>
    <t xml:space="preserve">Factor x Remit % grids for IRR and payback</t>
  </si>
  <si>
    <t xml:space="preserve">Orange</t>
  </si>
  <si>
    <t xml:space="preserve">Checks</t>
  </si>
  <si>
    <t xml:space="preserve">Cap, balance, bound consistency checks</t>
  </si>
  <si>
    <t xml:space="preserve">Red</t>
  </si>
  <si>
    <t xml:space="preserve">About this model</t>
  </si>
  <si>
    <t xml:space="preserve">A revenue-based financing (RBF) model captures the cash mechanics, returns, and risk of an alternative-finance product where a provider pays an upfront cash advance to a recurring-revenue borrower and recovers a fixed multiple of the advance — the factor — by collecting a percentage of the borrower's monthly revenue until either the cap is reached or a hard term cap binds. The workbook is built around two views that share a single Assumptions sheet: a single-advance roll-forward that walks one deal across 36 months, and a 24-month rolling-cohort portfolio that aggregates the unit economics across a book of advances. Seven sheets — Cover, Assumptions, Advance, Portfolio, Returns, Sensitivity, Checks — tie everything to the same named-range inputs.
The Advance sheet runs the deal mechanics month by month: borrower revenue compounds at a monthly growth rate from the Month-1 base, remit due each month is revenue times the remit percent, opening balance starts at advance amount times the factor multiple, and actual remit is the smaller of remit due, the term cap, and outstanding balance. Closing balance falls by actual remit until the cap is reached. Cumulative repaid, a payback flag, and the provider net cash flow stream (–advance at month 0, +actual remit thereafter) close the sheet so the Returns sheet can run IRR, MOIC, payback period, and weighted-average life directly off these rows.
The Portfolio sheet uses a 12-row cohort matrix that INDEX'es into the single-advance Closing and Remit rows offset by each cohort's origination month, so a single edit to the advance terms or the deal-count cadence reshapes the entire portfolio without any duplicated math. Aggregate outstanding, gross remittance, default losses (outstanding times annual default rate divided by 12 times LGD), net remittance, funding cost, opex, and provider net margin roll out across the 24-month horizon. The Returns sheet then sits the single-advance metrics next to the portfolio metrics — gross / net MOIC, realised loss rate, provider net margin — and a spread block that compares the single-advance annualised IRR to cost of funds, opex drag, and expected loss, surfacing the net spread the provider actually earns.
The Sensitivity sheet flexes the factor multiple against the remit percent on a 7x7 grid for two outputs: payback months (closed-form solution of the geometric revenue equation, capped at the term cap) and annualised IRR (factor raised to 12 over payback). The Checks sheet validates the cap on cumulative repaid, the bound on remit percent, non-negative closing balances and portfolio outstanding, the factor floor, and term-cap consistency. Fintech lenders, credit funds, finance teams at Pipe / Capchase / Clearco-style platforms, and recurring-revenue founders evaluating non-dilutive financing use this template for deal-level pricing (what factor and remit produce a target IRR), portfolio-level book sizing (what origination cadence supports a target net spread after losses and opex), and education on how revenue-linked repayment differs from amortising debt or invoice factoring.</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</si>
  <si>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</si>
  <si>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</si>
  <si>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</si>
  <si>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</si>
  <si>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Drivers for the RBF model</t>
  </si>
  <si>
    <t xml:space="preserve">Parameter</t>
  </si>
  <si>
    <t xml:space="preserve">Value</t>
  </si>
  <si>
    <t xml:space="preserve">Unit</t>
  </si>
  <si>
    <t xml:space="preserve">Notes</t>
  </si>
  <si>
    <t xml:space="preserve">Borrower Revenue</t>
  </si>
  <si>
    <t xml:space="preserve">Month 1 Revenue</t>
  </si>
  <si>
    <t xml:space="preserve">$K</t>
  </si>
  <si>
    <t xml:space="preserve">Borrower revenue at the advance close</t>
  </si>
  <si>
    <t xml:space="preserve">Monthly Revenue Growth</t>
  </si>
  <si>
    <t xml:space="preserve">%</t>
  </si>
  <si>
    <t xml:space="preserve">Borrower monthly revenue growth</t>
  </si>
  <si>
    <t xml:space="preserve">Advance Terms</t>
  </si>
  <si>
    <t xml:space="preserve">Advance Amount</t>
  </si>
  <si>
    <t xml:space="preserve">Cash paid to borrower at month 0</t>
  </si>
  <si>
    <t xml:space="preserve">Factor Multiple</t>
  </si>
  <si>
    <t xml:space="preserve">x</t>
  </si>
  <si>
    <t xml:space="preserve">Total repayment / advance amount</t>
  </si>
  <si>
    <t xml:space="preserve">Remit Percent of Revenue</t>
  </si>
  <si>
    <t xml:space="preserve">Monthly share of revenue routed to lender</t>
  </si>
  <si>
    <t xml:space="preserve">Term Cap</t>
  </si>
  <si>
    <t xml:space="preserve">months</t>
  </si>
  <si>
    <t xml:space="preserve">Hard cap on payback duration</t>
  </si>
  <si>
    <t xml:space="preserve">Portfolio Cadence</t>
  </si>
  <si>
    <t xml:space="preserve">New Advances per Month</t>
  </si>
  <si>
    <t xml:space="preserve">deals</t>
  </si>
  <si>
    <t xml:space="preserve">Origination cadence (deal count)</t>
  </si>
  <si>
    <t xml:space="preserve">Origination Window</t>
  </si>
  <si>
    <t xml:space="preserve">Months over which new deals close</t>
  </si>
  <si>
    <t xml:space="preserve">Risk</t>
  </si>
  <si>
    <t xml:space="preserve">Annual Default Rate</t>
  </si>
  <si>
    <t xml:space="preserve">Share of advance balance lost per year</t>
  </si>
  <si>
    <t xml:space="preserve">Loss Given Default</t>
  </si>
  <si>
    <t xml:space="preserve">Net loss share of defaulted balance</t>
  </si>
  <si>
    <t xml:space="preserve">Recovery Lag Months</t>
  </si>
  <si>
    <t xml:space="preserve">Reference only; recoveries are netted in LGD</t>
  </si>
  <si>
    <t xml:space="preserve">Provider Economics</t>
  </si>
  <si>
    <t xml:space="preserve">Annual Cost of Funds</t>
  </si>
  <si>
    <t xml:space="preserve">Provider blended debt funding rate</t>
  </si>
  <si>
    <t xml:space="preserve">Opex % of Outstanding</t>
  </si>
  <si>
    <t xml:space="preserve">Servicing and origination opex per year</t>
  </si>
  <si>
    <t xml:space="preserve">Sensitivity Axes</t>
  </si>
  <si>
    <t xml:space="preserve">Factor Axis Start</t>
  </si>
  <si>
    <t xml:space="preserve">Lowest factor multiple on the grid</t>
  </si>
  <si>
    <t xml:space="preserve">Factor Axis Step</t>
  </si>
  <si>
    <t xml:space="preserve">Step size between factor axis points</t>
  </si>
  <si>
    <t xml:space="preserve">Remit Axis Start</t>
  </si>
  <si>
    <t xml:space="preserve">Lowest remit % on the grid</t>
  </si>
  <si>
    <t xml:space="preserve">Remit Axis Step</t>
  </si>
  <si>
    <t xml:space="preserve">Step size between remit axis points</t>
  </si>
  <si>
    <t xml:space="preserve">Single Advance</t>
  </si>
  <si>
    <t xml:space="preserve">36-month single-advance roll</t>
  </si>
  <si>
    <t xml:space="preserve">Month</t>
  </si>
  <si>
    <t xml:space="preserve">Borrower Cash Flow</t>
  </si>
  <si>
    <t xml:space="preserve">Remit Due (% Revenue)</t>
  </si>
  <si>
    <t xml:space="preserve">Balance Roll-Forward</t>
  </si>
  <si>
    <t xml:space="preserve">Opening Balance</t>
  </si>
  <si>
    <t xml:space="preserve">Remit Cap (Term)</t>
  </si>
  <si>
    <t xml:space="preserve">Actual Remit</t>
  </si>
  <si>
    <t xml:space="preserve">Closing Balance</t>
  </si>
  <si>
    <t xml:space="preserve">Cumulative and Payback</t>
  </si>
  <si>
    <t xml:space="preserve">Cumulative Repaid</t>
  </si>
  <si>
    <t xml:space="preserve">Payback Reached Flag</t>
  </si>
  <si>
    <t xml:space="preserve">Provider Cash Flow</t>
  </si>
  <si>
    <t xml:space="preserve">Provider Net Cash</t>
  </si>
  <si>
    <t xml:space="preserve">Aggregate book across rolling cohorts</t>
  </si>
  <si>
    <t xml:space="preserve">Origination</t>
  </si>
  <si>
    <t xml:space="preserve">New Advances</t>
  </si>
  <si>
    <t xml:space="preserve">Cumulative Originated</t>
  </si>
  <si>
    <t xml:space="preserve">Portfolio Book</t>
  </si>
  <si>
    <t xml:space="preserve">Total Outstanding</t>
  </si>
  <si>
    <t xml:space="preserve">Gross Remittance</t>
  </si>
  <si>
    <t xml:space="preserve">Defaults</t>
  </si>
  <si>
    <t xml:space="preserve">Net Recoveries</t>
  </si>
  <si>
    <t xml:space="preserve">Net Remittance</t>
  </si>
  <si>
    <t xml:space="preserve">Cumulative</t>
  </si>
  <si>
    <t xml:space="preserve">Cumulative Net Remittance</t>
  </si>
  <si>
    <t xml:space="preserve">Provider P&amp;L</t>
  </si>
  <si>
    <t xml:space="preserve">Funding Cost</t>
  </si>
  <si>
    <t xml:space="preserve">Opex</t>
  </si>
  <si>
    <t xml:space="preserve">Provider Net Margin</t>
  </si>
  <si>
    <t xml:space="preserve">Cohort Outstanding</t>
  </si>
  <si>
    <t xml:space="preserve">Cohort M1 Outstanding</t>
  </si>
  <si>
    <t xml:space="preserve">Cohort M2 Outstanding</t>
  </si>
  <si>
    <t xml:space="preserve">Cohort M3 Outstanding</t>
  </si>
  <si>
    <t xml:space="preserve">Cohort M4 Outstanding</t>
  </si>
  <si>
    <t xml:space="preserve">Cohort M5 Outstanding</t>
  </si>
  <si>
    <t xml:space="preserve">Cohort M6 Outstanding</t>
  </si>
  <si>
    <t xml:space="preserve">Cohort M7 Outstanding</t>
  </si>
  <si>
    <t xml:space="preserve">Cohort M8 Outstanding</t>
  </si>
  <si>
    <t xml:space="preserve">Cohort M9 Outstanding</t>
  </si>
  <si>
    <t xml:space="preserve">Cohort M10 Outstanding</t>
  </si>
  <si>
    <t xml:space="preserve">Cohort M11 Outstanding</t>
  </si>
  <si>
    <t xml:space="preserve">Cohort M12 Outstanding</t>
  </si>
  <si>
    <t xml:space="preserve">Cohort Remittance</t>
  </si>
  <si>
    <t xml:space="preserve">Cohort M1 Remit</t>
  </si>
  <si>
    <t xml:space="preserve">Cohort M2 Remit</t>
  </si>
  <si>
    <t xml:space="preserve">Cohort M3 Remit</t>
  </si>
  <si>
    <t xml:space="preserve">Cohort M4 Remit</t>
  </si>
  <si>
    <t xml:space="preserve">Cohort M5 Remit</t>
  </si>
  <si>
    <t xml:space="preserve">Cohort M6 Remit</t>
  </si>
  <si>
    <t xml:space="preserve">Cohort M7 Remit</t>
  </si>
  <si>
    <t xml:space="preserve">Cohort M8 Remit</t>
  </si>
  <si>
    <t xml:space="preserve">Cohort M9 Remit</t>
  </si>
  <si>
    <t xml:space="preserve">Cohort M10 Remit</t>
  </si>
  <si>
    <t xml:space="preserve">Cohort M11 Remit</t>
  </si>
  <si>
    <t xml:space="preserve">Cohort M12 Remit</t>
  </si>
  <si>
    <t xml:space="preserve">Provider MOIC, IRR, payback</t>
  </si>
  <si>
    <t xml:space="preserve">Metric</t>
  </si>
  <si>
    <t xml:space="preserve">Single-Advance Returns</t>
  </si>
  <si>
    <t xml:space="preserve">Cash paid to borrower</t>
  </si>
  <si>
    <t xml:space="preserve">Total Repaid</t>
  </si>
  <si>
    <t xml:space="preserve">Sum of monthly remittances</t>
  </si>
  <si>
    <t xml:space="preserve">Realised MOIC</t>
  </si>
  <si>
    <t xml:space="preserve">Falls below factor if term cap binds</t>
  </si>
  <si>
    <t xml:space="preserve">Payback Period</t>
  </si>
  <si>
    <t xml:space="preserve">First month closing balance reaches zero</t>
  </si>
  <si>
    <t xml:space="preserve">Weighted Avg Life</t>
  </si>
  <si>
    <t xml:space="preserve">Cash-weighted average maturity</t>
  </si>
  <si>
    <t xml:space="preserve">Monthly IRR</t>
  </si>
  <si>
    <t xml:space="preserve">%/mo</t>
  </si>
  <si>
    <t xml:space="preserve">IRR of provider monthly cash flows</t>
  </si>
  <si>
    <t xml:space="preserve">Annualised IRR</t>
  </si>
  <si>
    <t xml:space="preserve">%/yr</t>
  </si>
  <si>
    <t xml:space="preserve">Compounded monthly IRR</t>
  </si>
  <si>
    <t xml:space="preserve">Portfolio Returns</t>
  </si>
  <si>
    <t xml:space="preserve">Total Originated</t>
  </si>
  <si>
    <t xml:space="preserve">Capital deployed over window</t>
  </si>
  <si>
    <t xml:space="preserve">Pre-loss remittance</t>
  </si>
  <si>
    <t xml:space="preserve">Post-loss remittance</t>
  </si>
  <si>
    <t xml:space="preserve">Default Losses</t>
  </si>
  <si>
    <t xml:space="preserve">Cumulative losses over window</t>
  </si>
  <si>
    <t xml:space="preserve">Gross MOIC</t>
  </si>
  <si>
    <t xml:space="preserve">Window-truncated, scales with horizon</t>
  </si>
  <si>
    <t xml:space="preserve">Net MOIC</t>
  </si>
  <si>
    <t xml:space="preserve">After default losses</t>
  </si>
  <si>
    <t xml:space="preserve">Realised Loss Rate</t>
  </si>
  <si>
    <t xml:space="preserve">Defaults over deployed capital</t>
  </si>
  <si>
    <t xml:space="preserve">Remit gross minus losses, funding, opex</t>
  </si>
  <si>
    <t xml:space="preserve">Spread to Funding</t>
  </si>
  <si>
    <t xml:space="preserve">Single-Advance IRR</t>
  </si>
  <si>
    <t xml:space="preserve">Equivalent to row above</t>
  </si>
  <si>
    <t xml:space="preserve">Cost of Funds</t>
  </si>
  <si>
    <t xml:space="preserve">From Assumptions</t>
  </si>
  <si>
    <t xml:space="preserve">Opex Drag</t>
  </si>
  <si>
    <t xml:space="preserve">Net Spread</t>
  </si>
  <si>
    <t xml:space="preserve">Gross IRR minus funding, opex, expected loss</t>
  </si>
  <si>
    <t xml:space="preserve">Factor x Remit % grids</t>
  </si>
  <si>
    <t xml:space="preserve">Payback Months Grid</t>
  </si>
  <si>
    <t xml:space="preserve">Factor / Remit %</t>
  </si>
  <si>
    <t xml:space="preserve">Annualised IRR Grid</t>
  </si>
  <si>
    <t xml:space="preserve">Balance, bound, consistency</t>
  </si>
  <si>
    <t xml:space="preserve">Check</t>
  </si>
  <si>
    <t xml:space="preserve">Result</t>
  </si>
  <si>
    <t xml:space="preserve">Validation</t>
  </si>
  <si>
    <t xml:space="preserve">Repaid Cap Check</t>
  </si>
  <si>
    <t xml:space="preserve">0=ok</t>
  </si>
  <si>
    <t xml:space="preserve">Total repaid never exceeds advance x factor</t>
  </si>
  <si>
    <t xml:space="preserve">Remit Bound Check</t>
  </si>
  <si>
    <t xml:space="preserve">Remit percent is between 0 and 1</t>
  </si>
  <si>
    <t xml:space="preserve">Closing Balance Non-Neg</t>
  </si>
  <si>
    <t xml:space="preserve">Closing balance never goes negative</t>
  </si>
  <si>
    <t xml:space="preserve">Portfolio Non-Neg</t>
  </si>
  <si>
    <t xml:space="preserve">Outstanding portfolio stays positive</t>
  </si>
  <si>
    <t xml:space="preserve">Factor Bound Check</t>
  </si>
  <si>
    <t xml:space="preserve">Factor multiple at least 1 (provider does not lose principal contractually)</t>
  </si>
  <si>
    <t xml:space="preserve">Term Cap Check</t>
  </si>
  <si>
    <t xml:space="preserve">Term cap exceeds recovery lag</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</si>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</sst>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8">
    <numFmt numFmtId="164" formatCode="General"/>
    <numFmt numFmtId="165" formatCode="#,##0.0"/>
    <numFmt numFmtId="166" formatCode="0.00%"/>
    <numFmt numFmtId="167" formatCode="0"/>
    <numFmt numFmtId="168" formatCode="#,##0"/>
    <numFmt numFmtId="169" formatCode="0.00\x"/>
    <numFmt numFmtId="170" formatCode="0.0&quot; mo&quot;"/>
    <numFmt numFmtId="171" formatCode="0.0%"/>
  </numFmts>
  <fonts count="24">
    <font>
      <sz val="11"/>
      <name val="Arial"/>
      <family val="0"/>
      <charset val="1"/>
    </font>
    <font>
      <sz val="10"/>
      <name val="Arial"/>
      <family val="0"/>
    </font>
    <font>
      <sz val="10"/>
      <name val="Arial"/>
      <family val="0"/>
    </font>
    <font>
      <sz val="10"/>
      <name val="Arial"/>
      <family val="0"/>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b val="true"/>
      <sz val="11"/>
      <color theme="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3"/>
      <name val="Arial"/>
      <family val="0"/>
      <charset val="1"/>
    </font>
    <font>
      <sz val="11"/>
      <color theme="3"/>
      <name val="Arial"/>
      <family val="0"/>
      <charset val="1"/>
    </font>
    <font>
      <i val="true"/>
      <sz val="11"/>
      <color rgb="FF808080"/>
      <name val="Arial"/>
      <family val="0"/>
      <charset val="1"/>
    </font>
    <font>
      <b val="true"/>
      <sz val="11"/>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8">
    <fill>
      <patternFill patternType="none"/>
    </fill>
    <fill>
      <patternFill patternType="gray125"/>
    </fill>
    <fill>
      <patternFill patternType="solid">
        <fgColor theme="3"/>
        <bgColor rgb="FF1F4E79"/>
      </patternFill>
    </fill>
    <fill>
      <patternFill patternType="solid">
        <fgColor rgb="FFD6E4F0"/>
        <bgColor rgb="FFC6D9F1"/>
      </patternFill>
    </fill>
    <fill>
      <patternFill patternType="solid">
        <fgColor theme="3" tint="0.8"/>
        <bgColor rgb="FFD6E4F0"/>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style="double"/>
      <bottom/>
      <diagonal/>
    </border>
    <border diagonalUp="false" diagonalDown="false">
      <left/>
      <right/>
      <top style="thin"/>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9" fillId="3" borderId="0" xfId="0" applyFont="true" applyBorder="false" applyAlignment="true" applyProtection="false">
      <alignment horizontal="left" vertical="center" textRotation="0" wrapText="fals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left" vertical="top" textRotation="0" wrapText="tru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4" fillId="4" borderId="0" xfId="0" applyFont="true" applyBorder="false" applyAlignment="false" applyProtection="false">
      <alignment horizontal="general" vertical="bottom" textRotation="0" wrapText="false" indent="0" shrinkToFit="false"/>
      <protection locked="true" hidden="false"/>
    </xf>
    <xf numFmtId="164" fontId="10" fillId="4"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5" fontId="15" fillId="5" borderId="0" xfId="0" applyFont="true" applyBorder="false" applyAlignment="true" applyProtection="false">
      <alignment horizontal="right" vertical="bottom" textRotation="0" wrapText="false" indent="0" shrinkToFit="false"/>
      <protection locked="true" hidden="false"/>
    </xf>
    <xf numFmtId="164" fontId="16" fillId="0" borderId="0" xfId="0" applyFont="true" applyBorder="false" applyAlignment="true" applyProtection="false">
      <alignment horizontal="left" vertical="bottom" textRotation="0" wrapText="false" indent="0" shrinkToFit="false"/>
      <protection locked="true" hidden="false"/>
    </xf>
    <xf numFmtId="166" fontId="15" fillId="5" borderId="0" xfId="0" applyFont="true" applyBorder="false" applyAlignment="true" applyProtection="false">
      <alignment horizontal="right" vertical="bottom" textRotation="0" wrapText="false" indent="0" shrinkToFit="false"/>
      <protection locked="true" hidden="false"/>
    </xf>
    <xf numFmtId="167" fontId="8" fillId="2" borderId="0" xfId="0" applyFont="true" applyBorder="false" applyAlignment="true" applyProtection="false">
      <alignment horizontal="center" vertical="bottom" textRotation="0" wrapText="false" indent="0" shrinkToFit="false"/>
      <protection locked="true" hidden="false"/>
    </xf>
    <xf numFmtId="164" fontId="14" fillId="4"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4" fontId="17" fillId="0" borderId="1" xfId="0" applyFont="true" applyBorder="true" applyAlignment="true" applyProtection="false">
      <alignment horizontal="left" vertical="bottom" textRotation="0" wrapText="false" indent="0" shrinkToFit="false"/>
      <protection locked="true" hidden="false"/>
    </xf>
    <xf numFmtId="165" fontId="17" fillId="0" borderId="1" xfId="0" applyFont="true" applyBorder="true" applyAlignment="true" applyProtection="false">
      <alignment horizontal="right" vertical="bottom" textRotation="0" wrapText="false" indent="0" shrinkToFit="false"/>
      <protection locked="true" hidden="false"/>
    </xf>
    <xf numFmtId="168" fontId="0" fillId="0"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false" applyAlignment="true" applyProtection="false">
      <alignment horizontal="left" vertical="bottom" textRotation="0" wrapText="false" indent="0" shrinkToFit="false"/>
      <protection locked="true" hidden="false"/>
    </xf>
    <xf numFmtId="165" fontId="17" fillId="0" borderId="0" xfId="0" applyFont="true" applyBorder="false" applyAlignment="true" applyProtection="false">
      <alignment horizontal="right" vertical="bottom" textRotation="0" wrapText="false" indent="0" shrinkToFit="false"/>
      <protection locked="true" hidden="false"/>
    </xf>
    <xf numFmtId="164" fontId="17" fillId="0" borderId="2" xfId="0" applyFont="true" applyBorder="true" applyAlignment="true" applyProtection="false">
      <alignment horizontal="left" vertical="bottom" textRotation="0" wrapText="false" indent="0" shrinkToFit="false"/>
      <protection locked="true" hidden="false"/>
    </xf>
    <xf numFmtId="165" fontId="17" fillId="0" borderId="2" xfId="0" applyFont="tru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2" shrinkToFit="false"/>
      <protection locked="true" hidden="false"/>
    </xf>
    <xf numFmtId="169" fontId="17" fillId="0" borderId="0" xfId="0" applyFont="true" applyBorder="false" applyAlignment="true" applyProtection="false">
      <alignment horizontal="right" vertical="bottom" textRotation="0" wrapText="false" indent="0" shrinkToFit="false"/>
      <protection locked="true" hidden="false"/>
    </xf>
    <xf numFmtId="170" fontId="17" fillId="0" borderId="0" xfId="0" applyFont="true" applyBorder="false" applyAlignment="true" applyProtection="false">
      <alignment horizontal="right" vertical="bottom" textRotation="0" wrapText="false" indent="0" shrinkToFit="false"/>
      <protection locked="true" hidden="false"/>
    </xf>
    <xf numFmtId="166" fontId="17" fillId="0" borderId="0" xfId="0" applyFont="true" applyBorder="false" applyAlignment="true" applyProtection="false">
      <alignment horizontal="right" vertical="bottom" textRotation="0" wrapText="false" indent="0" shrinkToFit="false"/>
      <protection locked="true" hidden="false"/>
    </xf>
    <xf numFmtId="171" fontId="17" fillId="0" borderId="0" xfId="0" applyFont="true" applyBorder="false" applyAlignment="true" applyProtection="false">
      <alignment horizontal="right" vertical="bottom" textRotation="0" wrapText="false" indent="0" shrinkToFit="false"/>
      <protection locked="true" hidden="false"/>
    </xf>
    <xf numFmtId="164" fontId="0" fillId="0" borderId="1" xfId="0" applyFont="true" applyBorder="true" applyAlignment="true" applyProtection="false">
      <alignment horizontal="left" vertical="bottom" textRotation="0" wrapText="false" indent="0" shrinkToFit="false"/>
      <protection locked="true" hidden="false"/>
    </xf>
    <xf numFmtId="171" fontId="17" fillId="0" borderId="1" xfId="0" applyFont="true" applyBorder="true" applyAlignment="true" applyProtection="false">
      <alignment horizontal="right" vertical="bottom" textRotation="0" wrapText="false" indent="0" shrinkToFit="false"/>
      <protection locked="true" hidden="false"/>
    </xf>
    <xf numFmtId="171" fontId="8" fillId="2" borderId="0" xfId="0" applyFont="true" applyBorder="false" applyAlignment="true" applyProtection="false">
      <alignment horizontal="center" vertical="bottom" textRotation="0" wrapText="false" indent="0" shrinkToFit="false"/>
      <protection locked="true" hidden="false"/>
    </xf>
    <xf numFmtId="170" fontId="0" fillId="0" borderId="0" xfId="0" applyFont="true" applyBorder="false" applyAlignment="true" applyProtection="false">
      <alignment horizontal="right" vertical="bottom" textRotation="0" wrapText="false" indent="0" shrinkToFit="false"/>
      <protection locked="true" hidden="false"/>
    </xf>
    <xf numFmtId="171" fontId="0" fillId="0" borderId="0" xfId="0" applyFont="true" applyBorder="false" applyAlignment="true" applyProtection="false">
      <alignment horizontal="right" vertical="bottom" textRotation="0" wrapText="false" indent="0" shrinkToFit="false"/>
      <protection locked="true" hidden="false"/>
    </xf>
    <xf numFmtId="168" fontId="17" fillId="0" borderId="0" xfId="0" applyFont="true" applyBorder="false" applyAlignment="true" applyProtection="false">
      <alignment horizontal="right"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0" fillId="0" borderId="3" xfId="0" applyFont="true" applyBorder="true" applyAlignment="false" applyProtection="false">
      <alignment horizontal="general" vertical="bottom" textRotation="0" wrapText="false" indent="0" shrinkToFit="false"/>
      <protection locked="true" hidden="false"/>
    </xf>
    <xf numFmtId="164" fontId="19" fillId="6" borderId="0" xfId="0" applyFont="true" applyBorder="false" applyAlignment="true" applyProtection="false">
      <alignment horizontal="left" vertical="center" textRotation="0" wrapText="false" indent="1" shrinkToFit="false"/>
      <protection locked="true" hidden="false"/>
    </xf>
    <xf numFmtId="164" fontId="20" fillId="0" borderId="0" xfId="0" applyFont="true" applyBorder="false" applyAlignment="true" applyProtection="false">
      <alignment horizontal="left" vertical="top" textRotation="0" wrapText="true" indent="1" shrinkToFit="false"/>
      <protection locked="true" hidden="false"/>
    </xf>
    <xf numFmtId="164" fontId="21" fillId="0" borderId="0" xfId="0" applyFont="true" applyBorder="false" applyAlignment="true" applyProtection="false">
      <alignment horizontal="left" vertical="center" textRotation="0" wrapText="false" indent="1" shrinkToFit="false"/>
      <protection locked="true" hidden="false"/>
    </xf>
    <xf numFmtId="164" fontId="9" fillId="0" borderId="0" xfId="0" applyFont="true" applyBorder="false" applyAlignment="true" applyProtection="false">
      <alignment horizontal="left" vertical="center" textRotation="0" wrapText="false" indent="1" shrinkToFit="false"/>
      <protection locked="true" hidden="false"/>
    </xf>
    <xf numFmtId="164" fontId="22" fillId="7" borderId="0" xfId="0" applyFont="true" applyBorder="false" applyAlignment="true" applyProtection="false">
      <alignment horizontal="left" vertical="top" textRotation="0" wrapText="true" indent="1" shrinkToFit="false"/>
      <protection locked="true" hidden="false"/>
    </xf>
    <xf numFmtId="164" fontId="23"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8F0FE"/>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2"/>
    <col collapsed="false" customWidth="true" hidden="false" outlineLevel="0" max="3" min="3" style="0" width="60"/>
    <col collapsed="false" customWidth="true" hidden="false" outlineLevel="0" max="4" min="4"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3</v>
      </c>
      <c r="C5" s="5" t="s">
        <v>4</v>
      </c>
      <c r="D5" s="5" t="s">
        <v>5</v>
      </c>
    </row>
    <row r="6" customFormat="false" ht="15" hidden="false" customHeight="false" outlineLevel="0" collapsed="false">
      <c r="B6" s="6" t="s">
        <v>6</v>
      </c>
      <c r="C6" s="6" t="s">
        <v>7</v>
      </c>
      <c r="D6" s="6" t="s">
        <v>8</v>
      </c>
    </row>
    <row r="7" customFormat="false" ht="15" hidden="false" customHeight="false" outlineLevel="0" collapsed="false">
      <c r="B7" s="6" t="s">
        <v>9</v>
      </c>
      <c r="C7" s="6" t="s">
        <v>10</v>
      </c>
      <c r="D7" s="6" t="s">
        <v>11</v>
      </c>
    </row>
    <row r="8" customFormat="false" ht="15" hidden="false" customHeight="false" outlineLevel="0" collapsed="false">
      <c r="B8" s="6" t="s">
        <v>12</v>
      </c>
      <c r="C8" s="6" t="s">
        <v>13</v>
      </c>
      <c r="D8" s="6" t="s">
        <v>14</v>
      </c>
    </row>
    <row r="9" customFormat="false" ht="15" hidden="false" customHeight="false" outlineLevel="0" collapsed="false">
      <c r="B9" s="6" t="s">
        <v>15</v>
      </c>
      <c r="C9" s="6" t="s">
        <v>16</v>
      </c>
      <c r="D9" s="6" t="s">
        <v>14</v>
      </c>
    </row>
    <row r="10" customFormat="false" ht="15" hidden="false" customHeight="false" outlineLevel="0" collapsed="false">
      <c r="B10" s="6" t="s">
        <v>17</v>
      </c>
      <c r="C10" s="6" t="s">
        <v>18</v>
      </c>
      <c r="D10" s="6" t="s">
        <v>19</v>
      </c>
    </row>
    <row r="11" customFormat="false" ht="15" hidden="false" customHeight="false" outlineLevel="0" collapsed="false">
      <c r="B11" s="6" t="s">
        <v>20</v>
      </c>
      <c r="C11" s="6" t="s">
        <v>21</v>
      </c>
      <c r="D11" s="6" t="s">
        <v>22</v>
      </c>
    </row>
    <row r="12" customFormat="false" ht="15" hidden="false" customHeight="false" outlineLevel="0" collapsed="false">
      <c r="B12" s="6" t="s">
        <v>23</v>
      </c>
      <c r="C12" s="6" t="s">
        <v>24</v>
      </c>
      <c r="D12" s="6" t="s">
        <v>25</v>
      </c>
    </row>
    <row r="15" customFormat="false" ht="19.5" hidden="false" customHeight="true" outlineLevel="0" collapsed="false">
      <c r="B15" s="7" t="s">
        <v>26</v>
      </c>
      <c r="C15" s="8"/>
      <c r="D15" s="8"/>
      <c r="E15" s="8"/>
      <c r="F15" s="8"/>
      <c r="G15" s="8"/>
    </row>
    <row r="16" customFormat="false" ht="422.25" hidden="false" customHeight="true" outlineLevel="0" collapsed="false">
      <c r="B16" s="9" t="s">
        <v>27</v>
      </c>
      <c r="C16" s="9"/>
      <c r="D16" s="9"/>
      <c r="E16" s="9"/>
      <c r="F16" s="9"/>
      <c r="G16" s="9"/>
    </row>
    <row r="18" customFormat="false" ht="19.5" hidden="false" customHeight="true" outlineLevel="0" collapsed="false">
      <c r="B18" s="7" t="s">
        <v>28</v>
      </c>
      <c r="C18" s="8"/>
      <c r="D18" s="8"/>
      <c r="E18" s="8"/>
      <c r="F18" s="8"/>
      <c r="G18" s="8"/>
    </row>
    <row r="19" customFormat="false" ht="57" hidden="false" customHeight="true" outlineLevel="0" collapsed="false">
      <c r="B19" s="9" t="s">
        <v>29</v>
      </c>
      <c r="C19" s="9"/>
      <c r="D19" s="9"/>
      <c r="E19" s="9"/>
      <c r="F19" s="9"/>
      <c r="G19" s="9"/>
    </row>
    <row r="20" customFormat="false" ht="15" hidden="false" customHeight="false" outlineLevel="0" collapsed="false">
      <c r="B20" s="10" t="s">
        <v>30</v>
      </c>
      <c r="C20" s="10"/>
      <c r="D20" s="10"/>
      <c r="E20" s="10"/>
      <c r="F20" s="10"/>
      <c r="G20" s="10"/>
    </row>
    <row r="21" customFormat="false" ht="15" hidden="false" customHeight="false" outlineLevel="0" collapsed="false">
      <c r="B21" s="11" t="s">
        <v>31</v>
      </c>
    </row>
  </sheetData>
  <mergeCells count="3">
    <mergeCell ref="B16:G16"/>
    <mergeCell ref="B19:G19"/>
    <mergeCell ref="B20:G20"/>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4"/>
    <col collapsed="false" customWidth="true" hidden="false" outlineLevel="0" max="4" min="4" style="0" width="10"/>
    <col collapsed="false" customWidth="true" hidden="false" outlineLevel="0" max="5" min="5" style="0" width="48"/>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9</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32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5" t="s">
        <v>33</v>
      </c>
      <c r="C4" s="5" t="s">
        <v>34</v>
      </c>
      <c r="D4" s="5" t="s">
        <v>35</v>
      </c>
      <c r="E4" s="5" t="s">
        <v>36</v>
      </c>
    </row>
    <row r="5" customFormat="false" ht="15" hidden="false" customHeight="false" outlineLevel="0" collapsed="false">
      <c r="B5" s="12" t="s">
        <v>37</v>
      </c>
      <c r="C5" s="13"/>
      <c r="D5" s="13"/>
      <c r="E5" s="13"/>
    </row>
    <row r="6" customFormat="false" ht="15" hidden="false" customHeight="false" outlineLevel="0" collapsed="false">
      <c r="B6" s="14" t="s">
        <v>38</v>
      </c>
      <c r="C6" s="15" t="n">
        <v>250</v>
      </c>
      <c r="D6" s="16" t="s">
        <v>39</v>
      </c>
      <c r="E6" s="16" t="s">
        <v>40</v>
      </c>
    </row>
    <row r="7" customFormat="false" ht="15" hidden="false" customHeight="false" outlineLevel="0" collapsed="false">
      <c r="B7" s="14" t="s">
        <v>41</v>
      </c>
      <c r="C7" s="17" t="n">
        <v>0.03</v>
      </c>
      <c r="D7" s="16" t="s">
        <v>42</v>
      </c>
      <c r="E7" s="16" t="s">
        <v>43</v>
      </c>
    </row>
    <row r="9" customFormat="false" ht="15" hidden="false" customHeight="false" outlineLevel="0" collapsed="false">
      <c r="B9" s="12" t="s">
        <v>44</v>
      </c>
      <c r="C9" s="13"/>
      <c r="D9" s="13"/>
      <c r="E9" s="13"/>
    </row>
    <row r="10" customFormat="false" ht="15" hidden="false" customHeight="false" outlineLevel="0" collapsed="false">
      <c r="B10" s="14" t="s">
        <v>45</v>
      </c>
      <c r="C10" s="15" t="n">
        <v>1000</v>
      </c>
      <c r="D10" s="16" t="s">
        <v>39</v>
      </c>
      <c r="E10" s="16" t="s">
        <v>46</v>
      </c>
    </row>
    <row r="11" customFormat="false" ht="15" hidden="false" customHeight="false" outlineLevel="0" collapsed="false">
      <c r="B11" s="14" t="s">
        <v>47</v>
      </c>
      <c r="C11" s="15" t="n">
        <v>1.3</v>
      </c>
      <c r="D11" s="16" t="s">
        <v>48</v>
      </c>
      <c r="E11" s="16" t="s">
        <v>49</v>
      </c>
    </row>
    <row r="12" customFormat="false" ht="15" hidden="false" customHeight="false" outlineLevel="0" collapsed="false">
      <c r="B12" s="14" t="s">
        <v>50</v>
      </c>
      <c r="C12" s="17" t="n">
        <v>0.08</v>
      </c>
      <c r="D12" s="16" t="s">
        <v>42</v>
      </c>
      <c r="E12" s="16" t="s">
        <v>51</v>
      </c>
    </row>
    <row r="13" customFormat="false" ht="15" hidden="false" customHeight="false" outlineLevel="0" collapsed="false">
      <c r="B13" s="14" t="s">
        <v>52</v>
      </c>
      <c r="C13" s="15" t="n">
        <v>36</v>
      </c>
      <c r="D13" s="16" t="s">
        <v>53</v>
      </c>
      <c r="E13" s="16" t="s">
        <v>54</v>
      </c>
    </row>
    <row r="15" customFormat="false" ht="15" hidden="false" customHeight="false" outlineLevel="0" collapsed="false">
      <c r="B15" s="12" t="s">
        <v>55</v>
      </c>
      <c r="C15" s="13"/>
      <c r="D15" s="13"/>
      <c r="E15" s="13"/>
    </row>
    <row r="16" customFormat="false" ht="15" hidden="false" customHeight="false" outlineLevel="0" collapsed="false">
      <c r="B16" s="14" t="s">
        <v>56</v>
      </c>
      <c r="C16" s="15" t="n">
        <v>3</v>
      </c>
      <c r="D16" s="16" t="s">
        <v>57</v>
      </c>
      <c r="E16" s="16" t="s">
        <v>58</v>
      </c>
    </row>
    <row r="17" customFormat="false" ht="15" hidden="false" customHeight="false" outlineLevel="0" collapsed="false">
      <c r="B17" s="14" t="s">
        <v>59</v>
      </c>
      <c r="C17" s="15" t="n">
        <v>12</v>
      </c>
      <c r="D17" s="16" t="s">
        <v>53</v>
      </c>
      <c r="E17" s="16" t="s">
        <v>60</v>
      </c>
    </row>
    <row r="19" customFormat="false" ht="15" hidden="false" customHeight="false" outlineLevel="0" collapsed="false">
      <c r="B19" s="12" t="s">
        <v>61</v>
      </c>
      <c r="C19" s="13"/>
      <c r="D19" s="13"/>
      <c r="E19" s="13"/>
    </row>
    <row r="20" customFormat="false" ht="15" hidden="false" customHeight="false" outlineLevel="0" collapsed="false">
      <c r="B20" s="14" t="s">
        <v>62</v>
      </c>
      <c r="C20" s="17" t="n">
        <v>0.06</v>
      </c>
      <c r="D20" s="16" t="s">
        <v>42</v>
      </c>
      <c r="E20" s="16" t="s">
        <v>63</v>
      </c>
    </row>
    <row r="21" customFormat="false" ht="15" hidden="false" customHeight="false" outlineLevel="0" collapsed="false">
      <c r="B21" s="14" t="s">
        <v>64</v>
      </c>
      <c r="C21" s="17" t="n">
        <v>0.65</v>
      </c>
      <c r="D21" s="16" t="s">
        <v>42</v>
      </c>
      <c r="E21" s="16" t="s">
        <v>65</v>
      </c>
    </row>
    <row r="22" customFormat="false" ht="15" hidden="false" customHeight="false" outlineLevel="0" collapsed="false">
      <c r="B22" s="14" t="s">
        <v>66</v>
      </c>
      <c r="C22" s="15" t="n">
        <v>6</v>
      </c>
      <c r="D22" s="16" t="s">
        <v>53</v>
      </c>
      <c r="E22" s="16" t="s">
        <v>67</v>
      </c>
    </row>
    <row r="24" customFormat="false" ht="15" hidden="false" customHeight="false" outlineLevel="0" collapsed="false">
      <c r="B24" s="12" t="s">
        <v>68</v>
      </c>
      <c r="C24" s="13"/>
      <c r="D24" s="13"/>
      <c r="E24" s="13"/>
    </row>
    <row r="25" customFormat="false" ht="15" hidden="false" customHeight="false" outlineLevel="0" collapsed="false">
      <c r="B25" s="14" t="s">
        <v>69</v>
      </c>
      <c r="C25" s="17" t="n">
        <v>0.09</v>
      </c>
      <c r="D25" s="16" t="s">
        <v>42</v>
      </c>
      <c r="E25" s="16" t="s">
        <v>70</v>
      </c>
    </row>
    <row r="26" customFormat="false" ht="15" hidden="false" customHeight="false" outlineLevel="0" collapsed="false">
      <c r="B26" s="14" t="s">
        <v>71</v>
      </c>
      <c r="C26" s="17" t="n">
        <v>0.025</v>
      </c>
      <c r="D26" s="16" t="s">
        <v>42</v>
      </c>
      <c r="E26" s="16" t="s">
        <v>72</v>
      </c>
    </row>
    <row r="28" customFormat="false" ht="15" hidden="false" customHeight="false" outlineLevel="0" collapsed="false">
      <c r="B28" s="12" t="s">
        <v>73</v>
      </c>
      <c r="C28" s="13"/>
      <c r="D28" s="13"/>
      <c r="E28" s="13"/>
    </row>
    <row r="29" customFormat="false" ht="15" hidden="false" customHeight="false" outlineLevel="0" collapsed="false">
      <c r="B29" s="14" t="s">
        <v>74</v>
      </c>
      <c r="C29" s="15" t="n">
        <v>1.15</v>
      </c>
      <c r="D29" s="16" t="s">
        <v>48</v>
      </c>
      <c r="E29" s="16" t="s">
        <v>75</v>
      </c>
    </row>
    <row r="30" customFormat="false" ht="15" hidden="false" customHeight="false" outlineLevel="0" collapsed="false">
      <c r="B30" s="14" t="s">
        <v>76</v>
      </c>
      <c r="C30" s="17" t="n">
        <v>0.05</v>
      </c>
      <c r="D30" s="16" t="s">
        <v>48</v>
      </c>
      <c r="E30" s="16" t="s">
        <v>77</v>
      </c>
    </row>
    <row r="31" customFormat="false" ht="15" hidden="false" customHeight="false" outlineLevel="0" collapsed="false">
      <c r="B31" s="14" t="s">
        <v>78</v>
      </c>
      <c r="C31" s="17" t="n">
        <v>0.04</v>
      </c>
      <c r="D31" s="16" t="s">
        <v>42</v>
      </c>
      <c r="E31" s="16" t="s">
        <v>79</v>
      </c>
    </row>
    <row r="32" customFormat="false" ht="15" hidden="false" customHeight="false" outlineLevel="0" collapsed="false">
      <c r="B32" s="14" t="s">
        <v>80</v>
      </c>
      <c r="C32" s="17" t="n">
        <v>0.01</v>
      </c>
      <c r="D32" s="16" t="s">
        <v>42</v>
      </c>
      <c r="E32" s="16" t="s">
        <v>81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L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8" min="3" style="0" width="9"/>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82</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83</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5" t="s">
        <v>84</v>
      </c>
      <c r="C4" s="18" t="n">
        <f aca="false">COLUMN()-2</f>
        <v>1</v>
      </c>
      <c r="D4" s="18" t="n">
        <f aca="false">COLUMN()-2</f>
        <v>2</v>
      </c>
      <c r="E4" s="18" t="n">
        <f aca="false">COLUMN()-2</f>
        <v>3</v>
      </c>
      <c r="F4" s="18" t="n">
        <f aca="false">COLUMN()-2</f>
        <v>4</v>
      </c>
      <c r="G4" s="18" t="n">
        <f aca="false">COLUMN()-2</f>
        <v>5</v>
      </c>
      <c r="H4" s="18" t="n">
        <f aca="false">COLUMN()-2</f>
        <v>6</v>
      </c>
      <c r="I4" s="18" t="n">
        <f aca="false">COLUMN()-2</f>
        <v>7</v>
      </c>
      <c r="J4" s="18" t="n">
        <f aca="false">COLUMN()-2</f>
        <v>8</v>
      </c>
      <c r="K4" s="18" t="n">
        <f aca="false">COLUMN()-2</f>
        <v>9</v>
      </c>
      <c r="L4" s="18" t="n">
        <f aca="false">COLUMN()-2</f>
        <v>10</v>
      </c>
      <c r="M4" s="18" t="n">
        <f aca="false">COLUMN()-2</f>
        <v>11</v>
      </c>
      <c r="N4" s="18" t="n">
        <f aca="false">COLUMN()-2</f>
        <v>12</v>
      </c>
      <c r="O4" s="18" t="n">
        <f aca="false">COLUMN()-2</f>
        <v>13</v>
      </c>
      <c r="P4" s="18" t="n">
        <f aca="false">COLUMN()-2</f>
        <v>14</v>
      </c>
      <c r="Q4" s="18" t="n">
        <f aca="false">COLUMN()-2</f>
        <v>15</v>
      </c>
      <c r="R4" s="18" t="n">
        <f aca="false">COLUMN()-2</f>
        <v>16</v>
      </c>
      <c r="S4" s="18" t="n">
        <f aca="false">COLUMN()-2</f>
        <v>17</v>
      </c>
      <c r="T4" s="18" t="n">
        <f aca="false">COLUMN()-2</f>
        <v>18</v>
      </c>
      <c r="U4" s="18" t="n">
        <f aca="false">COLUMN()-2</f>
        <v>19</v>
      </c>
      <c r="V4" s="18" t="n">
        <f aca="false">COLUMN()-2</f>
        <v>20</v>
      </c>
      <c r="W4" s="18" t="n">
        <f aca="false">COLUMN()-2</f>
        <v>21</v>
      </c>
      <c r="X4" s="18" t="n">
        <f aca="false">COLUMN()-2</f>
        <v>22</v>
      </c>
      <c r="Y4" s="18" t="n">
        <f aca="false">COLUMN()-2</f>
        <v>23</v>
      </c>
      <c r="Z4" s="18" t="n">
        <f aca="false">COLUMN()-2</f>
        <v>24</v>
      </c>
      <c r="AA4" s="18" t="n">
        <f aca="false">COLUMN()-2</f>
        <v>25</v>
      </c>
      <c r="AB4" s="18" t="n">
        <f aca="false">COLUMN()-2</f>
        <v>26</v>
      </c>
      <c r="AC4" s="18" t="n">
        <f aca="false">COLUMN()-2</f>
        <v>27</v>
      </c>
      <c r="AD4" s="18" t="n">
        <f aca="false">COLUMN()-2</f>
        <v>28</v>
      </c>
      <c r="AE4" s="18" t="n">
        <f aca="false">COLUMN()-2</f>
        <v>29</v>
      </c>
      <c r="AF4" s="18" t="n">
        <f aca="false">COLUMN()-2</f>
        <v>30</v>
      </c>
      <c r="AG4" s="18" t="n">
        <f aca="false">COLUMN()-2</f>
        <v>31</v>
      </c>
      <c r="AH4" s="18" t="n">
        <f aca="false">COLUMN()-2</f>
        <v>32</v>
      </c>
      <c r="AI4" s="18" t="n">
        <f aca="false">COLUMN()-2</f>
        <v>33</v>
      </c>
      <c r="AJ4" s="18" t="n">
        <f aca="false">COLUMN()-2</f>
        <v>34</v>
      </c>
      <c r="AK4" s="18" t="n">
        <f aca="false">COLUMN()-2</f>
        <v>35</v>
      </c>
      <c r="AL4" s="18" t="n">
        <f aca="false">COLUMN()-2</f>
        <v>36</v>
      </c>
    </row>
    <row r="6" customFormat="false" ht="15" hidden="false" customHeight="false" outlineLevel="0" collapsed="false">
      <c r="B6" s="19" t="s">
        <v>85</v>
      </c>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row>
    <row r="7" customFormat="false" ht="15" hidden="false" customHeight="false" outlineLevel="0" collapsed="false">
      <c r="B7" s="20" t="s">
        <v>37</v>
      </c>
      <c r="C7" s="21" t="n">
        <f aca="false">Borr_Rev_M1*(1+Borr_Rev_Growth)^(C4-1)</f>
        <v>250</v>
      </c>
      <c r="D7" s="21" t="n">
        <f aca="false">Borr_Rev_M1*(1+Borr_Rev_Growth)^(D4-1)</f>
        <v>257.5</v>
      </c>
      <c r="E7" s="21" t="n">
        <f aca="false">Borr_Rev_M1*(1+Borr_Rev_Growth)^(E4-1)</f>
        <v>265.225</v>
      </c>
      <c r="F7" s="21" t="n">
        <f aca="false">Borr_Rev_M1*(1+Borr_Rev_Growth)^(F4-1)</f>
        <v>273.18175</v>
      </c>
      <c r="G7" s="21" t="n">
        <f aca="false">Borr_Rev_M1*(1+Borr_Rev_Growth)^(G4-1)</f>
        <v>281.3772025</v>
      </c>
      <c r="H7" s="21" t="n">
        <f aca="false">Borr_Rev_M1*(1+Borr_Rev_Growth)^(H4-1)</f>
        <v>289.818518575</v>
      </c>
      <c r="I7" s="21" t="n">
        <f aca="false">Borr_Rev_M1*(1+Borr_Rev_Growth)^(I4-1)</f>
        <v>298.51307413225</v>
      </c>
      <c r="J7" s="21" t="n">
        <f aca="false">Borr_Rev_M1*(1+Borr_Rev_Growth)^(J4-1)</f>
        <v>307.468466356218</v>
      </c>
      <c r="K7" s="21" t="n">
        <f aca="false">Borr_Rev_M1*(1+Borr_Rev_Growth)^(K4-1)</f>
        <v>316.692520346904</v>
      </c>
      <c r="L7" s="21" t="n">
        <f aca="false">Borr_Rev_M1*(1+Borr_Rev_Growth)^(L4-1)</f>
        <v>326.193295957311</v>
      </c>
      <c r="M7" s="21" t="n">
        <f aca="false">Borr_Rev_M1*(1+Borr_Rev_Growth)^(M4-1)</f>
        <v>335.979094836031</v>
      </c>
      <c r="N7" s="21" t="n">
        <f aca="false">Borr_Rev_M1*(1+Borr_Rev_Growth)^(N4-1)</f>
        <v>346.058467681112</v>
      </c>
      <c r="O7" s="21" t="n">
        <f aca="false">Borr_Rev_M1*(1+Borr_Rev_Growth)^(O4-1)</f>
        <v>356.440221711545</v>
      </c>
      <c r="P7" s="21" t="n">
        <f aca="false">Borr_Rev_M1*(1+Borr_Rev_Growth)^(P4-1)</f>
        <v>367.133428362891</v>
      </c>
      <c r="Q7" s="21" t="n">
        <f aca="false">Borr_Rev_M1*(1+Borr_Rev_Growth)^(Q4-1)</f>
        <v>378.147431213778</v>
      </c>
      <c r="R7" s="21" t="n">
        <f aca="false">Borr_Rev_M1*(1+Borr_Rev_Growth)^(R4-1)</f>
        <v>389.491854150191</v>
      </c>
      <c r="S7" s="21" t="n">
        <f aca="false">Borr_Rev_M1*(1+Borr_Rev_Growth)^(S4-1)</f>
        <v>401.176609774697</v>
      </c>
      <c r="T7" s="21" t="n">
        <f aca="false">Borr_Rev_M1*(1+Borr_Rev_Growth)^(T4-1)</f>
        <v>413.211908067938</v>
      </c>
      <c r="U7" s="21" t="n">
        <f aca="false">Borr_Rev_M1*(1+Borr_Rev_Growth)^(U4-1)</f>
        <v>425.608265309976</v>
      </c>
      <c r="V7" s="21" t="n">
        <f aca="false">Borr_Rev_M1*(1+Borr_Rev_Growth)^(V4-1)</f>
        <v>438.376513269275</v>
      </c>
      <c r="W7" s="21" t="n">
        <f aca="false">Borr_Rev_M1*(1+Borr_Rev_Growth)^(W4-1)</f>
        <v>451.527808667354</v>
      </c>
      <c r="X7" s="21" t="n">
        <f aca="false">Borr_Rev_M1*(1+Borr_Rev_Growth)^(X4-1)</f>
        <v>465.073642927374</v>
      </c>
      <c r="Y7" s="21" t="n">
        <f aca="false">Borr_Rev_M1*(1+Borr_Rev_Growth)^(Y4-1)</f>
        <v>479.025852215196</v>
      </c>
      <c r="Z7" s="21" t="n">
        <f aca="false">Borr_Rev_M1*(1+Borr_Rev_Growth)^(Z4-1)</f>
        <v>493.396627781651</v>
      </c>
      <c r="AA7" s="21" t="n">
        <f aca="false">Borr_Rev_M1*(1+Borr_Rev_Growth)^(AA4-1)</f>
        <v>508.198526615101</v>
      </c>
      <c r="AB7" s="21" t="n">
        <f aca="false">Borr_Rev_M1*(1+Borr_Rev_Growth)^(AB4-1)</f>
        <v>523.444482413554</v>
      </c>
      <c r="AC7" s="21" t="n">
        <f aca="false">Borr_Rev_M1*(1+Borr_Rev_Growth)^(AC4-1)</f>
        <v>539.147816885961</v>
      </c>
      <c r="AD7" s="21" t="n">
        <f aca="false">Borr_Rev_M1*(1+Borr_Rev_Growth)^(AD4-1)</f>
        <v>555.32225139254</v>
      </c>
      <c r="AE7" s="21" t="n">
        <f aca="false">Borr_Rev_M1*(1+Borr_Rev_Growth)^(AE4-1)</f>
        <v>571.981918934316</v>
      </c>
      <c r="AF7" s="21" t="n">
        <f aca="false">Borr_Rev_M1*(1+Borr_Rev_Growth)^(AF4-1)</f>
        <v>589.141376502345</v>
      </c>
      <c r="AG7" s="21" t="n">
        <f aca="false">Borr_Rev_M1*(1+Borr_Rev_Growth)^(AG4-1)</f>
        <v>606.815617797416</v>
      </c>
      <c r="AH7" s="21" t="n">
        <f aca="false">Borr_Rev_M1*(1+Borr_Rev_Growth)^(AH4-1)</f>
        <v>625.020086331338</v>
      </c>
      <c r="AI7" s="21" t="n">
        <f aca="false">Borr_Rev_M1*(1+Borr_Rev_Growth)^(AI4-1)</f>
        <v>643.770688921278</v>
      </c>
      <c r="AJ7" s="21" t="n">
        <f aca="false">Borr_Rev_M1*(1+Borr_Rev_Growth)^(AJ4-1)</f>
        <v>663.083809588917</v>
      </c>
      <c r="AK7" s="21" t="n">
        <f aca="false">Borr_Rev_M1*(1+Borr_Rev_Growth)^(AK4-1)</f>
        <v>682.976323876584</v>
      </c>
      <c r="AL7" s="21" t="n">
        <f aca="false">Borr_Rev_M1*(1+Borr_Rev_Growth)^(AL4-1)</f>
        <v>703.465613592882</v>
      </c>
    </row>
    <row r="8" customFormat="false" ht="15" hidden="false" customHeight="false" outlineLevel="0" collapsed="false">
      <c r="B8" s="20" t="s">
        <v>86</v>
      </c>
      <c r="C8" s="21" t="n">
        <f aca="false">C7*Adv_Remit_Pct</f>
        <v>20</v>
      </c>
      <c r="D8" s="21" t="n">
        <f aca="false">D7*Adv_Remit_Pct</f>
        <v>20.6</v>
      </c>
      <c r="E8" s="21" t="n">
        <f aca="false">E7*Adv_Remit_Pct</f>
        <v>21.218</v>
      </c>
      <c r="F8" s="21" t="n">
        <f aca="false">F7*Adv_Remit_Pct</f>
        <v>21.85454</v>
      </c>
      <c r="G8" s="21" t="n">
        <f aca="false">G7*Adv_Remit_Pct</f>
        <v>22.5101762</v>
      </c>
      <c r="H8" s="21" t="n">
        <f aca="false">H7*Adv_Remit_Pct</f>
        <v>23.185481486</v>
      </c>
      <c r="I8" s="21" t="n">
        <f aca="false">I7*Adv_Remit_Pct</f>
        <v>23.88104593058</v>
      </c>
      <c r="J8" s="21" t="n">
        <f aca="false">J7*Adv_Remit_Pct</f>
        <v>24.5974773084974</v>
      </c>
      <c r="K8" s="21" t="n">
        <f aca="false">K7*Adv_Remit_Pct</f>
        <v>25.3354016277523</v>
      </c>
      <c r="L8" s="21" t="n">
        <f aca="false">L7*Adv_Remit_Pct</f>
        <v>26.0954636765849</v>
      </c>
      <c r="M8" s="21" t="n">
        <f aca="false">M7*Adv_Remit_Pct</f>
        <v>26.8783275868825</v>
      </c>
      <c r="N8" s="21" t="n">
        <f aca="false">N7*Adv_Remit_Pct</f>
        <v>27.6846774144889</v>
      </c>
      <c r="O8" s="21" t="n">
        <f aca="false">O7*Adv_Remit_Pct</f>
        <v>28.5152177369236</v>
      </c>
      <c r="P8" s="21" t="n">
        <f aca="false">P7*Adv_Remit_Pct</f>
        <v>29.3706742690313</v>
      </c>
      <c r="Q8" s="21" t="n">
        <f aca="false">Q7*Adv_Remit_Pct</f>
        <v>30.2517944971022</v>
      </c>
      <c r="R8" s="21" t="n">
        <f aca="false">R7*Adv_Remit_Pct</f>
        <v>31.1593483320153</v>
      </c>
      <c r="S8" s="21" t="n">
        <f aca="false">S7*Adv_Remit_Pct</f>
        <v>32.0941287819758</v>
      </c>
      <c r="T8" s="21" t="n">
        <f aca="false">T7*Adv_Remit_Pct</f>
        <v>33.056952645435</v>
      </c>
      <c r="U8" s="21" t="n">
        <f aca="false">U7*Adv_Remit_Pct</f>
        <v>34.0486612247981</v>
      </c>
      <c r="V8" s="21" t="n">
        <f aca="false">V7*Adv_Remit_Pct</f>
        <v>35.070121061542</v>
      </c>
      <c r="W8" s="21" t="n">
        <f aca="false">W7*Adv_Remit_Pct</f>
        <v>36.1222246933883</v>
      </c>
      <c r="X8" s="21" t="n">
        <f aca="false">X7*Adv_Remit_Pct</f>
        <v>37.2058914341899</v>
      </c>
      <c r="Y8" s="21" t="n">
        <f aca="false">Y7*Adv_Remit_Pct</f>
        <v>38.3220681772157</v>
      </c>
      <c r="Z8" s="21" t="n">
        <f aca="false">Z7*Adv_Remit_Pct</f>
        <v>39.4717302225321</v>
      </c>
      <c r="AA8" s="21" t="n">
        <f aca="false">AA7*Adv_Remit_Pct</f>
        <v>40.6558821292081</v>
      </c>
      <c r="AB8" s="21" t="n">
        <f aca="false">AB7*Adv_Remit_Pct</f>
        <v>41.8755585930843</v>
      </c>
      <c r="AC8" s="21" t="n">
        <f aca="false">AC7*Adv_Remit_Pct</f>
        <v>43.1318253508769</v>
      </c>
      <c r="AD8" s="21" t="n">
        <f aca="false">AD7*Adv_Remit_Pct</f>
        <v>44.4257801114032</v>
      </c>
      <c r="AE8" s="21" t="n">
        <f aca="false">AE7*Adv_Remit_Pct</f>
        <v>45.7585535147453</v>
      </c>
      <c r="AF8" s="21" t="n">
        <f aca="false">AF7*Adv_Remit_Pct</f>
        <v>47.1313101201876</v>
      </c>
      <c r="AG8" s="21" t="n">
        <f aca="false">AG7*Adv_Remit_Pct</f>
        <v>48.5452494237933</v>
      </c>
      <c r="AH8" s="21" t="n">
        <f aca="false">AH7*Adv_Remit_Pct</f>
        <v>50.001606906507</v>
      </c>
      <c r="AI8" s="21" t="n">
        <f aca="false">AI7*Adv_Remit_Pct</f>
        <v>51.5016551137023</v>
      </c>
      <c r="AJ8" s="21" t="n">
        <f aca="false">AJ7*Adv_Remit_Pct</f>
        <v>53.0467047671133</v>
      </c>
      <c r="AK8" s="21" t="n">
        <f aca="false">AK7*Adv_Remit_Pct</f>
        <v>54.6381059101267</v>
      </c>
      <c r="AL8" s="21" t="n">
        <f aca="false">AL7*Adv_Remit_Pct</f>
        <v>56.2772490874305</v>
      </c>
    </row>
    <row r="10" customFormat="false" ht="15" hidden="false" customHeight="false" outlineLevel="0" collapsed="false">
      <c r="B10" s="19" t="s">
        <v>87</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row>
    <row r="11" customFormat="false" ht="15" hidden="false" customHeight="false" outlineLevel="0" collapsed="false">
      <c r="B11" s="20" t="s">
        <v>88</v>
      </c>
      <c r="C11" s="21" t="n">
        <f aca="false">Adv_Amount*Adv_Factor</f>
        <v>1300</v>
      </c>
      <c r="D11" s="21" t="n">
        <f aca="false">C14</f>
        <v>1280</v>
      </c>
      <c r="E11" s="21" t="n">
        <f aca="false">D14</f>
        <v>1259.4</v>
      </c>
      <c r="F11" s="21" t="n">
        <f aca="false">E14</f>
        <v>1238.182</v>
      </c>
      <c r="G11" s="21" t="n">
        <f aca="false">F14</f>
        <v>1216.32746</v>
      </c>
      <c r="H11" s="21" t="n">
        <f aca="false">G14</f>
        <v>1193.8172838</v>
      </c>
      <c r="I11" s="21" t="n">
        <f aca="false">H14</f>
        <v>1170.631802314</v>
      </c>
      <c r="J11" s="21" t="n">
        <f aca="false">I14</f>
        <v>1146.75075638342</v>
      </c>
      <c r="K11" s="21" t="n">
        <f aca="false">J14</f>
        <v>1122.15327907492</v>
      </c>
      <c r="L11" s="21" t="n">
        <f aca="false">K14</f>
        <v>1096.81787744717</v>
      </c>
      <c r="M11" s="21" t="n">
        <f aca="false">L14</f>
        <v>1070.72241377059</v>
      </c>
      <c r="N11" s="21" t="n">
        <f aca="false">M14</f>
        <v>1043.8440861837</v>
      </c>
      <c r="O11" s="21" t="n">
        <f aca="false">N14</f>
        <v>1016.15940876921</v>
      </c>
      <c r="P11" s="21" t="n">
        <f aca="false">O14</f>
        <v>987.64419103229</v>
      </c>
      <c r="Q11" s="21" t="n">
        <f aca="false">P14</f>
        <v>958.273516763259</v>
      </c>
      <c r="R11" s="21" t="n">
        <f aca="false">Q14</f>
        <v>928.021722266157</v>
      </c>
      <c r="S11" s="21" t="n">
        <f aca="false">R14</f>
        <v>896.862373934142</v>
      </c>
      <c r="T11" s="21" t="n">
        <f aca="false">S14</f>
        <v>864.768245152166</v>
      </c>
      <c r="U11" s="21" t="n">
        <f aca="false">T14</f>
        <v>831.711292506731</v>
      </c>
      <c r="V11" s="21" t="n">
        <f aca="false">U14</f>
        <v>797.662631281933</v>
      </c>
      <c r="W11" s="21" t="n">
        <f aca="false">V14</f>
        <v>762.592510220391</v>
      </c>
      <c r="X11" s="21" t="n">
        <f aca="false">W14</f>
        <v>726.470285527002</v>
      </c>
      <c r="Y11" s="21" t="n">
        <f aca="false">X14</f>
        <v>689.264394092812</v>
      </c>
      <c r="Z11" s="21" t="n">
        <f aca="false">Y14</f>
        <v>650.942325915597</v>
      </c>
      <c r="AA11" s="21" t="n">
        <f aca="false">Z14</f>
        <v>611.470595693065</v>
      </c>
      <c r="AB11" s="21" t="n">
        <f aca="false">AA14</f>
        <v>570.814713563857</v>
      </c>
      <c r="AC11" s="21" t="n">
        <f aca="false">AB14</f>
        <v>528.939154970772</v>
      </c>
      <c r="AD11" s="21" t="n">
        <f aca="false">AC14</f>
        <v>485.807329619895</v>
      </c>
      <c r="AE11" s="21" t="n">
        <f aca="false">AD14</f>
        <v>441.381549508492</v>
      </c>
      <c r="AF11" s="21" t="n">
        <f aca="false">AE14</f>
        <v>395.622995993747</v>
      </c>
      <c r="AG11" s="21" t="n">
        <f aca="false">AF14</f>
        <v>348.491685873559</v>
      </c>
      <c r="AH11" s="21" t="n">
        <f aca="false">AG14</f>
        <v>299.946436449766</v>
      </c>
      <c r="AI11" s="21" t="n">
        <f aca="false">AH14</f>
        <v>249.944829543259</v>
      </c>
      <c r="AJ11" s="21" t="n">
        <f aca="false">AI14</f>
        <v>198.443174429557</v>
      </c>
      <c r="AK11" s="21" t="n">
        <f aca="false">AJ14</f>
        <v>145.396469662443</v>
      </c>
      <c r="AL11" s="21" t="n">
        <f aca="false">AK14</f>
        <v>90.7583637523167</v>
      </c>
    </row>
    <row r="12" customFormat="false" ht="15" hidden="false" customHeight="false" outlineLevel="0" collapsed="false">
      <c r="B12" s="20" t="s">
        <v>89</v>
      </c>
      <c r="C12" s="21" t="n">
        <f aca="false">IF(C4&lt;=Adv_Term_Cap,C8,0)</f>
        <v>20</v>
      </c>
      <c r="D12" s="21" t="n">
        <f aca="false">IF(D4&lt;=Adv_Term_Cap,D8,0)</f>
        <v>20.6</v>
      </c>
      <c r="E12" s="21" t="n">
        <f aca="false">IF(E4&lt;=Adv_Term_Cap,E8,0)</f>
        <v>21.218</v>
      </c>
      <c r="F12" s="21" t="n">
        <f aca="false">IF(F4&lt;=Adv_Term_Cap,F8,0)</f>
        <v>21.85454</v>
      </c>
      <c r="G12" s="21" t="n">
        <f aca="false">IF(G4&lt;=Adv_Term_Cap,G8,0)</f>
        <v>22.5101762</v>
      </c>
      <c r="H12" s="21" t="n">
        <f aca="false">IF(H4&lt;=Adv_Term_Cap,H8,0)</f>
        <v>23.185481486</v>
      </c>
      <c r="I12" s="21" t="n">
        <f aca="false">IF(I4&lt;=Adv_Term_Cap,I8,0)</f>
        <v>23.88104593058</v>
      </c>
      <c r="J12" s="21" t="n">
        <f aca="false">IF(J4&lt;=Adv_Term_Cap,J8,0)</f>
        <v>24.5974773084974</v>
      </c>
      <c r="K12" s="21" t="n">
        <f aca="false">IF(K4&lt;=Adv_Term_Cap,K8,0)</f>
        <v>25.3354016277523</v>
      </c>
      <c r="L12" s="21" t="n">
        <f aca="false">IF(L4&lt;=Adv_Term_Cap,L8,0)</f>
        <v>26.0954636765849</v>
      </c>
      <c r="M12" s="21" t="n">
        <f aca="false">IF(M4&lt;=Adv_Term_Cap,M8,0)</f>
        <v>26.8783275868825</v>
      </c>
      <c r="N12" s="21" t="n">
        <f aca="false">IF(N4&lt;=Adv_Term_Cap,N8,0)</f>
        <v>27.6846774144889</v>
      </c>
      <c r="O12" s="21" t="n">
        <f aca="false">IF(O4&lt;=Adv_Term_Cap,O8,0)</f>
        <v>28.5152177369236</v>
      </c>
      <c r="P12" s="21" t="n">
        <f aca="false">IF(P4&lt;=Adv_Term_Cap,P8,0)</f>
        <v>29.3706742690313</v>
      </c>
      <c r="Q12" s="21" t="n">
        <f aca="false">IF(Q4&lt;=Adv_Term_Cap,Q8,0)</f>
        <v>30.2517944971022</v>
      </c>
      <c r="R12" s="21" t="n">
        <f aca="false">IF(R4&lt;=Adv_Term_Cap,R8,0)</f>
        <v>31.1593483320153</v>
      </c>
      <c r="S12" s="21" t="n">
        <f aca="false">IF(S4&lt;=Adv_Term_Cap,S8,0)</f>
        <v>32.0941287819758</v>
      </c>
      <c r="T12" s="21" t="n">
        <f aca="false">IF(T4&lt;=Adv_Term_Cap,T8,0)</f>
        <v>33.056952645435</v>
      </c>
      <c r="U12" s="21" t="n">
        <f aca="false">IF(U4&lt;=Adv_Term_Cap,U8,0)</f>
        <v>34.0486612247981</v>
      </c>
      <c r="V12" s="21" t="n">
        <f aca="false">IF(V4&lt;=Adv_Term_Cap,V8,0)</f>
        <v>35.070121061542</v>
      </c>
      <c r="W12" s="21" t="n">
        <f aca="false">IF(W4&lt;=Adv_Term_Cap,W8,0)</f>
        <v>36.1222246933883</v>
      </c>
      <c r="X12" s="21" t="n">
        <f aca="false">IF(X4&lt;=Adv_Term_Cap,X8,0)</f>
        <v>37.2058914341899</v>
      </c>
      <c r="Y12" s="21" t="n">
        <f aca="false">IF(Y4&lt;=Adv_Term_Cap,Y8,0)</f>
        <v>38.3220681772157</v>
      </c>
      <c r="Z12" s="21" t="n">
        <f aca="false">IF(Z4&lt;=Adv_Term_Cap,Z8,0)</f>
        <v>39.4717302225321</v>
      </c>
      <c r="AA12" s="21" t="n">
        <f aca="false">IF(AA4&lt;=Adv_Term_Cap,AA8,0)</f>
        <v>40.6558821292081</v>
      </c>
      <c r="AB12" s="21" t="n">
        <f aca="false">IF(AB4&lt;=Adv_Term_Cap,AB8,0)</f>
        <v>41.8755585930843</v>
      </c>
      <c r="AC12" s="21" t="n">
        <f aca="false">IF(AC4&lt;=Adv_Term_Cap,AC8,0)</f>
        <v>43.1318253508769</v>
      </c>
      <c r="AD12" s="21" t="n">
        <f aca="false">IF(AD4&lt;=Adv_Term_Cap,AD8,0)</f>
        <v>44.4257801114032</v>
      </c>
      <c r="AE12" s="21" t="n">
        <f aca="false">IF(AE4&lt;=Adv_Term_Cap,AE8,0)</f>
        <v>45.7585535147453</v>
      </c>
      <c r="AF12" s="21" t="n">
        <f aca="false">IF(AF4&lt;=Adv_Term_Cap,AF8,0)</f>
        <v>47.1313101201876</v>
      </c>
      <c r="AG12" s="21" t="n">
        <f aca="false">IF(AG4&lt;=Adv_Term_Cap,AG8,0)</f>
        <v>48.5452494237933</v>
      </c>
      <c r="AH12" s="21" t="n">
        <f aca="false">IF(AH4&lt;=Adv_Term_Cap,AH8,0)</f>
        <v>50.001606906507</v>
      </c>
      <c r="AI12" s="21" t="n">
        <f aca="false">IF(AI4&lt;=Adv_Term_Cap,AI8,0)</f>
        <v>51.5016551137023</v>
      </c>
      <c r="AJ12" s="21" t="n">
        <f aca="false">IF(AJ4&lt;=Adv_Term_Cap,AJ8,0)</f>
        <v>53.0467047671133</v>
      </c>
      <c r="AK12" s="21" t="n">
        <f aca="false">IF(AK4&lt;=Adv_Term_Cap,AK8,0)</f>
        <v>54.6381059101267</v>
      </c>
      <c r="AL12" s="21" t="n">
        <f aca="false">IF(AL4&lt;=Adv_Term_Cap,AL8,0)</f>
        <v>56.2772490874305</v>
      </c>
    </row>
    <row r="13" customFormat="false" ht="15" hidden="false" customHeight="false" outlineLevel="0" collapsed="false">
      <c r="B13" s="20" t="s">
        <v>90</v>
      </c>
      <c r="C13" s="21" t="n">
        <f aca="false">MIN(C12,C11)</f>
        <v>20</v>
      </c>
      <c r="D13" s="21" t="n">
        <f aca="false">MIN(D12,D11)</f>
        <v>20.6</v>
      </c>
      <c r="E13" s="21" t="n">
        <f aca="false">MIN(E12,E11)</f>
        <v>21.218</v>
      </c>
      <c r="F13" s="21" t="n">
        <f aca="false">MIN(F12,F11)</f>
        <v>21.85454</v>
      </c>
      <c r="G13" s="21" t="n">
        <f aca="false">MIN(G12,G11)</f>
        <v>22.5101762</v>
      </c>
      <c r="H13" s="21" t="n">
        <f aca="false">MIN(H12,H11)</f>
        <v>23.185481486</v>
      </c>
      <c r="I13" s="21" t="n">
        <f aca="false">MIN(I12,I11)</f>
        <v>23.88104593058</v>
      </c>
      <c r="J13" s="21" t="n">
        <f aca="false">MIN(J12,J11)</f>
        <v>24.5974773084974</v>
      </c>
      <c r="K13" s="21" t="n">
        <f aca="false">MIN(K12,K11)</f>
        <v>25.3354016277523</v>
      </c>
      <c r="L13" s="21" t="n">
        <f aca="false">MIN(L12,L11)</f>
        <v>26.0954636765849</v>
      </c>
      <c r="M13" s="21" t="n">
        <f aca="false">MIN(M12,M11)</f>
        <v>26.8783275868825</v>
      </c>
      <c r="N13" s="21" t="n">
        <f aca="false">MIN(N12,N11)</f>
        <v>27.6846774144889</v>
      </c>
      <c r="O13" s="21" t="n">
        <f aca="false">MIN(O12,O11)</f>
        <v>28.5152177369236</v>
      </c>
      <c r="P13" s="21" t="n">
        <f aca="false">MIN(P12,P11)</f>
        <v>29.3706742690313</v>
      </c>
      <c r="Q13" s="21" t="n">
        <f aca="false">MIN(Q12,Q11)</f>
        <v>30.2517944971022</v>
      </c>
      <c r="R13" s="21" t="n">
        <f aca="false">MIN(R12,R11)</f>
        <v>31.1593483320153</v>
      </c>
      <c r="S13" s="21" t="n">
        <f aca="false">MIN(S12,S11)</f>
        <v>32.0941287819758</v>
      </c>
      <c r="T13" s="21" t="n">
        <f aca="false">MIN(T12,T11)</f>
        <v>33.056952645435</v>
      </c>
      <c r="U13" s="21" t="n">
        <f aca="false">MIN(U12,U11)</f>
        <v>34.0486612247981</v>
      </c>
      <c r="V13" s="21" t="n">
        <f aca="false">MIN(V12,V11)</f>
        <v>35.070121061542</v>
      </c>
      <c r="W13" s="21" t="n">
        <f aca="false">MIN(W12,W11)</f>
        <v>36.1222246933883</v>
      </c>
      <c r="X13" s="21" t="n">
        <f aca="false">MIN(X12,X11)</f>
        <v>37.2058914341899</v>
      </c>
      <c r="Y13" s="21" t="n">
        <f aca="false">MIN(Y12,Y11)</f>
        <v>38.3220681772157</v>
      </c>
      <c r="Z13" s="21" t="n">
        <f aca="false">MIN(Z12,Z11)</f>
        <v>39.4717302225321</v>
      </c>
      <c r="AA13" s="21" t="n">
        <f aca="false">MIN(AA12,AA11)</f>
        <v>40.6558821292081</v>
      </c>
      <c r="AB13" s="21" t="n">
        <f aca="false">MIN(AB12,AB11)</f>
        <v>41.8755585930843</v>
      </c>
      <c r="AC13" s="21" t="n">
        <f aca="false">MIN(AC12,AC11)</f>
        <v>43.1318253508769</v>
      </c>
      <c r="AD13" s="21" t="n">
        <f aca="false">MIN(AD12,AD11)</f>
        <v>44.4257801114032</v>
      </c>
      <c r="AE13" s="21" t="n">
        <f aca="false">MIN(AE12,AE11)</f>
        <v>45.7585535147453</v>
      </c>
      <c r="AF13" s="21" t="n">
        <f aca="false">MIN(AF12,AF11)</f>
        <v>47.1313101201876</v>
      </c>
      <c r="AG13" s="21" t="n">
        <f aca="false">MIN(AG12,AG11)</f>
        <v>48.5452494237933</v>
      </c>
      <c r="AH13" s="21" t="n">
        <f aca="false">MIN(AH12,AH11)</f>
        <v>50.001606906507</v>
      </c>
      <c r="AI13" s="21" t="n">
        <f aca="false">MIN(AI12,AI11)</f>
        <v>51.5016551137023</v>
      </c>
      <c r="AJ13" s="21" t="n">
        <f aca="false">MIN(AJ12,AJ11)</f>
        <v>53.0467047671133</v>
      </c>
      <c r="AK13" s="21" t="n">
        <f aca="false">MIN(AK12,AK11)</f>
        <v>54.6381059101267</v>
      </c>
      <c r="AL13" s="21" t="n">
        <f aca="false">MIN(AL12,AL11)</f>
        <v>56.2772490874305</v>
      </c>
    </row>
    <row r="14" customFormat="false" ht="15" hidden="false" customHeight="false" outlineLevel="0" collapsed="false">
      <c r="B14" s="22" t="s">
        <v>91</v>
      </c>
      <c r="C14" s="23" t="n">
        <f aca="false">C11-C13</f>
        <v>1280</v>
      </c>
      <c r="D14" s="23" t="n">
        <f aca="false">D11-D13</f>
        <v>1259.4</v>
      </c>
      <c r="E14" s="23" t="n">
        <f aca="false">E11-E13</f>
        <v>1238.182</v>
      </c>
      <c r="F14" s="23" t="n">
        <f aca="false">F11-F13</f>
        <v>1216.32746</v>
      </c>
      <c r="G14" s="23" t="n">
        <f aca="false">G11-G13</f>
        <v>1193.8172838</v>
      </c>
      <c r="H14" s="23" t="n">
        <f aca="false">H11-H13</f>
        <v>1170.631802314</v>
      </c>
      <c r="I14" s="23" t="n">
        <f aca="false">I11-I13</f>
        <v>1146.75075638342</v>
      </c>
      <c r="J14" s="23" t="n">
        <f aca="false">J11-J13</f>
        <v>1122.15327907492</v>
      </c>
      <c r="K14" s="23" t="n">
        <f aca="false">K11-K13</f>
        <v>1096.81787744717</v>
      </c>
      <c r="L14" s="23" t="n">
        <f aca="false">L11-L13</f>
        <v>1070.72241377059</v>
      </c>
      <c r="M14" s="23" t="n">
        <f aca="false">M11-M13</f>
        <v>1043.8440861837</v>
      </c>
      <c r="N14" s="23" t="n">
        <f aca="false">N11-N13</f>
        <v>1016.15940876921</v>
      </c>
      <c r="O14" s="23" t="n">
        <f aca="false">O11-O13</f>
        <v>987.64419103229</v>
      </c>
      <c r="P14" s="23" t="n">
        <f aca="false">P11-P13</f>
        <v>958.273516763259</v>
      </c>
      <c r="Q14" s="23" t="n">
        <f aca="false">Q11-Q13</f>
        <v>928.021722266157</v>
      </c>
      <c r="R14" s="23" t="n">
        <f aca="false">R11-R13</f>
        <v>896.862373934142</v>
      </c>
      <c r="S14" s="23" t="n">
        <f aca="false">S11-S13</f>
        <v>864.768245152166</v>
      </c>
      <c r="T14" s="23" t="n">
        <f aca="false">T11-T13</f>
        <v>831.711292506731</v>
      </c>
      <c r="U14" s="23" t="n">
        <f aca="false">U11-U13</f>
        <v>797.662631281933</v>
      </c>
      <c r="V14" s="23" t="n">
        <f aca="false">V11-V13</f>
        <v>762.592510220391</v>
      </c>
      <c r="W14" s="23" t="n">
        <f aca="false">W11-W13</f>
        <v>726.470285527002</v>
      </c>
      <c r="X14" s="23" t="n">
        <f aca="false">X11-X13</f>
        <v>689.264394092812</v>
      </c>
      <c r="Y14" s="23" t="n">
        <f aca="false">Y11-Y13</f>
        <v>650.942325915597</v>
      </c>
      <c r="Z14" s="23" t="n">
        <f aca="false">Z11-Z13</f>
        <v>611.470595693065</v>
      </c>
      <c r="AA14" s="23" t="n">
        <f aca="false">AA11-AA13</f>
        <v>570.814713563857</v>
      </c>
      <c r="AB14" s="23" t="n">
        <f aca="false">AB11-AB13</f>
        <v>528.939154970772</v>
      </c>
      <c r="AC14" s="23" t="n">
        <f aca="false">AC11-AC13</f>
        <v>485.807329619895</v>
      </c>
      <c r="AD14" s="23" t="n">
        <f aca="false">AD11-AD13</f>
        <v>441.381549508492</v>
      </c>
      <c r="AE14" s="23" t="n">
        <f aca="false">AE11-AE13</f>
        <v>395.622995993747</v>
      </c>
      <c r="AF14" s="23" t="n">
        <f aca="false">AF11-AF13</f>
        <v>348.491685873559</v>
      </c>
      <c r="AG14" s="23" t="n">
        <f aca="false">AG11-AG13</f>
        <v>299.946436449766</v>
      </c>
      <c r="AH14" s="23" t="n">
        <f aca="false">AH11-AH13</f>
        <v>249.944829543259</v>
      </c>
      <c r="AI14" s="23" t="n">
        <f aca="false">AI11-AI13</f>
        <v>198.443174429557</v>
      </c>
      <c r="AJ14" s="23" t="n">
        <f aca="false">AJ11-AJ13</f>
        <v>145.396469662443</v>
      </c>
      <c r="AK14" s="23" t="n">
        <f aca="false">AK11-AK13</f>
        <v>90.7583637523167</v>
      </c>
      <c r="AL14" s="23" t="n">
        <f aca="false">AL11-AL13</f>
        <v>34.4811146648862</v>
      </c>
    </row>
    <row r="16" customFormat="false" ht="15" hidden="false" customHeight="false" outlineLevel="0" collapsed="false">
      <c r="B16" s="19" t="s">
        <v>92</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row>
    <row r="17" customFormat="false" ht="15" hidden="false" customHeight="false" outlineLevel="0" collapsed="false">
      <c r="B17" s="20" t="s">
        <v>93</v>
      </c>
      <c r="C17" s="21" t="n">
        <f aca="false">C13</f>
        <v>20</v>
      </c>
      <c r="D17" s="21" t="n">
        <f aca="false">C17+D13</f>
        <v>40.6</v>
      </c>
      <c r="E17" s="21" t="n">
        <f aca="false">D17+E13</f>
        <v>61.818</v>
      </c>
      <c r="F17" s="21" t="n">
        <f aca="false">E17+F13</f>
        <v>83.67254</v>
      </c>
      <c r="G17" s="21" t="n">
        <f aca="false">F17+G13</f>
        <v>106.1827162</v>
      </c>
      <c r="H17" s="21" t="n">
        <f aca="false">G17+H13</f>
        <v>129.368197686</v>
      </c>
      <c r="I17" s="21" t="n">
        <f aca="false">H17+I13</f>
        <v>153.24924361658</v>
      </c>
      <c r="J17" s="21" t="n">
        <f aca="false">I17+J13</f>
        <v>177.846720925077</v>
      </c>
      <c r="K17" s="21" t="n">
        <f aca="false">J17+K13</f>
        <v>203.18212255283</v>
      </c>
      <c r="L17" s="21" t="n">
        <f aca="false">K17+L13</f>
        <v>229.277586229415</v>
      </c>
      <c r="M17" s="21" t="n">
        <f aca="false">L17+M13</f>
        <v>256.155913816297</v>
      </c>
      <c r="N17" s="21" t="n">
        <f aca="false">M17+N13</f>
        <v>283.840591230786</v>
      </c>
      <c r="O17" s="21" t="n">
        <f aca="false">N17+O13</f>
        <v>312.35580896771</v>
      </c>
      <c r="P17" s="21" t="n">
        <f aca="false">O17+P13</f>
        <v>341.726483236741</v>
      </c>
      <c r="Q17" s="21" t="n">
        <f aca="false">P17+Q13</f>
        <v>371.978277733843</v>
      </c>
      <c r="R17" s="21" t="n">
        <f aca="false">Q17+R13</f>
        <v>403.137626065859</v>
      </c>
      <c r="S17" s="21" t="n">
        <f aca="false">R17+S13</f>
        <v>435.231754847834</v>
      </c>
      <c r="T17" s="21" t="n">
        <f aca="false">S17+T13</f>
        <v>468.288707493269</v>
      </c>
      <c r="U17" s="21" t="n">
        <f aca="false">T17+U13</f>
        <v>502.337368718067</v>
      </c>
      <c r="V17" s="21" t="n">
        <f aca="false">U17+V13</f>
        <v>537.40748977961</v>
      </c>
      <c r="W17" s="21" t="n">
        <f aca="false">V17+W13</f>
        <v>573.529714472998</v>
      </c>
      <c r="X17" s="21" t="n">
        <f aca="false">W17+X13</f>
        <v>610.735605907188</v>
      </c>
      <c r="Y17" s="21" t="n">
        <f aca="false">X17+Y13</f>
        <v>649.057674084403</v>
      </c>
      <c r="Z17" s="21" t="n">
        <f aca="false">Y17+Z13</f>
        <v>688.529404306936</v>
      </c>
      <c r="AA17" s="21" t="n">
        <f aca="false">Z17+AA13</f>
        <v>729.185286436144</v>
      </c>
      <c r="AB17" s="21" t="n">
        <f aca="false">AA17+AB13</f>
        <v>771.060845029228</v>
      </c>
      <c r="AC17" s="21" t="n">
        <f aca="false">AB17+AC13</f>
        <v>814.192670380105</v>
      </c>
      <c r="AD17" s="21" t="n">
        <f aca="false">AC17+AD13</f>
        <v>858.618450491508</v>
      </c>
      <c r="AE17" s="21" t="n">
        <f aca="false">AD17+AE13</f>
        <v>904.377004006253</v>
      </c>
      <c r="AF17" s="21" t="n">
        <f aca="false">AE17+AF13</f>
        <v>951.508314126441</v>
      </c>
      <c r="AG17" s="21" t="n">
        <f aca="false">AF17+AG13</f>
        <v>1000.05356355023</v>
      </c>
      <c r="AH17" s="21" t="n">
        <f aca="false">AG17+AH13</f>
        <v>1050.05517045674</v>
      </c>
      <c r="AI17" s="21" t="n">
        <f aca="false">AH17+AI13</f>
        <v>1101.55682557044</v>
      </c>
      <c r="AJ17" s="21" t="n">
        <f aca="false">AI17+AJ13</f>
        <v>1154.60353033756</v>
      </c>
      <c r="AK17" s="21" t="n">
        <f aca="false">AJ17+AK13</f>
        <v>1209.24163624768</v>
      </c>
      <c r="AL17" s="21" t="n">
        <f aca="false">AK17+AL13</f>
        <v>1265.51888533511</v>
      </c>
    </row>
    <row r="18" customFormat="false" ht="15" hidden="false" customHeight="false" outlineLevel="0" collapsed="false">
      <c r="B18" s="20" t="s">
        <v>94</v>
      </c>
      <c r="C18" s="24" t="n">
        <f aca="false">IF(C14&lt;=0,1,0)</f>
        <v>0</v>
      </c>
      <c r="D18" s="24" t="n">
        <f aca="false">IF(D14&lt;=0,1,0)</f>
        <v>0</v>
      </c>
      <c r="E18" s="24" t="n">
        <f aca="false">IF(E14&lt;=0,1,0)</f>
        <v>0</v>
      </c>
      <c r="F18" s="24" t="n">
        <f aca="false">IF(F14&lt;=0,1,0)</f>
        <v>0</v>
      </c>
      <c r="G18" s="24" t="n">
        <f aca="false">IF(G14&lt;=0,1,0)</f>
        <v>0</v>
      </c>
      <c r="H18" s="24" t="n">
        <f aca="false">IF(H14&lt;=0,1,0)</f>
        <v>0</v>
      </c>
      <c r="I18" s="24" t="n">
        <f aca="false">IF(I14&lt;=0,1,0)</f>
        <v>0</v>
      </c>
      <c r="J18" s="24" t="n">
        <f aca="false">IF(J14&lt;=0,1,0)</f>
        <v>0</v>
      </c>
      <c r="K18" s="24" t="n">
        <f aca="false">IF(K14&lt;=0,1,0)</f>
        <v>0</v>
      </c>
      <c r="L18" s="24" t="n">
        <f aca="false">IF(L14&lt;=0,1,0)</f>
        <v>0</v>
      </c>
      <c r="M18" s="24" t="n">
        <f aca="false">IF(M14&lt;=0,1,0)</f>
        <v>0</v>
      </c>
      <c r="N18" s="24" t="n">
        <f aca="false">IF(N14&lt;=0,1,0)</f>
        <v>0</v>
      </c>
      <c r="O18" s="24" t="n">
        <f aca="false">IF(O14&lt;=0,1,0)</f>
        <v>0</v>
      </c>
      <c r="P18" s="24" t="n">
        <f aca="false">IF(P14&lt;=0,1,0)</f>
        <v>0</v>
      </c>
      <c r="Q18" s="24" t="n">
        <f aca="false">IF(Q14&lt;=0,1,0)</f>
        <v>0</v>
      </c>
      <c r="R18" s="24" t="n">
        <f aca="false">IF(R14&lt;=0,1,0)</f>
        <v>0</v>
      </c>
      <c r="S18" s="24" t="n">
        <f aca="false">IF(S14&lt;=0,1,0)</f>
        <v>0</v>
      </c>
      <c r="T18" s="24" t="n">
        <f aca="false">IF(T14&lt;=0,1,0)</f>
        <v>0</v>
      </c>
      <c r="U18" s="24" t="n">
        <f aca="false">IF(U14&lt;=0,1,0)</f>
        <v>0</v>
      </c>
      <c r="V18" s="24" t="n">
        <f aca="false">IF(V14&lt;=0,1,0)</f>
        <v>0</v>
      </c>
      <c r="W18" s="24" t="n">
        <f aca="false">IF(W14&lt;=0,1,0)</f>
        <v>0</v>
      </c>
      <c r="X18" s="24" t="n">
        <f aca="false">IF(X14&lt;=0,1,0)</f>
        <v>0</v>
      </c>
      <c r="Y18" s="24" t="n">
        <f aca="false">IF(Y14&lt;=0,1,0)</f>
        <v>0</v>
      </c>
      <c r="Z18" s="24" t="n">
        <f aca="false">IF(Z14&lt;=0,1,0)</f>
        <v>0</v>
      </c>
      <c r="AA18" s="24" t="n">
        <f aca="false">IF(AA14&lt;=0,1,0)</f>
        <v>0</v>
      </c>
      <c r="AB18" s="24" t="n">
        <f aca="false">IF(AB14&lt;=0,1,0)</f>
        <v>0</v>
      </c>
      <c r="AC18" s="24" t="n">
        <f aca="false">IF(AC14&lt;=0,1,0)</f>
        <v>0</v>
      </c>
      <c r="AD18" s="24" t="n">
        <f aca="false">IF(AD14&lt;=0,1,0)</f>
        <v>0</v>
      </c>
      <c r="AE18" s="24" t="n">
        <f aca="false">IF(AE14&lt;=0,1,0)</f>
        <v>0</v>
      </c>
      <c r="AF18" s="24" t="n">
        <f aca="false">IF(AF14&lt;=0,1,0)</f>
        <v>0</v>
      </c>
      <c r="AG18" s="24" t="n">
        <f aca="false">IF(AG14&lt;=0,1,0)</f>
        <v>0</v>
      </c>
      <c r="AH18" s="24" t="n">
        <f aca="false">IF(AH14&lt;=0,1,0)</f>
        <v>0</v>
      </c>
      <c r="AI18" s="24" t="n">
        <f aca="false">IF(AI14&lt;=0,1,0)</f>
        <v>0</v>
      </c>
      <c r="AJ18" s="24" t="n">
        <f aca="false">IF(AJ14&lt;=0,1,0)</f>
        <v>0</v>
      </c>
      <c r="AK18" s="24" t="n">
        <f aca="false">IF(AK14&lt;=0,1,0)</f>
        <v>0</v>
      </c>
      <c r="AL18" s="24" t="n">
        <f aca="false">IF(AL14&lt;=0,1,0)</f>
        <v>0</v>
      </c>
    </row>
    <row r="20" customFormat="false" ht="15" hidden="false" customHeight="false" outlineLevel="0" collapsed="false">
      <c r="B20" s="19" t="s">
        <v>95</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row>
    <row r="21" customFormat="false" ht="15" hidden="false" customHeight="false" outlineLevel="0" collapsed="false">
      <c r="B21" s="25" t="s">
        <v>96</v>
      </c>
      <c r="C21" s="26" t="n">
        <f aca="false">-Adv_Amount+C13</f>
        <v>-980</v>
      </c>
      <c r="D21" s="26" t="n">
        <f aca="false">D13</f>
        <v>20.6</v>
      </c>
      <c r="E21" s="26" t="n">
        <f aca="false">E13</f>
        <v>21.218</v>
      </c>
      <c r="F21" s="26" t="n">
        <f aca="false">F13</f>
        <v>21.85454</v>
      </c>
      <c r="G21" s="26" t="n">
        <f aca="false">G13</f>
        <v>22.5101762</v>
      </c>
      <c r="H21" s="26" t="n">
        <f aca="false">H13</f>
        <v>23.185481486</v>
      </c>
      <c r="I21" s="26" t="n">
        <f aca="false">I13</f>
        <v>23.88104593058</v>
      </c>
      <c r="J21" s="26" t="n">
        <f aca="false">J13</f>
        <v>24.5974773084974</v>
      </c>
      <c r="K21" s="26" t="n">
        <f aca="false">K13</f>
        <v>25.3354016277523</v>
      </c>
      <c r="L21" s="26" t="n">
        <f aca="false">L13</f>
        <v>26.0954636765849</v>
      </c>
      <c r="M21" s="26" t="n">
        <f aca="false">M13</f>
        <v>26.8783275868825</v>
      </c>
      <c r="N21" s="26" t="n">
        <f aca="false">N13</f>
        <v>27.6846774144889</v>
      </c>
      <c r="O21" s="26" t="n">
        <f aca="false">O13</f>
        <v>28.5152177369236</v>
      </c>
      <c r="P21" s="26" t="n">
        <f aca="false">P13</f>
        <v>29.3706742690313</v>
      </c>
      <c r="Q21" s="26" t="n">
        <f aca="false">Q13</f>
        <v>30.2517944971022</v>
      </c>
      <c r="R21" s="26" t="n">
        <f aca="false">R13</f>
        <v>31.1593483320153</v>
      </c>
      <c r="S21" s="26" t="n">
        <f aca="false">S13</f>
        <v>32.0941287819758</v>
      </c>
      <c r="T21" s="26" t="n">
        <f aca="false">T13</f>
        <v>33.056952645435</v>
      </c>
      <c r="U21" s="26" t="n">
        <f aca="false">U13</f>
        <v>34.0486612247981</v>
      </c>
      <c r="V21" s="26" t="n">
        <f aca="false">V13</f>
        <v>35.070121061542</v>
      </c>
      <c r="W21" s="26" t="n">
        <f aca="false">W13</f>
        <v>36.1222246933883</v>
      </c>
      <c r="X21" s="26" t="n">
        <f aca="false">X13</f>
        <v>37.2058914341899</v>
      </c>
      <c r="Y21" s="26" t="n">
        <f aca="false">Y13</f>
        <v>38.3220681772157</v>
      </c>
      <c r="Z21" s="26" t="n">
        <f aca="false">Z13</f>
        <v>39.4717302225321</v>
      </c>
      <c r="AA21" s="26" t="n">
        <f aca="false">AA13</f>
        <v>40.6558821292081</v>
      </c>
      <c r="AB21" s="26" t="n">
        <f aca="false">AB13</f>
        <v>41.8755585930843</v>
      </c>
      <c r="AC21" s="26" t="n">
        <f aca="false">AC13</f>
        <v>43.1318253508769</v>
      </c>
      <c r="AD21" s="26" t="n">
        <f aca="false">AD13</f>
        <v>44.4257801114032</v>
      </c>
      <c r="AE21" s="26" t="n">
        <f aca="false">AE13</f>
        <v>45.7585535147453</v>
      </c>
      <c r="AF21" s="26" t="n">
        <f aca="false">AF13</f>
        <v>47.1313101201876</v>
      </c>
      <c r="AG21" s="26" t="n">
        <f aca="false">AG13</f>
        <v>48.5452494237933</v>
      </c>
      <c r="AH21" s="26" t="n">
        <f aca="false">AH13</f>
        <v>50.001606906507</v>
      </c>
      <c r="AI21" s="26" t="n">
        <f aca="false">AI13</f>
        <v>51.5016551137023</v>
      </c>
      <c r="AJ21" s="26" t="n">
        <f aca="false">AJ13</f>
        <v>53.0467047671133</v>
      </c>
      <c r="AK21" s="26" t="n">
        <f aca="false">AK13</f>
        <v>54.6381059101267</v>
      </c>
      <c r="AL21" s="26" t="n">
        <f aca="false">AL13</f>
        <v>56.2772490874305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26" min="3" style="0" width="11"/>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15</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97</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5" t="s">
        <v>84</v>
      </c>
      <c r="C4" s="18" t="n">
        <f aca="false">COLUMN()-2</f>
        <v>1</v>
      </c>
      <c r="D4" s="18" t="n">
        <f aca="false">COLUMN()-2</f>
        <v>2</v>
      </c>
      <c r="E4" s="18" t="n">
        <f aca="false">COLUMN()-2</f>
        <v>3</v>
      </c>
      <c r="F4" s="18" t="n">
        <f aca="false">COLUMN()-2</f>
        <v>4</v>
      </c>
      <c r="G4" s="18" t="n">
        <f aca="false">COLUMN()-2</f>
        <v>5</v>
      </c>
      <c r="H4" s="18" t="n">
        <f aca="false">COLUMN()-2</f>
        <v>6</v>
      </c>
      <c r="I4" s="18" t="n">
        <f aca="false">COLUMN()-2</f>
        <v>7</v>
      </c>
      <c r="J4" s="18" t="n">
        <f aca="false">COLUMN()-2</f>
        <v>8</v>
      </c>
      <c r="K4" s="18" t="n">
        <f aca="false">COLUMN()-2</f>
        <v>9</v>
      </c>
      <c r="L4" s="18" t="n">
        <f aca="false">COLUMN()-2</f>
        <v>10</v>
      </c>
      <c r="M4" s="18" t="n">
        <f aca="false">COLUMN()-2</f>
        <v>11</v>
      </c>
      <c r="N4" s="18" t="n">
        <f aca="false">COLUMN()-2</f>
        <v>12</v>
      </c>
      <c r="O4" s="18" t="n">
        <f aca="false">COLUMN()-2</f>
        <v>13</v>
      </c>
      <c r="P4" s="18" t="n">
        <f aca="false">COLUMN()-2</f>
        <v>14</v>
      </c>
      <c r="Q4" s="18" t="n">
        <f aca="false">COLUMN()-2</f>
        <v>15</v>
      </c>
      <c r="R4" s="18" t="n">
        <f aca="false">COLUMN()-2</f>
        <v>16</v>
      </c>
      <c r="S4" s="18" t="n">
        <f aca="false">COLUMN()-2</f>
        <v>17</v>
      </c>
      <c r="T4" s="18" t="n">
        <f aca="false">COLUMN()-2</f>
        <v>18</v>
      </c>
      <c r="U4" s="18" t="n">
        <f aca="false">COLUMN()-2</f>
        <v>19</v>
      </c>
      <c r="V4" s="18" t="n">
        <f aca="false">COLUMN()-2</f>
        <v>20</v>
      </c>
      <c r="W4" s="18" t="n">
        <f aca="false">COLUMN()-2</f>
        <v>21</v>
      </c>
      <c r="X4" s="18" t="n">
        <f aca="false">COLUMN()-2</f>
        <v>22</v>
      </c>
      <c r="Y4" s="18" t="n">
        <f aca="false">COLUMN()-2</f>
        <v>23</v>
      </c>
      <c r="Z4" s="18" t="n">
        <f aca="false">COLUMN()-2</f>
        <v>24</v>
      </c>
    </row>
    <row r="6" customFormat="false" ht="15" hidden="false" customHeight="false" outlineLevel="0" collapsed="false">
      <c r="B6" s="19" t="s">
        <v>98</v>
      </c>
      <c r="C6" s="13"/>
      <c r="D6" s="13"/>
      <c r="E6" s="13"/>
      <c r="F6" s="13"/>
      <c r="G6" s="13"/>
      <c r="H6" s="13"/>
      <c r="I6" s="13"/>
      <c r="J6" s="13"/>
      <c r="K6" s="13"/>
      <c r="L6" s="13"/>
      <c r="M6" s="13"/>
      <c r="N6" s="13"/>
      <c r="O6" s="13"/>
      <c r="P6" s="13"/>
      <c r="Q6" s="13"/>
      <c r="R6" s="13"/>
      <c r="S6" s="13"/>
      <c r="T6" s="13"/>
      <c r="U6" s="13"/>
      <c r="V6" s="13"/>
      <c r="W6" s="13"/>
      <c r="X6" s="13"/>
      <c r="Y6" s="13"/>
      <c r="Z6" s="13"/>
    </row>
    <row r="7" customFormat="false" ht="15" hidden="false" customHeight="false" outlineLevel="0" collapsed="false">
      <c r="B7" s="20" t="s">
        <v>99</v>
      </c>
      <c r="C7" s="21" t="n">
        <f aca="false">IF(C4&lt;=Port_Orig_Mths,Port_New_Per_M*Adv_Amount,0)</f>
        <v>3000</v>
      </c>
      <c r="D7" s="21" t="n">
        <f aca="false">IF(D4&lt;=Port_Orig_Mths,Port_New_Per_M*Adv_Amount,0)</f>
        <v>3000</v>
      </c>
      <c r="E7" s="21" t="n">
        <f aca="false">IF(E4&lt;=Port_Orig_Mths,Port_New_Per_M*Adv_Amount,0)</f>
        <v>3000</v>
      </c>
      <c r="F7" s="21" t="n">
        <f aca="false">IF(F4&lt;=Port_Orig_Mths,Port_New_Per_M*Adv_Amount,0)</f>
        <v>3000</v>
      </c>
      <c r="G7" s="21" t="n">
        <f aca="false">IF(G4&lt;=Port_Orig_Mths,Port_New_Per_M*Adv_Amount,0)</f>
        <v>3000</v>
      </c>
      <c r="H7" s="21" t="n">
        <f aca="false">IF(H4&lt;=Port_Orig_Mths,Port_New_Per_M*Adv_Amount,0)</f>
        <v>3000</v>
      </c>
      <c r="I7" s="21" t="n">
        <f aca="false">IF(I4&lt;=Port_Orig_Mths,Port_New_Per_M*Adv_Amount,0)</f>
        <v>3000</v>
      </c>
      <c r="J7" s="21" t="n">
        <f aca="false">IF(J4&lt;=Port_Orig_Mths,Port_New_Per_M*Adv_Amount,0)</f>
        <v>3000</v>
      </c>
      <c r="K7" s="21" t="n">
        <f aca="false">IF(K4&lt;=Port_Orig_Mths,Port_New_Per_M*Adv_Amount,0)</f>
        <v>3000</v>
      </c>
      <c r="L7" s="21" t="n">
        <f aca="false">IF(L4&lt;=Port_Orig_Mths,Port_New_Per_M*Adv_Amount,0)</f>
        <v>3000</v>
      </c>
      <c r="M7" s="21" t="n">
        <f aca="false">IF(M4&lt;=Port_Orig_Mths,Port_New_Per_M*Adv_Amount,0)</f>
        <v>3000</v>
      </c>
      <c r="N7" s="21" t="n">
        <f aca="false">IF(N4&lt;=Port_Orig_Mths,Port_New_Per_M*Adv_Amount,0)</f>
        <v>3000</v>
      </c>
      <c r="O7" s="21" t="n">
        <f aca="false">IF(O4&lt;=Port_Orig_Mths,Port_New_Per_M*Adv_Amount,0)</f>
        <v>0</v>
      </c>
      <c r="P7" s="21" t="n">
        <f aca="false">IF(P4&lt;=Port_Orig_Mths,Port_New_Per_M*Adv_Amount,0)</f>
        <v>0</v>
      </c>
      <c r="Q7" s="21" t="n">
        <f aca="false">IF(Q4&lt;=Port_Orig_Mths,Port_New_Per_M*Adv_Amount,0)</f>
        <v>0</v>
      </c>
      <c r="R7" s="21" t="n">
        <f aca="false">IF(R4&lt;=Port_Orig_Mths,Port_New_Per_M*Adv_Amount,0)</f>
        <v>0</v>
      </c>
      <c r="S7" s="21" t="n">
        <f aca="false">IF(S4&lt;=Port_Orig_Mths,Port_New_Per_M*Adv_Amount,0)</f>
        <v>0</v>
      </c>
      <c r="T7" s="21" t="n">
        <f aca="false">IF(T4&lt;=Port_Orig_Mths,Port_New_Per_M*Adv_Amount,0)</f>
        <v>0</v>
      </c>
      <c r="U7" s="21" t="n">
        <f aca="false">IF(U4&lt;=Port_Orig_Mths,Port_New_Per_M*Adv_Amount,0)</f>
        <v>0</v>
      </c>
      <c r="V7" s="21" t="n">
        <f aca="false">IF(V4&lt;=Port_Orig_Mths,Port_New_Per_M*Adv_Amount,0)</f>
        <v>0</v>
      </c>
      <c r="W7" s="21" t="n">
        <f aca="false">IF(W4&lt;=Port_Orig_Mths,Port_New_Per_M*Adv_Amount,0)</f>
        <v>0</v>
      </c>
      <c r="X7" s="21" t="n">
        <f aca="false">IF(X4&lt;=Port_Orig_Mths,Port_New_Per_M*Adv_Amount,0)</f>
        <v>0</v>
      </c>
      <c r="Y7" s="21" t="n">
        <f aca="false">IF(Y4&lt;=Port_Orig_Mths,Port_New_Per_M*Adv_Amount,0)</f>
        <v>0</v>
      </c>
      <c r="Z7" s="21" t="n">
        <f aca="false">IF(Z4&lt;=Port_Orig_Mths,Port_New_Per_M*Adv_Amount,0)</f>
        <v>0</v>
      </c>
    </row>
    <row r="8" customFormat="false" ht="15" hidden="false" customHeight="false" outlineLevel="0" collapsed="false">
      <c r="B8" s="20" t="s">
        <v>100</v>
      </c>
      <c r="C8" s="21" t="n">
        <f aca="false">C7</f>
        <v>3000</v>
      </c>
      <c r="D8" s="21" t="n">
        <f aca="false">C8+D7</f>
        <v>6000</v>
      </c>
      <c r="E8" s="21" t="n">
        <f aca="false">D8+E7</f>
        <v>9000</v>
      </c>
      <c r="F8" s="21" t="n">
        <f aca="false">E8+F7</f>
        <v>12000</v>
      </c>
      <c r="G8" s="21" t="n">
        <f aca="false">F8+G7</f>
        <v>15000</v>
      </c>
      <c r="H8" s="21" t="n">
        <f aca="false">G8+H7</f>
        <v>18000</v>
      </c>
      <c r="I8" s="21" t="n">
        <f aca="false">H8+I7</f>
        <v>21000</v>
      </c>
      <c r="J8" s="21" t="n">
        <f aca="false">I8+J7</f>
        <v>24000</v>
      </c>
      <c r="K8" s="21" t="n">
        <f aca="false">J8+K7</f>
        <v>27000</v>
      </c>
      <c r="L8" s="21" t="n">
        <f aca="false">K8+L7</f>
        <v>30000</v>
      </c>
      <c r="M8" s="21" t="n">
        <f aca="false">L8+M7</f>
        <v>33000</v>
      </c>
      <c r="N8" s="21" t="n">
        <f aca="false">M8+N7</f>
        <v>36000</v>
      </c>
      <c r="O8" s="21" t="n">
        <f aca="false">N8+O7</f>
        <v>36000</v>
      </c>
      <c r="P8" s="21" t="n">
        <f aca="false">O8+P7</f>
        <v>36000</v>
      </c>
      <c r="Q8" s="21" t="n">
        <f aca="false">P8+Q7</f>
        <v>36000</v>
      </c>
      <c r="R8" s="21" t="n">
        <f aca="false">Q8+R7</f>
        <v>36000</v>
      </c>
      <c r="S8" s="21" t="n">
        <f aca="false">R8+S7</f>
        <v>36000</v>
      </c>
      <c r="T8" s="21" t="n">
        <f aca="false">S8+T7</f>
        <v>36000</v>
      </c>
      <c r="U8" s="21" t="n">
        <f aca="false">T8+U7</f>
        <v>36000</v>
      </c>
      <c r="V8" s="21" t="n">
        <f aca="false">U8+V7</f>
        <v>36000</v>
      </c>
      <c r="W8" s="21" t="n">
        <f aca="false">V8+W7</f>
        <v>36000</v>
      </c>
      <c r="X8" s="21" t="n">
        <f aca="false">W8+X7</f>
        <v>36000</v>
      </c>
      <c r="Y8" s="21" t="n">
        <f aca="false">X8+Y7</f>
        <v>36000</v>
      </c>
      <c r="Z8" s="21" t="n">
        <f aca="false">Y8+Z7</f>
        <v>36000</v>
      </c>
    </row>
    <row r="10" customFormat="false" ht="15" hidden="false" customHeight="false" outlineLevel="0" collapsed="false">
      <c r="B10" s="19" t="s">
        <v>101</v>
      </c>
      <c r="C10" s="13"/>
      <c r="D10" s="13"/>
      <c r="E10" s="13"/>
      <c r="F10" s="13"/>
      <c r="G10" s="13"/>
      <c r="H10" s="13"/>
      <c r="I10" s="13"/>
      <c r="J10" s="13"/>
      <c r="K10" s="13"/>
      <c r="L10" s="13"/>
      <c r="M10" s="13"/>
      <c r="N10" s="13"/>
      <c r="O10" s="13"/>
      <c r="P10" s="13"/>
      <c r="Q10" s="13"/>
      <c r="R10" s="13"/>
      <c r="S10" s="13"/>
      <c r="T10" s="13"/>
      <c r="U10" s="13"/>
      <c r="V10" s="13"/>
      <c r="W10" s="13"/>
      <c r="X10" s="13"/>
      <c r="Y10" s="13"/>
      <c r="Z10" s="13"/>
    </row>
    <row r="11" customFormat="false" ht="15" hidden="false" customHeight="false" outlineLevel="0" collapsed="false">
      <c r="B11" s="27" t="s">
        <v>102</v>
      </c>
      <c r="C11" s="28" t="n">
        <f aca="false">SUM(C27:C38)</f>
        <v>3840</v>
      </c>
      <c r="D11" s="28" t="n">
        <f aca="false">SUM(D27:D38)</f>
        <v>7618.2</v>
      </c>
      <c r="E11" s="28" t="n">
        <f aca="false">SUM(E27:E38)</f>
        <v>11332.746</v>
      </c>
      <c r="F11" s="28" t="n">
        <f aca="false">SUM(F27:F38)</f>
        <v>14981.72838</v>
      </c>
      <c r="G11" s="28" t="n">
        <f aca="false">SUM(G27:G38)</f>
        <v>18563.1802314</v>
      </c>
      <c r="H11" s="28" t="n">
        <f aca="false">SUM(H27:H38)</f>
        <v>22075.075638342</v>
      </c>
      <c r="I11" s="28" t="n">
        <f aca="false">SUM(I27:I38)</f>
        <v>25515.3279074923</v>
      </c>
      <c r="J11" s="28" t="n">
        <f aca="false">SUM(J27:J38)</f>
        <v>28881.787744717</v>
      </c>
      <c r="K11" s="28" t="n">
        <f aca="false">SUM(K27:K38)</f>
        <v>32172.2413770585</v>
      </c>
      <c r="L11" s="28" t="n">
        <f aca="false">SUM(L27:L38)</f>
        <v>35384.4086183703</v>
      </c>
      <c r="M11" s="28" t="n">
        <f aca="false">SUM(M27:M38)</f>
        <v>38515.9408769214</v>
      </c>
      <c r="N11" s="28" t="n">
        <f aca="false">SUM(N27:N38)</f>
        <v>41564.4191032291</v>
      </c>
      <c r="O11" s="28" t="n">
        <f aca="false">SUM(O27:O38)</f>
        <v>40687.3516763259</v>
      </c>
      <c r="P11" s="28" t="n">
        <f aca="false">SUM(P27:P38)</f>
        <v>39783.9722266157</v>
      </c>
      <c r="Q11" s="28" t="n">
        <f aca="false">SUM(Q27:Q38)</f>
        <v>38853.4913934142</v>
      </c>
      <c r="R11" s="28" t="n">
        <f aca="false">SUM(R27:R38)</f>
        <v>37895.0961352166</v>
      </c>
      <c r="S11" s="28" t="n">
        <f aca="false">SUM(S27:S38)</f>
        <v>36907.9490192731</v>
      </c>
      <c r="T11" s="28" t="n">
        <f aca="false">SUM(T27:T38)</f>
        <v>35891.1874898513</v>
      </c>
      <c r="U11" s="28" t="n">
        <f aca="false">SUM(U27:U38)</f>
        <v>34843.9231145468</v>
      </c>
      <c r="V11" s="28" t="n">
        <f aca="false">SUM(V27:V38)</f>
        <v>33765.2408079832</v>
      </c>
      <c r="W11" s="28" t="n">
        <f aca="false">SUM(W27:W38)</f>
        <v>32654.1980322227</v>
      </c>
      <c r="X11" s="28" t="n">
        <f aca="false">SUM(X27:X38)</f>
        <v>31509.8239731894</v>
      </c>
      <c r="Y11" s="28" t="n">
        <f aca="false">SUM(Y27:Y38)</f>
        <v>30331.1186923851</v>
      </c>
      <c r="Z11" s="28" t="n">
        <f aca="false">SUM(Z27:Z38)</f>
        <v>29117.0522531566</v>
      </c>
    </row>
    <row r="12" customFormat="false" ht="15" hidden="false" customHeight="false" outlineLevel="0" collapsed="false">
      <c r="B12" s="20" t="s">
        <v>103</v>
      </c>
      <c r="C12" s="21" t="n">
        <f aca="false">SUM(C41:C52)</f>
        <v>60</v>
      </c>
      <c r="D12" s="21" t="n">
        <f aca="false">SUM(D41:D52)</f>
        <v>121.8</v>
      </c>
      <c r="E12" s="21" t="n">
        <f aca="false">SUM(E41:E52)</f>
        <v>185.454</v>
      </c>
      <c r="F12" s="21" t="n">
        <f aca="false">SUM(F41:F52)</f>
        <v>251.01762</v>
      </c>
      <c r="G12" s="21" t="n">
        <f aca="false">SUM(G41:G52)</f>
        <v>318.5481486</v>
      </c>
      <c r="H12" s="21" t="n">
        <f aca="false">SUM(H41:H52)</f>
        <v>388.104593058</v>
      </c>
      <c r="I12" s="21" t="n">
        <f aca="false">SUM(I41:I52)</f>
        <v>459.74773084974</v>
      </c>
      <c r="J12" s="21" t="n">
        <f aca="false">SUM(J41:J52)</f>
        <v>533.540162775232</v>
      </c>
      <c r="K12" s="21" t="n">
        <f aca="false">SUM(K41:K52)</f>
        <v>609.546367658489</v>
      </c>
      <c r="L12" s="21" t="n">
        <f aca="false">SUM(L41:L52)</f>
        <v>687.832758688244</v>
      </c>
      <c r="M12" s="21" t="n">
        <f aca="false">SUM(M41:M52)</f>
        <v>768.467741448891</v>
      </c>
      <c r="N12" s="21" t="n">
        <f aca="false">SUM(N41:N52)</f>
        <v>851.521773692358</v>
      </c>
      <c r="O12" s="21" t="n">
        <f aca="false">SUM(O41:O52)</f>
        <v>877.067426903129</v>
      </c>
      <c r="P12" s="21" t="n">
        <f aca="false">SUM(P41:P52)</f>
        <v>903.379449710223</v>
      </c>
      <c r="Q12" s="21" t="n">
        <f aca="false">SUM(Q41:Q52)</f>
        <v>930.480833201529</v>
      </c>
      <c r="R12" s="21" t="n">
        <f aca="false">SUM(R41:R52)</f>
        <v>958.395258197575</v>
      </c>
      <c r="S12" s="21" t="n">
        <f aca="false">SUM(S41:S52)</f>
        <v>987.147115943503</v>
      </c>
      <c r="T12" s="21" t="n">
        <f aca="false">SUM(T41:T52)</f>
        <v>1016.76152942181</v>
      </c>
      <c r="U12" s="21" t="n">
        <f aca="false">SUM(U41:U52)</f>
        <v>1047.26437530446</v>
      </c>
      <c r="V12" s="21" t="n">
        <f aca="false">SUM(V41:V52)</f>
        <v>1078.6823065636</v>
      </c>
      <c r="W12" s="21" t="n">
        <f aca="false">SUM(W41:W52)</f>
        <v>1111.0427757605</v>
      </c>
      <c r="X12" s="21" t="n">
        <f aca="false">SUM(X41:X52)</f>
        <v>1144.37405903332</v>
      </c>
      <c r="Y12" s="21" t="n">
        <f aca="false">SUM(Y41:Y52)</f>
        <v>1178.70528080432</v>
      </c>
      <c r="Z12" s="21" t="n">
        <f aca="false">SUM(Z41:Z52)</f>
        <v>1214.06643922845</v>
      </c>
    </row>
    <row r="13" customFormat="false" ht="15" hidden="false" customHeight="false" outlineLevel="0" collapsed="false">
      <c r="B13" s="20" t="s">
        <v>104</v>
      </c>
      <c r="C13" s="21" t="n">
        <f aca="false">C11*Risk_Default/12*Risk_LGD</f>
        <v>12.48</v>
      </c>
      <c r="D13" s="21" t="n">
        <f aca="false">D11*Risk_Default/12*Risk_LGD</f>
        <v>24.75915</v>
      </c>
      <c r="E13" s="21" t="n">
        <f aca="false">E11*Risk_Default/12*Risk_LGD</f>
        <v>36.8314245</v>
      </c>
      <c r="F13" s="21" t="n">
        <f aca="false">F11*Risk_Default/12*Risk_LGD</f>
        <v>48.690617235</v>
      </c>
      <c r="G13" s="21" t="n">
        <f aca="false">G11*Risk_Default/12*Risk_LGD</f>
        <v>60.33033575205</v>
      </c>
      <c r="H13" s="21" t="n">
        <f aca="false">H11*Risk_Default/12*Risk_LGD</f>
        <v>71.7439958246115</v>
      </c>
      <c r="I13" s="21" t="n">
        <f aca="false">I11*Risk_Default/12*Risk_LGD</f>
        <v>82.9248156993499</v>
      </c>
      <c r="J13" s="21" t="n">
        <f aca="false">J11*Risk_Default/12*Risk_LGD</f>
        <v>93.8658101703303</v>
      </c>
      <c r="K13" s="21" t="n">
        <f aca="false">K11*Risk_Default/12*Risk_LGD</f>
        <v>104.55978447544</v>
      </c>
      <c r="L13" s="21" t="n">
        <f aca="false">L11*Risk_Default/12*Risk_LGD</f>
        <v>114.999328009703</v>
      </c>
      <c r="M13" s="21" t="n">
        <f aca="false">M11*Risk_Default/12*Risk_LGD</f>
        <v>125.176807849995</v>
      </c>
      <c r="N13" s="21" t="n">
        <f aca="false">N11*Risk_Default/12*Risk_LGD</f>
        <v>135.084362085494</v>
      </c>
      <c r="O13" s="21" t="n">
        <f aca="false">O11*Risk_Default/12*Risk_LGD</f>
        <v>132.233892948059</v>
      </c>
      <c r="P13" s="21" t="n">
        <f aca="false">P11*Risk_Default/12*Risk_LGD</f>
        <v>129.297909736501</v>
      </c>
      <c r="Q13" s="21" t="n">
        <f aca="false">Q11*Risk_Default/12*Risk_LGD</f>
        <v>126.273847028596</v>
      </c>
      <c r="R13" s="21" t="n">
        <f aca="false">R11*Risk_Default/12*Risk_LGD</f>
        <v>123.159062439454</v>
      </c>
      <c r="S13" s="21" t="n">
        <f aca="false">S11*Risk_Default/12*Risk_LGD</f>
        <v>119.950834312638</v>
      </c>
      <c r="T13" s="21" t="n">
        <f aca="false">T11*Risk_Default/12*Risk_LGD</f>
        <v>116.646359342017</v>
      </c>
      <c r="U13" s="21" t="n">
        <f aca="false">U11*Risk_Default/12*Risk_LGD</f>
        <v>113.242750122277</v>
      </c>
      <c r="V13" s="21" t="n">
        <f aca="false">V11*Risk_Default/12*Risk_LGD</f>
        <v>109.737032625945</v>
      </c>
      <c r="W13" s="21" t="n">
        <f aca="false">W11*Risk_Default/12*Risk_LGD</f>
        <v>106.126143604724</v>
      </c>
      <c r="X13" s="21" t="n">
        <f aca="false">X11*Risk_Default/12*Risk_LGD</f>
        <v>102.406927912866</v>
      </c>
      <c r="Y13" s="21" t="n">
        <f aca="false">Y11*Risk_Default/12*Risk_LGD</f>
        <v>98.5761357502515</v>
      </c>
      <c r="Z13" s="21" t="n">
        <f aca="false">Z11*Risk_Default/12*Risk_LGD</f>
        <v>94.6304198227591</v>
      </c>
    </row>
    <row r="14" customFormat="false" ht="15" hidden="false" customHeight="false" outlineLevel="0" collapsed="false">
      <c r="B14" s="20" t="s">
        <v>105</v>
      </c>
      <c r="C14" s="21" t="n">
        <f aca="false">0*Risk_Recovery</f>
        <v>0</v>
      </c>
      <c r="D14" s="21" t="n">
        <f aca="false">0*Risk_Recovery</f>
        <v>0</v>
      </c>
      <c r="E14" s="21" t="n">
        <f aca="false">0*Risk_Recovery</f>
        <v>0</v>
      </c>
      <c r="F14" s="21" t="n">
        <f aca="false">0*Risk_Recovery</f>
        <v>0</v>
      </c>
      <c r="G14" s="21" t="n">
        <f aca="false">0*Risk_Recovery</f>
        <v>0</v>
      </c>
      <c r="H14" s="21" t="n">
        <f aca="false">0*Risk_Recovery</f>
        <v>0</v>
      </c>
      <c r="I14" s="21" t="n">
        <f aca="false">0*Risk_Recovery</f>
        <v>0</v>
      </c>
      <c r="J14" s="21" t="n">
        <f aca="false">0*Risk_Recovery</f>
        <v>0</v>
      </c>
      <c r="K14" s="21" t="n">
        <f aca="false">0*Risk_Recovery</f>
        <v>0</v>
      </c>
      <c r="L14" s="21" t="n">
        <f aca="false">0*Risk_Recovery</f>
        <v>0</v>
      </c>
      <c r="M14" s="21" t="n">
        <f aca="false">0*Risk_Recovery</f>
        <v>0</v>
      </c>
      <c r="N14" s="21" t="n">
        <f aca="false">0*Risk_Recovery</f>
        <v>0</v>
      </c>
      <c r="O14" s="21" t="n">
        <f aca="false">0*Risk_Recovery</f>
        <v>0</v>
      </c>
      <c r="P14" s="21" t="n">
        <f aca="false">0*Risk_Recovery</f>
        <v>0</v>
      </c>
      <c r="Q14" s="21" t="n">
        <f aca="false">0*Risk_Recovery</f>
        <v>0</v>
      </c>
      <c r="R14" s="21" t="n">
        <f aca="false">0*Risk_Recovery</f>
        <v>0</v>
      </c>
      <c r="S14" s="21" t="n">
        <f aca="false">0*Risk_Recovery</f>
        <v>0</v>
      </c>
      <c r="T14" s="21" t="n">
        <f aca="false">0*Risk_Recovery</f>
        <v>0</v>
      </c>
      <c r="U14" s="21" t="n">
        <f aca="false">0*Risk_Recovery</f>
        <v>0</v>
      </c>
      <c r="V14" s="21" t="n">
        <f aca="false">0*Risk_Recovery</f>
        <v>0</v>
      </c>
      <c r="W14" s="21" t="n">
        <f aca="false">0*Risk_Recovery</f>
        <v>0</v>
      </c>
      <c r="X14" s="21" t="n">
        <f aca="false">0*Risk_Recovery</f>
        <v>0</v>
      </c>
      <c r="Y14" s="21" t="n">
        <f aca="false">0*Risk_Recovery</f>
        <v>0</v>
      </c>
      <c r="Z14" s="21" t="n">
        <f aca="false">0*Risk_Recovery</f>
        <v>0</v>
      </c>
    </row>
    <row r="15" customFormat="false" ht="15" hidden="false" customHeight="false" outlineLevel="0" collapsed="false">
      <c r="B15" s="22" t="s">
        <v>106</v>
      </c>
      <c r="C15" s="23" t="n">
        <f aca="false">C12-C13+C14</f>
        <v>47.52</v>
      </c>
      <c r="D15" s="23" t="n">
        <f aca="false">D12-D13+D14</f>
        <v>97.04085</v>
      </c>
      <c r="E15" s="23" t="n">
        <f aca="false">E12-E13+E14</f>
        <v>148.6225755</v>
      </c>
      <c r="F15" s="23" t="n">
        <f aca="false">F12-F13+F14</f>
        <v>202.327002765</v>
      </c>
      <c r="G15" s="23" t="n">
        <f aca="false">G12-G13+G14</f>
        <v>258.21781284795</v>
      </c>
      <c r="H15" s="23" t="n">
        <f aca="false">H12-H13+H14</f>
        <v>316.360597233389</v>
      </c>
      <c r="I15" s="23" t="n">
        <f aca="false">I12-I13+I14</f>
        <v>376.82291515039</v>
      </c>
      <c r="J15" s="23" t="n">
        <f aca="false">J12-J13+J14</f>
        <v>439.674352604902</v>
      </c>
      <c r="K15" s="23" t="n">
        <f aca="false">K12-K13+K14</f>
        <v>504.986583183049</v>
      </c>
      <c r="L15" s="23" t="n">
        <f aca="false">L12-L13+L14</f>
        <v>572.833430678541</v>
      </c>
      <c r="M15" s="23" t="n">
        <f aca="false">M12-M13+M14</f>
        <v>643.290933598897</v>
      </c>
      <c r="N15" s="23" t="n">
        <f aca="false">N12-N13+N14</f>
        <v>716.437411606864</v>
      </c>
      <c r="O15" s="23" t="n">
        <f aca="false">O12-O13+O14</f>
        <v>744.83353395507</v>
      </c>
      <c r="P15" s="23" t="n">
        <f aca="false">P12-P13+P14</f>
        <v>774.081539973722</v>
      </c>
      <c r="Q15" s="23" t="n">
        <f aca="false">Q12-Q13+Q14</f>
        <v>804.206986172933</v>
      </c>
      <c r="R15" s="23" t="n">
        <f aca="false">R12-R13+R14</f>
        <v>835.236195758121</v>
      </c>
      <c r="S15" s="23" t="n">
        <f aca="false">S12-S13+S14</f>
        <v>867.196281630865</v>
      </c>
      <c r="T15" s="23" t="n">
        <f aca="false">T12-T13+T14</f>
        <v>900.115170079791</v>
      </c>
      <c r="U15" s="23" t="n">
        <f aca="false">U12-U13+U14</f>
        <v>934.021625182185</v>
      </c>
      <c r="V15" s="23" t="n">
        <f aca="false">V12-V13+V14</f>
        <v>968.94527393765</v>
      </c>
      <c r="W15" s="23" t="n">
        <f aca="false">W12-W13+W14</f>
        <v>1004.91663215578</v>
      </c>
      <c r="X15" s="23" t="n">
        <f aca="false">X12-X13+X14</f>
        <v>1041.96713112045</v>
      </c>
      <c r="Y15" s="23" t="n">
        <f aca="false">Y12-Y13+Y14</f>
        <v>1080.12914505407</v>
      </c>
      <c r="Z15" s="23" t="n">
        <f aca="false">Z12-Z13+Z14</f>
        <v>1119.43601940569</v>
      </c>
    </row>
    <row r="17" customFormat="false" ht="15" hidden="false" customHeight="false" outlineLevel="0" collapsed="false">
      <c r="B17" s="19" t="s">
        <v>107</v>
      </c>
      <c r="C17" s="13"/>
      <c r="D17" s="13"/>
      <c r="E17" s="13"/>
      <c r="F17" s="13"/>
      <c r="G17" s="13"/>
      <c r="H17" s="13"/>
      <c r="I17" s="13"/>
      <c r="J17" s="13"/>
      <c r="K17" s="13"/>
      <c r="L17" s="13"/>
      <c r="M17" s="13"/>
      <c r="N17" s="13"/>
      <c r="O17" s="13"/>
      <c r="P17" s="13"/>
      <c r="Q17" s="13"/>
      <c r="R17" s="13"/>
      <c r="S17" s="13"/>
      <c r="T17" s="13"/>
      <c r="U17" s="13"/>
      <c r="V17" s="13"/>
      <c r="W17" s="13"/>
      <c r="X17" s="13"/>
      <c r="Y17" s="13"/>
      <c r="Z17" s="13"/>
    </row>
    <row r="18" customFormat="false" ht="15" hidden="false" customHeight="false" outlineLevel="0" collapsed="false">
      <c r="B18" s="20" t="s">
        <v>108</v>
      </c>
      <c r="C18" s="21" t="n">
        <f aca="false">C15</f>
        <v>47.52</v>
      </c>
      <c r="D18" s="21" t="n">
        <f aca="false">C18+D15</f>
        <v>144.56085</v>
      </c>
      <c r="E18" s="21" t="n">
        <f aca="false">D18+E15</f>
        <v>293.1834255</v>
      </c>
      <c r="F18" s="21" t="n">
        <f aca="false">E18+F15</f>
        <v>495.510428265</v>
      </c>
      <c r="G18" s="21" t="n">
        <f aca="false">F18+G15</f>
        <v>753.72824111295</v>
      </c>
      <c r="H18" s="21" t="n">
        <f aca="false">G18+H15</f>
        <v>1070.08883834634</v>
      </c>
      <c r="I18" s="21" t="n">
        <f aca="false">H18+I15</f>
        <v>1446.91175349673</v>
      </c>
      <c r="J18" s="21" t="n">
        <f aca="false">I18+J15</f>
        <v>1886.58610610163</v>
      </c>
      <c r="K18" s="21" t="n">
        <f aca="false">J18+K15</f>
        <v>2391.57268928468</v>
      </c>
      <c r="L18" s="21" t="n">
        <f aca="false">K18+L15</f>
        <v>2964.40611996322</v>
      </c>
      <c r="M18" s="21" t="n">
        <f aca="false">L18+M15</f>
        <v>3607.69705356212</v>
      </c>
      <c r="N18" s="21" t="n">
        <f aca="false">M18+N15</f>
        <v>4324.13446516898</v>
      </c>
      <c r="O18" s="21" t="n">
        <f aca="false">N18+O15</f>
        <v>5068.96799912405</v>
      </c>
      <c r="P18" s="21" t="n">
        <f aca="false">O18+P15</f>
        <v>5843.04953909777</v>
      </c>
      <c r="Q18" s="21" t="n">
        <f aca="false">P18+Q15</f>
        <v>6647.25652527071</v>
      </c>
      <c r="R18" s="21" t="n">
        <f aca="false">Q18+R15</f>
        <v>7482.49272102883</v>
      </c>
      <c r="S18" s="21" t="n">
        <f aca="false">R18+S15</f>
        <v>8349.68900265969</v>
      </c>
      <c r="T18" s="21" t="n">
        <f aca="false">S18+T15</f>
        <v>9249.80417273948</v>
      </c>
      <c r="U18" s="21" t="n">
        <f aca="false">T18+U15</f>
        <v>10183.8257979217</v>
      </c>
      <c r="V18" s="21" t="n">
        <f aca="false">U18+V15</f>
        <v>11152.7710718593</v>
      </c>
      <c r="W18" s="21" t="n">
        <f aca="false">V18+W15</f>
        <v>12157.6877040151</v>
      </c>
      <c r="X18" s="21" t="n">
        <f aca="false">W18+X15</f>
        <v>13199.6548351356</v>
      </c>
      <c r="Y18" s="21" t="n">
        <f aca="false">X18+Y15</f>
        <v>14279.7839801896</v>
      </c>
      <c r="Z18" s="21" t="n">
        <f aca="false">Y18+Z15</f>
        <v>15399.2199995953</v>
      </c>
    </row>
    <row r="20" customFormat="false" ht="15" hidden="false" customHeight="false" outlineLevel="0" collapsed="false">
      <c r="B20" s="19" t="s">
        <v>109</v>
      </c>
      <c r="C20" s="13"/>
      <c r="D20" s="13"/>
      <c r="E20" s="13"/>
      <c r="F20" s="13"/>
      <c r="G20" s="13"/>
      <c r="H20" s="13"/>
      <c r="I20" s="13"/>
      <c r="J20" s="13"/>
      <c r="K20" s="13"/>
      <c r="L20" s="13"/>
      <c r="M20" s="13"/>
      <c r="N20" s="13"/>
      <c r="O20" s="13"/>
      <c r="P20" s="13"/>
      <c r="Q20" s="13"/>
      <c r="R20" s="13"/>
      <c r="S20" s="13"/>
      <c r="T20" s="13"/>
      <c r="U20" s="13"/>
      <c r="V20" s="13"/>
      <c r="W20" s="13"/>
      <c r="X20" s="13"/>
      <c r="Y20" s="13"/>
      <c r="Z20" s="13"/>
    </row>
    <row r="21" customFormat="false" ht="15" hidden="false" customHeight="false" outlineLevel="0" collapsed="false">
      <c r="B21" s="20" t="s">
        <v>110</v>
      </c>
      <c r="C21" s="21" t="n">
        <f aca="false">C11*Fund_Cost/12</f>
        <v>28.8</v>
      </c>
      <c r="D21" s="21" t="n">
        <f aca="false">D11*Fund_Cost/12</f>
        <v>57.1365</v>
      </c>
      <c r="E21" s="21" t="n">
        <f aca="false">E11*Fund_Cost/12</f>
        <v>84.995595</v>
      </c>
      <c r="F21" s="21" t="n">
        <f aca="false">F11*Fund_Cost/12</f>
        <v>112.36296285</v>
      </c>
      <c r="G21" s="21" t="n">
        <f aca="false">G11*Fund_Cost/12</f>
        <v>139.2238517355</v>
      </c>
      <c r="H21" s="21" t="n">
        <f aca="false">H11*Fund_Cost/12</f>
        <v>165.563067287565</v>
      </c>
      <c r="I21" s="21" t="n">
        <f aca="false">I11*Fund_Cost/12</f>
        <v>191.364959306192</v>
      </c>
      <c r="J21" s="21" t="n">
        <f aca="false">J11*Fund_Cost/12</f>
        <v>216.613408085378</v>
      </c>
      <c r="K21" s="21" t="n">
        <f aca="false">K11*Fund_Cost/12</f>
        <v>241.291810327939</v>
      </c>
      <c r="L21" s="21" t="n">
        <f aca="false">L11*Fund_Cost/12</f>
        <v>265.383064637777</v>
      </c>
      <c r="M21" s="21" t="n">
        <f aca="false">M11*Fund_Cost/12</f>
        <v>288.869556576911</v>
      </c>
      <c r="N21" s="21" t="n">
        <f aca="false">N11*Fund_Cost/12</f>
        <v>311.733143274218</v>
      </c>
      <c r="O21" s="21" t="n">
        <f aca="false">O11*Fund_Cost/12</f>
        <v>305.155137572444</v>
      </c>
      <c r="P21" s="21" t="n">
        <f aca="false">P11*Fund_Cost/12</f>
        <v>298.379791699618</v>
      </c>
      <c r="Q21" s="21" t="n">
        <f aca="false">Q11*Fund_Cost/12</f>
        <v>291.401185450606</v>
      </c>
      <c r="R21" s="21" t="n">
        <f aca="false">R11*Fund_Cost/12</f>
        <v>284.213221014124</v>
      </c>
      <c r="S21" s="21" t="n">
        <f aca="false">S11*Fund_Cost/12</f>
        <v>276.809617644548</v>
      </c>
      <c r="T21" s="21" t="n">
        <f aca="false">T11*Fund_Cost/12</f>
        <v>269.183906173885</v>
      </c>
      <c r="U21" s="21" t="n">
        <f aca="false">U11*Fund_Cost/12</f>
        <v>261.329423359101</v>
      </c>
      <c r="V21" s="21" t="n">
        <f aca="false">V11*Fund_Cost/12</f>
        <v>253.239306059874</v>
      </c>
      <c r="W21" s="21" t="n">
        <f aca="false">W11*Fund_Cost/12</f>
        <v>244.90648524167</v>
      </c>
      <c r="X21" s="21" t="n">
        <f aca="false">X11*Fund_Cost/12</f>
        <v>236.32367979892</v>
      </c>
      <c r="Y21" s="21" t="n">
        <f aca="false">Y11*Fund_Cost/12</f>
        <v>227.483390192888</v>
      </c>
      <c r="Z21" s="21" t="n">
        <f aca="false">Z11*Fund_Cost/12</f>
        <v>218.377891898675</v>
      </c>
    </row>
    <row r="22" customFormat="false" ht="15" hidden="false" customHeight="false" outlineLevel="0" collapsed="false">
      <c r="B22" s="20" t="s">
        <v>111</v>
      </c>
      <c r="C22" s="21" t="n">
        <f aca="false">C11*Fund_Opex_Pct/12</f>
        <v>8</v>
      </c>
      <c r="D22" s="21" t="n">
        <f aca="false">D11*Fund_Opex_Pct/12</f>
        <v>15.87125</v>
      </c>
      <c r="E22" s="21" t="n">
        <f aca="false">E11*Fund_Opex_Pct/12</f>
        <v>23.6098875</v>
      </c>
      <c r="F22" s="21" t="n">
        <f aca="false">F11*Fund_Opex_Pct/12</f>
        <v>31.211934125</v>
      </c>
      <c r="G22" s="21" t="n">
        <f aca="false">G11*Fund_Opex_Pct/12</f>
        <v>38.67329214875</v>
      </c>
      <c r="H22" s="21" t="n">
        <f aca="false">H11*Fund_Opex_Pct/12</f>
        <v>45.9897409132125</v>
      </c>
      <c r="I22" s="21" t="n">
        <f aca="false">I11*Fund_Opex_Pct/12</f>
        <v>53.1569331406089</v>
      </c>
      <c r="J22" s="21" t="n">
        <f aca="false">J11*Fund_Opex_Pct/12</f>
        <v>60.1703911348272</v>
      </c>
      <c r="K22" s="21" t="n">
        <f aca="false">K11*Fund_Opex_Pct/12</f>
        <v>67.025502868872</v>
      </c>
      <c r="L22" s="21" t="n">
        <f aca="false">L11*Fund_Opex_Pct/12</f>
        <v>73.7175179549381</v>
      </c>
      <c r="M22" s="21" t="n">
        <f aca="false">M11*Fund_Opex_Pct/12</f>
        <v>80.2415434935863</v>
      </c>
      <c r="N22" s="21" t="n">
        <f aca="false">N11*Fund_Opex_Pct/12</f>
        <v>86.5925397983938</v>
      </c>
      <c r="O22" s="21" t="n">
        <f aca="false">O11*Fund_Opex_Pct/12</f>
        <v>84.7653159923457</v>
      </c>
      <c r="P22" s="21" t="n">
        <f aca="false">P11*Fund_Opex_Pct/12</f>
        <v>82.883275472116</v>
      </c>
      <c r="Q22" s="21" t="n">
        <f aca="false">Q11*Fund_Opex_Pct/12</f>
        <v>80.9447737362795</v>
      </c>
      <c r="R22" s="21" t="n">
        <f aca="false">R11*Fund_Opex_Pct/12</f>
        <v>78.9481169483679</v>
      </c>
      <c r="S22" s="21" t="n">
        <f aca="false">S11*Fund_Opex_Pct/12</f>
        <v>76.8915604568189</v>
      </c>
      <c r="T22" s="21" t="n">
        <f aca="false">T11*Fund_Opex_Pct/12</f>
        <v>74.7733072705235</v>
      </c>
      <c r="U22" s="21" t="n">
        <f aca="false">U11*Fund_Opex_Pct/12</f>
        <v>72.5915064886392</v>
      </c>
      <c r="V22" s="21" t="n">
        <f aca="false">V11*Fund_Opex_Pct/12</f>
        <v>70.3442516832984</v>
      </c>
      <c r="W22" s="21" t="n">
        <f aca="false">W11*Fund_Opex_Pct/12</f>
        <v>68.0295792337973</v>
      </c>
      <c r="X22" s="21" t="n">
        <f aca="false">X11*Fund_Opex_Pct/12</f>
        <v>65.6454666108113</v>
      </c>
      <c r="Y22" s="21" t="n">
        <f aca="false">Y11*Fund_Opex_Pct/12</f>
        <v>63.1898306091356</v>
      </c>
      <c r="Z22" s="21" t="n">
        <f aca="false">Z11*Fund_Opex_Pct/12</f>
        <v>60.6605255274097</v>
      </c>
    </row>
    <row r="23" customFormat="false" ht="15" hidden="false" customHeight="false" outlineLevel="0" collapsed="false">
      <c r="B23" s="27" t="s">
        <v>112</v>
      </c>
      <c r="C23" s="28" t="n">
        <f aca="false">C12-C13-C21-C22</f>
        <v>10.72</v>
      </c>
      <c r="D23" s="28" t="n">
        <f aca="false">D12-D13-D21-D22</f>
        <v>24.0331</v>
      </c>
      <c r="E23" s="28" t="n">
        <f aca="false">E12-E13-E21-E22</f>
        <v>40.017093</v>
      </c>
      <c r="F23" s="28" t="n">
        <f aca="false">F12-F13-F21-F22</f>
        <v>58.75210579</v>
      </c>
      <c r="G23" s="28" t="n">
        <f aca="false">G12-G13-G21-G22</f>
        <v>80.3206689637</v>
      </c>
      <c r="H23" s="28" t="n">
        <f aca="false">H12-H13-H21-H22</f>
        <v>104.807789032611</v>
      </c>
      <c r="I23" s="28" t="n">
        <f aca="false">I12-I13-I21-I22</f>
        <v>132.301022703589</v>
      </c>
      <c r="J23" s="28" t="n">
        <f aca="false">J12-J13-J21-J22</f>
        <v>162.890553384697</v>
      </c>
      <c r="K23" s="28" t="n">
        <f aca="false">K12-K13-K21-K22</f>
        <v>196.669269986238</v>
      </c>
      <c r="L23" s="28" t="n">
        <f aca="false">L12-L13-L21-L22</f>
        <v>233.732848085825</v>
      </c>
      <c r="M23" s="28" t="n">
        <f aca="false">M12-M13-M21-M22</f>
        <v>274.1798335284</v>
      </c>
      <c r="N23" s="28" t="n">
        <f aca="false">N12-N13-N21-N22</f>
        <v>318.111728534252</v>
      </c>
      <c r="O23" s="28" t="n">
        <f aca="false">O12-O13-O21-O22</f>
        <v>354.913080390279</v>
      </c>
      <c r="P23" s="28" t="n">
        <f aca="false">P12-P13-P21-P22</f>
        <v>392.818472801988</v>
      </c>
      <c r="Q23" s="28" t="n">
        <f aca="false">Q12-Q13-Q21-Q22</f>
        <v>431.861026986048</v>
      </c>
      <c r="R23" s="28" t="n">
        <f aca="false">R12-R13-R21-R22</f>
        <v>472.074857795629</v>
      </c>
      <c r="S23" s="28" t="n">
        <f aca="false">S12-S13-S21-S22</f>
        <v>513.495103529498</v>
      </c>
      <c r="T23" s="28" t="n">
        <f aca="false">T12-T13-T21-T22</f>
        <v>556.157956635383</v>
      </c>
      <c r="U23" s="28" t="n">
        <f aca="false">U12-U13-U21-U22</f>
        <v>600.100695334445</v>
      </c>
      <c r="V23" s="28" t="n">
        <f aca="false">V12-V13-V21-V22</f>
        <v>645.361716194478</v>
      </c>
      <c r="W23" s="28" t="n">
        <f aca="false">W12-W13-W21-W22</f>
        <v>691.980567680312</v>
      </c>
      <c r="X23" s="28" t="n">
        <f aca="false">X12-X13-X21-X22</f>
        <v>739.997984710722</v>
      </c>
      <c r="Y23" s="28" t="n">
        <f aca="false">Y12-Y13-Y21-Y22</f>
        <v>789.455924252043</v>
      </c>
      <c r="Z23" s="28" t="n">
        <f aca="false">Z12-Z13-Z21-Z22</f>
        <v>840.397601979605</v>
      </c>
    </row>
    <row r="26" customFormat="false" ht="15" hidden="false" customHeight="false" outlineLevel="0" collapsed="false">
      <c r="B26" s="12" t="s">
        <v>113</v>
      </c>
      <c r="C26" s="13"/>
      <c r="D26" s="13"/>
      <c r="E26" s="13"/>
    </row>
    <row r="27" customFormat="false" ht="15" hidden="false" customHeight="false" outlineLevel="0" collapsed="false">
      <c r="B27" s="29" t="s">
        <v>114</v>
      </c>
      <c r="C27" s="21" t="n">
        <f aca="false">IF(AND(C4&gt;=1,C4&lt;1+36),Port_New_Per_M*INDEX(Advance!$C$14:$AL$14,1,C4-1+1)*IF(1&lt;=Port_Orig_Mths,1,0),0)</f>
        <v>3840</v>
      </c>
      <c r="D27" s="21" t="n">
        <f aca="false">IF(AND(D4&gt;=1,D4&lt;1+36),Port_New_Per_M*INDEX(Advance!$C$14:$AL$14,1,D4-1+1)*IF(1&lt;=Port_Orig_Mths,1,0),0)</f>
        <v>3778.2</v>
      </c>
      <c r="E27" s="21" t="n">
        <f aca="false">IF(AND(E4&gt;=1,E4&lt;1+36),Port_New_Per_M*INDEX(Advance!$C$14:$AL$14,1,E4-1+1)*IF(1&lt;=Port_Orig_Mths,1,0),0)</f>
        <v>3714.546</v>
      </c>
      <c r="F27" s="21" t="n">
        <f aca="false">IF(AND(F4&gt;=1,F4&lt;1+36),Port_New_Per_M*INDEX(Advance!$C$14:$AL$14,1,F4-1+1)*IF(1&lt;=Port_Orig_Mths,1,0),0)</f>
        <v>3648.98238</v>
      </c>
      <c r="G27" s="21" t="n">
        <f aca="false">IF(AND(G4&gt;=1,G4&lt;1+36),Port_New_Per_M*INDEX(Advance!$C$14:$AL$14,1,G4-1+1)*IF(1&lt;=Port_Orig_Mths,1,0),0)</f>
        <v>3581.4518514</v>
      </c>
      <c r="H27" s="21" t="n">
        <f aca="false">IF(AND(H4&gt;=1,H4&lt;1+36),Port_New_Per_M*INDEX(Advance!$C$14:$AL$14,1,H4-1+1)*IF(1&lt;=Port_Orig_Mths,1,0),0)</f>
        <v>3511.895406942</v>
      </c>
      <c r="I27" s="21" t="n">
        <f aca="false">IF(AND(I4&gt;=1,I4&lt;1+36),Port_New_Per_M*INDEX(Advance!$C$14:$AL$14,1,I4-1+1)*IF(1&lt;=Port_Orig_Mths,1,0),0)</f>
        <v>3440.25226915026</v>
      </c>
      <c r="J27" s="21" t="n">
        <f aca="false">IF(AND(J4&gt;=1,J4&lt;1+36),Port_New_Per_M*INDEX(Advance!$C$14:$AL$14,1,J4-1+1)*IF(1&lt;=Port_Orig_Mths,1,0),0)</f>
        <v>3366.45983722477</v>
      </c>
      <c r="K27" s="21" t="n">
        <f aca="false">IF(AND(K4&gt;=1,K4&lt;1+36),Port_New_Per_M*INDEX(Advance!$C$14:$AL$14,1,K4-1+1)*IF(1&lt;=Port_Orig_Mths,1,0),0)</f>
        <v>3290.45363234151</v>
      </c>
      <c r="L27" s="21" t="n">
        <f aca="false">IF(AND(L4&gt;=1,L4&lt;1+36),Port_New_Per_M*INDEX(Advance!$C$14:$AL$14,1,L4-1+1)*IF(1&lt;=Port_Orig_Mths,1,0),0)</f>
        <v>3212.16724131176</v>
      </c>
      <c r="M27" s="21" t="n">
        <f aca="false">IF(AND(M4&gt;=1,M4&lt;1+36),Port_New_Per_M*INDEX(Advance!$C$14:$AL$14,1,M4-1+1)*IF(1&lt;=Port_Orig_Mths,1,0),0)</f>
        <v>3131.53225855111</v>
      </c>
      <c r="N27" s="21" t="n">
        <f aca="false">IF(AND(N4&gt;=1,N4&lt;1+36),Port_New_Per_M*INDEX(Advance!$C$14:$AL$14,1,N4-1+1)*IF(1&lt;=Port_Orig_Mths,1,0),0)</f>
        <v>3048.47822630764</v>
      </c>
      <c r="O27" s="21" t="n">
        <f aca="false">IF(AND(O4&gt;=1,O4&lt;1+36),Port_New_Per_M*INDEX(Advance!$C$14:$AL$14,1,O4-1+1)*IF(1&lt;=Port_Orig_Mths,1,0),0)</f>
        <v>2962.93257309687</v>
      </c>
      <c r="P27" s="21" t="n">
        <f aca="false">IF(AND(P4&gt;=1,P4&lt;1+36),Port_New_Per_M*INDEX(Advance!$C$14:$AL$14,1,P4-1+1)*IF(1&lt;=Port_Orig_Mths,1,0),0)</f>
        <v>2874.82055028978</v>
      </c>
      <c r="Q27" s="21" t="n">
        <f aca="false">IF(AND(Q4&gt;=1,Q4&lt;1+36),Port_New_Per_M*INDEX(Advance!$C$14:$AL$14,1,Q4-1+1)*IF(1&lt;=Port_Orig_Mths,1,0),0)</f>
        <v>2784.06516679847</v>
      </c>
      <c r="R27" s="21" t="n">
        <f aca="false">IF(AND(R4&gt;=1,R4&lt;1+36),Port_New_Per_M*INDEX(Advance!$C$14:$AL$14,1,R4-1+1)*IF(1&lt;=Port_Orig_Mths,1,0),0)</f>
        <v>2690.58712180243</v>
      </c>
      <c r="S27" s="21" t="n">
        <f aca="false">IF(AND(S4&gt;=1,S4&lt;1+36),Port_New_Per_M*INDEX(Advance!$C$14:$AL$14,1,S4-1+1)*IF(1&lt;=Port_Orig_Mths,1,0),0)</f>
        <v>2594.3047354565</v>
      </c>
      <c r="T27" s="21" t="n">
        <f aca="false">IF(AND(T4&gt;=1,T4&lt;1+36),Port_New_Per_M*INDEX(Advance!$C$14:$AL$14,1,T4-1+1)*IF(1&lt;=Port_Orig_Mths,1,0),0)</f>
        <v>2495.13387752019</v>
      </c>
      <c r="U27" s="21" t="n">
        <f aca="false">IF(AND(U4&gt;=1,U4&lt;1+36),Port_New_Per_M*INDEX(Advance!$C$14:$AL$14,1,U4-1+1)*IF(1&lt;=Port_Orig_Mths,1,0),0)</f>
        <v>2392.9878938458</v>
      </c>
      <c r="V27" s="21" t="n">
        <f aca="false">IF(AND(V4&gt;=1,V4&lt;1+36),Port_New_Per_M*INDEX(Advance!$C$14:$AL$14,1,V4-1+1)*IF(1&lt;=Port_Orig_Mths,1,0),0)</f>
        <v>2287.77753066117</v>
      </c>
      <c r="W27" s="21" t="n">
        <f aca="false">IF(AND(W4&gt;=1,W4&lt;1+36),Port_New_Per_M*INDEX(Advance!$C$14:$AL$14,1,W4-1+1)*IF(1&lt;=Port_Orig_Mths,1,0),0)</f>
        <v>2179.41085658101</v>
      </c>
      <c r="X27" s="21" t="n">
        <f aca="false">IF(AND(X4&gt;=1,X4&lt;1+36),Port_New_Per_M*INDEX(Advance!$C$14:$AL$14,1,X4-1+1)*IF(1&lt;=Port_Orig_Mths,1,0),0)</f>
        <v>2067.79318227844</v>
      </c>
      <c r="Y27" s="21" t="n">
        <f aca="false">IF(AND(Y4&gt;=1,Y4&lt;1+36),Port_New_Per_M*INDEX(Advance!$C$14:$AL$14,1,Y4-1+1)*IF(1&lt;=Port_Orig_Mths,1,0),0)</f>
        <v>1952.82697774679</v>
      </c>
      <c r="Z27" s="21" t="n">
        <f aca="false">IF(AND(Z4&gt;=1,Z4&lt;1+36),Port_New_Per_M*INDEX(Advance!$C$14:$AL$14,1,Z4-1+1)*IF(1&lt;=Port_Orig_Mths,1,0),0)</f>
        <v>1834.41178707919</v>
      </c>
    </row>
    <row r="28" customFormat="false" ht="15" hidden="false" customHeight="false" outlineLevel="0" collapsed="false">
      <c r="B28" s="29" t="s">
        <v>115</v>
      </c>
      <c r="C28" s="21" t="n">
        <f aca="false">IF(AND(C4&gt;=2,C4&lt;2+36),Port_New_Per_M*INDEX(Advance!$C$14:$AL$14,1,C4-2+1)*IF(2&lt;=Port_Orig_Mths,1,0),0)</f>
        <v>0</v>
      </c>
      <c r="D28" s="21" t="n">
        <f aca="false">IF(AND(D4&gt;=2,D4&lt;2+36),Port_New_Per_M*INDEX(Advance!$C$14:$AL$14,1,D4-2+1)*IF(2&lt;=Port_Orig_Mths,1,0),0)</f>
        <v>3840</v>
      </c>
      <c r="E28" s="21" t="n">
        <f aca="false">IF(AND(E4&gt;=2,E4&lt;2+36),Port_New_Per_M*INDEX(Advance!$C$14:$AL$14,1,E4-2+1)*IF(2&lt;=Port_Orig_Mths,1,0),0)</f>
        <v>3778.2</v>
      </c>
      <c r="F28" s="21" t="n">
        <f aca="false">IF(AND(F4&gt;=2,F4&lt;2+36),Port_New_Per_M*INDEX(Advance!$C$14:$AL$14,1,F4-2+1)*IF(2&lt;=Port_Orig_Mths,1,0),0)</f>
        <v>3714.546</v>
      </c>
      <c r="G28" s="21" t="n">
        <f aca="false">IF(AND(G4&gt;=2,G4&lt;2+36),Port_New_Per_M*INDEX(Advance!$C$14:$AL$14,1,G4-2+1)*IF(2&lt;=Port_Orig_Mths,1,0),0)</f>
        <v>3648.98238</v>
      </c>
      <c r="H28" s="21" t="n">
        <f aca="false">IF(AND(H4&gt;=2,H4&lt;2+36),Port_New_Per_M*INDEX(Advance!$C$14:$AL$14,1,H4-2+1)*IF(2&lt;=Port_Orig_Mths,1,0),0)</f>
        <v>3581.4518514</v>
      </c>
      <c r="I28" s="21" t="n">
        <f aca="false">IF(AND(I4&gt;=2,I4&lt;2+36),Port_New_Per_M*INDEX(Advance!$C$14:$AL$14,1,I4-2+1)*IF(2&lt;=Port_Orig_Mths,1,0),0)</f>
        <v>3511.895406942</v>
      </c>
      <c r="J28" s="21" t="n">
        <f aca="false">IF(AND(J4&gt;=2,J4&lt;2+36),Port_New_Per_M*INDEX(Advance!$C$14:$AL$14,1,J4-2+1)*IF(2&lt;=Port_Orig_Mths,1,0),0)</f>
        <v>3440.25226915026</v>
      </c>
      <c r="K28" s="21" t="n">
        <f aca="false">IF(AND(K4&gt;=2,K4&lt;2+36),Port_New_Per_M*INDEX(Advance!$C$14:$AL$14,1,K4-2+1)*IF(2&lt;=Port_Orig_Mths,1,0),0)</f>
        <v>3366.45983722477</v>
      </c>
      <c r="L28" s="21" t="n">
        <f aca="false">IF(AND(L4&gt;=2,L4&lt;2+36),Port_New_Per_M*INDEX(Advance!$C$14:$AL$14,1,L4-2+1)*IF(2&lt;=Port_Orig_Mths,1,0),0)</f>
        <v>3290.45363234151</v>
      </c>
      <c r="M28" s="21" t="n">
        <f aca="false">IF(AND(M4&gt;=2,M4&lt;2+36),Port_New_Per_M*INDEX(Advance!$C$14:$AL$14,1,M4-2+1)*IF(2&lt;=Port_Orig_Mths,1,0),0)</f>
        <v>3212.16724131176</v>
      </c>
      <c r="N28" s="21" t="n">
        <f aca="false">IF(AND(N4&gt;=2,N4&lt;2+36),Port_New_Per_M*INDEX(Advance!$C$14:$AL$14,1,N4-2+1)*IF(2&lt;=Port_Orig_Mths,1,0),0)</f>
        <v>3131.53225855111</v>
      </c>
      <c r="O28" s="21" t="n">
        <f aca="false">IF(AND(O4&gt;=2,O4&lt;2+36),Port_New_Per_M*INDEX(Advance!$C$14:$AL$14,1,O4-2+1)*IF(2&lt;=Port_Orig_Mths,1,0),0)</f>
        <v>3048.47822630764</v>
      </c>
      <c r="P28" s="21" t="n">
        <f aca="false">IF(AND(P4&gt;=2,P4&lt;2+36),Port_New_Per_M*INDEX(Advance!$C$14:$AL$14,1,P4-2+1)*IF(2&lt;=Port_Orig_Mths,1,0),0)</f>
        <v>2962.93257309687</v>
      </c>
      <c r="Q28" s="21" t="n">
        <f aca="false">IF(AND(Q4&gt;=2,Q4&lt;2+36),Port_New_Per_M*INDEX(Advance!$C$14:$AL$14,1,Q4-2+1)*IF(2&lt;=Port_Orig_Mths,1,0),0)</f>
        <v>2874.82055028978</v>
      </c>
      <c r="R28" s="21" t="n">
        <f aca="false">IF(AND(R4&gt;=2,R4&lt;2+36),Port_New_Per_M*INDEX(Advance!$C$14:$AL$14,1,R4-2+1)*IF(2&lt;=Port_Orig_Mths,1,0),0)</f>
        <v>2784.06516679847</v>
      </c>
      <c r="S28" s="21" t="n">
        <f aca="false">IF(AND(S4&gt;=2,S4&lt;2+36),Port_New_Per_M*INDEX(Advance!$C$14:$AL$14,1,S4-2+1)*IF(2&lt;=Port_Orig_Mths,1,0),0)</f>
        <v>2690.58712180243</v>
      </c>
      <c r="T28" s="21" t="n">
        <f aca="false">IF(AND(T4&gt;=2,T4&lt;2+36),Port_New_Per_M*INDEX(Advance!$C$14:$AL$14,1,T4-2+1)*IF(2&lt;=Port_Orig_Mths,1,0),0)</f>
        <v>2594.3047354565</v>
      </c>
      <c r="U28" s="21" t="n">
        <f aca="false">IF(AND(U4&gt;=2,U4&lt;2+36),Port_New_Per_M*INDEX(Advance!$C$14:$AL$14,1,U4-2+1)*IF(2&lt;=Port_Orig_Mths,1,0),0)</f>
        <v>2495.13387752019</v>
      </c>
      <c r="V28" s="21" t="n">
        <f aca="false">IF(AND(V4&gt;=2,V4&lt;2+36),Port_New_Per_M*INDEX(Advance!$C$14:$AL$14,1,V4-2+1)*IF(2&lt;=Port_Orig_Mths,1,0),0)</f>
        <v>2392.9878938458</v>
      </c>
      <c r="W28" s="21" t="n">
        <f aca="false">IF(AND(W4&gt;=2,W4&lt;2+36),Port_New_Per_M*INDEX(Advance!$C$14:$AL$14,1,W4-2+1)*IF(2&lt;=Port_Orig_Mths,1,0),0)</f>
        <v>2287.77753066117</v>
      </c>
      <c r="X28" s="21" t="n">
        <f aca="false">IF(AND(X4&gt;=2,X4&lt;2+36),Port_New_Per_M*INDEX(Advance!$C$14:$AL$14,1,X4-2+1)*IF(2&lt;=Port_Orig_Mths,1,0),0)</f>
        <v>2179.41085658101</v>
      </c>
      <c r="Y28" s="21" t="n">
        <f aca="false">IF(AND(Y4&gt;=2,Y4&lt;2+36),Port_New_Per_M*INDEX(Advance!$C$14:$AL$14,1,Y4-2+1)*IF(2&lt;=Port_Orig_Mths,1,0),0)</f>
        <v>2067.79318227844</v>
      </c>
      <c r="Z28" s="21" t="n">
        <f aca="false">IF(AND(Z4&gt;=2,Z4&lt;2+36),Port_New_Per_M*INDEX(Advance!$C$14:$AL$14,1,Z4-2+1)*IF(2&lt;=Port_Orig_Mths,1,0),0)</f>
        <v>1952.82697774679</v>
      </c>
    </row>
    <row r="29" customFormat="false" ht="15" hidden="false" customHeight="false" outlineLevel="0" collapsed="false">
      <c r="B29" s="29" t="s">
        <v>116</v>
      </c>
      <c r="C29" s="21" t="n">
        <f aca="false">IF(AND(C4&gt;=3,C4&lt;3+36),Port_New_Per_M*INDEX(Advance!$C$14:$AL$14,1,C4-3+1)*IF(3&lt;=Port_Orig_Mths,1,0),0)</f>
        <v>0</v>
      </c>
      <c r="D29" s="21" t="n">
        <f aca="false">IF(AND(D4&gt;=3,D4&lt;3+36),Port_New_Per_M*INDEX(Advance!$C$14:$AL$14,1,D4-3+1)*IF(3&lt;=Port_Orig_Mths,1,0),0)</f>
        <v>0</v>
      </c>
      <c r="E29" s="21" t="n">
        <f aca="false">IF(AND(E4&gt;=3,E4&lt;3+36),Port_New_Per_M*INDEX(Advance!$C$14:$AL$14,1,E4-3+1)*IF(3&lt;=Port_Orig_Mths,1,0),0)</f>
        <v>3840</v>
      </c>
      <c r="F29" s="21" t="n">
        <f aca="false">IF(AND(F4&gt;=3,F4&lt;3+36),Port_New_Per_M*INDEX(Advance!$C$14:$AL$14,1,F4-3+1)*IF(3&lt;=Port_Orig_Mths,1,0),0)</f>
        <v>3778.2</v>
      </c>
      <c r="G29" s="21" t="n">
        <f aca="false">IF(AND(G4&gt;=3,G4&lt;3+36),Port_New_Per_M*INDEX(Advance!$C$14:$AL$14,1,G4-3+1)*IF(3&lt;=Port_Orig_Mths,1,0),0)</f>
        <v>3714.546</v>
      </c>
      <c r="H29" s="21" t="n">
        <f aca="false">IF(AND(H4&gt;=3,H4&lt;3+36),Port_New_Per_M*INDEX(Advance!$C$14:$AL$14,1,H4-3+1)*IF(3&lt;=Port_Orig_Mths,1,0),0)</f>
        <v>3648.98238</v>
      </c>
      <c r="I29" s="21" t="n">
        <f aca="false">IF(AND(I4&gt;=3,I4&lt;3+36),Port_New_Per_M*INDEX(Advance!$C$14:$AL$14,1,I4-3+1)*IF(3&lt;=Port_Orig_Mths,1,0),0)</f>
        <v>3581.4518514</v>
      </c>
      <c r="J29" s="21" t="n">
        <f aca="false">IF(AND(J4&gt;=3,J4&lt;3+36),Port_New_Per_M*INDEX(Advance!$C$14:$AL$14,1,J4-3+1)*IF(3&lt;=Port_Orig_Mths,1,0),0)</f>
        <v>3511.895406942</v>
      </c>
      <c r="K29" s="21" t="n">
        <f aca="false">IF(AND(K4&gt;=3,K4&lt;3+36),Port_New_Per_M*INDEX(Advance!$C$14:$AL$14,1,K4-3+1)*IF(3&lt;=Port_Orig_Mths,1,0),0)</f>
        <v>3440.25226915026</v>
      </c>
      <c r="L29" s="21" t="n">
        <f aca="false">IF(AND(L4&gt;=3,L4&lt;3+36),Port_New_Per_M*INDEX(Advance!$C$14:$AL$14,1,L4-3+1)*IF(3&lt;=Port_Orig_Mths,1,0),0)</f>
        <v>3366.45983722477</v>
      </c>
      <c r="M29" s="21" t="n">
        <f aca="false">IF(AND(M4&gt;=3,M4&lt;3+36),Port_New_Per_M*INDEX(Advance!$C$14:$AL$14,1,M4-3+1)*IF(3&lt;=Port_Orig_Mths,1,0),0)</f>
        <v>3290.45363234151</v>
      </c>
      <c r="N29" s="21" t="n">
        <f aca="false">IF(AND(N4&gt;=3,N4&lt;3+36),Port_New_Per_M*INDEX(Advance!$C$14:$AL$14,1,N4-3+1)*IF(3&lt;=Port_Orig_Mths,1,0),0)</f>
        <v>3212.16724131176</v>
      </c>
      <c r="O29" s="21" t="n">
        <f aca="false">IF(AND(O4&gt;=3,O4&lt;3+36),Port_New_Per_M*INDEX(Advance!$C$14:$AL$14,1,O4-3+1)*IF(3&lt;=Port_Orig_Mths,1,0),0)</f>
        <v>3131.53225855111</v>
      </c>
      <c r="P29" s="21" t="n">
        <f aca="false">IF(AND(P4&gt;=3,P4&lt;3+36),Port_New_Per_M*INDEX(Advance!$C$14:$AL$14,1,P4-3+1)*IF(3&lt;=Port_Orig_Mths,1,0),0)</f>
        <v>3048.47822630764</v>
      </c>
      <c r="Q29" s="21" t="n">
        <f aca="false">IF(AND(Q4&gt;=3,Q4&lt;3+36),Port_New_Per_M*INDEX(Advance!$C$14:$AL$14,1,Q4-3+1)*IF(3&lt;=Port_Orig_Mths,1,0),0)</f>
        <v>2962.93257309687</v>
      </c>
      <c r="R29" s="21" t="n">
        <f aca="false">IF(AND(R4&gt;=3,R4&lt;3+36),Port_New_Per_M*INDEX(Advance!$C$14:$AL$14,1,R4-3+1)*IF(3&lt;=Port_Orig_Mths,1,0),0)</f>
        <v>2874.82055028978</v>
      </c>
      <c r="S29" s="21" t="n">
        <f aca="false">IF(AND(S4&gt;=3,S4&lt;3+36),Port_New_Per_M*INDEX(Advance!$C$14:$AL$14,1,S4-3+1)*IF(3&lt;=Port_Orig_Mths,1,0),0)</f>
        <v>2784.06516679847</v>
      </c>
      <c r="T29" s="21" t="n">
        <f aca="false">IF(AND(T4&gt;=3,T4&lt;3+36),Port_New_Per_M*INDEX(Advance!$C$14:$AL$14,1,T4-3+1)*IF(3&lt;=Port_Orig_Mths,1,0),0)</f>
        <v>2690.58712180243</v>
      </c>
      <c r="U29" s="21" t="n">
        <f aca="false">IF(AND(U4&gt;=3,U4&lt;3+36),Port_New_Per_M*INDEX(Advance!$C$14:$AL$14,1,U4-3+1)*IF(3&lt;=Port_Orig_Mths,1,0),0)</f>
        <v>2594.3047354565</v>
      </c>
      <c r="V29" s="21" t="n">
        <f aca="false">IF(AND(V4&gt;=3,V4&lt;3+36),Port_New_Per_M*INDEX(Advance!$C$14:$AL$14,1,V4-3+1)*IF(3&lt;=Port_Orig_Mths,1,0),0)</f>
        <v>2495.13387752019</v>
      </c>
      <c r="W29" s="21" t="n">
        <f aca="false">IF(AND(W4&gt;=3,W4&lt;3+36),Port_New_Per_M*INDEX(Advance!$C$14:$AL$14,1,W4-3+1)*IF(3&lt;=Port_Orig_Mths,1,0),0)</f>
        <v>2392.9878938458</v>
      </c>
      <c r="X29" s="21" t="n">
        <f aca="false">IF(AND(X4&gt;=3,X4&lt;3+36),Port_New_Per_M*INDEX(Advance!$C$14:$AL$14,1,X4-3+1)*IF(3&lt;=Port_Orig_Mths,1,0),0)</f>
        <v>2287.77753066117</v>
      </c>
      <c r="Y29" s="21" t="n">
        <f aca="false">IF(AND(Y4&gt;=3,Y4&lt;3+36),Port_New_Per_M*INDEX(Advance!$C$14:$AL$14,1,Y4-3+1)*IF(3&lt;=Port_Orig_Mths,1,0),0)</f>
        <v>2179.41085658101</v>
      </c>
      <c r="Z29" s="21" t="n">
        <f aca="false">IF(AND(Z4&gt;=3,Z4&lt;3+36),Port_New_Per_M*INDEX(Advance!$C$14:$AL$14,1,Z4-3+1)*IF(3&lt;=Port_Orig_Mths,1,0),0)</f>
        <v>2067.79318227844</v>
      </c>
    </row>
    <row r="30" customFormat="false" ht="15" hidden="false" customHeight="false" outlineLevel="0" collapsed="false">
      <c r="B30" s="29" t="s">
        <v>117</v>
      </c>
      <c r="C30" s="21" t="n">
        <f aca="false">IF(AND(C4&gt;=4,C4&lt;4+36),Port_New_Per_M*INDEX(Advance!$C$14:$AL$14,1,C4-4+1)*IF(4&lt;=Port_Orig_Mths,1,0),0)</f>
        <v>0</v>
      </c>
      <c r="D30" s="21" t="n">
        <f aca="false">IF(AND(D4&gt;=4,D4&lt;4+36),Port_New_Per_M*INDEX(Advance!$C$14:$AL$14,1,D4-4+1)*IF(4&lt;=Port_Orig_Mths,1,0),0)</f>
        <v>0</v>
      </c>
      <c r="E30" s="21" t="n">
        <f aca="false">IF(AND(E4&gt;=4,E4&lt;4+36),Port_New_Per_M*INDEX(Advance!$C$14:$AL$14,1,E4-4+1)*IF(4&lt;=Port_Orig_Mths,1,0),0)</f>
        <v>0</v>
      </c>
      <c r="F30" s="21" t="n">
        <f aca="false">IF(AND(F4&gt;=4,F4&lt;4+36),Port_New_Per_M*INDEX(Advance!$C$14:$AL$14,1,F4-4+1)*IF(4&lt;=Port_Orig_Mths,1,0),0)</f>
        <v>3840</v>
      </c>
      <c r="G30" s="21" t="n">
        <f aca="false">IF(AND(G4&gt;=4,G4&lt;4+36),Port_New_Per_M*INDEX(Advance!$C$14:$AL$14,1,G4-4+1)*IF(4&lt;=Port_Orig_Mths,1,0),0)</f>
        <v>3778.2</v>
      </c>
      <c r="H30" s="21" t="n">
        <f aca="false">IF(AND(H4&gt;=4,H4&lt;4+36),Port_New_Per_M*INDEX(Advance!$C$14:$AL$14,1,H4-4+1)*IF(4&lt;=Port_Orig_Mths,1,0),0)</f>
        <v>3714.546</v>
      </c>
      <c r="I30" s="21" t="n">
        <f aca="false">IF(AND(I4&gt;=4,I4&lt;4+36),Port_New_Per_M*INDEX(Advance!$C$14:$AL$14,1,I4-4+1)*IF(4&lt;=Port_Orig_Mths,1,0),0)</f>
        <v>3648.98238</v>
      </c>
      <c r="J30" s="21" t="n">
        <f aca="false">IF(AND(J4&gt;=4,J4&lt;4+36),Port_New_Per_M*INDEX(Advance!$C$14:$AL$14,1,J4-4+1)*IF(4&lt;=Port_Orig_Mths,1,0),0)</f>
        <v>3581.4518514</v>
      </c>
      <c r="K30" s="21" t="n">
        <f aca="false">IF(AND(K4&gt;=4,K4&lt;4+36),Port_New_Per_M*INDEX(Advance!$C$14:$AL$14,1,K4-4+1)*IF(4&lt;=Port_Orig_Mths,1,0),0)</f>
        <v>3511.895406942</v>
      </c>
      <c r="L30" s="21" t="n">
        <f aca="false">IF(AND(L4&gt;=4,L4&lt;4+36),Port_New_Per_M*INDEX(Advance!$C$14:$AL$14,1,L4-4+1)*IF(4&lt;=Port_Orig_Mths,1,0),0)</f>
        <v>3440.25226915026</v>
      </c>
      <c r="M30" s="21" t="n">
        <f aca="false">IF(AND(M4&gt;=4,M4&lt;4+36),Port_New_Per_M*INDEX(Advance!$C$14:$AL$14,1,M4-4+1)*IF(4&lt;=Port_Orig_Mths,1,0),0)</f>
        <v>3366.45983722477</v>
      </c>
      <c r="N30" s="21" t="n">
        <f aca="false">IF(AND(N4&gt;=4,N4&lt;4+36),Port_New_Per_M*INDEX(Advance!$C$14:$AL$14,1,N4-4+1)*IF(4&lt;=Port_Orig_Mths,1,0),0)</f>
        <v>3290.45363234151</v>
      </c>
      <c r="O30" s="21" t="n">
        <f aca="false">IF(AND(O4&gt;=4,O4&lt;4+36),Port_New_Per_M*INDEX(Advance!$C$14:$AL$14,1,O4-4+1)*IF(4&lt;=Port_Orig_Mths,1,0),0)</f>
        <v>3212.16724131176</v>
      </c>
      <c r="P30" s="21" t="n">
        <f aca="false">IF(AND(P4&gt;=4,P4&lt;4+36),Port_New_Per_M*INDEX(Advance!$C$14:$AL$14,1,P4-4+1)*IF(4&lt;=Port_Orig_Mths,1,0),0)</f>
        <v>3131.53225855111</v>
      </c>
      <c r="Q30" s="21" t="n">
        <f aca="false">IF(AND(Q4&gt;=4,Q4&lt;4+36),Port_New_Per_M*INDEX(Advance!$C$14:$AL$14,1,Q4-4+1)*IF(4&lt;=Port_Orig_Mths,1,0),0)</f>
        <v>3048.47822630764</v>
      </c>
      <c r="R30" s="21" t="n">
        <f aca="false">IF(AND(R4&gt;=4,R4&lt;4+36),Port_New_Per_M*INDEX(Advance!$C$14:$AL$14,1,R4-4+1)*IF(4&lt;=Port_Orig_Mths,1,0),0)</f>
        <v>2962.93257309687</v>
      </c>
      <c r="S30" s="21" t="n">
        <f aca="false">IF(AND(S4&gt;=4,S4&lt;4+36),Port_New_Per_M*INDEX(Advance!$C$14:$AL$14,1,S4-4+1)*IF(4&lt;=Port_Orig_Mths,1,0),0)</f>
        <v>2874.82055028978</v>
      </c>
      <c r="T30" s="21" t="n">
        <f aca="false">IF(AND(T4&gt;=4,T4&lt;4+36),Port_New_Per_M*INDEX(Advance!$C$14:$AL$14,1,T4-4+1)*IF(4&lt;=Port_Orig_Mths,1,0),0)</f>
        <v>2784.06516679847</v>
      </c>
      <c r="U30" s="21" t="n">
        <f aca="false">IF(AND(U4&gt;=4,U4&lt;4+36),Port_New_Per_M*INDEX(Advance!$C$14:$AL$14,1,U4-4+1)*IF(4&lt;=Port_Orig_Mths,1,0),0)</f>
        <v>2690.58712180243</v>
      </c>
      <c r="V30" s="21" t="n">
        <f aca="false">IF(AND(V4&gt;=4,V4&lt;4+36),Port_New_Per_M*INDEX(Advance!$C$14:$AL$14,1,V4-4+1)*IF(4&lt;=Port_Orig_Mths,1,0),0)</f>
        <v>2594.3047354565</v>
      </c>
      <c r="W30" s="21" t="n">
        <f aca="false">IF(AND(W4&gt;=4,W4&lt;4+36),Port_New_Per_M*INDEX(Advance!$C$14:$AL$14,1,W4-4+1)*IF(4&lt;=Port_Orig_Mths,1,0),0)</f>
        <v>2495.13387752019</v>
      </c>
      <c r="X30" s="21" t="n">
        <f aca="false">IF(AND(X4&gt;=4,X4&lt;4+36),Port_New_Per_M*INDEX(Advance!$C$14:$AL$14,1,X4-4+1)*IF(4&lt;=Port_Orig_Mths,1,0),0)</f>
        <v>2392.9878938458</v>
      </c>
      <c r="Y30" s="21" t="n">
        <f aca="false">IF(AND(Y4&gt;=4,Y4&lt;4+36),Port_New_Per_M*INDEX(Advance!$C$14:$AL$14,1,Y4-4+1)*IF(4&lt;=Port_Orig_Mths,1,0),0)</f>
        <v>2287.77753066117</v>
      </c>
      <c r="Z30" s="21" t="n">
        <f aca="false">IF(AND(Z4&gt;=4,Z4&lt;4+36),Port_New_Per_M*INDEX(Advance!$C$14:$AL$14,1,Z4-4+1)*IF(4&lt;=Port_Orig_Mths,1,0),0)</f>
        <v>2179.41085658101</v>
      </c>
    </row>
    <row r="31" customFormat="false" ht="15" hidden="false" customHeight="false" outlineLevel="0" collapsed="false">
      <c r="B31" s="29" t="s">
        <v>118</v>
      </c>
      <c r="C31" s="21" t="n">
        <f aca="false">IF(AND(C4&gt;=5,C4&lt;5+36),Port_New_Per_M*INDEX(Advance!$C$14:$AL$14,1,C4-5+1)*IF(5&lt;=Port_Orig_Mths,1,0),0)</f>
        <v>0</v>
      </c>
      <c r="D31" s="21" t="n">
        <f aca="false">IF(AND(D4&gt;=5,D4&lt;5+36),Port_New_Per_M*INDEX(Advance!$C$14:$AL$14,1,D4-5+1)*IF(5&lt;=Port_Orig_Mths,1,0),0)</f>
        <v>0</v>
      </c>
      <c r="E31" s="21" t="n">
        <f aca="false">IF(AND(E4&gt;=5,E4&lt;5+36),Port_New_Per_M*INDEX(Advance!$C$14:$AL$14,1,E4-5+1)*IF(5&lt;=Port_Orig_Mths,1,0),0)</f>
        <v>0</v>
      </c>
      <c r="F31" s="21" t="n">
        <f aca="false">IF(AND(F4&gt;=5,F4&lt;5+36),Port_New_Per_M*INDEX(Advance!$C$14:$AL$14,1,F4-5+1)*IF(5&lt;=Port_Orig_Mths,1,0),0)</f>
        <v>0</v>
      </c>
      <c r="G31" s="21" t="n">
        <f aca="false">IF(AND(G4&gt;=5,G4&lt;5+36),Port_New_Per_M*INDEX(Advance!$C$14:$AL$14,1,G4-5+1)*IF(5&lt;=Port_Orig_Mths,1,0),0)</f>
        <v>3840</v>
      </c>
      <c r="H31" s="21" t="n">
        <f aca="false">IF(AND(H4&gt;=5,H4&lt;5+36),Port_New_Per_M*INDEX(Advance!$C$14:$AL$14,1,H4-5+1)*IF(5&lt;=Port_Orig_Mths,1,0),0)</f>
        <v>3778.2</v>
      </c>
      <c r="I31" s="21" t="n">
        <f aca="false">IF(AND(I4&gt;=5,I4&lt;5+36),Port_New_Per_M*INDEX(Advance!$C$14:$AL$14,1,I4-5+1)*IF(5&lt;=Port_Orig_Mths,1,0),0)</f>
        <v>3714.546</v>
      </c>
      <c r="J31" s="21" t="n">
        <f aca="false">IF(AND(J4&gt;=5,J4&lt;5+36),Port_New_Per_M*INDEX(Advance!$C$14:$AL$14,1,J4-5+1)*IF(5&lt;=Port_Orig_Mths,1,0),0)</f>
        <v>3648.98238</v>
      </c>
      <c r="K31" s="21" t="n">
        <f aca="false">IF(AND(K4&gt;=5,K4&lt;5+36),Port_New_Per_M*INDEX(Advance!$C$14:$AL$14,1,K4-5+1)*IF(5&lt;=Port_Orig_Mths,1,0),0)</f>
        <v>3581.4518514</v>
      </c>
      <c r="L31" s="21" t="n">
        <f aca="false">IF(AND(L4&gt;=5,L4&lt;5+36),Port_New_Per_M*INDEX(Advance!$C$14:$AL$14,1,L4-5+1)*IF(5&lt;=Port_Orig_Mths,1,0),0)</f>
        <v>3511.895406942</v>
      </c>
      <c r="M31" s="21" t="n">
        <f aca="false">IF(AND(M4&gt;=5,M4&lt;5+36),Port_New_Per_M*INDEX(Advance!$C$14:$AL$14,1,M4-5+1)*IF(5&lt;=Port_Orig_Mths,1,0),0)</f>
        <v>3440.25226915026</v>
      </c>
      <c r="N31" s="21" t="n">
        <f aca="false">IF(AND(N4&gt;=5,N4&lt;5+36),Port_New_Per_M*INDEX(Advance!$C$14:$AL$14,1,N4-5+1)*IF(5&lt;=Port_Orig_Mths,1,0),0)</f>
        <v>3366.45983722477</v>
      </c>
      <c r="O31" s="21" t="n">
        <f aca="false">IF(AND(O4&gt;=5,O4&lt;5+36),Port_New_Per_M*INDEX(Advance!$C$14:$AL$14,1,O4-5+1)*IF(5&lt;=Port_Orig_Mths,1,0),0)</f>
        <v>3290.45363234151</v>
      </c>
      <c r="P31" s="21" t="n">
        <f aca="false">IF(AND(P4&gt;=5,P4&lt;5+36),Port_New_Per_M*INDEX(Advance!$C$14:$AL$14,1,P4-5+1)*IF(5&lt;=Port_Orig_Mths,1,0),0)</f>
        <v>3212.16724131176</v>
      </c>
      <c r="Q31" s="21" t="n">
        <f aca="false">IF(AND(Q4&gt;=5,Q4&lt;5+36),Port_New_Per_M*INDEX(Advance!$C$14:$AL$14,1,Q4-5+1)*IF(5&lt;=Port_Orig_Mths,1,0),0)</f>
        <v>3131.53225855111</v>
      </c>
      <c r="R31" s="21" t="n">
        <f aca="false">IF(AND(R4&gt;=5,R4&lt;5+36),Port_New_Per_M*INDEX(Advance!$C$14:$AL$14,1,R4-5+1)*IF(5&lt;=Port_Orig_Mths,1,0),0)</f>
        <v>3048.47822630764</v>
      </c>
      <c r="S31" s="21" t="n">
        <f aca="false">IF(AND(S4&gt;=5,S4&lt;5+36),Port_New_Per_M*INDEX(Advance!$C$14:$AL$14,1,S4-5+1)*IF(5&lt;=Port_Orig_Mths,1,0),0)</f>
        <v>2962.93257309687</v>
      </c>
      <c r="T31" s="21" t="n">
        <f aca="false">IF(AND(T4&gt;=5,T4&lt;5+36),Port_New_Per_M*INDEX(Advance!$C$14:$AL$14,1,T4-5+1)*IF(5&lt;=Port_Orig_Mths,1,0),0)</f>
        <v>2874.82055028978</v>
      </c>
      <c r="U31" s="21" t="n">
        <f aca="false">IF(AND(U4&gt;=5,U4&lt;5+36),Port_New_Per_M*INDEX(Advance!$C$14:$AL$14,1,U4-5+1)*IF(5&lt;=Port_Orig_Mths,1,0),0)</f>
        <v>2784.06516679847</v>
      </c>
      <c r="V31" s="21" t="n">
        <f aca="false">IF(AND(V4&gt;=5,V4&lt;5+36),Port_New_Per_M*INDEX(Advance!$C$14:$AL$14,1,V4-5+1)*IF(5&lt;=Port_Orig_Mths,1,0),0)</f>
        <v>2690.58712180243</v>
      </c>
      <c r="W31" s="21" t="n">
        <f aca="false">IF(AND(W4&gt;=5,W4&lt;5+36),Port_New_Per_M*INDEX(Advance!$C$14:$AL$14,1,W4-5+1)*IF(5&lt;=Port_Orig_Mths,1,0),0)</f>
        <v>2594.3047354565</v>
      </c>
      <c r="X31" s="21" t="n">
        <f aca="false">IF(AND(X4&gt;=5,X4&lt;5+36),Port_New_Per_M*INDEX(Advance!$C$14:$AL$14,1,X4-5+1)*IF(5&lt;=Port_Orig_Mths,1,0),0)</f>
        <v>2495.13387752019</v>
      </c>
      <c r="Y31" s="21" t="n">
        <f aca="false">IF(AND(Y4&gt;=5,Y4&lt;5+36),Port_New_Per_M*INDEX(Advance!$C$14:$AL$14,1,Y4-5+1)*IF(5&lt;=Port_Orig_Mths,1,0),0)</f>
        <v>2392.9878938458</v>
      </c>
      <c r="Z31" s="21" t="n">
        <f aca="false">IF(AND(Z4&gt;=5,Z4&lt;5+36),Port_New_Per_M*INDEX(Advance!$C$14:$AL$14,1,Z4-5+1)*IF(5&lt;=Port_Orig_Mths,1,0),0)</f>
        <v>2287.77753066117</v>
      </c>
    </row>
    <row r="32" customFormat="false" ht="15" hidden="false" customHeight="false" outlineLevel="0" collapsed="false">
      <c r="B32" s="29" t="s">
        <v>119</v>
      </c>
      <c r="C32" s="21" t="n">
        <f aca="false">IF(AND(C4&gt;=6,C4&lt;6+36),Port_New_Per_M*INDEX(Advance!$C$14:$AL$14,1,C4-6+1)*IF(6&lt;=Port_Orig_Mths,1,0),0)</f>
        <v>0</v>
      </c>
      <c r="D32" s="21" t="n">
        <f aca="false">IF(AND(D4&gt;=6,D4&lt;6+36),Port_New_Per_M*INDEX(Advance!$C$14:$AL$14,1,D4-6+1)*IF(6&lt;=Port_Orig_Mths,1,0),0)</f>
        <v>0</v>
      </c>
      <c r="E32" s="21" t="n">
        <f aca="false">IF(AND(E4&gt;=6,E4&lt;6+36),Port_New_Per_M*INDEX(Advance!$C$14:$AL$14,1,E4-6+1)*IF(6&lt;=Port_Orig_Mths,1,0),0)</f>
        <v>0</v>
      </c>
      <c r="F32" s="21" t="n">
        <f aca="false">IF(AND(F4&gt;=6,F4&lt;6+36),Port_New_Per_M*INDEX(Advance!$C$14:$AL$14,1,F4-6+1)*IF(6&lt;=Port_Orig_Mths,1,0),0)</f>
        <v>0</v>
      </c>
      <c r="G32" s="21" t="n">
        <f aca="false">IF(AND(G4&gt;=6,G4&lt;6+36),Port_New_Per_M*INDEX(Advance!$C$14:$AL$14,1,G4-6+1)*IF(6&lt;=Port_Orig_Mths,1,0),0)</f>
        <v>0</v>
      </c>
      <c r="H32" s="21" t="n">
        <f aca="false">IF(AND(H4&gt;=6,H4&lt;6+36),Port_New_Per_M*INDEX(Advance!$C$14:$AL$14,1,H4-6+1)*IF(6&lt;=Port_Orig_Mths,1,0),0)</f>
        <v>3840</v>
      </c>
      <c r="I32" s="21" t="n">
        <f aca="false">IF(AND(I4&gt;=6,I4&lt;6+36),Port_New_Per_M*INDEX(Advance!$C$14:$AL$14,1,I4-6+1)*IF(6&lt;=Port_Orig_Mths,1,0),0)</f>
        <v>3778.2</v>
      </c>
      <c r="J32" s="21" t="n">
        <f aca="false">IF(AND(J4&gt;=6,J4&lt;6+36),Port_New_Per_M*INDEX(Advance!$C$14:$AL$14,1,J4-6+1)*IF(6&lt;=Port_Orig_Mths,1,0),0)</f>
        <v>3714.546</v>
      </c>
      <c r="K32" s="21" t="n">
        <f aca="false">IF(AND(K4&gt;=6,K4&lt;6+36),Port_New_Per_M*INDEX(Advance!$C$14:$AL$14,1,K4-6+1)*IF(6&lt;=Port_Orig_Mths,1,0),0)</f>
        <v>3648.98238</v>
      </c>
      <c r="L32" s="21" t="n">
        <f aca="false">IF(AND(L4&gt;=6,L4&lt;6+36),Port_New_Per_M*INDEX(Advance!$C$14:$AL$14,1,L4-6+1)*IF(6&lt;=Port_Orig_Mths,1,0),0)</f>
        <v>3581.4518514</v>
      </c>
      <c r="M32" s="21" t="n">
        <f aca="false">IF(AND(M4&gt;=6,M4&lt;6+36),Port_New_Per_M*INDEX(Advance!$C$14:$AL$14,1,M4-6+1)*IF(6&lt;=Port_Orig_Mths,1,0),0)</f>
        <v>3511.895406942</v>
      </c>
      <c r="N32" s="21" t="n">
        <f aca="false">IF(AND(N4&gt;=6,N4&lt;6+36),Port_New_Per_M*INDEX(Advance!$C$14:$AL$14,1,N4-6+1)*IF(6&lt;=Port_Orig_Mths,1,0),0)</f>
        <v>3440.25226915026</v>
      </c>
      <c r="O32" s="21" t="n">
        <f aca="false">IF(AND(O4&gt;=6,O4&lt;6+36),Port_New_Per_M*INDEX(Advance!$C$14:$AL$14,1,O4-6+1)*IF(6&lt;=Port_Orig_Mths,1,0),0)</f>
        <v>3366.45983722477</v>
      </c>
      <c r="P32" s="21" t="n">
        <f aca="false">IF(AND(P4&gt;=6,P4&lt;6+36),Port_New_Per_M*INDEX(Advance!$C$14:$AL$14,1,P4-6+1)*IF(6&lt;=Port_Orig_Mths,1,0),0)</f>
        <v>3290.45363234151</v>
      </c>
      <c r="Q32" s="21" t="n">
        <f aca="false">IF(AND(Q4&gt;=6,Q4&lt;6+36),Port_New_Per_M*INDEX(Advance!$C$14:$AL$14,1,Q4-6+1)*IF(6&lt;=Port_Orig_Mths,1,0),0)</f>
        <v>3212.16724131176</v>
      </c>
      <c r="R32" s="21" t="n">
        <f aca="false">IF(AND(R4&gt;=6,R4&lt;6+36),Port_New_Per_M*INDEX(Advance!$C$14:$AL$14,1,R4-6+1)*IF(6&lt;=Port_Orig_Mths,1,0),0)</f>
        <v>3131.53225855111</v>
      </c>
      <c r="S32" s="21" t="n">
        <f aca="false">IF(AND(S4&gt;=6,S4&lt;6+36),Port_New_Per_M*INDEX(Advance!$C$14:$AL$14,1,S4-6+1)*IF(6&lt;=Port_Orig_Mths,1,0),0)</f>
        <v>3048.47822630764</v>
      </c>
      <c r="T32" s="21" t="n">
        <f aca="false">IF(AND(T4&gt;=6,T4&lt;6+36),Port_New_Per_M*INDEX(Advance!$C$14:$AL$14,1,T4-6+1)*IF(6&lt;=Port_Orig_Mths,1,0),0)</f>
        <v>2962.93257309687</v>
      </c>
      <c r="U32" s="21" t="n">
        <f aca="false">IF(AND(U4&gt;=6,U4&lt;6+36),Port_New_Per_M*INDEX(Advance!$C$14:$AL$14,1,U4-6+1)*IF(6&lt;=Port_Orig_Mths,1,0),0)</f>
        <v>2874.82055028978</v>
      </c>
      <c r="V32" s="21" t="n">
        <f aca="false">IF(AND(V4&gt;=6,V4&lt;6+36),Port_New_Per_M*INDEX(Advance!$C$14:$AL$14,1,V4-6+1)*IF(6&lt;=Port_Orig_Mths,1,0),0)</f>
        <v>2784.06516679847</v>
      </c>
      <c r="W32" s="21" t="n">
        <f aca="false">IF(AND(W4&gt;=6,W4&lt;6+36),Port_New_Per_M*INDEX(Advance!$C$14:$AL$14,1,W4-6+1)*IF(6&lt;=Port_Orig_Mths,1,0),0)</f>
        <v>2690.58712180243</v>
      </c>
      <c r="X32" s="21" t="n">
        <f aca="false">IF(AND(X4&gt;=6,X4&lt;6+36),Port_New_Per_M*INDEX(Advance!$C$14:$AL$14,1,X4-6+1)*IF(6&lt;=Port_Orig_Mths,1,0),0)</f>
        <v>2594.3047354565</v>
      </c>
      <c r="Y32" s="21" t="n">
        <f aca="false">IF(AND(Y4&gt;=6,Y4&lt;6+36),Port_New_Per_M*INDEX(Advance!$C$14:$AL$14,1,Y4-6+1)*IF(6&lt;=Port_Orig_Mths,1,0),0)</f>
        <v>2495.13387752019</v>
      </c>
      <c r="Z32" s="21" t="n">
        <f aca="false">IF(AND(Z4&gt;=6,Z4&lt;6+36),Port_New_Per_M*INDEX(Advance!$C$14:$AL$14,1,Z4-6+1)*IF(6&lt;=Port_Orig_Mths,1,0),0)</f>
        <v>2392.9878938458</v>
      </c>
    </row>
    <row r="33" customFormat="false" ht="15" hidden="false" customHeight="false" outlineLevel="0" collapsed="false">
      <c r="B33" s="29" t="s">
        <v>120</v>
      </c>
      <c r="C33" s="21" t="n">
        <f aca="false">IF(AND(C4&gt;=7,C4&lt;7+36),Port_New_Per_M*INDEX(Advance!$C$14:$AL$14,1,C4-7+1)*IF(7&lt;=Port_Orig_Mths,1,0),0)</f>
        <v>0</v>
      </c>
      <c r="D33" s="21" t="n">
        <f aca="false">IF(AND(D4&gt;=7,D4&lt;7+36),Port_New_Per_M*INDEX(Advance!$C$14:$AL$14,1,D4-7+1)*IF(7&lt;=Port_Orig_Mths,1,0),0)</f>
        <v>0</v>
      </c>
      <c r="E33" s="21" t="n">
        <f aca="false">IF(AND(E4&gt;=7,E4&lt;7+36),Port_New_Per_M*INDEX(Advance!$C$14:$AL$14,1,E4-7+1)*IF(7&lt;=Port_Orig_Mths,1,0),0)</f>
        <v>0</v>
      </c>
      <c r="F33" s="21" t="n">
        <f aca="false">IF(AND(F4&gt;=7,F4&lt;7+36),Port_New_Per_M*INDEX(Advance!$C$14:$AL$14,1,F4-7+1)*IF(7&lt;=Port_Orig_Mths,1,0),0)</f>
        <v>0</v>
      </c>
      <c r="G33" s="21" t="n">
        <f aca="false">IF(AND(G4&gt;=7,G4&lt;7+36),Port_New_Per_M*INDEX(Advance!$C$14:$AL$14,1,G4-7+1)*IF(7&lt;=Port_Orig_Mths,1,0),0)</f>
        <v>0</v>
      </c>
      <c r="H33" s="21" t="n">
        <f aca="false">IF(AND(H4&gt;=7,H4&lt;7+36),Port_New_Per_M*INDEX(Advance!$C$14:$AL$14,1,H4-7+1)*IF(7&lt;=Port_Orig_Mths,1,0),0)</f>
        <v>0</v>
      </c>
      <c r="I33" s="21" t="n">
        <f aca="false">IF(AND(I4&gt;=7,I4&lt;7+36),Port_New_Per_M*INDEX(Advance!$C$14:$AL$14,1,I4-7+1)*IF(7&lt;=Port_Orig_Mths,1,0),0)</f>
        <v>3840</v>
      </c>
      <c r="J33" s="21" t="n">
        <f aca="false">IF(AND(J4&gt;=7,J4&lt;7+36),Port_New_Per_M*INDEX(Advance!$C$14:$AL$14,1,J4-7+1)*IF(7&lt;=Port_Orig_Mths,1,0),0)</f>
        <v>3778.2</v>
      </c>
      <c r="K33" s="21" t="n">
        <f aca="false">IF(AND(K4&gt;=7,K4&lt;7+36),Port_New_Per_M*INDEX(Advance!$C$14:$AL$14,1,K4-7+1)*IF(7&lt;=Port_Orig_Mths,1,0),0)</f>
        <v>3714.546</v>
      </c>
      <c r="L33" s="21" t="n">
        <f aca="false">IF(AND(L4&gt;=7,L4&lt;7+36),Port_New_Per_M*INDEX(Advance!$C$14:$AL$14,1,L4-7+1)*IF(7&lt;=Port_Orig_Mths,1,0),0)</f>
        <v>3648.98238</v>
      </c>
      <c r="M33" s="21" t="n">
        <f aca="false">IF(AND(M4&gt;=7,M4&lt;7+36),Port_New_Per_M*INDEX(Advance!$C$14:$AL$14,1,M4-7+1)*IF(7&lt;=Port_Orig_Mths,1,0),0)</f>
        <v>3581.4518514</v>
      </c>
      <c r="N33" s="21" t="n">
        <f aca="false">IF(AND(N4&gt;=7,N4&lt;7+36),Port_New_Per_M*INDEX(Advance!$C$14:$AL$14,1,N4-7+1)*IF(7&lt;=Port_Orig_Mths,1,0),0)</f>
        <v>3511.895406942</v>
      </c>
      <c r="O33" s="21" t="n">
        <f aca="false">IF(AND(O4&gt;=7,O4&lt;7+36),Port_New_Per_M*INDEX(Advance!$C$14:$AL$14,1,O4-7+1)*IF(7&lt;=Port_Orig_Mths,1,0),0)</f>
        <v>3440.25226915026</v>
      </c>
      <c r="P33" s="21" t="n">
        <f aca="false">IF(AND(P4&gt;=7,P4&lt;7+36),Port_New_Per_M*INDEX(Advance!$C$14:$AL$14,1,P4-7+1)*IF(7&lt;=Port_Orig_Mths,1,0),0)</f>
        <v>3366.45983722477</v>
      </c>
      <c r="Q33" s="21" t="n">
        <f aca="false">IF(AND(Q4&gt;=7,Q4&lt;7+36),Port_New_Per_M*INDEX(Advance!$C$14:$AL$14,1,Q4-7+1)*IF(7&lt;=Port_Orig_Mths,1,0),0)</f>
        <v>3290.45363234151</v>
      </c>
      <c r="R33" s="21" t="n">
        <f aca="false">IF(AND(R4&gt;=7,R4&lt;7+36),Port_New_Per_M*INDEX(Advance!$C$14:$AL$14,1,R4-7+1)*IF(7&lt;=Port_Orig_Mths,1,0),0)</f>
        <v>3212.16724131176</v>
      </c>
      <c r="S33" s="21" t="n">
        <f aca="false">IF(AND(S4&gt;=7,S4&lt;7+36),Port_New_Per_M*INDEX(Advance!$C$14:$AL$14,1,S4-7+1)*IF(7&lt;=Port_Orig_Mths,1,0),0)</f>
        <v>3131.53225855111</v>
      </c>
      <c r="T33" s="21" t="n">
        <f aca="false">IF(AND(T4&gt;=7,T4&lt;7+36),Port_New_Per_M*INDEX(Advance!$C$14:$AL$14,1,T4-7+1)*IF(7&lt;=Port_Orig_Mths,1,0),0)</f>
        <v>3048.47822630764</v>
      </c>
      <c r="U33" s="21" t="n">
        <f aca="false">IF(AND(U4&gt;=7,U4&lt;7+36),Port_New_Per_M*INDEX(Advance!$C$14:$AL$14,1,U4-7+1)*IF(7&lt;=Port_Orig_Mths,1,0),0)</f>
        <v>2962.93257309687</v>
      </c>
      <c r="V33" s="21" t="n">
        <f aca="false">IF(AND(V4&gt;=7,V4&lt;7+36),Port_New_Per_M*INDEX(Advance!$C$14:$AL$14,1,V4-7+1)*IF(7&lt;=Port_Orig_Mths,1,0),0)</f>
        <v>2874.82055028978</v>
      </c>
      <c r="W33" s="21" t="n">
        <f aca="false">IF(AND(W4&gt;=7,W4&lt;7+36),Port_New_Per_M*INDEX(Advance!$C$14:$AL$14,1,W4-7+1)*IF(7&lt;=Port_Orig_Mths,1,0),0)</f>
        <v>2784.06516679847</v>
      </c>
      <c r="X33" s="21" t="n">
        <f aca="false">IF(AND(X4&gt;=7,X4&lt;7+36),Port_New_Per_M*INDEX(Advance!$C$14:$AL$14,1,X4-7+1)*IF(7&lt;=Port_Orig_Mths,1,0),0)</f>
        <v>2690.58712180243</v>
      </c>
      <c r="Y33" s="21" t="n">
        <f aca="false">IF(AND(Y4&gt;=7,Y4&lt;7+36),Port_New_Per_M*INDEX(Advance!$C$14:$AL$14,1,Y4-7+1)*IF(7&lt;=Port_Orig_Mths,1,0),0)</f>
        <v>2594.3047354565</v>
      </c>
      <c r="Z33" s="21" t="n">
        <f aca="false">IF(AND(Z4&gt;=7,Z4&lt;7+36),Port_New_Per_M*INDEX(Advance!$C$14:$AL$14,1,Z4-7+1)*IF(7&lt;=Port_Orig_Mths,1,0),0)</f>
        <v>2495.13387752019</v>
      </c>
    </row>
    <row r="34" customFormat="false" ht="15" hidden="false" customHeight="false" outlineLevel="0" collapsed="false">
      <c r="B34" s="29" t="s">
        <v>121</v>
      </c>
      <c r="C34" s="21" t="n">
        <f aca="false">IF(AND(C4&gt;=8,C4&lt;8+36),Port_New_Per_M*INDEX(Advance!$C$14:$AL$14,1,C4-8+1)*IF(8&lt;=Port_Orig_Mths,1,0),0)</f>
        <v>0</v>
      </c>
      <c r="D34" s="21" t="n">
        <f aca="false">IF(AND(D4&gt;=8,D4&lt;8+36),Port_New_Per_M*INDEX(Advance!$C$14:$AL$14,1,D4-8+1)*IF(8&lt;=Port_Orig_Mths,1,0),0)</f>
        <v>0</v>
      </c>
      <c r="E34" s="21" t="n">
        <f aca="false">IF(AND(E4&gt;=8,E4&lt;8+36),Port_New_Per_M*INDEX(Advance!$C$14:$AL$14,1,E4-8+1)*IF(8&lt;=Port_Orig_Mths,1,0),0)</f>
        <v>0</v>
      </c>
      <c r="F34" s="21" t="n">
        <f aca="false">IF(AND(F4&gt;=8,F4&lt;8+36),Port_New_Per_M*INDEX(Advance!$C$14:$AL$14,1,F4-8+1)*IF(8&lt;=Port_Orig_Mths,1,0),0)</f>
        <v>0</v>
      </c>
      <c r="G34" s="21" t="n">
        <f aca="false">IF(AND(G4&gt;=8,G4&lt;8+36),Port_New_Per_M*INDEX(Advance!$C$14:$AL$14,1,G4-8+1)*IF(8&lt;=Port_Orig_Mths,1,0),0)</f>
        <v>0</v>
      </c>
      <c r="H34" s="21" t="n">
        <f aca="false">IF(AND(H4&gt;=8,H4&lt;8+36),Port_New_Per_M*INDEX(Advance!$C$14:$AL$14,1,H4-8+1)*IF(8&lt;=Port_Orig_Mths,1,0),0)</f>
        <v>0</v>
      </c>
      <c r="I34" s="21" t="n">
        <f aca="false">IF(AND(I4&gt;=8,I4&lt;8+36),Port_New_Per_M*INDEX(Advance!$C$14:$AL$14,1,I4-8+1)*IF(8&lt;=Port_Orig_Mths,1,0),0)</f>
        <v>0</v>
      </c>
      <c r="J34" s="21" t="n">
        <f aca="false">IF(AND(J4&gt;=8,J4&lt;8+36),Port_New_Per_M*INDEX(Advance!$C$14:$AL$14,1,J4-8+1)*IF(8&lt;=Port_Orig_Mths,1,0),0)</f>
        <v>3840</v>
      </c>
      <c r="K34" s="21" t="n">
        <f aca="false">IF(AND(K4&gt;=8,K4&lt;8+36),Port_New_Per_M*INDEX(Advance!$C$14:$AL$14,1,K4-8+1)*IF(8&lt;=Port_Orig_Mths,1,0),0)</f>
        <v>3778.2</v>
      </c>
      <c r="L34" s="21" t="n">
        <f aca="false">IF(AND(L4&gt;=8,L4&lt;8+36),Port_New_Per_M*INDEX(Advance!$C$14:$AL$14,1,L4-8+1)*IF(8&lt;=Port_Orig_Mths,1,0),0)</f>
        <v>3714.546</v>
      </c>
      <c r="M34" s="21" t="n">
        <f aca="false">IF(AND(M4&gt;=8,M4&lt;8+36),Port_New_Per_M*INDEX(Advance!$C$14:$AL$14,1,M4-8+1)*IF(8&lt;=Port_Orig_Mths,1,0),0)</f>
        <v>3648.98238</v>
      </c>
      <c r="N34" s="21" t="n">
        <f aca="false">IF(AND(N4&gt;=8,N4&lt;8+36),Port_New_Per_M*INDEX(Advance!$C$14:$AL$14,1,N4-8+1)*IF(8&lt;=Port_Orig_Mths,1,0),0)</f>
        <v>3581.4518514</v>
      </c>
      <c r="O34" s="21" t="n">
        <f aca="false">IF(AND(O4&gt;=8,O4&lt;8+36),Port_New_Per_M*INDEX(Advance!$C$14:$AL$14,1,O4-8+1)*IF(8&lt;=Port_Orig_Mths,1,0),0)</f>
        <v>3511.895406942</v>
      </c>
      <c r="P34" s="21" t="n">
        <f aca="false">IF(AND(P4&gt;=8,P4&lt;8+36),Port_New_Per_M*INDEX(Advance!$C$14:$AL$14,1,P4-8+1)*IF(8&lt;=Port_Orig_Mths,1,0),0)</f>
        <v>3440.25226915026</v>
      </c>
      <c r="Q34" s="21" t="n">
        <f aca="false">IF(AND(Q4&gt;=8,Q4&lt;8+36),Port_New_Per_M*INDEX(Advance!$C$14:$AL$14,1,Q4-8+1)*IF(8&lt;=Port_Orig_Mths,1,0),0)</f>
        <v>3366.45983722477</v>
      </c>
      <c r="R34" s="21" t="n">
        <f aca="false">IF(AND(R4&gt;=8,R4&lt;8+36),Port_New_Per_M*INDEX(Advance!$C$14:$AL$14,1,R4-8+1)*IF(8&lt;=Port_Orig_Mths,1,0),0)</f>
        <v>3290.45363234151</v>
      </c>
      <c r="S34" s="21" t="n">
        <f aca="false">IF(AND(S4&gt;=8,S4&lt;8+36),Port_New_Per_M*INDEX(Advance!$C$14:$AL$14,1,S4-8+1)*IF(8&lt;=Port_Orig_Mths,1,0),0)</f>
        <v>3212.16724131176</v>
      </c>
      <c r="T34" s="21" t="n">
        <f aca="false">IF(AND(T4&gt;=8,T4&lt;8+36),Port_New_Per_M*INDEX(Advance!$C$14:$AL$14,1,T4-8+1)*IF(8&lt;=Port_Orig_Mths,1,0),0)</f>
        <v>3131.53225855111</v>
      </c>
      <c r="U34" s="21" t="n">
        <f aca="false">IF(AND(U4&gt;=8,U4&lt;8+36),Port_New_Per_M*INDEX(Advance!$C$14:$AL$14,1,U4-8+1)*IF(8&lt;=Port_Orig_Mths,1,0),0)</f>
        <v>3048.47822630764</v>
      </c>
      <c r="V34" s="21" t="n">
        <f aca="false">IF(AND(V4&gt;=8,V4&lt;8+36),Port_New_Per_M*INDEX(Advance!$C$14:$AL$14,1,V4-8+1)*IF(8&lt;=Port_Orig_Mths,1,0),0)</f>
        <v>2962.93257309687</v>
      </c>
      <c r="W34" s="21" t="n">
        <f aca="false">IF(AND(W4&gt;=8,W4&lt;8+36),Port_New_Per_M*INDEX(Advance!$C$14:$AL$14,1,W4-8+1)*IF(8&lt;=Port_Orig_Mths,1,0),0)</f>
        <v>2874.82055028978</v>
      </c>
      <c r="X34" s="21" t="n">
        <f aca="false">IF(AND(X4&gt;=8,X4&lt;8+36),Port_New_Per_M*INDEX(Advance!$C$14:$AL$14,1,X4-8+1)*IF(8&lt;=Port_Orig_Mths,1,0),0)</f>
        <v>2784.06516679847</v>
      </c>
      <c r="Y34" s="21" t="n">
        <f aca="false">IF(AND(Y4&gt;=8,Y4&lt;8+36),Port_New_Per_M*INDEX(Advance!$C$14:$AL$14,1,Y4-8+1)*IF(8&lt;=Port_Orig_Mths,1,0),0)</f>
        <v>2690.58712180243</v>
      </c>
      <c r="Z34" s="21" t="n">
        <f aca="false">IF(AND(Z4&gt;=8,Z4&lt;8+36),Port_New_Per_M*INDEX(Advance!$C$14:$AL$14,1,Z4-8+1)*IF(8&lt;=Port_Orig_Mths,1,0),0)</f>
        <v>2594.3047354565</v>
      </c>
    </row>
    <row r="35" customFormat="false" ht="15" hidden="false" customHeight="false" outlineLevel="0" collapsed="false">
      <c r="B35" s="29" t="s">
        <v>122</v>
      </c>
      <c r="C35" s="21" t="n">
        <f aca="false">IF(AND(C4&gt;=9,C4&lt;9+36),Port_New_Per_M*INDEX(Advance!$C$14:$AL$14,1,C4-9+1)*IF(9&lt;=Port_Orig_Mths,1,0),0)</f>
        <v>0</v>
      </c>
      <c r="D35" s="21" t="n">
        <f aca="false">IF(AND(D4&gt;=9,D4&lt;9+36),Port_New_Per_M*INDEX(Advance!$C$14:$AL$14,1,D4-9+1)*IF(9&lt;=Port_Orig_Mths,1,0),0)</f>
        <v>0</v>
      </c>
      <c r="E35" s="21" t="n">
        <f aca="false">IF(AND(E4&gt;=9,E4&lt;9+36),Port_New_Per_M*INDEX(Advance!$C$14:$AL$14,1,E4-9+1)*IF(9&lt;=Port_Orig_Mths,1,0),0)</f>
        <v>0</v>
      </c>
      <c r="F35" s="21" t="n">
        <f aca="false">IF(AND(F4&gt;=9,F4&lt;9+36),Port_New_Per_M*INDEX(Advance!$C$14:$AL$14,1,F4-9+1)*IF(9&lt;=Port_Orig_Mths,1,0),0)</f>
        <v>0</v>
      </c>
      <c r="G35" s="21" t="n">
        <f aca="false">IF(AND(G4&gt;=9,G4&lt;9+36),Port_New_Per_M*INDEX(Advance!$C$14:$AL$14,1,G4-9+1)*IF(9&lt;=Port_Orig_Mths,1,0),0)</f>
        <v>0</v>
      </c>
      <c r="H35" s="21" t="n">
        <f aca="false">IF(AND(H4&gt;=9,H4&lt;9+36),Port_New_Per_M*INDEX(Advance!$C$14:$AL$14,1,H4-9+1)*IF(9&lt;=Port_Orig_Mths,1,0),0)</f>
        <v>0</v>
      </c>
      <c r="I35" s="21" t="n">
        <f aca="false">IF(AND(I4&gt;=9,I4&lt;9+36),Port_New_Per_M*INDEX(Advance!$C$14:$AL$14,1,I4-9+1)*IF(9&lt;=Port_Orig_Mths,1,0),0)</f>
        <v>0</v>
      </c>
      <c r="J35" s="21" t="n">
        <f aca="false">IF(AND(J4&gt;=9,J4&lt;9+36),Port_New_Per_M*INDEX(Advance!$C$14:$AL$14,1,J4-9+1)*IF(9&lt;=Port_Orig_Mths,1,0),0)</f>
        <v>0</v>
      </c>
      <c r="K35" s="21" t="n">
        <f aca="false">IF(AND(K4&gt;=9,K4&lt;9+36),Port_New_Per_M*INDEX(Advance!$C$14:$AL$14,1,K4-9+1)*IF(9&lt;=Port_Orig_Mths,1,0),0)</f>
        <v>3840</v>
      </c>
      <c r="L35" s="21" t="n">
        <f aca="false">IF(AND(L4&gt;=9,L4&lt;9+36),Port_New_Per_M*INDEX(Advance!$C$14:$AL$14,1,L4-9+1)*IF(9&lt;=Port_Orig_Mths,1,0),0)</f>
        <v>3778.2</v>
      </c>
      <c r="M35" s="21" t="n">
        <f aca="false">IF(AND(M4&gt;=9,M4&lt;9+36),Port_New_Per_M*INDEX(Advance!$C$14:$AL$14,1,M4-9+1)*IF(9&lt;=Port_Orig_Mths,1,0),0)</f>
        <v>3714.546</v>
      </c>
      <c r="N35" s="21" t="n">
        <f aca="false">IF(AND(N4&gt;=9,N4&lt;9+36),Port_New_Per_M*INDEX(Advance!$C$14:$AL$14,1,N4-9+1)*IF(9&lt;=Port_Orig_Mths,1,0),0)</f>
        <v>3648.98238</v>
      </c>
      <c r="O35" s="21" t="n">
        <f aca="false">IF(AND(O4&gt;=9,O4&lt;9+36),Port_New_Per_M*INDEX(Advance!$C$14:$AL$14,1,O4-9+1)*IF(9&lt;=Port_Orig_Mths,1,0),0)</f>
        <v>3581.4518514</v>
      </c>
      <c r="P35" s="21" t="n">
        <f aca="false">IF(AND(P4&gt;=9,P4&lt;9+36),Port_New_Per_M*INDEX(Advance!$C$14:$AL$14,1,P4-9+1)*IF(9&lt;=Port_Orig_Mths,1,0),0)</f>
        <v>3511.895406942</v>
      </c>
      <c r="Q35" s="21" t="n">
        <f aca="false">IF(AND(Q4&gt;=9,Q4&lt;9+36),Port_New_Per_M*INDEX(Advance!$C$14:$AL$14,1,Q4-9+1)*IF(9&lt;=Port_Orig_Mths,1,0),0)</f>
        <v>3440.25226915026</v>
      </c>
      <c r="R35" s="21" t="n">
        <f aca="false">IF(AND(R4&gt;=9,R4&lt;9+36),Port_New_Per_M*INDEX(Advance!$C$14:$AL$14,1,R4-9+1)*IF(9&lt;=Port_Orig_Mths,1,0),0)</f>
        <v>3366.45983722477</v>
      </c>
      <c r="S35" s="21" t="n">
        <f aca="false">IF(AND(S4&gt;=9,S4&lt;9+36),Port_New_Per_M*INDEX(Advance!$C$14:$AL$14,1,S4-9+1)*IF(9&lt;=Port_Orig_Mths,1,0),0)</f>
        <v>3290.45363234151</v>
      </c>
      <c r="T35" s="21" t="n">
        <f aca="false">IF(AND(T4&gt;=9,T4&lt;9+36),Port_New_Per_M*INDEX(Advance!$C$14:$AL$14,1,T4-9+1)*IF(9&lt;=Port_Orig_Mths,1,0),0)</f>
        <v>3212.16724131176</v>
      </c>
      <c r="U35" s="21" t="n">
        <f aca="false">IF(AND(U4&gt;=9,U4&lt;9+36),Port_New_Per_M*INDEX(Advance!$C$14:$AL$14,1,U4-9+1)*IF(9&lt;=Port_Orig_Mths,1,0),0)</f>
        <v>3131.53225855111</v>
      </c>
      <c r="V35" s="21" t="n">
        <f aca="false">IF(AND(V4&gt;=9,V4&lt;9+36),Port_New_Per_M*INDEX(Advance!$C$14:$AL$14,1,V4-9+1)*IF(9&lt;=Port_Orig_Mths,1,0),0)</f>
        <v>3048.47822630764</v>
      </c>
      <c r="W35" s="21" t="n">
        <f aca="false">IF(AND(W4&gt;=9,W4&lt;9+36),Port_New_Per_M*INDEX(Advance!$C$14:$AL$14,1,W4-9+1)*IF(9&lt;=Port_Orig_Mths,1,0),0)</f>
        <v>2962.93257309687</v>
      </c>
      <c r="X35" s="21" t="n">
        <f aca="false">IF(AND(X4&gt;=9,X4&lt;9+36),Port_New_Per_M*INDEX(Advance!$C$14:$AL$14,1,X4-9+1)*IF(9&lt;=Port_Orig_Mths,1,0),0)</f>
        <v>2874.82055028978</v>
      </c>
      <c r="Y35" s="21" t="n">
        <f aca="false">IF(AND(Y4&gt;=9,Y4&lt;9+36),Port_New_Per_M*INDEX(Advance!$C$14:$AL$14,1,Y4-9+1)*IF(9&lt;=Port_Orig_Mths,1,0),0)</f>
        <v>2784.06516679847</v>
      </c>
      <c r="Z35" s="21" t="n">
        <f aca="false">IF(AND(Z4&gt;=9,Z4&lt;9+36),Port_New_Per_M*INDEX(Advance!$C$14:$AL$14,1,Z4-9+1)*IF(9&lt;=Port_Orig_Mths,1,0),0)</f>
        <v>2690.58712180243</v>
      </c>
    </row>
    <row r="36" customFormat="false" ht="15" hidden="false" customHeight="false" outlineLevel="0" collapsed="false">
      <c r="B36" s="29" t="s">
        <v>123</v>
      </c>
      <c r="C36" s="21" t="n">
        <f aca="false">IF(AND(C4&gt;=10,C4&lt;10+36),Port_New_Per_M*INDEX(Advance!$C$14:$AL$14,1,C4-10+1)*IF(10&lt;=Port_Orig_Mths,1,0),0)</f>
        <v>0</v>
      </c>
      <c r="D36" s="21" t="n">
        <f aca="false">IF(AND(D4&gt;=10,D4&lt;10+36),Port_New_Per_M*INDEX(Advance!$C$14:$AL$14,1,D4-10+1)*IF(10&lt;=Port_Orig_Mths,1,0),0)</f>
        <v>0</v>
      </c>
      <c r="E36" s="21" t="n">
        <f aca="false">IF(AND(E4&gt;=10,E4&lt;10+36),Port_New_Per_M*INDEX(Advance!$C$14:$AL$14,1,E4-10+1)*IF(10&lt;=Port_Orig_Mths,1,0),0)</f>
        <v>0</v>
      </c>
      <c r="F36" s="21" t="n">
        <f aca="false">IF(AND(F4&gt;=10,F4&lt;10+36),Port_New_Per_M*INDEX(Advance!$C$14:$AL$14,1,F4-10+1)*IF(10&lt;=Port_Orig_Mths,1,0),0)</f>
        <v>0</v>
      </c>
      <c r="G36" s="21" t="n">
        <f aca="false">IF(AND(G4&gt;=10,G4&lt;10+36),Port_New_Per_M*INDEX(Advance!$C$14:$AL$14,1,G4-10+1)*IF(10&lt;=Port_Orig_Mths,1,0),0)</f>
        <v>0</v>
      </c>
      <c r="H36" s="21" t="n">
        <f aca="false">IF(AND(H4&gt;=10,H4&lt;10+36),Port_New_Per_M*INDEX(Advance!$C$14:$AL$14,1,H4-10+1)*IF(10&lt;=Port_Orig_Mths,1,0),0)</f>
        <v>0</v>
      </c>
      <c r="I36" s="21" t="n">
        <f aca="false">IF(AND(I4&gt;=10,I4&lt;10+36),Port_New_Per_M*INDEX(Advance!$C$14:$AL$14,1,I4-10+1)*IF(10&lt;=Port_Orig_Mths,1,0),0)</f>
        <v>0</v>
      </c>
      <c r="J36" s="21" t="n">
        <f aca="false">IF(AND(J4&gt;=10,J4&lt;10+36),Port_New_Per_M*INDEX(Advance!$C$14:$AL$14,1,J4-10+1)*IF(10&lt;=Port_Orig_Mths,1,0),0)</f>
        <v>0</v>
      </c>
      <c r="K36" s="21" t="n">
        <f aca="false">IF(AND(K4&gt;=10,K4&lt;10+36),Port_New_Per_M*INDEX(Advance!$C$14:$AL$14,1,K4-10+1)*IF(10&lt;=Port_Orig_Mths,1,0),0)</f>
        <v>0</v>
      </c>
      <c r="L36" s="21" t="n">
        <f aca="false">IF(AND(L4&gt;=10,L4&lt;10+36),Port_New_Per_M*INDEX(Advance!$C$14:$AL$14,1,L4-10+1)*IF(10&lt;=Port_Orig_Mths,1,0),0)</f>
        <v>3840</v>
      </c>
      <c r="M36" s="21" t="n">
        <f aca="false">IF(AND(M4&gt;=10,M4&lt;10+36),Port_New_Per_M*INDEX(Advance!$C$14:$AL$14,1,M4-10+1)*IF(10&lt;=Port_Orig_Mths,1,0),0)</f>
        <v>3778.2</v>
      </c>
      <c r="N36" s="21" t="n">
        <f aca="false">IF(AND(N4&gt;=10,N4&lt;10+36),Port_New_Per_M*INDEX(Advance!$C$14:$AL$14,1,N4-10+1)*IF(10&lt;=Port_Orig_Mths,1,0),0)</f>
        <v>3714.546</v>
      </c>
      <c r="O36" s="21" t="n">
        <f aca="false">IF(AND(O4&gt;=10,O4&lt;10+36),Port_New_Per_M*INDEX(Advance!$C$14:$AL$14,1,O4-10+1)*IF(10&lt;=Port_Orig_Mths,1,0),0)</f>
        <v>3648.98238</v>
      </c>
      <c r="P36" s="21" t="n">
        <f aca="false">IF(AND(P4&gt;=10,P4&lt;10+36),Port_New_Per_M*INDEX(Advance!$C$14:$AL$14,1,P4-10+1)*IF(10&lt;=Port_Orig_Mths,1,0),0)</f>
        <v>3581.4518514</v>
      </c>
      <c r="Q36" s="21" t="n">
        <f aca="false">IF(AND(Q4&gt;=10,Q4&lt;10+36),Port_New_Per_M*INDEX(Advance!$C$14:$AL$14,1,Q4-10+1)*IF(10&lt;=Port_Orig_Mths,1,0),0)</f>
        <v>3511.895406942</v>
      </c>
      <c r="R36" s="21" t="n">
        <f aca="false">IF(AND(R4&gt;=10,R4&lt;10+36),Port_New_Per_M*INDEX(Advance!$C$14:$AL$14,1,R4-10+1)*IF(10&lt;=Port_Orig_Mths,1,0),0)</f>
        <v>3440.25226915026</v>
      </c>
      <c r="S36" s="21" t="n">
        <f aca="false">IF(AND(S4&gt;=10,S4&lt;10+36),Port_New_Per_M*INDEX(Advance!$C$14:$AL$14,1,S4-10+1)*IF(10&lt;=Port_Orig_Mths,1,0),0)</f>
        <v>3366.45983722477</v>
      </c>
      <c r="T36" s="21" t="n">
        <f aca="false">IF(AND(T4&gt;=10,T4&lt;10+36),Port_New_Per_M*INDEX(Advance!$C$14:$AL$14,1,T4-10+1)*IF(10&lt;=Port_Orig_Mths,1,0),0)</f>
        <v>3290.45363234151</v>
      </c>
      <c r="U36" s="21" t="n">
        <f aca="false">IF(AND(U4&gt;=10,U4&lt;10+36),Port_New_Per_M*INDEX(Advance!$C$14:$AL$14,1,U4-10+1)*IF(10&lt;=Port_Orig_Mths,1,0),0)</f>
        <v>3212.16724131176</v>
      </c>
      <c r="V36" s="21" t="n">
        <f aca="false">IF(AND(V4&gt;=10,V4&lt;10+36),Port_New_Per_M*INDEX(Advance!$C$14:$AL$14,1,V4-10+1)*IF(10&lt;=Port_Orig_Mths,1,0),0)</f>
        <v>3131.53225855111</v>
      </c>
      <c r="W36" s="21" t="n">
        <f aca="false">IF(AND(W4&gt;=10,W4&lt;10+36),Port_New_Per_M*INDEX(Advance!$C$14:$AL$14,1,W4-10+1)*IF(10&lt;=Port_Orig_Mths,1,0),0)</f>
        <v>3048.47822630764</v>
      </c>
      <c r="X36" s="21" t="n">
        <f aca="false">IF(AND(X4&gt;=10,X4&lt;10+36),Port_New_Per_M*INDEX(Advance!$C$14:$AL$14,1,X4-10+1)*IF(10&lt;=Port_Orig_Mths,1,0),0)</f>
        <v>2962.93257309687</v>
      </c>
      <c r="Y36" s="21" t="n">
        <f aca="false">IF(AND(Y4&gt;=10,Y4&lt;10+36),Port_New_Per_M*INDEX(Advance!$C$14:$AL$14,1,Y4-10+1)*IF(10&lt;=Port_Orig_Mths,1,0),0)</f>
        <v>2874.82055028978</v>
      </c>
      <c r="Z36" s="21" t="n">
        <f aca="false">IF(AND(Z4&gt;=10,Z4&lt;10+36),Port_New_Per_M*INDEX(Advance!$C$14:$AL$14,1,Z4-10+1)*IF(10&lt;=Port_Orig_Mths,1,0),0)</f>
        <v>2784.06516679847</v>
      </c>
    </row>
    <row r="37" customFormat="false" ht="15" hidden="false" customHeight="false" outlineLevel="0" collapsed="false">
      <c r="B37" s="29" t="s">
        <v>124</v>
      </c>
      <c r="C37" s="21" t="n">
        <f aca="false">IF(AND(C4&gt;=11,C4&lt;11+36),Port_New_Per_M*INDEX(Advance!$C$14:$AL$14,1,C4-11+1)*IF(11&lt;=Port_Orig_Mths,1,0),0)</f>
        <v>0</v>
      </c>
      <c r="D37" s="21" t="n">
        <f aca="false">IF(AND(D4&gt;=11,D4&lt;11+36),Port_New_Per_M*INDEX(Advance!$C$14:$AL$14,1,D4-11+1)*IF(11&lt;=Port_Orig_Mths,1,0),0)</f>
        <v>0</v>
      </c>
      <c r="E37" s="21" t="n">
        <f aca="false">IF(AND(E4&gt;=11,E4&lt;11+36),Port_New_Per_M*INDEX(Advance!$C$14:$AL$14,1,E4-11+1)*IF(11&lt;=Port_Orig_Mths,1,0),0)</f>
        <v>0</v>
      </c>
      <c r="F37" s="21" t="n">
        <f aca="false">IF(AND(F4&gt;=11,F4&lt;11+36),Port_New_Per_M*INDEX(Advance!$C$14:$AL$14,1,F4-11+1)*IF(11&lt;=Port_Orig_Mths,1,0),0)</f>
        <v>0</v>
      </c>
      <c r="G37" s="21" t="n">
        <f aca="false">IF(AND(G4&gt;=11,G4&lt;11+36),Port_New_Per_M*INDEX(Advance!$C$14:$AL$14,1,G4-11+1)*IF(11&lt;=Port_Orig_Mths,1,0),0)</f>
        <v>0</v>
      </c>
      <c r="H37" s="21" t="n">
        <f aca="false">IF(AND(H4&gt;=11,H4&lt;11+36),Port_New_Per_M*INDEX(Advance!$C$14:$AL$14,1,H4-11+1)*IF(11&lt;=Port_Orig_Mths,1,0),0)</f>
        <v>0</v>
      </c>
      <c r="I37" s="21" t="n">
        <f aca="false">IF(AND(I4&gt;=11,I4&lt;11+36),Port_New_Per_M*INDEX(Advance!$C$14:$AL$14,1,I4-11+1)*IF(11&lt;=Port_Orig_Mths,1,0),0)</f>
        <v>0</v>
      </c>
      <c r="J37" s="21" t="n">
        <f aca="false">IF(AND(J4&gt;=11,J4&lt;11+36),Port_New_Per_M*INDEX(Advance!$C$14:$AL$14,1,J4-11+1)*IF(11&lt;=Port_Orig_Mths,1,0),0)</f>
        <v>0</v>
      </c>
      <c r="K37" s="21" t="n">
        <f aca="false">IF(AND(K4&gt;=11,K4&lt;11+36),Port_New_Per_M*INDEX(Advance!$C$14:$AL$14,1,K4-11+1)*IF(11&lt;=Port_Orig_Mths,1,0),0)</f>
        <v>0</v>
      </c>
      <c r="L37" s="21" t="n">
        <f aca="false">IF(AND(L4&gt;=11,L4&lt;11+36),Port_New_Per_M*INDEX(Advance!$C$14:$AL$14,1,L4-11+1)*IF(11&lt;=Port_Orig_Mths,1,0),0)</f>
        <v>0</v>
      </c>
      <c r="M37" s="21" t="n">
        <f aca="false">IF(AND(M4&gt;=11,M4&lt;11+36),Port_New_Per_M*INDEX(Advance!$C$14:$AL$14,1,M4-11+1)*IF(11&lt;=Port_Orig_Mths,1,0),0)</f>
        <v>3840</v>
      </c>
      <c r="N37" s="21" t="n">
        <f aca="false">IF(AND(N4&gt;=11,N4&lt;11+36),Port_New_Per_M*INDEX(Advance!$C$14:$AL$14,1,N4-11+1)*IF(11&lt;=Port_Orig_Mths,1,0),0)</f>
        <v>3778.2</v>
      </c>
      <c r="O37" s="21" t="n">
        <f aca="false">IF(AND(O4&gt;=11,O4&lt;11+36),Port_New_Per_M*INDEX(Advance!$C$14:$AL$14,1,O4-11+1)*IF(11&lt;=Port_Orig_Mths,1,0),0)</f>
        <v>3714.546</v>
      </c>
      <c r="P37" s="21" t="n">
        <f aca="false">IF(AND(P4&gt;=11,P4&lt;11+36),Port_New_Per_M*INDEX(Advance!$C$14:$AL$14,1,P4-11+1)*IF(11&lt;=Port_Orig_Mths,1,0),0)</f>
        <v>3648.98238</v>
      </c>
      <c r="Q37" s="21" t="n">
        <f aca="false">IF(AND(Q4&gt;=11,Q4&lt;11+36),Port_New_Per_M*INDEX(Advance!$C$14:$AL$14,1,Q4-11+1)*IF(11&lt;=Port_Orig_Mths,1,0),0)</f>
        <v>3581.4518514</v>
      </c>
      <c r="R37" s="21" t="n">
        <f aca="false">IF(AND(R4&gt;=11,R4&lt;11+36),Port_New_Per_M*INDEX(Advance!$C$14:$AL$14,1,R4-11+1)*IF(11&lt;=Port_Orig_Mths,1,0),0)</f>
        <v>3511.895406942</v>
      </c>
      <c r="S37" s="21" t="n">
        <f aca="false">IF(AND(S4&gt;=11,S4&lt;11+36),Port_New_Per_M*INDEX(Advance!$C$14:$AL$14,1,S4-11+1)*IF(11&lt;=Port_Orig_Mths,1,0),0)</f>
        <v>3440.25226915026</v>
      </c>
      <c r="T37" s="21" t="n">
        <f aca="false">IF(AND(T4&gt;=11,T4&lt;11+36),Port_New_Per_M*INDEX(Advance!$C$14:$AL$14,1,T4-11+1)*IF(11&lt;=Port_Orig_Mths,1,0),0)</f>
        <v>3366.45983722477</v>
      </c>
      <c r="U37" s="21" t="n">
        <f aca="false">IF(AND(U4&gt;=11,U4&lt;11+36),Port_New_Per_M*INDEX(Advance!$C$14:$AL$14,1,U4-11+1)*IF(11&lt;=Port_Orig_Mths,1,0),0)</f>
        <v>3290.45363234151</v>
      </c>
      <c r="V37" s="21" t="n">
        <f aca="false">IF(AND(V4&gt;=11,V4&lt;11+36),Port_New_Per_M*INDEX(Advance!$C$14:$AL$14,1,V4-11+1)*IF(11&lt;=Port_Orig_Mths,1,0),0)</f>
        <v>3212.16724131176</v>
      </c>
      <c r="W37" s="21" t="n">
        <f aca="false">IF(AND(W4&gt;=11,W4&lt;11+36),Port_New_Per_M*INDEX(Advance!$C$14:$AL$14,1,W4-11+1)*IF(11&lt;=Port_Orig_Mths,1,0),0)</f>
        <v>3131.53225855111</v>
      </c>
      <c r="X37" s="21" t="n">
        <f aca="false">IF(AND(X4&gt;=11,X4&lt;11+36),Port_New_Per_M*INDEX(Advance!$C$14:$AL$14,1,X4-11+1)*IF(11&lt;=Port_Orig_Mths,1,0),0)</f>
        <v>3048.47822630764</v>
      </c>
      <c r="Y37" s="21" t="n">
        <f aca="false">IF(AND(Y4&gt;=11,Y4&lt;11+36),Port_New_Per_M*INDEX(Advance!$C$14:$AL$14,1,Y4-11+1)*IF(11&lt;=Port_Orig_Mths,1,0),0)</f>
        <v>2962.93257309687</v>
      </c>
      <c r="Z37" s="21" t="n">
        <f aca="false">IF(AND(Z4&gt;=11,Z4&lt;11+36),Port_New_Per_M*INDEX(Advance!$C$14:$AL$14,1,Z4-11+1)*IF(11&lt;=Port_Orig_Mths,1,0),0)</f>
        <v>2874.82055028978</v>
      </c>
    </row>
    <row r="38" customFormat="false" ht="15" hidden="false" customHeight="false" outlineLevel="0" collapsed="false">
      <c r="B38" s="29" t="s">
        <v>125</v>
      </c>
      <c r="C38" s="21" t="n">
        <f aca="false">IF(AND(C4&gt;=12,C4&lt;12+36),Port_New_Per_M*INDEX(Advance!$C$14:$AL$14,1,C4-12+1)*IF(12&lt;=Port_Orig_Mths,1,0),0)</f>
        <v>0</v>
      </c>
      <c r="D38" s="21" t="n">
        <f aca="false">IF(AND(D4&gt;=12,D4&lt;12+36),Port_New_Per_M*INDEX(Advance!$C$14:$AL$14,1,D4-12+1)*IF(12&lt;=Port_Orig_Mths,1,0),0)</f>
        <v>0</v>
      </c>
      <c r="E38" s="21" t="n">
        <f aca="false">IF(AND(E4&gt;=12,E4&lt;12+36),Port_New_Per_M*INDEX(Advance!$C$14:$AL$14,1,E4-12+1)*IF(12&lt;=Port_Orig_Mths,1,0),0)</f>
        <v>0</v>
      </c>
      <c r="F38" s="21" t="n">
        <f aca="false">IF(AND(F4&gt;=12,F4&lt;12+36),Port_New_Per_M*INDEX(Advance!$C$14:$AL$14,1,F4-12+1)*IF(12&lt;=Port_Orig_Mths,1,0),0)</f>
        <v>0</v>
      </c>
      <c r="G38" s="21" t="n">
        <f aca="false">IF(AND(G4&gt;=12,G4&lt;12+36),Port_New_Per_M*INDEX(Advance!$C$14:$AL$14,1,G4-12+1)*IF(12&lt;=Port_Orig_Mths,1,0),0)</f>
        <v>0</v>
      </c>
      <c r="H38" s="21" t="n">
        <f aca="false">IF(AND(H4&gt;=12,H4&lt;12+36),Port_New_Per_M*INDEX(Advance!$C$14:$AL$14,1,H4-12+1)*IF(12&lt;=Port_Orig_Mths,1,0),0)</f>
        <v>0</v>
      </c>
      <c r="I38" s="21" t="n">
        <f aca="false">IF(AND(I4&gt;=12,I4&lt;12+36),Port_New_Per_M*INDEX(Advance!$C$14:$AL$14,1,I4-12+1)*IF(12&lt;=Port_Orig_Mths,1,0),0)</f>
        <v>0</v>
      </c>
      <c r="J38" s="21" t="n">
        <f aca="false">IF(AND(J4&gt;=12,J4&lt;12+36),Port_New_Per_M*INDEX(Advance!$C$14:$AL$14,1,J4-12+1)*IF(12&lt;=Port_Orig_Mths,1,0),0)</f>
        <v>0</v>
      </c>
      <c r="K38" s="21" t="n">
        <f aca="false">IF(AND(K4&gt;=12,K4&lt;12+36),Port_New_Per_M*INDEX(Advance!$C$14:$AL$14,1,K4-12+1)*IF(12&lt;=Port_Orig_Mths,1,0),0)</f>
        <v>0</v>
      </c>
      <c r="L38" s="21" t="n">
        <f aca="false">IF(AND(L4&gt;=12,L4&lt;12+36),Port_New_Per_M*INDEX(Advance!$C$14:$AL$14,1,L4-12+1)*IF(12&lt;=Port_Orig_Mths,1,0),0)</f>
        <v>0</v>
      </c>
      <c r="M38" s="21" t="n">
        <f aca="false">IF(AND(M4&gt;=12,M4&lt;12+36),Port_New_Per_M*INDEX(Advance!$C$14:$AL$14,1,M4-12+1)*IF(12&lt;=Port_Orig_Mths,1,0),0)</f>
        <v>0</v>
      </c>
      <c r="N38" s="21" t="n">
        <f aca="false">IF(AND(N4&gt;=12,N4&lt;12+36),Port_New_Per_M*INDEX(Advance!$C$14:$AL$14,1,N4-12+1)*IF(12&lt;=Port_Orig_Mths,1,0),0)</f>
        <v>3840</v>
      </c>
      <c r="O38" s="21" t="n">
        <f aca="false">IF(AND(O4&gt;=12,O4&lt;12+36),Port_New_Per_M*INDEX(Advance!$C$14:$AL$14,1,O4-12+1)*IF(12&lt;=Port_Orig_Mths,1,0),0)</f>
        <v>3778.2</v>
      </c>
      <c r="P38" s="21" t="n">
        <f aca="false">IF(AND(P4&gt;=12,P4&lt;12+36),Port_New_Per_M*INDEX(Advance!$C$14:$AL$14,1,P4-12+1)*IF(12&lt;=Port_Orig_Mths,1,0),0)</f>
        <v>3714.546</v>
      </c>
      <c r="Q38" s="21" t="n">
        <f aca="false">IF(AND(Q4&gt;=12,Q4&lt;12+36),Port_New_Per_M*INDEX(Advance!$C$14:$AL$14,1,Q4-12+1)*IF(12&lt;=Port_Orig_Mths,1,0),0)</f>
        <v>3648.98238</v>
      </c>
      <c r="R38" s="21" t="n">
        <f aca="false">IF(AND(R4&gt;=12,R4&lt;12+36),Port_New_Per_M*INDEX(Advance!$C$14:$AL$14,1,R4-12+1)*IF(12&lt;=Port_Orig_Mths,1,0),0)</f>
        <v>3581.4518514</v>
      </c>
      <c r="S38" s="21" t="n">
        <f aca="false">IF(AND(S4&gt;=12,S4&lt;12+36),Port_New_Per_M*INDEX(Advance!$C$14:$AL$14,1,S4-12+1)*IF(12&lt;=Port_Orig_Mths,1,0),0)</f>
        <v>3511.895406942</v>
      </c>
      <c r="T38" s="21" t="n">
        <f aca="false">IF(AND(T4&gt;=12,T4&lt;12+36),Port_New_Per_M*INDEX(Advance!$C$14:$AL$14,1,T4-12+1)*IF(12&lt;=Port_Orig_Mths,1,0),0)</f>
        <v>3440.25226915026</v>
      </c>
      <c r="U38" s="21" t="n">
        <f aca="false">IF(AND(U4&gt;=12,U4&lt;12+36),Port_New_Per_M*INDEX(Advance!$C$14:$AL$14,1,U4-12+1)*IF(12&lt;=Port_Orig_Mths,1,0),0)</f>
        <v>3366.45983722477</v>
      </c>
      <c r="V38" s="21" t="n">
        <f aca="false">IF(AND(V4&gt;=12,V4&lt;12+36),Port_New_Per_M*INDEX(Advance!$C$14:$AL$14,1,V4-12+1)*IF(12&lt;=Port_Orig_Mths,1,0),0)</f>
        <v>3290.45363234151</v>
      </c>
      <c r="W38" s="21" t="n">
        <f aca="false">IF(AND(W4&gt;=12,W4&lt;12+36),Port_New_Per_M*INDEX(Advance!$C$14:$AL$14,1,W4-12+1)*IF(12&lt;=Port_Orig_Mths,1,0),0)</f>
        <v>3212.16724131176</v>
      </c>
      <c r="X38" s="21" t="n">
        <f aca="false">IF(AND(X4&gt;=12,X4&lt;12+36),Port_New_Per_M*INDEX(Advance!$C$14:$AL$14,1,X4-12+1)*IF(12&lt;=Port_Orig_Mths,1,0),0)</f>
        <v>3131.53225855111</v>
      </c>
      <c r="Y38" s="21" t="n">
        <f aca="false">IF(AND(Y4&gt;=12,Y4&lt;12+36),Port_New_Per_M*INDEX(Advance!$C$14:$AL$14,1,Y4-12+1)*IF(12&lt;=Port_Orig_Mths,1,0),0)</f>
        <v>3048.47822630764</v>
      </c>
      <c r="Z38" s="21" t="n">
        <f aca="false">IF(AND(Z4&gt;=12,Z4&lt;12+36),Port_New_Per_M*INDEX(Advance!$C$14:$AL$14,1,Z4-12+1)*IF(12&lt;=Port_Orig_Mths,1,0),0)</f>
        <v>2962.93257309687</v>
      </c>
    </row>
    <row r="40" customFormat="false" ht="15" hidden="false" customHeight="false" outlineLevel="0" collapsed="false">
      <c r="B40" s="12" t="s">
        <v>126</v>
      </c>
      <c r="C40" s="13"/>
      <c r="D40" s="13"/>
      <c r="E40" s="13"/>
    </row>
    <row r="41" customFormat="false" ht="15" hidden="false" customHeight="false" outlineLevel="0" collapsed="false">
      <c r="B41" s="29" t="s">
        <v>127</v>
      </c>
      <c r="C41" s="21" t="n">
        <f aca="false">IF(AND(C4&gt;=1,C4&lt;1+36),Port_New_Per_M*INDEX(Advance!$C$13:$AL$13,1,C4-1+1)*IF(1&lt;=Port_Orig_Mths,1,0),0)</f>
        <v>60</v>
      </c>
      <c r="D41" s="21" t="n">
        <f aca="false">IF(AND(D4&gt;=1,D4&lt;1+36),Port_New_Per_M*INDEX(Advance!$C$13:$AL$13,1,D4-1+1)*IF(1&lt;=Port_Orig_Mths,1,0),0)</f>
        <v>61.8</v>
      </c>
      <c r="E41" s="21" t="n">
        <f aca="false">IF(AND(E4&gt;=1,E4&lt;1+36),Port_New_Per_M*INDEX(Advance!$C$13:$AL$13,1,E4-1+1)*IF(1&lt;=Port_Orig_Mths,1,0),0)</f>
        <v>63.654</v>
      </c>
      <c r="F41" s="21" t="n">
        <f aca="false">IF(AND(F4&gt;=1,F4&lt;1+36),Port_New_Per_M*INDEX(Advance!$C$13:$AL$13,1,F4-1+1)*IF(1&lt;=Port_Orig_Mths,1,0),0)</f>
        <v>65.56362</v>
      </c>
      <c r="G41" s="21" t="n">
        <f aca="false">IF(AND(G4&gt;=1,G4&lt;1+36),Port_New_Per_M*INDEX(Advance!$C$13:$AL$13,1,G4-1+1)*IF(1&lt;=Port_Orig_Mths,1,0),0)</f>
        <v>67.5305286</v>
      </c>
      <c r="H41" s="21" t="n">
        <f aca="false">IF(AND(H4&gt;=1,H4&lt;1+36),Port_New_Per_M*INDEX(Advance!$C$13:$AL$13,1,H4-1+1)*IF(1&lt;=Port_Orig_Mths,1,0),0)</f>
        <v>69.556444458</v>
      </c>
      <c r="I41" s="21" t="n">
        <f aca="false">IF(AND(I4&gt;=1,I4&lt;1+36),Port_New_Per_M*INDEX(Advance!$C$13:$AL$13,1,I4-1+1)*IF(1&lt;=Port_Orig_Mths,1,0),0)</f>
        <v>71.64313779174</v>
      </c>
      <c r="J41" s="21" t="n">
        <f aca="false">IF(AND(J4&gt;=1,J4&lt;1+36),Port_New_Per_M*INDEX(Advance!$C$13:$AL$13,1,J4-1+1)*IF(1&lt;=Port_Orig_Mths,1,0),0)</f>
        <v>73.7924319254922</v>
      </c>
      <c r="K41" s="21" t="n">
        <f aca="false">IF(AND(K4&gt;=1,K4&lt;1+36),Port_New_Per_M*INDEX(Advance!$C$13:$AL$13,1,K4-1+1)*IF(1&lt;=Port_Orig_Mths,1,0),0)</f>
        <v>76.006204883257</v>
      </c>
      <c r="L41" s="21" t="n">
        <f aca="false">IF(AND(L4&gt;=1,L4&lt;1+36),Port_New_Per_M*INDEX(Advance!$C$13:$AL$13,1,L4-1+1)*IF(1&lt;=Port_Orig_Mths,1,0),0)</f>
        <v>78.2863910297547</v>
      </c>
      <c r="M41" s="21" t="n">
        <f aca="false">IF(AND(M4&gt;=1,M4&lt;1+36),Port_New_Per_M*INDEX(Advance!$C$13:$AL$13,1,M4-1+1)*IF(1&lt;=Port_Orig_Mths,1,0),0)</f>
        <v>80.6349827606474</v>
      </c>
      <c r="N41" s="21" t="n">
        <f aca="false">IF(AND(N4&gt;=1,N4&lt;1+36),Port_New_Per_M*INDEX(Advance!$C$13:$AL$13,1,N4-1+1)*IF(1&lt;=Port_Orig_Mths,1,0),0)</f>
        <v>83.0540322434668</v>
      </c>
      <c r="O41" s="21" t="n">
        <f aca="false">IF(AND(O4&gt;=1,O4&lt;1+36),Port_New_Per_M*INDEX(Advance!$C$13:$AL$13,1,O4-1+1)*IF(1&lt;=Port_Orig_Mths,1,0),0)</f>
        <v>85.5456532107708</v>
      </c>
      <c r="P41" s="21" t="n">
        <f aca="false">IF(AND(P4&gt;=1,P4&lt;1+36),Port_New_Per_M*INDEX(Advance!$C$13:$AL$13,1,P4-1+1)*IF(1&lt;=Port_Orig_Mths,1,0),0)</f>
        <v>88.1120228070939</v>
      </c>
      <c r="Q41" s="21" t="n">
        <f aca="false">IF(AND(Q4&gt;=1,Q4&lt;1+36),Port_New_Per_M*INDEX(Advance!$C$13:$AL$13,1,Q4-1+1)*IF(1&lt;=Port_Orig_Mths,1,0),0)</f>
        <v>90.7553834913067</v>
      </c>
      <c r="R41" s="21" t="n">
        <f aca="false">IF(AND(R4&gt;=1,R4&lt;1+36),Port_New_Per_M*INDEX(Advance!$C$13:$AL$13,1,R4-1+1)*IF(1&lt;=Port_Orig_Mths,1,0),0)</f>
        <v>93.4780449960459</v>
      </c>
      <c r="S41" s="21" t="n">
        <f aca="false">IF(AND(S4&gt;=1,S4&lt;1+36),Port_New_Per_M*INDEX(Advance!$C$13:$AL$13,1,S4-1+1)*IF(1&lt;=Port_Orig_Mths,1,0),0)</f>
        <v>96.2823863459273</v>
      </c>
      <c r="T41" s="21" t="n">
        <f aca="false">IF(AND(T4&gt;=1,T4&lt;1+36),Port_New_Per_M*INDEX(Advance!$C$13:$AL$13,1,T4-1+1)*IF(1&lt;=Port_Orig_Mths,1,0),0)</f>
        <v>99.1708579363051</v>
      </c>
      <c r="U41" s="21" t="n">
        <f aca="false">IF(AND(U4&gt;=1,U4&lt;1+36),Port_New_Per_M*INDEX(Advance!$C$13:$AL$13,1,U4-1+1)*IF(1&lt;=Port_Orig_Mths,1,0),0)</f>
        <v>102.145983674394</v>
      </c>
      <c r="V41" s="21" t="n">
        <f aca="false">IF(AND(V4&gt;=1,V4&lt;1+36),Port_New_Per_M*INDEX(Advance!$C$13:$AL$13,1,V4-1+1)*IF(1&lt;=Port_Orig_Mths,1,0),0)</f>
        <v>105.210363184626</v>
      </c>
      <c r="W41" s="21" t="n">
        <f aca="false">IF(AND(W4&gt;=1,W4&lt;1+36),Port_New_Per_M*INDEX(Advance!$C$13:$AL$13,1,W4-1+1)*IF(1&lt;=Port_Orig_Mths,1,0),0)</f>
        <v>108.366674080165</v>
      </c>
      <c r="X41" s="21" t="n">
        <f aca="false">IF(AND(X4&gt;=1,X4&lt;1+36),Port_New_Per_M*INDEX(Advance!$C$13:$AL$13,1,X4-1+1)*IF(1&lt;=Port_Orig_Mths,1,0),0)</f>
        <v>111.61767430257</v>
      </c>
      <c r="Y41" s="21" t="n">
        <f aca="false">IF(AND(Y4&gt;=1,Y4&lt;1+36),Port_New_Per_M*INDEX(Advance!$C$13:$AL$13,1,Y4-1+1)*IF(1&lt;=Port_Orig_Mths,1,0),0)</f>
        <v>114.966204531647</v>
      </c>
      <c r="Z41" s="21" t="n">
        <f aca="false">IF(AND(Z4&gt;=1,Z4&lt;1+36),Port_New_Per_M*INDEX(Advance!$C$13:$AL$13,1,Z4-1+1)*IF(1&lt;=Port_Orig_Mths,1,0),0)</f>
        <v>118.415190667596</v>
      </c>
    </row>
    <row r="42" customFormat="false" ht="15" hidden="false" customHeight="false" outlineLevel="0" collapsed="false">
      <c r="B42" s="29" t="s">
        <v>128</v>
      </c>
      <c r="C42" s="21" t="n">
        <f aca="false">IF(AND(C4&gt;=2,C4&lt;2+36),Port_New_Per_M*INDEX(Advance!$C$13:$AL$13,1,C4-2+1)*IF(2&lt;=Port_Orig_Mths,1,0),0)</f>
        <v>0</v>
      </c>
      <c r="D42" s="21" t="n">
        <f aca="false">IF(AND(D4&gt;=2,D4&lt;2+36),Port_New_Per_M*INDEX(Advance!$C$13:$AL$13,1,D4-2+1)*IF(2&lt;=Port_Orig_Mths,1,0),0)</f>
        <v>60</v>
      </c>
      <c r="E42" s="21" t="n">
        <f aca="false">IF(AND(E4&gt;=2,E4&lt;2+36),Port_New_Per_M*INDEX(Advance!$C$13:$AL$13,1,E4-2+1)*IF(2&lt;=Port_Orig_Mths,1,0),0)</f>
        <v>61.8</v>
      </c>
      <c r="F42" s="21" t="n">
        <f aca="false">IF(AND(F4&gt;=2,F4&lt;2+36),Port_New_Per_M*INDEX(Advance!$C$13:$AL$13,1,F4-2+1)*IF(2&lt;=Port_Orig_Mths,1,0),0)</f>
        <v>63.654</v>
      </c>
      <c r="G42" s="21" t="n">
        <f aca="false">IF(AND(G4&gt;=2,G4&lt;2+36),Port_New_Per_M*INDEX(Advance!$C$13:$AL$13,1,G4-2+1)*IF(2&lt;=Port_Orig_Mths,1,0),0)</f>
        <v>65.56362</v>
      </c>
      <c r="H42" s="21" t="n">
        <f aca="false">IF(AND(H4&gt;=2,H4&lt;2+36),Port_New_Per_M*INDEX(Advance!$C$13:$AL$13,1,H4-2+1)*IF(2&lt;=Port_Orig_Mths,1,0),0)</f>
        <v>67.5305286</v>
      </c>
      <c r="I42" s="21" t="n">
        <f aca="false">IF(AND(I4&gt;=2,I4&lt;2+36),Port_New_Per_M*INDEX(Advance!$C$13:$AL$13,1,I4-2+1)*IF(2&lt;=Port_Orig_Mths,1,0),0)</f>
        <v>69.556444458</v>
      </c>
      <c r="J42" s="21" t="n">
        <f aca="false">IF(AND(J4&gt;=2,J4&lt;2+36),Port_New_Per_M*INDEX(Advance!$C$13:$AL$13,1,J4-2+1)*IF(2&lt;=Port_Orig_Mths,1,0),0)</f>
        <v>71.64313779174</v>
      </c>
      <c r="K42" s="21" t="n">
        <f aca="false">IF(AND(K4&gt;=2,K4&lt;2+36),Port_New_Per_M*INDEX(Advance!$C$13:$AL$13,1,K4-2+1)*IF(2&lt;=Port_Orig_Mths,1,0),0)</f>
        <v>73.7924319254922</v>
      </c>
      <c r="L42" s="21" t="n">
        <f aca="false">IF(AND(L4&gt;=2,L4&lt;2+36),Port_New_Per_M*INDEX(Advance!$C$13:$AL$13,1,L4-2+1)*IF(2&lt;=Port_Orig_Mths,1,0),0)</f>
        <v>76.006204883257</v>
      </c>
      <c r="M42" s="21" t="n">
        <f aca="false">IF(AND(M4&gt;=2,M4&lt;2+36),Port_New_Per_M*INDEX(Advance!$C$13:$AL$13,1,M4-2+1)*IF(2&lt;=Port_Orig_Mths,1,0),0)</f>
        <v>78.2863910297547</v>
      </c>
      <c r="N42" s="21" t="n">
        <f aca="false">IF(AND(N4&gt;=2,N4&lt;2+36),Port_New_Per_M*INDEX(Advance!$C$13:$AL$13,1,N4-2+1)*IF(2&lt;=Port_Orig_Mths,1,0),0)</f>
        <v>80.6349827606474</v>
      </c>
      <c r="O42" s="21" t="n">
        <f aca="false">IF(AND(O4&gt;=2,O4&lt;2+36),Port_New_Per_M*INDEX(Advance!$C$13:$AL$13,1,O4-2+1)*IF(2&lt;=Port_Orig_Mths,1,0),0)</f>
        <v>83.0540322434668</v>
      </c>
      <c r="P42" s="21" t="n">
        <f aca="false">IF(AND(P4&gt;=2,P4&lt;2+36),Port_New_Per_M*INDEX(Advance!$C$13:$AL$13,1,P4-2+1)*IF(2&lt;=Port_Orig_Mths,1,0),0)</f>
        <v>85.5456532107708</v>
      </c>
      <c r="Q42" s="21" t="n">
        <f aca="false">IF(AND(Q4&gt;=2,Q4&lt;2+36),Port_New_Per_M*INDEX(Advance!$C$13:$AL$13,1,Q4-2+1)*IF(2&lt;=Port_Orig_Mths,1,0),0)</f>
        <v>88.1120228070939</v>
      </c>
      <c r="R42" s="21" t="n">
        <f aca="false">IF(AND(R4&gt;=2,R4&lt;2+36),Port_New_Per_M*INDEX(Advance!$C$13:$AL$13,1,R4-2+1)*IF(2&lt;=Port_Orig_Mths,1,0),0)</f>
        <v>90.7553834913067</v>
      </c>
      <c r="S42" s="21" t="n">
        <f aca="false">IF(AND(S4&gt;=2,S4&lt;2+36),Port_New_Per_M*INDEX(Advance!$C$13:$AL$13,1,S4-2+1)*IF(2&lt;=Port_Orig_Mths,1,0),0)</f>
        <v>93.4780449960459</v>
      </c>
      <c r="T42" s="21" t="n">
        <f aca="false">IF(AND(T4&gt;=2,T4&lt;2+36),Port_New_Per_M*INDEX(Advance!$C$13:$AL$13,1,T4-2+1)*IF(2&lt;=Port_Orig_Mths,1,0),0)</f>
        <v>96.2823863459273</v>
      </c>
      <c r="U42" s="21" t="n">
        <f aca="false">IF(AND(U4&gt;=2,U4&lt;2+36),Port_New_Per_M*INDEX(Advance!$C$13:$AL$13,1,U4-2+1)*IF(2&lt;=Port_Orig_Mths,1,0),0)</f>
        <v>99.1708579363051</v>
      </c>
      <c r="V42" s="21" t="n">
        <f aca="false">IF(AND(V4&gt;=2,V4&lt;2+36),Port_New_Per_M*INDEX(Advance!$C$13:$AL$13,1,V4-2+1)*IF(2&lt;=Port_Orig_Mths,1,0),0)</f>
        <v>102.145983674394</v>
      </c>
      <c r="W42" s="21" t="n">
        <f aca="false">IF(AND(W4&gt;=2,W4&lt;2+36),Port_New_Per_M*INDEX(Advance!$C$13:$AL$13,1,W4-2+1)*IF(2&lt;=Port_Orig_Mths,1,0),0)</f>
        <v>105.210363184626</v>
      </c>
      <c r="X42" s="21" t="n">
        <f aca="false">IF(AND(X4&gt;=2,X4&lt;2+36),Port_New_Per_M*INDEX(Advance!$C$13:$AL$13,1,X4-2+1)*IF(2&lt;=Port_Orig_Mths,1,0),0)</f>
        <v>108.366674080165</v>
      </c>
      <c r="Y42" s="21" t="n">
        <f aca="false">IF(AND(Y4&gt;=2,Y4&lt;2+36),Port_New_Per_M*INDEX(Advance!$C$13:$AL$13,1,Y4-2+1)*IF(2&lt;=Port_Orig_Mths,1,0),0)</f>
        <v>111.61767430257</v>
      </c>
      <c r="Z42" s="21" t="n">
        <f aca="false">IF(AND(Z4&gt;=2,Z4&lt;2+36),Port_New_Per_M*INDEX(Advance!$C$13:$AL$13,1,Z4-2+1)*IF(2&lt;=Port_Orig_Mths,1,0),0)</f>
        <v>114.966204531647</v>
      </c>
    </row>
    <row r="43" customFormat="false" ht="15" hidden="false" customHeight="false" outlineLevel="0" collapsed="false">
      <c r="B43" s="29" t="s">
        <v>129</v>
      </c>
      <c r="C43" s="21" t="n">
        <f aca="false">IF(AND(C4&gt;=3,C4&lt;3+36),Port_New_Per_M*INDEX(Advance!$C$13:$AL$13,1,C4-3+1)*IF(3&lt;=Port_Orig_Mths,1,0),0)</f>
        <v>0</v>
      </c>
      <c r="D43" s="21" t="n">
        <f aca="false">IF(AND(D4&gt;=3,D4&lt;3+36),Port_New_Per_M*INDEX(Advance!$C$13:$AL$13,1,D4-3+1)*IF(3&lt;=Port_Orig_Mths,1,0),0)</f>
        <v>0</v>
      </c>
      <c r="E43" s="21" t="n">
        <f aca="false">IF(AND(E4&gt;=3,E4&lt;3+36),Port_New_Per_M*INDEX(Advance!$C$13:$AL$13,1,E4-3+1)*IF(3&lt;=Port_Orig_Mths,1,0),0)</f>
        <v>60</v>
      </c>
      <c r="F43" s="21" t="n">
        <f aca="false">IF(AND(F4&gt;=3,F4&lt;3+36),Port_New_Per_M*INDEX(Advance!$C$13:$AL$13,1,F4-3+1)*IF(3&lt;=Port_Orig_Mths,1,0),0)</f>
        <v>61.8</v>
      </c>
      <c r="G43" s="21" t="n">
        <f aca="false">IF(AND(G4&gt;=3,G4&lt;3+36),Port_New_Per_M*INDEX(Advance!$C$13:$AL$13,1,G4-3+1)*IF(3&lt;=Port_Orig_Mths,1,0),0)</f>
        <v>63.654</v>
      </c>
      <c r="H43" s="21" t="n">
        <f aca="false">IF(AND(H4&gt;=3,H4&lt;3+36),Port_New_Per_M*INDEX(Advance!$C$13:$AL$13,1,H4-3+1)*IF(3&lt;=Port_Orig_Mths,1,0),0)</f>
        <v>65.56362</v>
      </c>
      <c r="I43" s="21" t="n">
        <f aca="false">IF(AND(I4&gt;=3,I4&lt;3+36),Port_New_Per_M*INDEX(Advance!$C$13:$AL$13,1,I4-3+1)*IF(3&lt;=Port_Orig_Mths,1,0),0)</f>
        <v>67.5305286</v>
      </c>
      <c r="J43" s="21" t="n">
        <f aca="false">IF(AND(J4&gt;=3,J4&lt;3+36),Port_New_Per_M*INDEX(Advance!$C$13:$AL$13,1,J4-3+1)*IF(3&lt;=Port_Orig_Mths,1,0),0)</f>
        <v>69.556444458</v>
      </c>
      <c r="K43" s="21" t="n">
        <f aca="false">IF(AND(K4&gt;=3,K4&lt;3+36),Port_New_Per_M*INDEX(Advance!$C$13:$AL$13,1,K4-3+1)*IF(3&lt;=Port_Orig_Mths,1,0),0)</f>
        <v>71.64313779174</v>
      </c>
      <c r="L43" s="21" t="n">
        <f aca="false">IF(AND(L4&gt;=3,L4&lt;3+36),Port_New_Per_M*INDEX(Advance!$C$13:$AL$13,1,L4-3+1)*IF(3&lt;=Port_Orig_Mths,1,0),0)</f>
        <v>73.7924319254922</v>
      </c>
      <c r="M43" s="21" t="n">
        <f aca="false">IF(AND(M4&gt;=3,M4&lt;3+36),Port_New_Per_M*INDEX(Advance!$C$13:$AL$13,1,M4-3+1)*IF(3&lt;=Port_Orig_Mths,1,0),0)</f>
        <v>76.006204883257</v>
      </c>
      <c r="N43" s="21" t="n">
        <f aca="false">IF(AND(N4&gt;=3,N4&lt;3+36),Port_New_Per_M*INDEX(Advance!$C$13:$AL$13,1,N4-3+1)*IF(3&lt;=Port_Orig_Mths,1,0),0)</f>
        <v>78.2863910297547</v>
      </c>
      <c r="O43" s="21" t="n">
        <f aca="false">IF(AND(O4&gt;=3,O4&lt;3+36),Port_New_Per_M*INDEX(Advance!$C$13:$AL$13,1,O4-3+1)*IF(3&lt;=Port_Orig_Mths,1,0),0)</f>
        <v>80.6349827606474</v>
      </c>
      <c r="P43" s="21" t="n">
        <f aca="false">IF(AND(P4&gt;=3,P4&lt;3+36),Port_New_Per_M*INDEX(Advance!$C$13:$AL$13,1,P4-3+1)*IF(3&lt;=Port_Orig_Mths,1,0),0)</f>
        <v>83.0540322434668</v>
      </c>
      <c r="Q43" s="21" t="n">
        <f aca="false">IF(AND(Q4&gt;=3,Q4&lt;3+36),Port_New_Per_M*INDEX(Advance!$C$13:$AL$13,1,Q4-3+1)*IF(3&lt;=Port_Orig_Mths,1,0),0)</f>
        <v>85.5456532107708</v>
      </c>
      <c r="R43" s="21" t="n">
        <f aca="false">IF(AND(R4&gt;=3,R4&lt;3+36),Port_New_Per_M*INDEX(Advance!$C$13:$AL$13,1,R4-3+1)*IF(3&lt;=Port_Orig_Mths,1,0),0)</f>
        <v>88.1120228070939</v>
      </c>
      <c r="S43" s="21" t="n">
        <f aca="false">IF(AND(S4&gt;=3,S4&lt;3+36),Port_New_Per_M*INDEX(Advance!$C$13:$AL$13,1,S4-3+1)*IF(3&lt;=Port_Orig_Mths,1,0),0)</f>
        <v>90.7553834913067</v>
      </c>
      <c r="T43" s="21" t="n">
        <f aca="false">IF(AND(T4&gt;=3,T4&lt;3+36),Port_New_Per_M*INDEX(Advance!$C$13:$AL$13,1,T4-3+1)*IF(3&lt;=Port_Orig_Mths,1,0),0)</f>
        <v>93.4780449960459</v>
      </c>
      <c r="U43" s="21" t="n">
        <f aca="false">IF(AND(U4&gt;=3,U4&lt;3+36),Port_New_Per_M*INDEX(Advance!$C$13:$AL$13,1,U4-3+1)*IF(3&lt;=Port_Orig_Mths,1,0),0)</f>
        <v>96.2823863459273</v>
      </c>
      <c r="V43" s="21" t="n">
        <f aca="false">IF(AND(V4&gt;=3,V4&lt;3+36),Port_New_Per_M*INDEX(Advance!$C$13:$AL$13,1,V4-3+1)*IF(3&lt;=Port_Orig_Mths,1,0),0)</f>
        <v>99.1708579363051</v>
      </c>
      <c r="W43" s="21" t="n">
        <f aca="false">IF(AND(W4&gt;=3,W4&lt;3+36),Port_New_Per_M*INDEX(Advance!$C$13:$AL$13,1,W4-3+1)*IF(3&lt;=Port_Orig_Mths,1,0),0)</f>
        <v>102.145983674394</v>
      </c>
      <c r="X43" s="21" t="n">
        <f aca="false">IF(AND(X4&gt;=3,X4&lt;3+36),Port_New_Per_M*INDEX(Advance!$C$13:$AL$13,1,X4-3+1)*IF(3&lt;=Port_Orig_Mths,1,0),0)</f>
        <v>105.210363184626</v>
      </c>
      <c r="Y43" s="21" t="n">
        <f aca="false">IF(AND(Y4&gt;=3,Y4&lt;3+36),Port_New_Per_M*INDEX(Advance!$C$13:$AL$13,1,Y4-3+1)*IF(3&lt;=Port_Orig_Mths,1,0),0)</f>
        <v>108.366674080165</v>
      </c>
      <c r="Z43" s="21" t="n">
        <f aca="false">IF(AND(Z4&gt;=3,Z4&lt;3+36),Port_New_Per_M*INDEX(Advance!$C$13:$AL$13,1,Z4-3+1)*IF(3&lt;=Port_Orig_Mths,1,0),0)</f>
        <v>111.61767430257</v>
      </c>
    </row>
    <row r="44" customFormat="false" ht="15" hidden="false" customHeight="false" outlineLevel="0" collapsed="false">
      <c r="B44" s="29" t="s">
        <v>130</v>
      </c>
      <c r="C44" s="21" t="n">
        <f aca="false">IF(AND(C4&gt;=4,C4&lt;4+36),Port_New_Per_M*INDEX(Advance!$C$13:$AL$13,1,C4-4+1)*IF(4&lt;=Port_Orig_Mths,1,0),0)</f>
        <v>0</v>
      </c>
      <c r="D44" s="21" t="n">
        <f aca="false">IF(AND(D4&gt;=4,D4&lt;4+36),Port_New_Per_M*INDEX(Advance!$C$13:$AL$13,1,D4-4+1)*IF(4&lt;=Port_Orig_Mths,1,0),0)</f>
        <v>0</v>
      </c>
      <c r="E44" s="21" t="n">
        <f aca="false">IF(AND(E4&gt;=4,E4&lt;4+36),Port_New_Per_M*INDEX(Advance!$C$13:$AL$13,1,E4-4+1)*IF(4&lt;=Port_Orig_Mths,1,0),0)</f>
        <v>0</v>
      </c>
      <c r="F44" s="21" t="n">
        <f aca="false">IF(AND(F4&gt;=4,F4&lt;4+36),Port_New_Per_M*INDEX(Advance!$C$13:$AL$13,1,F4-4+1)*IF(4&lt;=Port_Orig_Mths,1,0),0)</f>
        <v>60</v>
      </c>
      <c r="G44" s="21" t="n">
        <f aca="false">IF(AND(G4&gt;=4,G4&lt;4+36),Port_New_Per_M*INDEX(Advance!$C$13:$AL$13,1,G4-4+1)*IF(4&lt;=Port_Orig_Mths,1,0),0)</f>
        <v>61.8</v>
      </c>
      <c r="H44" s="21" t="n">
        <f aca="false">IF(AND(H4&gt;=4,H4&lt;4+36),Port_New_Per_M*INDEX(Advance!$C$13:$AL$13,1,H4-4+1)*IF(4&lt;=Port_Orig_Mths,1,0),0)</f>
        <v>63.654</v>
      </c>
      <c r="I44" s="21" t="n">
        <f aca="false">IF(AND(I4&gt;=4,I4&lt;4+36),Port_New_Per_M*INDEX(Advance!$C$13:$AL$13,1,I4-4+1)*IF(4&lt;=Port_Orig_Mths,1,0),0)</f>
        <v>65.56362</v>
      </c>
      <c r="J44" s="21" t="n">
        <f aca="false">IF(AND(J4&gt;=4,J4&lt;4+36),Port_New_Per_M*INDEX(Advance!$C$13:$AL$13,1,J4-4+1)*IF(4&lt;=Port_Orig_Mths,1,0),0)</f>
        <v>67.5305286</v>
      </c>
      <c r="K44" s="21" t="n">
        <f aca="false">IF(AND(K4&gt;=4,K4&lt;4+36),Port_New_Per_M*INDEX(Advance!$C$13:$AL$13,1,K4-4+1)*IF(4&lt;=Port_Orig_Mths,1,0),0)</f>
        <v>69.556444458</v>
      </c>
      <c r="L44" s="21" t="n">
        <f aca="false">IF(AND(L4&gt;=4,L4&lt;4+36),Port_New_Per_M*INDEX(Advance!$C$13:$AL$13,1,L4-4+1)*IF(4&lt;=Port_Orig_Mths,1,0),0)</f>
        <v>71.64313779174</v>
      </c>
      <c r="M44" s="21" t="n">
        <f aca="false">IF(AND(M4&gt;=4,M4&lt;4+36),Port_New_Per_M*INDEX(Advance!$C$13:$AL$13,1,M4-4+1)*IF(4&lt;=Port_Orig_Mths,1,0),0)</f>
        <v>73.7924319254922</v>
      </c>
      <c r="N44" s="21" t="n">
        <f aca="false">IF(AND(N4&gt;=4,N4&lt;4+36),Port_New_Per_M*INDEX(Advance!$C$13:$AL$13,1,N4-4+1)*IF(4&lt;=Port_Orig_Mths,1,0),0)</f>
        <v>76.006204883257</v>
      </c>
      <c r="O44" s="21" t="n">
        <f aca="false">IF(AND(O4&gt;=4,O4&lt;4+36),Port_New_Per_M*INDEX(Advance!$C$13:$AL$13,1,O4-4+1)*IF(4&lt;=Port_Orig_Mths,1,0),0)</f>
        <v>78.2863910297547</v>
      </c>
      <c r="P44" s="21" t="n">
        <f aca="false">IF(AND(P4&gt;=4,P4&lt;4+36),Port_New_Per_M*INDEX(Advance!$C$13:$AL$13,1,P4-4+1)*IF(4&lt;=Port_Orig_Mths,1,0),0)</f>
        <v>80.6349827606474</v>
      </c>
      <c r="Q44" s="21" t="n">
        <f aca="false">IF(AND(Q4&gt;=4,Q4&lt;4+36),Port_New_Per_M*INDEX(Advance!$C$13:$AL$13,1,Q4-4+1)*IF(4&lt;=Port_Orig_Mths,1,0),0)</f>
        <v>83.0540322434668</v>
      </c>
      <c r="R44" s="21" t="n">
        <f aca="false">IF(AND(R4&gt;=4,R4&lt;4+36),Port_New_Per_M*INDEX(Advance!$C$13:$AL$13,1,R4-4+1)*IF(4&lt;=Port_Orig_Mths,1,0),0)</f>
        <v>85.5456532107708</v>
      </c>
      <c r="S44" s="21" t="n">
        <f aca="false">IF(AND(S4&gt;=4,S4&lt;4+36),Port_New_Per_M*INDEX(Advance!$C$13:$AL$13,1,S4-4+1)*IF(4&lt;=Port_Orig_Mths,1,0),0)</f>
        <v>88.1120228070939</v>
      </c>
      <c r="T44" s="21" t="n">
        <f aca="false">IF(AND(T4&gt;=4,T4&lt;4+36),Port_New_Per_M*INDEX(Advance!$C$13:$AL$13,1,T4-4+1)*IF(4&lt;=Port_Orig_Mths,1,0),0)</f>
        <v>90.7553834913067</v>
      </c>
      <c r="U44" s="21" t="n">
        <f aca="false">IF(AND(U4&gt;=4,U4&lt;4+36),Port_New_Per_M*INDEX(Advance!$C$13:$AL$13,1,U4-4+1)*IF(4&lt;=Port_Orig_Mths,1,0),0)</f>
        <v>93.4780449960459</v>
      </c>
      <c r="V44" s="21" t="n">
        <f aca="false">IF(AND(V4&gt;=4,V4&lt;4+36),Port_New_Per_M*INDEX(Advance!$C$13:$AL$13,1,V4-4+1)*IF(4&lt;=Port_Orig_Mths,1,0),0)</f>
        <v>96.2823863459273</v>
      </c>
      <c r="W44" s="21" t="n">
        <f aca="false">IF(AND(W4&gt;=4,W4&lt;4+36),Port_New_Per_M*INDEX(Advance!$C$13:$AL$13,1,W4-4+1)*IF(4&lt;=Port_Orig_Mths,1,0),0)</f>
        <v>99.1708579363051</v>
      </c>
      <c r="X44" s="21" t="n">
        <f aca="false">IF(AND(X4&gt;=4,X4&lt;4+36),Port_New_Per_M*INDEX(Advance!$C$13:$AL$13,1,X4-4+1)*IF(4&lt;=Port_Orig_Mths,1,0),0)</f>
        <v>102.145983674394</v>
      </c>
      <c r="Y44" s="21" t="n">
        <f aca="false">IF(AND(Y4&gt;=4,Y4&lt;4+36),Port_New_Per_M*INDEX(Advance!$C$13:$AL$13,1,Y4-4+1)*IF(4&lt;=Port_Orig_Mths,1,0),0)</f>
        <v>105.210363184626</v>
      </c>
      <c r="Z44" s="21" t="n">
        <f aca="false">IF(AND(Z4&gt;=4,Z4&lt;4+36),Port_New_Per_M*INDEX(Advance!$C$13:$AL$13,1,Z4-4+1)*IF(4&lt;=Port_Orig_Mths,1,0),0)</f>
        <v>108.366674080165</v>
      </c>
    </row>
    <row r="45" customFormat="false" ht="15" hidden="false" customHeight="false" outlineLevel="0" collapsed="false">
      <c r="B45" s="29" t="s">
        <v>131</v>
      </c>
      <c r="C45" s="21" t="n">
        <f aca="false">IF(AND(C4&gt;=5,C4&lt;5+36),Port_New_Per_M*INDEX(Advance!$C$13:$AL$13,1,C4-5+1)*IF(5&lt;=Port_Orig_Mths,1,0),0)</f>
        <v>0</v>
      </c>
      <c r="D45" s="21" t="n">
        <f aca="false">IF(AND(D4&gt;=5,D4&lt;5+36),Port_New_Per_M*INDEX(Advance!$C$13:$AL$13,1,D4-5+1)*IF(5&lt;=Port_Orig_Mths,1,0),0)</f>
        <v>0</v>
      </c>
      <c r="E45" s="21" t="n">
        <f aca="false">IF(AND(E4&gt;=5,E4&lt;5+36),Port_New_Per_M*INDEX(Advance!$C$13:$AL$13,1,E4-5+1)*IF(5&lt;=Port_Orig_Mths,1,0),0)</f>
        <v>0</v>
      </c>
      <c r="F45" s="21" t="n">
        <f aca="false">IF(AND(F4&gt;=5,F4&lt;5+36),Port_New_Per_M*INDEX(Advance!$C$13:$AL$13,1,F4-5+1)*IF(5&lt;=Port_Orig_Mths,1,0),0)</f>
        <v>0</v>
      </c>
      <c r="G45" s="21" t="n">
        <f aca="false">IF(AND(G4&gt;=5,G4&lt;5+36),Port_New_Per_M*INDEX(Advance!$C$13:$AL$13,1,G4-5+1)*IF(5&lt;=Port_Orig_Mths,1,0),0)</f>
        <v>60</v>
      </c>
      <c r="H45" s="21" t="n">
        <f aca="false">IF(AND(H4&gt;=5,H4&lt;5+36),Port_New_Per_M*INDEX(Advance!$C$13:$AL$13,1,H4-5+1)*IF(5&lt;=Port_Orig_Mths,1,0),0)</f>
        <v>61.8</v>
      </c>
      <c r="I45" s="21" t="n">
        <f aca="false">IF(AND(I4&gt;=5,I4&lt;5+36),Port_New_Per_M*INDEX(Advance!$C$13:$AL$13,1,I4-5+1)*IF(5&lt;=Port_Orig_Mths,1,0),0)</f>
        <v>63.654</v>
      </c>
      <c r="J45" s="21" t="n">
        <f aca="false">IF(AND(J4&gt;=5,J4&lt;5+36),Port_New_Per_M*INDEX(Advance!$C$13:$AL$13,1,J4-5+1)*IF(5&lt;=Port_Orig_Mths,1,0),0)</f>
        <v>65.56362</v>
      </c>
      <c r="K45" s="21" t="n">
        <f aca="false">IF(AND(K4&gt;=5,K4&lt;5+36),Port_New_Per_M*INDEX(Advance!$C$13:$AL$13,1,K4-5+1)*IF(5&lt;=Port_Orig_Mths,1,0),0)</f>
        <v>67.5305286</v>
      </c>
      <c r="L45" s="21" t="n">
        <f aca="false">IF(AND(L4&gt;=5,L4&lt;5+36),Port_New_Per_M*INDEX(Advance!$C$13:$AL$13,1,L4-5+1)*IF(5&lt;=Port_Orig_Mths,1,0),0)</f>
        <v>69.556444458</v>
      </c>
      <c r="M45" s="21" t="n">
        <f aca="false">IF(AND(M4&gt;=5,M4&lt;5+36),Port_New_Per_M*INDEX(Advance!$C$13:$AL$13,1,M4-5+1)*IF(5&lt;=Port_Orig_Mths,1,0),0)</f>
        <v>71.64313779174</v>
      </c>
      <c r="N45" s="21" t="n">
        <f aca="false">IF(AND(N4&gt;=5,N4&lt;5+36),Port_New_Per_M*INDEX(Advance!$C$13:$AL$13,1,N4-5+1)*IF(5&lt;=Port_Orig_Mths,1,0),0)</f>
        <v>73.7924319254922</v>
      </c>
      <c r="O45" s="21" t="n">
        <f aca="false">IF(AND(O4&gt;=5,O4&lt;5+36),Port_New_Per_M*INDEX(Advance!$C$13:$AL$13,1,O4-5+1)*IF(5&lt;=Port_Orig_Mths,1,0),0)</f>
        <v>76.006204883257</v>
      </c>
      <c r="P45" s="21" t="n">
        <f aca="false">IF(AND(P4&gt;=5,P4&lt;5+36),Port_New_Per_M*INDEX(Advance!$C$13:$AL$13,1,P4-5+1)*IF(5&lt;=Port_Orig_Mths,1,0),0)</f>
        <v>78.2863910297547</v>
      </c>
      <c r="Q45" s="21" t="n">
        <f aca="false">IF(AND(Q4&gt;=5,Q4&lt;5+36),Port_New_Per_M*INDEX(Advance!$C$13:$AL$13,1,Q4-5+1)*IF(5&lt;=Port_Orig_Mths,1,0),0)</f>
        <v>80.6349827606474</v>
      </c>
      <c r="R45" s="21" t="n">
        <f aca="false">IF(AND(R4&gt;=5,R4&lt;5+36),Port_New_Per_M*INDEX(Advance!$C$13:$AL$13,1,R4-5+1)*IF(5&lt;=Port_Orig_Mths,1,0),0)</f>
        <v>83.0540322434668</v>
      </c>
      <c r="S45" s="21" t="n">
        <f aca="false">IF(AND(S4&gt;=5,S4&lt;5+36),Port_New_Per_M*INDEX(Advance!$C$13:$AL$13,1,S4-5+1)*IF(5&lt;=Port_Orig_Mths,1,0),0)</f>
        <v>85.5456532107708</v>
      </c>
      <c r="T45" s="21" t="n">
        <f aca="false">IF(AND(T4&gt;=5,T4&lt;5+36),Port_New_Per_M*INDEX(Advance!$C$13:$AL$13,1,T4-5+1)*IF(5&lt;=Port_Orig_Mths,1,0),0)</f>
        <v>88.1120228070939</v>
      </c>
      <c r="U45" s="21" t="n">
        <f aca="false">IF(AND(U4&gt;=5,U4&lt;5+36),Port_New_Per_M*INDEX(Advance!$C$13:$AL$13,1,U4-5+1)*IF(5&lt;=Port_Orig_Mths,1,0),0)</f>
        <v>90.7553834913067</v>
      </c>
      <c r="V45" s="21" t="n">
        <f aca="false">IF(AND(V4&gt;=5,V4&lt;5+36),Port_New_Per_M*INDEX(Advance!$C$13:$AL$13,1,V4-5+1)*IF(5&lt;=Port_Orig_Mths,1,0),0)</f>
        <v>93.4780449960459</v>
      </c>
      <c r="W45" s="21" t="n">
        <f aca="false">IF(AND(W4&gt;=5,W4&lt;5+36),Port_New_Per_M*INDEX(Advance!$C$13:$AL$13,1,W4-5+1)*IF(5&lt;=Port_Orig_Mths,1,0),0)</f>
        <v>96.2823863459273</v>
      </c>
      <c r="X45" s="21" t="n">
        <f aca="false">IF(AND(X4&gt;=5,X4&lt;5+36),Port_New_Per_M*INDEX(Advance!$C$13:$AL$13,1,X4-5+1)*IF(5&lt;=Port_Orig_Mths,1,0),0)</f>
        <v>99.1708579363051</v>
      </c>
      <c r="Y45" s="21" t="n">
        <f aca="false">IF(AND(Y4&gt;=5,Y4&lt;5+36),Port_New_Per_M*INDEX(Advance!$C$13:$AL$13,1,Y4-5+1)*IF(5&lt;=Port_Orig_Mths,1,0),0)</f>
        <v>102.145983674394</v>
      </c>
      <c r="Z45" s="21" t="n">
        <f aca="false">IF(AND(Z4&gt;=5,Z4&lt;5+36),Port_New_Per_M*INDEX(Advance!$C$13:$AL$13,1,Z4-5+1)*IF(5&lt;=Port_Orig_Mths,1,0),0)</f>
        <v>105.210363184626</v>
      </c>
    </row>
    <row r="46" customFormat="false" ht="15" hidden="false" customHeight="false" outlineLevel="0" collapsed="false">
      <c r="B46" s="29" t="s">
        <v>132</v>
      </c>
      <c r="C46" s="21" t="n">
        <f aca="false">IF(AND(C4&gt;=6,C4&lt;6+36),Port_New_Per_M*INDEX(Advance!$C$13:$AL$13,1,C4-6+1)*IF(6&lt;=Port_Orig_Mths,1,0),0)</f>
        <v>0</v>
      </c>
      <c r="D46" s="21" t="n">
        <f aca="false">IF(AND(D4&gt;=6,D4&lt;6+36),Port_New_Per_M*INDEX(Advance!$C$13:$AL$13,1,D4-6+1)*IF(6&lt;=Port_Orig_Mths,1,0),0)</f>
        <v>0</v>
      </c>
      <c r="E46" s="21" t="n">
        <f aca="false">IF(AND(E4&gt;=6,E4&lt;6+36),Port_New_Per_M*INDEX(Advance!$C$13:$AL$13,1,E4-6+1)*IF(6&lt;=Port_Orig_Mths,1,0),0)</f>
        <v>0</v>
      </c>
      <c r="F46" s="21" t="n">
        <f aca="false">IF(AND(F4&gt;=6,F4&lt;6+36),Port_New_Per_M*INDEX(Advance!$C$13:$AL$13,1,F4-6+1)*IF(6&lt;=Port_Orig_Mths,1,0),0)</f>
        <v>0</v>
      </c>
      <c r="G46" s="21" t="n">
        <f aca="false">IF(AND(G4&gt;=6,G4&lt;6+36),Port_New_Per_M*INDEX(Advance!$C$13:$AL$13,1,G4-6+1)*IF(6&lt;=Port_Orig_Mths,1,0),0)</f>
        <v>0</v>
      </c>
      <c r="H46" s="21" t="n">
        <f aca="false">IF(AND(H4&gt;=6,H4&lt;6+36),Port_New_Per_M*INDEX(Advance!$C$13:$AL$13,1,H4-6+1)*IF(6&lt;=Port_Orig_Mths,1,0),0)</f>
        <v>60</v>
      </c>
      <c r="I46" s="21" t="n">
        <f aca="false">IF(AND(I4&gt;=6,I4&lt;6+36),Port_New_Per_M*INDEX(Advance!$C$13:$AL$13,1,I4-6+1)*IF(6&lt;=Port_Orig_Mths,1,0),0)</f>
        <v>61.8</v>
      </c>
      <c r="J46" s="21" t="n">
        <f aca="false">IF(AND(J4&gt;=6,J4&lt;6+36),Port_New_Per_M*INDEX(Advance!$C$13:$AL$13,1,J4-6+1)*IF(6&lt;=Port_Orig_Mths,1,0),0)</f>
        <v>63.654</v>
      </c>
      <c r="K46" s="21" t="n">
        <f aca="false">IF(AND(K4&gt;=6,K4&lt;6+36),Port_New_Per_M*INDEX(Advance!$C$13:$AL$13,1,K4-6+1)*IF(6&lt;=Port_Orig_Mths,1,0),0)</f>
        <v>65.56362</v>
      </c>
      <c r="L46" s="21" t="n">
        <f aca="false">IF(AND(L4&gt;=6,L4&lt;6+36),Port_New_Per_M*INDEX(Advance!$C$13:$AL$13,1,L4-6+1)*IF(6&lt;=Port_Orig_Mths,1,0),0)</f>
        <v>67.5305286</v>
      </c>
      <c r="M46" s="21" t="n">
        <f aca="false">IF(AND(M4&gt;=6,M4&lt;6+36),Port_New_Per_M*INDEX(Advance!$C$13:$AL$13,1,M4-6+1)*IF(6&lt;=Port_Orig_Mths,1,0),0)</f>
        <v>69.556444458</v>
      </c>
      <c r="N46" s="21" t="n">
        <f aca="false">IF(AND(N4&gt;=6,N4&lt;6+36),Port_New_Per_M*INDEX(Advance!$C$13:$AL$13,1,N4-6+1)*IF(6&lt;=Port_Orig_Mths,1,0),0)</f>
        <v>71.64313779174</v>
      </c>
      <c r="O46" s="21" t="n">
        <f aca="false">IF(AND(O4&gt;=6,O4&lt;6+36),Port_New_Per_M*INDEX(Advance!$C$13:$AL$13,1,O4-6+1)*IF(6&lt;=Port_Orig_Mths,1,0),0)</f>
        <v>73.7924319254922</v>
      </c>
      <c r="P46" s="21" t="n">
        <f aca="false">IF(AND(P4&gt;=6,P4&lt;6+36),Port_New_Per_M*INDEX(Advance!$C$13:$AL$13,1,P4-6+1)*IF(6&lt;=Port_Orig_Mths,1,0),0)</f>
        <v>76.006204883257</v>
      </c>
      <c r="Q46" s="21" t="n">
        <f aca="false">IF(AND(Q4&gt;=6,Q4&lt;6+36),Port_New_Per_M*INDEX(Advance!$C$13:$AL$13,1,Q4-6+1)*IF(6&lt;=Port_Orig_Mths,1,0),0)</f>
        <v>78.2863910297547</v>
      </c>
      <c r="R46" s="21" t="n">
        <f aca="false">IF(AND(R4&gt;=6,R4&lt;6+36),Port_New_Per_M*INDEX(Advance!$C$13:$AL$13,1,R4-6+1)*IF(6&lt;=Port_Orig_Mths,1,0),0)</f>
        <v>80.6349827606474</v>
      </c>
      <c r="S46" s="21" t="n">
        <f aca="false">IF(AND(S4&gt;=6,S4&lt;6+36),Port_New_Per_M*INDEX(Advance!$C$13:$AL$13,1,S4-6+1)*IF(6&lt;=Port_Orig_Mths,1,0),0)</f>
        <v>83.0540322434668</v>
      </c>
      <c r="T46" s="21" t="n">
        <f aca="false">IF(AND(T4&gt;=6,T4&lt;6+36),Port_New_Per_M*INDEX(Advance!$C$13:$AL$13,1,T4-6+1)*IF(6&lt;=Port_Orig_Mths,1,0),0)</f>
        <v>85.5456532107708</v>
      </c>
      <c r="U46" s="21" t="n">
        <f aca="false">IF(AND(U4&gt;=6,U4&lt;6+36),Port_New_Per_M*INDEX(Advance!$C$13:$AL$13,1,U4-6+1)*IF(6&lt;=Port_Orig_Mths,1,0),0)</f>
        <v>88.1120228070939</v>
      </c>
      <c r="V46" s="21" t="n">
        <f aca="false">IF(AND(V4&gt;=6,V4&lt;6+36),Port_New_Per_M*INDEX(Advance!$C$13:$AL$13,1,V4-6+1)*IF(6&lt;=Port_Orig_Mths,1,0),0)</f>
        <v>90.7553834913067</v>
      </c>
      <c r="W46" s="21" t="n">
        <f aca="false">IF(AND(W4&gt;=6,W4&lt;6+36),Port_New_Per_M*INDEX(Advance!$C$13:$AL$13,1,W4-6+1)*IF(6&lt;=Port_Orig_Mths,1,0),0)</f>
        <v>93.4780449960459</v>
      </c>
      <c r="X46" s="21" t="n">
        <f aca="false">IF(AND(X4&gt;=6,X4&lt;6+36),Port_New_Per_M*INDEX(Advance!$C$13:$AL$13,1,X4-6+1)*IF(6&lt;=Port_Orig_Mths,1,0),0)</f>
        <v>96.2823863459273</v>
      </c>
      <c r="Y46" s="21" t="n">
        <f aca="false">IF(AND(Y4&gt;=6,Y4&lt;6+36),Port_New_Per_M*INDEX(Advance!$C$13:$AL$13,1,Y4-6+1)*IF(6&lt;=Port_Orig_Mths,1,0),0)</f>
        <v>99.1708579363051</v>
      </c>
      <c r="Z46" s="21" t="n">
        <f aca="false">IF(AND(Z4&gt;=6,Z4&lt;6+36),Port_New_Per_M*INDEX(Advance!$C$13:$AL$13,1,Z4-6+1)*IF(6&lt;=Port_Orig_Mths,1,0),0)</f>
        <v>102.145983674394</v>
      </c>
    </row>
    <row r="47" customFormat="false" ht="15" hidden="false" customHeight="false" outlineLevel="0" collapsed="false">
      <c r="B47" s="29" t="s">
        <v>133</v>
      </c>
      <c r="C47" s="21" t="n">
        <f aca="false">IF(AND(C4&gt;=7,C4&lt;7+36),Port_New_Per_M*INDEX(Advance!$C$13:$AL$13,1,C4-7+1)*IF(7&lt;=Port_Orig_Mths,1,0),0)</f>
        <v>0</v>
      </c>
      <c r="D47" s="21" t="n">
        <f aca="false">IF(AND(D4&gt;=7,D4&lt;7+36),Port_New_Per_M*INDEX(Advance!$C$13:$AL$13,1,D4-7+1)*IF(7&lt;=Port_Orig_Mths,1,0),0)</f>
        <v>0</v>
      </c>
      <c r="E47" s="21" t="n">
        <f aca="false">IF(AND(E4&gt;=7,E4&lt;7+36),Port_New_Per_M*INDEX(Advance!$C$13:$AL$13,1,E4-7+1)*IF(7&lt;=Port_Orig_Mths,1,0),0)</f>
        <v>0</v>
      </c>
      <c r="F47" s="21" t="n">
        <f aca="false">IF(AND(F4&gt;=7,F4&lt;7+36),Port_New_Per_M*INDEX(Advance!$C$13:$AL$13,1,F4-7+1)*IF(7&lt;=Port_Orig_Mths,1,0),0)</f>
        <v>0</v>
      </c>
      <c r="G47" s="21" t="n">
        <f aca="false">IF(AND(G4&gt;=7,G4&lt;7+36),Port_New_Per_M*INDEX(Advance!$C$13:$AL$13,1,G4-7+1)*IF(7&lt;=Port_Orig_Mths,1,0),0)</f>
        <v>0</v>
      </c>
      <c r="H47" s="21" t="n">
        <f aca="false">IF(AND(H4&gt;=7,H4&lt;7+36),Port_New_Per_M*INDEX(Advance!$C$13:$AL$13,1,H4-7+1)*IF(7&lt;=Port_Orig_Mths,1,0),0)</f>
        <v>0</v>
      </c>
      <c r="I47" s="21" t="n">
        <f aca="false">IF(AND(I4&gt;=7,I4&lt;7+36),Port_New_Per_M*INDEX(Advance!$C$13:$AL$13,1,I4-7+1)*IF(7&lt;=Port_Orig_Mths,1,0),0)</f>
        <v>60</v>
      </c>
      <c r="J47" s="21" t="n">
        <f aca="false">IF(AND(J4&gt;=7,J4&lt;7+36),Port_New_Per_M*INDEX(Advance!$C$13:$AL$13,1,J4-7+1)*IF(7&lt;=Port_Orig_Mths,1,0),0)</f>
        <v>61.8</v>
      </c>
      <c r="K47" s="21" t="n">
        <f aca="false">IF(AND(K4&gt;=7,K4&lt;7+36),Port_New_Per_M*INDEX(Advance!$C$13:$AL$13,1,K4-7+1)*IF(7&lt;=Port_Orig_Mths,1,0),0)</f>
        <v>63.654</v>
      </c>
      <c r="L47" s="21" t="n">
        <f aca="false">IF(AND(L4&gt;=7,L4&lt;7+36),Port_New_Per_M*INDEX(Advance!$C$13:$AL$13,1,L4-7+1)*IF(7&lt;=Port_Orig_Mths,1,0),0)</f>
        <v>65.56362</v>
      </c>
      <c r="M47" s="21" t="n">
        <f aca="false">IF(AND(M4&gt;=7,M4&lt;7+36),Port_New_Per_M*INDEX(Advance!$C$13:$AL$13,1,M4-7+1)*IF(7&lt;=Port_Orig_Mths,1,0),0)</f>
        <v>67.5305286</v>
      </c>
      <c r="N47" s="21" t="n">
        <f aca="false">IF(AND(N4&gt;=7,N4&lt;7+36),Port_New_Per_M*INDEX(Advance!$C$13:$AL$13,1,N4-7+1)*IF(7&lt;=Port_Orig_Mths,1,0),0)</f>
        <v>69.556444458</v>
      </c>
      <c r="O47" s="21" t="n">
        <f aca="false">IF(AND(O4&gt;=7,O4&lt;7+36),Port_New_Per_M*INDEX(Advance!$C$13:$AL$13,1,O4-7+1)*IF(7&lt;=Port_Orig_Mths,1,0),0)</f>
        <v>71.64313779174</v>
      </c>
      <c r="P47" s="21" t="n">
        <f aca="false">IF(AND(P4&gt;=7,P4&lt;7+36),Port_New_Per_M*INDEX(Advance!$C$13:$AL$13,1,P4-7+1)*IF(7&lt;=Port_Orig_Mths,1,0),0)</f>
        <v>73.7924319254922</v>
      </c>
      <c r="Q47" s="21" t="n">
        <f aca="false">IF(AND(Q4&gt;=7,Q4&lt;7+36),Port_New_Per_M*INDEX(Advance!$C$13:$AL$13,1,Q4-7+1)*IF(7&lt;=Port_Orig_Mths,1,0),0)</f>
        <v>76.006204883257</v>
      </c>
      <c r="R47" s="21" t="n">
        <f aca="false">IF(AND(R4&gt;=7,R4&lt;7+36),Port_New_Per_M*INDEX(Advance!$C$13:$AL$13,1,R4-7+1)*IF(7&lt;=Port_Orig_Mths,1,0),0)</f>
        <v>78.2863910297547</v>
      </c>
      <c r="S47" s="21" t="n">
        <f aca="false">IF(AND(S4&gt;=7,S4&lt;7+36),Port_New_Per_M*INDEX(Advance!$C$13:$AL$13,1,S4-7+1)*IF(7&lt;=Port_Orig_Mths,1,0),0)</f>
        <v>80.6349827606474</v>
      </c>
      <c r="T47" s="21" t="n">
        <f aca="false">IF(AND(T4&gt;=7,T4&lt;7+36),Port_New_Per_M*INDEX(Advance!$C$13:$AL$13,1,T4-7+1)*IF(7&lt;=Port_Orig_Mths,1,0),0)</f>
        <v>83.0540322434668</v>
      </c>
      <c r="U47" s="21" t="n">
        <f aca="false">IF(AND(U4&gt;=7,U4&lt;7+36),Port_New_Per_M*INDEX(Advance!$C$13:$AL$13,1,U4-7+1)*IF(7&lt;=Port_Orig_Mths,1,0),0)</f>
        <v>85.5456532107708</v>
      </c>
      <c r="V47" s="21" t="n">
        <f aca="false">IF(AND(V4&gt;=7,V4&lt;7+36),Port_New_Per_M*INDEX(Advance!$C$13:$AL$13,1,V4-7+1)*IF(7&lt;=Port_Orig_Mths,1,0),0)</f>
        <v>88.1120228070939</v>
      </c>
      <c r="W47" s="21" t="n">
        <f aca="false">IF(AND(W4&gt;=7,W4&lt;7+36),Port_New_Per_M*INDEX(Advance!$C$13:$AL$13,1,W4-7+1)*IF(7&lt;=Port_Orig_Mths,1,0),0)</f>
        <v>90.7553834913067</v>
      </c>
      <c r="X47" s="21" t="n">
        <f aca="false">IF(AND(X4&gt;=7,X4&lt;7+36),Port_New_Per_M*INDEX(Advance!$C$13:$AL$13,1,X4-7+1)*IF(7&lt;=Port_Orig_Mths,1,0),0)</f>
        <v>93.4780449960459</v>
      </c>
      <c r="Y47" s="21" t="n">
        <f aca="false">IF(AND(Y4&gt;=7,Y4&lt;7+36),Port_New_Per_M*INDEX(Advance!$C$13:$AL$13,1,Y4-7+1)*IF(7&lt;=Port_Orig_Mths,1,0),0)</f>
        <v>96.2823863459273</v>
      </c>
      <c r="Z47" s="21" t="n">
        <f aca="false">IF(AND(Z4&gt;=7,Z4&lt;7+36),Port_New_Per_M*INDEX(Advance!$C$13:$AL$13,1,Z4-7+1)*IF(7&lt;=Port_Orig_Mths,1,0),0)</f>
        <v>99.1708579363051</v>
      </c>
    </row>
    <row r="48" customFormat="false" ht="15" hidden="false" customHeight="false" outlineLevel="0" collapsed="false">
      <c r="B48" s="29" t="s">
        <v>134</v>
      </c>
      <c r="C48" s="21" t="n">
        <f aca="false">IF(AND(C4&gt;=8,C4&lt;8+36),Port_New_Per_M*INDEX(Advance!$C$13:$AL$13,1,C4-8+1)*IF(8&lt;=Port_Orig_Mths,1,0),0)</f>
        <v>0</v>
      </c>
      <c r="D48" s="21" t="n">
        <f aca="false">IF(AND(D4&gt;=8,D4&lt;8+36),Port_New_Per_M*INDEX(Advance!$C$13:$AL$13,1,D4-8+1)*IF(8&lt;=Port_Orig_Mths,1,0),0)</f>
        <v>0</v>
      </c>
      <c r="E48" s="21" t="n">
        <f aca="false">IF(AND(E4&gt;=8,E4&lt;8+36),Port_New_Per_M*INDEX(Advance!$C$13:$AL$13,1,E4-8+1)*IF(8&lt;=Port_Orig_Mths,1,0),0)</f>
        <v>0</v>
      </c>
      <c r="F48" s="21" t="n">
        <f aca="false">IF(AND(F4&gt;=8,F4&lt;8+36),Port_New_Per_M*INDEX(Advance!$C$13:$AL$13,1,F4-8+1)*IF(8&lt;=Port_Orig_Mths,1,0),0)</f>
        <v>0</v>
      </c>
      <c r="G48" s="21" t="n">
        <f aca="false">IF(AND(G4&gt;=8,G4&lt;8+36),Port_New_Per_M*INDEX(Advance!$C$13:$AL$13,1,G4-8+1)*IF(8&lt;=Port_Orig_Mths,1,0),0)</f>
        <v>0</v>
      </c>
      <c r="H48" s="21" t="n">
        <f aca="false">IF(AND(H4&gt;=8,H4&lt;8+36),Port_New_Per_M*INDEX(Advance!$C$13:$AL$13,1,H4-8+1)*IF(8&lt;=Port_Orig_Mths,1,0),0)</f>
        <v>0</v>
      </c>
      <c r="I48" s="21" t="n">
        <f aca="false">IF(AND(I4&gt;=8,I4&lt;8+36),Port_New_Per_M*INDEX(Advance!$C$13:$AL$13,1,I4-8+1)*IF(8&lt;=Port_Orig_Mths,1,0),0)</f>
        <v>0</v>
      </c>
      <c r="J48" s="21" t="n">
        <f aca="false">IF(AND(J4&gt;=8,J4&lt;8+36),Port_New_Per_M*INDEX(Advance!$C$13:$AL$13,1,J4-8+1)*IF(8&lt;=Port_Orig_Mths,1,0),0)</f>
        <v>60</v>
      </c>
      <c r="K48" s="21" t="n">
        <f aca="false">IF(AND(K4&gt;=8,K4&lt;8+36),Port_New_Per_M*INDEX(Advance!$C$13:$AL$13,1,K4-8+1)*IF(8&lt;=Port_Orig_Mths,1,0),0)</f>
        <v>61.8</v>
      </c>
      <c r="L48" s="21" t="n">
        <f aca="false">IF(AND(L4&gt;=8,L4&lt;8+36),Port_New_Per_M*INDEX(Advance!$C$13:$AL$13,1,L4-8+1)*IF(8&lt;=Port_Orig_Mths,1,0),0)</f>
        <v>63.654</v>
      </c>
      <c r="M48" s="21" t="n">
        <f aca="false">IF(AND(M4&gt;=8,M4&lt;8+36),Port_New_Per_M*INDEX(Advance!$C$13:$AL$13,1,M4-8+1)*IF(8&lt;=Port_Orig_Mths,1,0),0)</f>
        <v>65.56362</v>
      </c>
      <c r="N48" s="21" t="n">
        <f aca="false">IF(AND(N4&gt;=8,N4&lt;8+36),Port_New_Per_M*INDEX(Advance!$C$13:$AL$13,1,N4-8+1)*IF(8&lt;=Port_Orig_Mths,1,0),0)</f>
        <v>67.5305286</v>
      </c>
      <c r="O48" s="21" t="n">
        <f aca="false">IF(AND(O4&gt;=8,O4&lt;8+36),Port_New_Per_M*INDEX(Advance!$C$13:$AL$13,1,O4-8+1)*IF(8&lt;=Port_Orig_Mths,1,0),0)</f>
        <v>69.556444458</v>
      </c>
      <c r="P48" s="21" t="n">
        <f aca="false">IF(AND(P4&gt;=8,P4&lt;8+36),Port_New_Per_M*INDEX(Advance!$C$13:$AL$13,1,P4-8+1)*IF(8&lt;=Port_Orig_Mths,1,0),0)</f>
        <v>71.64313779174</v>
      </c>
      <c r="Q48" s="21" t="n">
        <f aca="false">IF(AND(Q4&gt;=8,Q4&lt;8+36),Port_New_Per_M*INDEX(Advance!$C$13:$AL$13,1,Q4-8+1)*IF(8&lt;=Port_Orig_Mths,1,0),0)</f>
        <v>73.7924319254922</v>
      </c>
      <c r="R48" s="21" t="n">
        <f aca="false">IF(AND(R4&gt;=8,R4&lt;8+36),Port_New_Per_M*INDEX(Advance!$C$13:$AL$13,1,R4-8+1)*IF(8&lt;=Port_Orig_Mths,1,0),0)</f>
        <v>76.006204883257</v>
      </c>
      <c r="S48" s="21" t="n">
        <f aca="false">IF(AND(S4&gt;=8,S4&lt;8+36),Port_New_Per_M*INDEX(Advance!$C$13:$AL$13,1,S4-8+1)*IF(8&lt;=Port_Orig_Mths,1,0),0)</f>
        <v>78.2863910297547</v>
      </c>
      <c r="T48" s="21" t="n">
        <f aca="false">IF(AND(T4&gt;=8,T4&lt;8+36),Port_New_Per_M*INDEX(Advance!$C$13:$AL$13,1,T4-8+1)*IF(8&lt;=Port_Orig_Mths,1,0),0)</f>
        <v>80.6349827606474</v>
      </c>
      <c r="U48" s="21" t="n">
        <f aca="false">IF(AND(U4&gt;=8,U4&lt;8+36),Port_New_Per_M*INDEX(Advance!$C$13:$AL$13,1,U4-8+1)*IF(8&lt;=Port_Orig_Mths,1,0),0)</f>
        <v>83.0540322434668</v>
      </c>
      <c r="V48" s="21" t="n">
        <f aca="false">IF(AND(V4&gt;=8,V4&lt;8+36),Port_New_Per_M*INDEX(Advance!$C$13:$AL$13,1,V4-8+1)*IF(8&lt;=Port_Orig_Mths,1,0),0)</f>
        <v>85.5456532107708</v>
      </c>
      <c r="W48" s="21" t="n">
        <f aca="false">IF(AND(W4&gt;=8,W4&lt;8+36),Port_New_Per_M*INDEX(Advance!$C$13:$AL$13,1,W4-8+1)*IF(8&lt;=Port_Orig_Mths,1,0),0)</f>
        <v>88.1120228070939</v>
      </c>
      <c r="X48" s="21" t="n">
        <f aca="false">IF(AND(X4&gt;=8,X4&lt;8+36),Port_New_Per_M*INDEX(Advance!$C$13:$AL$13,1,X4-8+1)*IF(8&lt;=Port_Orig_Mths,1,0),0)</f>
        <v>90.7553834913067</v>
      </c>
      <c r="Y48" s="21" t="n">
        <f aca="false">IF(AND(Y4&gt;=8,Y4&lt;8+36),Port_New_Per_M*INDEX(Advance!$C$13:$AL$13,1,Y4-8+1)*IF(8&lt;=Port_Orig_Mths,1,0),0)</f>
        <v>93.4780449960459</v>
      </c>
      <c r="Z48" s="21" t="n">
        <f aca="false">IF(AND(Z4&gt;=8,Z4&lt;8+36),Port_New_Per_M*INDEX(Advance!$C$13:$AL$13,1,Z4-8+1)*IF(8&lt;=Port_Orig_Mths,1,0),0)</f>
        <v>96.2823863459273</v>
      </c>
    </row>
    <row r="49" customFormat="false" ht="15" hidden="false" customHeight="false" outlineLevel="0" collapsed="false">
      <c r="B49" s="29" t="s">
        <v>135</v>
      </c>
      <c r="C49" s="21" t="n">
        <f aca="false">IF(AND(C4&gt;=9,C4&lt;9+36),Port_New_Per_M*INDEX(Advance!$C$13:$AL$13,1,C4-9+1)*IF(9&lt;=Port_Orig_Mths,1,0),0)</f>
        <v>0</v>
      </c>
      <c r="D49" s="21" t="n">
        <f aca="false">IF(AND(D4&gt;=9,D4&lt;9+36),Port_New_Per_M*INDEX(Advance!$C$13:$AL$13,1,D4-9+1)*IF(9&lt;=Port_Orig_Mths,1,0),0)</f>
        <v>0</v>
      </c>
      <c r="E49" s="21" t="n">
        <f aca="false">IF(AND(E4&gt;=9,E4&lt;9+36),Port_New_Per_M*INDEX(Advance!$C$13:$AL$13,1,E4-9+1)*IF(9&lt;=Port_Orig_Mths,1,0),0)</f>
        <v>0</v>
      </c>
      <c r="F49" s="21" t="n">
        <f aca="false">IF(AND(F4&gt;=9,F4&lt;9+36),Port_New_Per_M*INDEX(Advance!$C$13:$AL$13,1,F4-9+1)*IF(9&lt;=Port_Orig_Mths,1,0),0)</f>
        <v>0</v>
      </c>
      <c r="G49" s="21" t="n">
        <f aca="false">IF(AND(G4&gt;=9,G4&lt;9+36),Port_New_Per_M*INDEX(Advance!$C$13:$AL$13,1,G4-9+1)*IF(9&lt;=Port_Orig_Mths,1,0),0)</f>
        <v>0</v>
      </c>
      <c r="H49" s="21" t="n">
        <f aca="false">IF(AND(H4&gt;=9,H4&lt;9+36),Port_New_Per_M*INDEX(Advance!$C$13:$AL$13,1,H4-9+1)*IF(9&lt;=Port_Orig_Mths,1,0),0)</f>
        <v>0</v>
      </c>
      <c r="I49" s="21" t="n">
        <f aca="false">IF(AND(I4&gt;=9,I4&lt;9+36),Port_New_Per_M*INDEX(Advance!$C$13:$AL$13,1,I4-9+1)*IF(9&lt;=Port_Orig_Mths,1,0),0)</f>
        <v>0</v>
      </c>
      <c r="J49" s="21" t="n">
        <f aca="false">IF(AND(J4&gt;=9,J4&lt;9+36),Port_New_Per_M*INDEX(Advance!$C$13:$AL$13,1,J4-9+1)*IF(9&lt;=Port_Orig_Mths,1,0),0)</f>
        <v>0</v>
      </c>
      <c r="K49" s="21" t="n">
        <f aca="false">IF(AND(K4&gt;=9,K4&lt;9+36),Port_New_Per_M*INDEX(Advance!$C$13:$AL$13,1,K4-9+1)*IF(9&lt;=Port_Orig_Mths,1,0),0)</f>
        <v>60</v>
      </c>
      <c r="L49" s="21" t="n">
        <f aca="false">IF(AND(L4&gt;=9,L4&lt;9+36),Port_New_Per_M*INDEX(Advance!$C$13:$AL$13,1,L4-9+1)*IF(9&lt;=Port_Orig_Mths,1,0),0)</f>
        <v>61.8</v>
      </c>
      <c r="M49" s="21" t="n">
        <f aca="false">IF(AND(M4&gt;=9,M4&lt;9+36),Port_New_Per_M*INDEX(Advance!$C$13:$AL$13,1,M4-9+1)*IF(9&lt;=Port_Orig_Mths,1,0),0)</f>
        <v>63.654</v>
      </c>
      <c r="N49" s="21" t="n">
        <f aca="false">IF(AND(N4&gt;=9,N4&lt;9+36),Port_New_Per_M*INDEX(Advance!$C$13:$AL$13,1,N4-9+1)*IF(9&lt;=Port_Orig_Mths,1,0),0)</f>
        <v>65.56362</v>
      </c>
      <c r="O49" s="21" t="n">
        <f aca="false">IF(AND(O4&gt;=9,O4&lt;9+36),Port_New_Per_M*INDEX(Advance!$C$13:$AL$13,1,O4-9+1)*IF(9&lt;=Port_Orig_Mths,1,0),0)</f>
        <v>67.5305286</v>
      </c>
      <c r="P49" s="21" t="n">
        <f aca="false">IF(AND(P4&gt;=9,P4&lt;9+36),Port_New_Per_M*INDEX(Advance!$C$13:$AL$13,1,P4-9+1)*IF(9&lt;=Port_Orig_Mths,1,0),0)</f>
        <v>69.556444458</v>
      </c>
      <c r="Q49" s="21" t="n">
        <f aca="false">IF(AND(Q4&gt;=9,Q4&lt;9+36),Port_New_Per_M*INDEX(Advance!$C$13:$AL$13,1,Q4-9+1)*IF(9&lt;=Port_Orig_Mths,1,0),0)</f>
        <v>71.64313779174</v>
      </c>
      <c r="R49" s="21" t="n">
        <f aca="false">IF(AND(R4&gt;=9,R4&lt;9+36),Port_New_Per_M*INDEX(Advance!$C$13:$AL$13,1,R4-9+1)*IF(9&lt;=Port_Orig_Mths,1,0),0)</f>
        <v>73.7924319254922</v>
      </c>
      <c r="S49" s="21" t="n">
        <f aca="false">IF(AND(S4&gt;=9,S4&lt;9+36),Port_New_Per_M*INDEX(Advance!$C$13:$AL$13,1,S4-9+1)*IF(9&lt;=Port_Orig_Mths,1,0),0)</f>
        <v>76.006204883257</v>
      </c>
      <c r="T49" s="21" t="n">
        <f aca="false">IF(AND(T4&gt;=9,T4&lt;9+36),Port_New_Per_M*INDEX(Advance!$C$13:$AL$13,1,T4-9+1)*IF(9&lt;=Port_Orig_Mths,1,0),0)</f>
        <v>78.2863910297547</v>
      </c>
      <c r="U49" s="21" t="n">
        <f aca="false">IF(AND(U4&gt;=9,U4&lt;9+36),Port_New_Per_M*INDEX(Advance!$C$13:$AL$13,1,U4-9+1)*IF(9&lt;=Port_Orig_Mths,1,0),0)</f>
        <v>80.6349827606474</v>
      </c>
      <c r="V49" s="21" t="n">
        <f aca="false">IF(AND(V4&gt;=9,V4&lt;9+36),Port_New_Per_M*INDEX(Advance!$C$13:$AL$13,1,V4-9+1)*IF(9&lt;=Port_Orig_Mths,1,0),0)</f>
        <v>83.0540322434668</v>
      </c>
      <c r="W49" s="21" t="n">
        <f aca="false">IF(AND(W4&gt;=9,W4&lt;9+36),Port_New_Per_M*INDEX(Advance!$C$13:$AL$13,1,W4-9+1)*IF(9&lt;=Port_Orig_Mths,1,0),0)</f>
        <v>85.5456532107708</v>
      </c>
      <c r="X49" s="21" t="n">
        <f aca="false">IF(AND(X4&gt;=9,X4&lt;9+36),Port_New_Per_M*INDEX(Advance!$C$13:$AL$13,1,X4-9+1)*IF(9&lt;=Port_Orig_Mths,1,0),0)</f>
        <v>88.1120228070939</v>
      </c>
      <c r="Y49" s="21" t="n">
        <f aca="false">IF(AND(Y4&gt;=9,Y4&lt;9+36),Port_New_Per_M*INDEX(Advance!$C$13:$AL$13,1,Y4-9+1)*IF(9&lt;=Port_Orig_Mths,1,0),0)</f>
        <v>90.7553834913067</v>
      </c>
      <c r="Z49" s="21" t="n">
        <f aca="false">IF(AND(Z4&gt;=9,Z4&lt;9+36),Port_New_Per_M*INDEX(Advance!$C$13:$AL$13,1,Z4-9+1)*IF(9&lt;=Port_Orig_Mths,1,0),0)</f>
        <v>93.4780449960459</v>
      </c>
    </row>
    <row r="50" customFormat="false" ht="15" hidden="false" customHeight="false" outlineLevel="0" collapsed="false">
      <c r="B50" s="29" t="s">
        <v>136</v>
      </c>
      <c r="C50" s="21" t="n">
        <f aca="false">IF(AND(C4&gt;=10,C4&lt;10+36),Port_New_Per_M*INDEX(Advance!$C$13:$AL$13,1,C4-10+1)*IF(10&lt;=Port_Orig_Mths,1,0),0)</f>
        <v>0</v>
      </c>
      <c r="D50" s="21" t="n">
        <f aca="false">IF(AND(D4&gt;=10,D4&lt;10+36),Port_New_Per_M*INDEX(Advance!$C$13:$AL$13,1,D4-10+1)*IF(10&lt;=Port_Orig_Mths,1,0),0)</f>
        <v>0</v>
      </c>
      <c r="E50" s="21" t="n">
        <f aca="false">IF(AND(E4&gt;=10,E4&lt;10+36),Port_New_Per_M*INDEX(Advance!$C$13:$AL$13,1,E4-10+1)*IF(10&lt;=Port_Orig_Mths,1,0),0)</f>
        <v>0</v>
      </c>
      <c r="F50" s="21" t="n">
        <f aca="false">IF(AND(F4&gt;=10,F4&lt;10+36),Port_New_Per_M*INDEX(Advance!$C$13:$AL$13,1,F4-10+1)*IF(10&lt;=Port_Orig_Mths,1,0),0)</f>
        <v>0</v>
      </c>
      <c r="G50" s="21" t="n">
        <f aca="false">IF(AND(G4&gt;=10,G4&lt;10+36),Port_New_Per_M*INDEX(Advance!$C$13:$AL$13,1,G4-10+1)*IF(10&lt;=Port_Orig_Mths,1,0),0)</f>
        <v>0</v>
      </c>
      <c r="H50" s="21" t="n">
        <f aca="false">IF(AND(H4&gt;=10,H4&lt;10+36),Port_New_Per_M*INDEX(Advance!$C$13:$AL$13,1,H4-10+1)*IF(10&lt;=Port_Orig_Mths,1,0),0)</f>
        <v>0</v>
      </c>
      <c r="I50" s="21" t="n">
        <f aca="false">IF(AND(I4&gt;=10,I4&lt;10+36),Port_New_Per_M*INDEX(Advance!$C$13:$AL$13,1,I4-10+1)*IF(10&lt;=Port_Orig_Mths,1,0),0)</f>
        <v>0</v>
      </c>
      <c r="J50" s="21" t="n">
        <f aca="false">IF(AND(J4&gt;=10,J4&lt;10+36),Port_New_Per_M*INDEX(Advance!$C$13:$AL$13,1,J4-10+1)*IF(10&lt;=Port_Orig_Mths,1,0),0)</f>
        <v>0</v>
      </c>
      <c r="K50" s="21" t="n">
        <f aca="false">IF(AND(K4&gt;=10,K4&lt;10+36),Port_New_Per_M*INDEX(Advance!$C$13:$AL$13,1,K4-10+1)*IF(10&lt;=Port_Orig_Mths,1,0),0)</f>
        <v>0</v>
      </c>
      <c r="L50" s="21" t="n">
        <f aca="false">IF(AND(L4&gt;=10,L4&lt;10+36),Port_New_Per_M*INDEX(Advance!$C$13:$AL$13,1,L4-10+1)*IF(10&lt;=Port_Orig_Mths,1,0),0)</f>
        <v>60</v>
      </c>
      <c r="M50" s="21" t="n">
        <f aca="false">IF(AND(M4&gt;=10,M4&lt;10+36),Port_New_Per_M*INDEX(Advance!$C$13:$AL$13,1,M4-10+1)*IF(10&lt;=Port_Orig_Mths,1,0),0)</f>
        <v>61.8</v>
      </c>
      <c r="N50" s="21" t="n">
        <f aca="false">IF(AND(N4&gt;=10,N4&lt;10+36),Port_New_Per_M*INDEX(Advance!$C$13:$AL$13,1,N4-10+1)*IF(10&lt;=Port_Orig_Mths,1,0),0)</f>
        <v>63.654</v>
      </c>
      <c r="O50" s="21" t="n">
        <f aca="false">IF(AND(O4&gt;=10,O4&lt;10+36),Port_New_Per_M*INDEX(Advance!$C$13:$AL$13,1,O4-10+1)*IF(10&lt;=Port_Orig_Mths,1,0),0)</f>
        <v>65.56362</v>
      </c>
      <c r="P50" s="21" t="n">
        <f aca="false">IF(AND(P4&gt;=10,P4&lt;10+36),Port_New_Per_M*INDEX(Advance!$C$13:$AL$13,1,P4-10+1)*IF(10&lt;=Port_Orig_Mths,1,0),0)</f>
        <v>67.5305286</v>
      </c>
      <c r="Q50" s="21" t="n">
        <f aca="false">IF(AND(Q4&gt;=10,Q4&lt;10+36),Port_New_Per_M*INDEX(Advance!$C$13:$AL$13,1,Q4-10+1)*IF(10&lt;=Port_Orig_Mths,1,0),0)</f>
        <v>69.556444458</v>
      </c>
      <c r="R50" s="21" t="n">
        <f aca="false">IF(AND(R4&gt;=10,R4&lt;10+36),Port_New_Per_M*INDEX(Advance!$C$13:$AL$13,1,R4-10+1)*IF(10&lt;=Port_Orig_Mths,1,0),0)</f>
        <v>71.64313779174</v>
      </c>
      <c r="S50" s="21" t="n">
        <f aca="false">IF(AND(S4&gt;=10,S4&lt;10+36),Port_New_Per_M*INDEX(Advance!$C$13:$AL$13,1,S4-10+1)*IF(10&lt;=Port_Orig_Mths,1,0),0)</f>
        <v>73.7924319254922</v>
      </c>
      <c r="T50" s="21" t="n">
        <f aca="false">IF(AND(T4&gt;=10,T4&lt;10+36),Port_New_Per_M*INDEX(Advance!$C$13:$AL$13,1,T4-10+1)*IF(10&lt;=Port_Orig_Mths,1,0),0)</f>
        <v>76.006204883257</v>
      </c>
      <c r="U50" s="21" t="n">
        <f aca="false">IF(AND(U4&gt;=10,U4&lt;10+36),Port_New_Per_M*INDEX(Advance!$C$13:$AL$13,1,U4-10+1)*IF(10&lt;=Port_Orig_Mths,1,0),0)</f>
        <v>78.2863910297547</v>
      </c>
      <c r="V50" s="21" t="n">
        <f aca="false">IF(AND(V4&gt;=10,V4&lt;10+36),Port_New_Per_M*INDEX(Advance!$C$13:$AL$13,1,V4-10+1)*IF(10&lt;=Port_Orig_Mths,1,0),0)</f>
        <v>80.6349827606474</v>
      </c>
      <c r="W50" s="21" t="n">
        <f aca="false">IF(AND(W4&gt;=10,W4&lt;10+36),Port_New_Per_M*INDEX(Advance!$C$13:$AL$13,1,W4-10+1)*IF(10&lt;=Port_Orig_Mths,1,0),0)</f>
        <v>83.0540322434668</v>
      </c>
      <c r="X50" s="21" t="n">
        <f aca="false">IF(AND(X4&gt;=10,X4&lt;10+36),Port_New_Per_M*INDEX(Advance!$C$13:$AL$13,1,X4-10+1)*IF(10&lt;=Port_Orig_Mths,1,0),0)</f>
        <v>85.5456532107708</v>
      </c>
      <c r="Y50" s="21" t="n">
        <f aca="false">IF(AND(Y4&gt;=10,Y4&lt;10+36),Port_New_Per_M*INDEX(Advance!$C$13:$AL$13,1,Y4-10+1)*IF(10&lt;=Port_Orig_Mths,1,0),0)</f>
        <v>88.1120228070939</v>
      </c>
      <c r="Z50" s="21" t="n">
        <f aca="false">IF(AND(Z4&gt;=10,Z4&lt;10+36),Port_New_Per_M*INDEX(Advance!$C$13:$AL$13,1,Z4-10+1)*IF(10&lt;=Port_Orig_Mths,1,0),0)</f>
        <v>90.7553834913067</v>
      </c>
    </row>
    <row r="51" customFormat="false" ht="15" hidden="false" customHeight="false" outlineLevel="0" collapsed="false">
      <c r="B51" s="29" t="s">
        <v>137</v>
      </c>
      <c r="C51" s="21" t="n">
        <f aca="false">IF(AND(C4&gt;=11,C4&lt;11+36),Port_New_Per_M*INDEX(Advance!$C$13:$AL$13,1,C4-11+1)*IF(11&lt;=Port_Orig_Mths,1,0),0)</f>
        <v>0</v>
      </c>
      <c r="D51" s="21" t="n">
        <f aca="false">IF(AND(D4&gt;=11,D4&lt;11+36),Port_New_Per_M*INDEX(Advance!$C$13:$AL$13,1,D4-11+1)*IF(11&lt;=Port_Orig_Mths,1,0),0)</f>
        <v>0</v>
      </c>
      <c r="E51" s="21" t="n">
        <f aca="false">IF(AND(E4&gt;=11,E4&lt;11+36),Port_New_Per_M*INDEX(Advance!$C$13:$AL$13,1,E4-11+1)*IF(11&lt;=Port_Orig_Mths,1,0),0)</f>
        <v>0</v>
      </c>
      <c r="F51" s="21" t="n">
        <f aca="false">IF(AND(F4&gt;=11,F4&lt;11+36),Port_New_Per_M*INDEX(Advance!$C$13:$AL$13,1,F4-11+1)*IF(11&lt;=Port_Orig_Mths,1,0),0)</f>
        <v>0</v>
      </c>
      <c r="G51" s="21" t="n">
        <f aca="false">IF(AND(G4&gt;=11,G4&lt;11+36),Port_New_Per_M*INDEX(Advance!$C$13:$AL$13,1,G4-11+1)*IF(11&lt;=Port_Orig_Mths,1,0),0)</f>
        <v>0</v>
      </c>
      <c r="H51" s="21" t="n">
        <f aca="false">IF(AND(H4&gt;=11,H4&lt;11+36),Port_New_Per_M*INDEX(Advance!$C$13:$AL$13,1,H4-11+1)*IF(11&lt;=Port_Orig_Mths,1,0),0)</f>
        <v>0</v>
      </c>
      <c r="I51" s="21" t="n">
        <f aca="false">IF(AND(I4&gt;=11,I4&lt;11+36),Port_New_Per_M*INDEX(Advance!$C$13:$AL$13,1,I4-11+1)*IF(11&lt;=Port_Orig_Mths,1,0),0)</f>
        <v>0</v>
      </c>
      <c r="J51" s="21" t="n">
        <f aca="false">IF(AND(J4&gt;=11,J4&lt;11+36),Port_New_Per_M*INDEX(Advance!$C$13:$AL$13,1,J4-11+1)*IF(11&lt;=Port_Orig_Mths,1,0),0)</f>
        <v>0</v>
      </c>
      <c r="K51" s="21" t="n">
        <f aca="false">IF(AND(K4&gt;=11,K4&lt;11+36),Port_New_Per_M*INDEX(Advance!$C$13:$AL$13,1,K4-11+1)*IF(11&lt;=Port_Orig_Mths,1,0),0)</f>
        <v>0</v>
      </c>
      <c r="L51" s="21" t="n">
        <f aca="false">IF(AND(L4&gt;=11,L4&lt;11+36),Port_New_Per_M*INDEX(Advance!$C$13:$AL$13,1,L4-11+1)*IF(11&lt;=Port_Orig_Mths,1,0),0)</f>
        <v>0</v>
      </c>
      <c r="M51" s="21" t="n">
        <f aca="false">IF(AND(M4&gt;=11,M4&lt;11+36),Port_New_Per_M*INDEX(Advance!$C$13:$AL$13,1,M4-11+1)*IF(11&lt;=Port_Orig_Mths,1,0),0)</f>
        <v>60</v>
      </c>
      <c r="N51" s="21" t="n">
        <f aca="false">IF(AND(N4&gt;=11,N4&lt;11+36),Port_New_Per_M*INDEX(Advance!$C$13:$AL$13,1,N4-11+1)*IF(11&lt;=Port_Orig_Mths,1,0),0)</f>
        <v>61.8</v>
      </c>
      <c r="O51" s="21" t="n">
        <f aca="false">IF(AND(O4&gt;=11,O4&lt;11+36),Port_New_Per_M*INDEX(Advance!$C$13:$AL$13,1,O4-11+1)*IF(11&lt;=Port_Orig_Mths,1,0),0)</f>
        <v>63.654</v>
      </c>
      <c r="P51" s="21" t="n">
        <f aca="false">IF(AND(P4&gt;=11,P4&lt;11+36),Port_New_Per_M*INDEX(Advance!$C$13:$AL$13,1,P4-11+1)*IF(11&lt;=Port_Orig_Mths,1,0),0)</f>
        <v>65.56362</v>
      </c>
      <c r="Q51" s="21" t="n">
        <f aca="false">IF(AND(Q4&gt;=11,Q4&lt;11+36),Port_New_Per_M*INDEX(Advance!$C$13:$AL$13,1,Q4-11+1)*IF(11&lt;=Port_Orig_Mths,1,0),0)</f>
        <v>67.5305286</v>
      </c>
      <c r="R51" s="21" t="n">
        <f aca="false">IF(AND(R4&gt;=11,R4&lt;11+36),Port_New_Per_M*INDEX(Advance!$C$13:$AL$13,1,R4-11+1)*IF(11&lt;=Port_Orig_Mths,1,0),0)</f>
        <v>69.556444458</v>
      </c>
      <c r="S51" s="21" t="n">
        <f aca="false">IF(AND(S4&gt;=11,S4&lt;11+36),Port_New_Per_M*INDEX(Advance!$C$13:$AL$13,1,S4-11+1)*IF(11&lt;=Port_Orig_Mths,1,0),0)</f>
        <v>71.64313779174</v>
      </c>
      <c r="T51" s="21" t="n">
        <f aca="false">IF(AND(T4&gt;=11,T4&lt;11+36),Port_New_Per_M*INDEX(Advance!$C$13:$AL$13,1,T4-11+1)*IF(11&lt;=Port_Orig_Mths,1,0),0)</f>
        <v>73.7924319254922</v>
      </c>
      <c r="U51" s="21" t="n">
        <f aca="false">IF(AND(U4&gt;=11,U4&lt;11+36),Port_New_Per_M*INDEX(Advance!$C$13:$AL$13,1,U4-11+1)*IF(11&lt;=Port_Orig_Mths,1,0),0)</f>
        <v>76.006204883257</v>
      </c>
      <c r="V51" s="21" t="n">
        <f aca="false">IF(AND(V4&gt;=11,V4&lt;11+36),Port_New_Per_M*INDEX(Advance!$C$13:$AL$13,1,V4-11+1)*IF(11&lt;=Port_Orig_Mths,1,0),0)</f>
        <v>78.2863910297547</v>
      </c>
      <c r="W51" s="21" t="n">
        <f aca="false">IF(AND(W4&gt;=11,W4&lt;11+36),Port_New_Per_M*INDEX(Advance!$C$13:$AL$13,1,W4-11+1)*IF(11&lt;=Port_Orig_Mths,1,0),0)</f>
        <v>80.6349827606474</v>
      </c>
      <c r="X51" s="21" t="n">
        <f aca="false">IF(AND(X4&gt;=11,X4&lt;11+36),Port_New_Per_M*INDEX(Advance!$C$13:$AL$13,1,X4-11+1)*IF(11&lt;=Port_Orig_Mths,1,0),0)</f>
        <v>83.0540322434668</v>
      </c>
      <c r="Y51" s="21" t="n">
        <f aca="false">IF(AND(Y4&gt;=11,Y4&lt;11+36),Port_New_Per_M*INDEX(Advance!$C$13:$AL$13,1,Y4-11+1)*IF(11&lt;=Port_Orig_Mths,1,0),0)</f>
        <v>85.5456532107708</v>
      </c>
      <c r="Z51" s="21" t="n">
        <f aca="false">IF(AND(Z4&gt;=11,Z4&lt;11+36),Port_New_Per_M*INDEX(Advance!$C$13:$AL$13,1,Z4-11+1)*IF(11&lt;=Port_Orig_Mths,1,0),0)</f>
        <v>88.1120228070939</v>
      </c>
    </row>
    <row r="52" customFormat="false" ht="15" hidden="false" customHeight="false" outlineLevel="0" collapsed="false">
      <c r="B52" s="29" t="s">
        <v>138</v>
      </c>
      <c r="C52" s="21" t="n">
        <f aca="false">IF(AND(C4&gt;=12,C4&lt;12+36),Port_New_Per_M*INDEX(Advance!$C$13:$AL$13,1,C4-12+1)*IF(12&lt;=Port_Orig_Mths,1,0),0)</f>
        <v>0</v>
      </c>
      <c r="D52" s="21" t="n">
        <f aca="false">IF(AND(D4&gt;=12,D4&lt;12+36),Port_New_Per_M*INDEX(Advance!$C$13:$AL$13,1,D4-12+1)*IF(12&lt;=Port_Orig_Mths,1,0),0)</f>
        <v>0</v>
      </c>
      <c r="E52" s="21" t="n">
        <f aca="false">IF(AND(E4&gt;=12,E4&lt;12+36),Port_New_Per_M*INDEX(Advance!$C$13:$AL$13,1,E4-12+1)*IF(12&lt;=Port_Orig_Mths,1,0),0)</f>
        <v>0</v>
      </c>
      <c r="F52" s="21" t="n">
        <f aca="false">IF(AND(F4&gt;=12,F4&lt;12+36),Port_New_Per_M*INDEX(Advance!$C$13:$AL$13,1,F4-12+1)*IF(12&lt;=Port_Orig_Mths,1,0),0)</f>
        <v>0</v>
      </c>
      <c r="G52" s="21" t="n">
        <f aca="false">IF(AND(G4&gt;=12,G4&lt;12+36),Port_New_Per_M*INDEX(Advance!$C$13:$AL$13,1,G4-12+1)*IF(12&lt;=Port_Orig_Mths,1,0),0)</f>
        <v>0</v>
      </c>
      <c r="H52" s="21" t="n">
        <f aca="false">IF(AND(H4&gt;=12,H4&lt;12+36),Port_New_Per_M*INDEX(Advance!$C$13:$AL$13,1,H4-12+1)*IF(12&lt;=Port_Orig_Mths,1,0),0)</f>
        <v>0</v>
      </c>
      <c r="I52" s="21" t="n">
        <f aca="false">IF(AND(I4&gt;=12,I4&lt;12+36),Port_New_Per_M*INDEX(Advance!$C$13:$AL$13,1,I4-12+1)*IF(12&lt;=Port_Orig_Mths,1,0),0)</f>
        <v>0</v>
      </c>
      <c r="J52" s="21" t="n">
        <f aca="false">IF(AND(J4&gt;=12,J4&lt;12+36),Port_New_Per_M*INDEX(Advance!$C$13:$AL$13,1,J4-12+1)*IF(12&lt;=Port_Orig_Mths,1,0),0)</f>
        <v>0</v>
      </c>
      <c r="K52" s="21" t="n">
        <f aca="false">IF(AND(K4&gt;=12,K4&lt;12+36),Port_New_Per_M*INDEX(Advance!$C$13:$AL$13,1,K4-12+1)*IF(12&lt;=Port_Orig_Mths,1,0),0)</f>
        <v>0</v>
      </c>
      <c r="L52" s="21" t="n">
        <f aca="false">IF(AND(L4&gt;=12,L4&lt;12+36),Port_New_Per_M*INDEX(Advance!$C$13:$AL$13,1,L4-12+1)*IF(12&lt;=Port_Orig_Mths,1,0),0)</f>
        <v>0</v>
      </c>
      <c r="M52" s="21" t="n">
        <f aca="false">IF(AND(M4&gt;=12,M4&lt;12+36),Port_New_Per_M*INDEX(Advance!$C$13:$AL$13,1,M4-12+1)*IF(12&lt;=Port_Orig_Mths,1,0),0)</f>
        <v>0</v>
      </c>
      <c r="N52" s="21" t="n">
        <f aca="false">IF(AND(N4&gt;=12,N4&lt;12+36),Port_New_Per_M*INDEX(Advance!$C$13:$AL$13,1,N4-12+1)*IF(12&lt;=Port_Orig_Mths,1,0),0)</f>
        <v>60</v>
      </c>
      <c r="O52" s="21" t="n">
        <f aca="false">IF(AND(O4&gt;=12,O4&lt;12+36),Port_New_Per_M*INDEX(Advance!$C$13:$AL$13,1,O4-12+1)*IF(12&lt;=Port_Orig_Mths,1,0),0)</f>
        <v>61.8</v>
      </c>
      <c r="P52" s="21" t="n">
        <f aca="false">IF(AND(P4&gt;=12,P4&lt;12+36),Port_New_Per_M*INDEX(Advance!$C$13:$AL$13,1,P4-12+1)*IF(12&lt;=Port_Orig_Mths,1,0),0)</f>
        <v>63.654</v>
      </c>
      <c r="Q52" s="21" t="n">
        <f aca="false">IF(AND(Q4&gt;=12,Q4&lt;12+36),Port_New_Per_M*INDEX(Advance!$C$13:$AL$13,1,Q4-12+1)*IF(12&lt;=Port_Orig_Mths,1,0),0)</f>
        <v>65.56362</v>
      </c>
      <c r="R52" s="21" t="n">
        <f aca="false">IF(AND(R4&gt;=12,R4&lt;12+36),Port_New_Per_M*INDEX(Advance!$C$13:$AL$13,1,R4-12+1)*IF(12&lt;=Port_Orig_Mths,1,0),0)</f>
        <v>67.5305286</v>
      </c>
      <c r="S52" s="21" t="n">
        <f aca="false">IF(AND(S4&gt;=12,S4&lt;12+36),Port_New_Per_M*INDEX(Advance!$C$13:$AL$13,1,S4-12+1)*IF(12&lt;=Port_Orig_Mths,1,0),0)</f>
        <v>69.556444458</v>
      </c>
      <c r="T52" s="21" t="n">
        <f aca="false">IF(AND(T4&gt;=12,T4&lt;12+36),Port_New_Per_M*INDEX(Advance!$C$13:$AL$13,1,T4-12+1)*IF(12&lt;=Port_Orig_Mths,1,0),0)</f>
        <v>71.64313779174</v>
      </c>
      <c r="U52" s="21" t="n">
        <f aca="false">IF(AND(U4&gt;=12,U4&lt;12+36),Port_New_Per_M*INDEX(Advance!$C$13:$AL$13,1,U4-12+1)*IF(12&lt;=Port_Orig_Mths,1,0),0)</f>
        <v>73.7924319254922</v>
      </c>
      <c r="V52" s="21" t="n">
        <f aca="false">IF(AND(V4&gt;=12,V4&lt;12+36),Port_New_Per_M*INDEX(Advance!$C$13:$AL$13,1,V4-12+1)*IF(12&lt;=Port_Orig_Mths,1,0),0)</f>
        <v>76.006204883257</v>
      </c>
      <c r="W52" s="21" t="n">
        <f aca="false">IF(AND(W4&gt;=12,W4&lt;12+36),Port_New_Per_M*INDEX(Advance!$C$13:$AL$13,1,W4-12+1)*IF(12&lt;=Port_Orig_Mths,1,0),0)</f>
        <v>78.2863910297547</v>
      </c>
      <c r="X52" s="21" t="n">
        <f aca="false">IF(AND(X4&gt;=12,X4&lt;12+36),Port_New_Per_M*INDEX(Advance!$C$13:$AL$13,1,X4-12+1)*IF(12&lt;=Port_Orig_Mths,1,0),0)</f>
        <v>80.6349827606474</v>
      </c>
      <c r="Y52" s="21" t="n">
        <f aca="false">IF(AND(Y4&gt;=12,Y4&lt;12+36),Port_New_Per_M*INDEX(Advance!$C$13:$AL$13,1,Y4-12+1)*IF(12&lt;=Port_Orig_Mths,1,0),0)</f>
        <v>83.0540322434668</v>
      </c>
      <c r="Z52" s="21" t="n">
        <f aca="false">IF(AND(Z4&gt;=12,Z4&lt;12+36),Port_New_Per_M*INDEX(Advance!$C$13:$AL$13,1,Z4-12+1)*IF(12&lt;=Port_Orig_Mths,1,0),0)</f>
        <v>85.5456532107708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3" min="3" style="0" width="16"/>
    <col collapsed="false" customWidth="true" hidden="false" outlineLevel="0" max="4" min="4" style="0" width="14"/>
    <col collapsed="false" customWidth="true" hidden="false" outlineLevel="0" max="5" min="5" style="0" width="5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17</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139</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5" t="s">
        <v>140</v>
      </c>
      <c r="C4" s="5" t="s">
        <v>34</v>
      </c>
      <c r="D4" s="5" t="s">
        <v>35</v>
      </c>
      <c r="E4" s="5" t="s">
        <v>36</v>
      </c>
    </row>
    <row r="6" customFormat="false" ht="15" hidden="false" customHeight="false" outlineLevel="0" collapsed="false">
      <c r="B6" s="12" t="s">
        <v>141</v>
      </c>
      <c r="C6" s="13"/>
      <c r="D6" s="13"/>
      <c r="E6" s="13"/>
    </row>
    <row r="7" customFormat="false" ht="15" hidden="false" customHeight="false" outlineLevel="0" collapsed="false">
      <c r="B7" s="14" t="s">
        <v>45</v>
      </c>
      <c r="C7" s="26" t="n">
        <f aca="false">Adv_Amount</f>
        <v>1000</v>
      </c>
      <c r="D7" s="16" t="s">
        <v>39</v>
      </c>
      <c r="E7" s="16" t="s">
        <v>142</v>
      </c>
    </row>
    <row r="8" customFormat="false" ht="15" hidden="false" customHeight="false" outlineLevel="0" collapsed="false">
      <c r="B8" s="14" t="s">
        <v>143</v>
      </c>
      <c r="C8" s="26" t="n">
        <f aca="true">SUM(AD_Remit)</f>
        <v>1265.51888533511</v>
      </c>
      <c r="D8" s="16" t="s">
        <v>39</v>
      </c>
      <c r="E8" s="16" t="s">
        <v>144</v>
      </c>
    </row>
    <row r="9" customFormat="false" ht="15" hidden="false" customHeight="false" outlineLevel="0" collapsed="false">
      <c r="B9" s="14" t="s">
        <v>145</v>
      </c>
      <c r="C9" s="30" t="n">
        <f aca="false">IFERROR(C8/Adv_Amount,0)</f>
        <v>1.26551888533511</v>
      </c>
      <c r="D9" s="16" t="s">
        <v>48</v>
      </c>
      <c r="E9" s="16" t="s">
        <v>146</v>
      </c>
    </row>
    <row r="10" customFormat="false" ht="15" hidden="false" customHeight="false" outlineLevel="0" collapsed="false">
      <c r="B10" s="14" t="s">
        <v>147</v>
      </c>
      <c r="C10" s="31" t="n">
        <f aca="true">IFERROR(MATCH(1,AD_Payback,0),Adv_Term_Cap)</f>
        <v>36</v>
      </c>
      <c r="D10" s="16" t="s">
        <v>53</v>
      </c>
      <c r="E10" s="16" t="s">
        <v>148</v>
      </c>
    </row>
    <row r="11" customFormat="false" ht="15" hidden="false" customHeight="false" outlineLevel="0" collapsed="false">
      <c r="B11" s="14" t="s">
        <v>149</v>
      </c>
      <c r="C11" s="31" t="n">
        <f aca="true">IFERROR(SUMPRODUCT(AD_Remit,Advance!$C$4:$AL$4)/SUM(AD_Remit),0)</f>
        <v>21.6312196876552</v>
      </c>
      <c r="D11" s="16" t="s">
        <v>53</v>
      </c>
      <c r="E11" s="16" t="s">
        <v>150</v>
      </c>
    </row>
    <row r="12" customFormat="false" ht="15" hidden="false" customHeight="false" outlineLevel="0" collapsed="false">
      <c r="B12" s="14" t="s">
        <v>151</v>
      </c>
      <c r="C12" s="32" t="n">
        <f aca="true">IFERROR(IRR(AD_Provider,0.01),0)</f>
        <v>0.0118299773716873</v>
      </c>
      <c r="D12" s="16" t="s">
        <v>152</v>
      </c>
      <c r="E12" s="16" t="s">
        <v>153</v>
      </c>
    </row>
    <row r="13" customFormat="false" ht="15" hidden="false" customHeight="false" outlineLevel="0" collapsed="false">
      <c r="B13" s="14" t="s">
        <v>154</v>
      </c>
      <c r="C13" s="33" t="n">
        <f aca="false">(1+C12)^12-1</f>
        <v>0.151570430348711</v>
      </c>
      <c r="D13" s="16" t="s">
        <v>155</v>
      </c>
      <c r="E13" s="16" t="s">
        <v>156</v>
      </c>
    </row>
    <row r="15" customFormat="false" ht="15" hidden="false" customHeight="false" outlineLevel="0" collapsed="false">
      <c r="B15" s="12" t="s">
        <v>157</v>
      </c>
      <c r="C15" s="13"/>
      <c r="D15" s="13"/>
      <c r="E15" s="13"/>
    </row>
    <row r="16" customFormat="false" ht="15" hidden="false" customHeight="false" outlineLevel="0" collapsed="false">
      <c r="B16" s="14" t="s">
        <v>158</v>
      </c>
      <c r="C16" s="26" t="n">
        <f aca="true">SUM(PT_New_Adv)</f>
        <v>36000</v>
      </c>
      <c r="D16" s="16" t="s">
        <v>39</v>
      </c>
      <c r="E16" s="16" t="s">
        <v>159</v>
      </c>
    </row>
    <row r="17" customFormat="false" ht="15" hidden="false" customHeight="false" outlineLevel="0" collapsed="false">
      <c r="B17" s="14" t="s">
        <v>103</v>
      </c>
      <c r="C17" s="26" t="n">
        <f aca="true">SUM(PT_Remit_Gross)</f>
        <v>17682.9477468434</v>
      </c>
      <c r="D17" s="16" t="s">
        <v>39</v>
      </c>
      <c r="E17" s="16" t="s">
        <v>160</v>
      </c>
    </row>
    <row r="18" customFormat="false" ht="15" hidden="false" customHeight="false" outlineLevel="0" collapsed="false">
      <c r="B18" s="14" t="s">
        <v>106</v>
      </c>
      <c r="C18" s="26" t="n">
        <f aca="true">SUM(PT_Remit_Net)</f>
        <v>15399.2199995953</v>
      </c>
      <c r="D18" s="16" t="s">
        <v>39</v>
      </c>
      <c r="E18" s="16" t="s">
        <v>161</v>
      </c>
    </row>
    <row r="19" customFormat="false" ht="15" hidden="false" customHeight="false" outlineLevel="0" collapsed="false">
      <c r="B19" s="14" t="s">
        <v>162</v>
      </c>
      <c r="C19" s="26" t="n">
        <f aca="true">SUM(PT_Defaults)</f>
        <v>2283.72774724806</v>
      </c>
      <c r="D19" s="16" t="s">
        <v>39</v>
      </c>
      <c r="E19" s="16" t="s">
        <v>163</v>
      </c>
    </row>
    <row r="20" customFormat="false" ht="15" hidden="false" customHeight="false" outlineLevel="0" collapsed="false">
      <c r="B20" s="14" t="s">
        <v>164</v>
      </c>
      <c r="C20" s="30" t="n">
        <f aca="false">IFERROR(C17/C16,0)</f>
        <v>0.491192992967871</v>
      </c>
      <c r="D20" s="16" t="s">
        <v>48</v>
      </c>
      <c r="E20" s="16" t="s">
        <v>165</v>
      </c>
    </row>
    <row r="21" customFormat="false" ht="15" hidden="false" customHeight="false" outlineLevel="0" collapsed="false">
      <c r="B21" s="14" t="s">
        <v>166</v>
      </c>
      <c r="C21" s="30" t="n">
        <f aca="false">IFERROR(C18/C16,0)</f>
        <v>0.42775611109987</v>
      </c>
      <c r="D21" s="16" t="s">
        <v>48</v>
      </c>
      <c r="E21" s="16" t="s">
        <v>167</v>
      </c>
    </row>
    <row r="22" customFormat="false" ht="15" hidden="false" customHeight="false" outlineLevel="0" collapsed="false">
      <c r="B22" s="14" t="s">
        <v>168</v>
      </c>
      <c r="C22" s="32" t="n">
        <f aca="false">IFERROR(C19/C16,0)</f>
        <v>0.0634368818680017</v>
      </c>
      <c r="D22" s="16" t="s">
        <v>42</v>
      </c>
      <c r="E22" s="16" t="s">
        <v>169</v>
      </c>
    </row>
    <row r="23" customFormat="false" ht="15" hidden="false" customHeight="false" outlineLevel="0" collapsed="false">
      <c r="B23" s="14" t="s">
        <v>112</v>
      </c>
      <c r="C23" s="26" t="n">
        <f aca="true">SUM(PT_Net_Income)</f>
        <v>8665.15100129974</v>
      </c>
      <c r="D23" s="16" t="s">
        <v>39</v>
      </c>
      <c r="E23" s="16" t="s">
        <v>170</v>
      </c>
    </row>
    <row r="25" customFormat="false" ht="15" hidden="false" customHeight="false" outlineLevel="0" collapsed="false">
      <c r="B25" s="12" t="s">
        <v>171</v>
      </c>
      <c r="C25" s="13"/>
      <c r="D25" s="13"/>
      <c r="E25" s="13"/>
    </row>
    <row r="26" customFormat="false" ht="15" hidden="false" customHeight="false" outlineLevel="0" collapsed="false">
      <c r="B26" s="14" t="s">
        <v>172</v>
      </c>
      <c r="C26" s="33" t="n">
        <f aca="false">(1+C12)^12-1</f>
        <v>0.151570430348711</v>
      </c>
      <c r="D26" s="16" t="s">
        <v>155</v>
      </c>
      <c r="E26" s="16" t="s">
        <v>173</v>
      </c>
    </row>
    <row r="27" customFormat="false" ht="15" hidden="false" customHeight="false" outlineLevel="0" collapsed="false">
      <c r="B27" s="14" t="s">
        <v>174</v>
      </c>
      <c r="C27" s="33" t="n">
        <f aca="false">Fund_Cost</f>
        <v>0.09</v>
      </c>
      <c r="D27" s="16" t="s">
        <v>155</v>
      </c>
      <c r="E27" s="16" t="s">
        <v>175</v>
      </c>
    </row>
    <row r="28" customFormat="false" ht="15" hidden="false" customHeight="false" outlineLevel="0" collapsed="false">
      <c r="B28" s="14" t="s">
        <v>176</v>
      </c>
      <c r="C28" s="33" t="n">
        <f aca="false">Fund_Opex_Pct</f>
        <v>0.025</v>
      </c>
      <c r="D28" s="16" t="s">
        <v>155</v>
      </c>
      <c r="E28" s="16" t="s">
        <v>175</v>
      </c>
    </row>
    <row r="29" customFormat="false" ht="15" hidden="false" customHeight="false" outlineLevel="0" collapsed="false">
      <c r="B29" s="34" t="s">
        <v>177</v>
      </c>
      <c r="C29" s="35" t="n">
        <f aca="false">C26-Fund_Cost-Fund_Opex_Pct-Risk_Default*Risk_LGD</f>
        <v>-0.0024295696512889</v>
      </c>
      <c r="D29" s="16" t="s">
        <v>155</v>
      </c>
      <c r="E29" s="16" t="s">
        <v>178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2"/>
    <col collapsed="false" customWidth="true" hidden="false" outlineLevel="0" max="9" min="3" style="0" width="11"/>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20</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179</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12" t="s">
        <v>180</v>
      </c>
      <c r="C5" s="13"/>
      <c r="D5" s="13"/>
      <c r="E5" s="13"/>
      <c r="F5" s="13"/>
      <c r="G5" s="13"/>
      <c r="H5" s="13"/>
      <c r="I5" s="13"/>
    </row>
    <row r="6" customFormat="false" ht="15" hidden="false" customHeight="false" outlineLevel="0" collapsed="false">
      <c r="B6" s="5" t="s">
        <v>181</v>
      </c>
      <c r="C6" s="36" t="n">
        <f aca="false">Sens_Remit_Min+0*Sens_Remit_Step</f>
        <v>0.04</v>
      </c>
      <c r="D6" s="36" t="n">
        <f aca="false">Sens_Remit_Min+1*Sens_Remit_Step</f>
        <v>0.05</v>
      </c>
      <c r="E6" s="36" t="n">
        <f aca="false">Sens_Remit_Min+2*Sens_Remit_Step</f>
        <v>0.06</v>
      </c>
      <c r="F6" s="36" t="n">
        <f aca="false">Sens_Remit_Min+3*Sens_Remit_Step</f>
        <v>0.07</v>
      </c>
      <c r="G6" s="36" t="n">
        <f aca="false">Sens_Remit_Min+4*Sens_Remit_Step</f>
        <v>0.08</v>
      </c>
      <c r="H6" s="36" t="n">
        <f aca="false">Sens_Remit_Min+5*Sens_Remit_Step</f>
        <v>0.09</v>
      </c>
      <c r="I6" s="36" t="n">
        <f aca="false">Sens_Remit_Min+6*Sens_Remit_Step</f>
        <v>0.1</v>
      </c>
    </row>
    <row r="7" customFormat="false" ht="15" hidden="false" customHeight="false" outlineLevel="0" collapsed="false">
      <c r="B7" s="30" t="n">
        <f aca="false">Sens_Factor_Min+0*Sens_Factor_Step</f>
        <v>1.15</v>
      </c>
      <c r="C7" s="37" t="n">
        <f aca="false">IFERROR(MIN(Adv_Term_Cap,LN(1+(Sens_Factor_Min+0*Sens_Factor_Step)*Adv_Amount*Borr_Rev_Growth/((Sens_Remit_Min+0*Sens_Remit_Step)*Borr_Rev_M1))/LN(1+Borr_Rev_Growth)),Adv_Term_Cap)</f>
        <v>36</v>
      </c>
      <c r="D7" s="37" t="n">
        <f aca="false">IFERROR(MIN(Adv_Term_Cap,LN(1+(Sens_Factor_Min+0*Sens_Factor_Step)*Adv_Amount*Borr_Rev_Growth/((Sens_Remit_Min+1*Sens_Remit_Step)*Borr_Rev_M1))/LN(1+Borr_Rev_Growth)),Adv_Term_Cap)</f>
        <v>36</v>
      </c>
      <c r="E7" s="37" t="n">
        <f aca="false">IFERROR(MIN(Adv_Term_Cap,LN(1+(Sens_Factor_Min+0*Sens_Factor_Step)*Adv_Amount*Borr_Rev_Growth/((Sens_Remit_Min+2*Sens_Remit_Step)*Borr_Rev_M1))/LN(1+Borr_Rev_Growth)),Adv_Term_Cap)</f>
        <v>36</v>
      </c>
      <c r="F7" s="37" t="n">
        <f aca="false">IFERROR(MIN(Adv_Term_Cap,LN(1+(Sens_Factor_Min+0*Sens_Factor_Step)*Adv_Amount*Borr_Rev_Growth/((Sens_Remit_Min+3*Sens_Remit_Step)*Borr_Rev_M1))/LN(1+Borr_Rev_Growth)),Adv_Term_Cap)</f>
        <v>36</v>
      </c>
      <c r="G7" s="37" t="n">
        <f aca="false">IFERROR(MIN(Adv_Term_Cap,LN(1+(Sens_Factor_Min+0*Sens_Factor_Step)*Adv_Amount*Borr_Rev_Growth/((Sens_Remit_Min+4*Sens_Remit_Step)*Borr_Rev_M1))/LN(1+Borr_Rev_Growth)),Adv_Term_Cap)</f>
        <v>33.914379206687</v>
      </c>
      <c r="H7" s="37" t="n">
        <f aca="false">IFERROR(MIN(Adv_Term_Cap,LN(1+(Sens_Factor_Min+0*Sens_Factor_Step)*Adv_Amount*Borr_Rev_Growth/((Sens_Remit_Min+5*Sens_Remit_Step)*Borr_Rev_M1))/LN(1+Borr_Rev_Growth)),Adv_Term_Cap)</f>
        <v>31.4470103026613</v>
      </c>
      <c r="I7" s="37" t="n">
        <f aca="false">IFERROR(MIN(Adv_Term_Cap,LN(1+(Sens_Factor_Min+0*Sens_Factor_Step)*Adv_Amount*Borr_Rev_Growth/((Sens_Remit_Min+6*Sens_Remit_Step)*Borr_Rev_M1))/LN(1+Borr_Rev_Growth)),Adv_Term_Cap)</f>
        <v>29.3347639934032</v>
      </c>
    </row>
    <row r="8" customFormat="false" ht="15" hidden="false" customHeight="false" outlineLevel="0" collapsed="false">
      <c r="B8" s="30" t="n">
        <f aca="false">Sens_Factor_Min+1*Sens_Factor_Step</f>
        <v>1.2</v>
      </c>
      <c r="C8" s="37" t="n">
        <f aca="false">IFERROR(MIN(Adv_Term_Cap,LN(1+(Sens_Factor_Min+1*Sens_Factor_Step)*Adv_Amount*Borr_Rev_Growth/((Sens_Remit_Min+0*Sens_Remit_Step)*Borr_Rev_M1))/LN(1+Borr_Rev_Growth)),Adv_Term_Cap)</f>
        <v>36</v>
      </c>
      <c r="D8" s="37" t="n">
        <f aca="false">IFERROR(MIN(Adv_Term_Cap,LN(1+(Sens_Factor_Min+1*Sens_Factor_Step)*Adv_Amount*Borr_Rev_Growth/((Sens_Remit_Min+1*Sens_Remit_Step)*Borr_Rev_M1))/LN(1+Borr_Rev_Growth)),Adv_Term_Cap)</f>
        <v>36</v>
      </c>
      <c r="E8" s="37" t="n">
        <f aca="false">IFERROR(MIN(Adv_Term_Cap,LN(1+(Sens_Factor_Min+1*Sens_Factor_Step)*Adv_Amount*Borr_Rev_Growth/((Sens_Remit_Min+2*Sens_Remit_Step)*Borr_Rev_M1))/LN(1+Borr_Rev_Growth)),Adv_Term_Cap)</f>
        <v>36</v>
      </c>
      <c r="F8" s="37" t="n">
        <f aca="false">IFERROR(MIN(Adv_Term_Cap,LN(1+(Sens_Factor_Min+1*Sens_Factor_Step)*Adv_Amount*Borr_Rev_Growth/((Sens_Remit_Min+3*Sens_Remit_Step)*Borr_Rev_M1))/LN(1+Borr_Rev_Growth)),Adv_Term_Cap)</f>
        <v>36</v>
      </c>
      <c r="G8" s="37" t="n">
        <f aca="false">IFERROR(MIN(Adv_Term_Cap,LN(1+(Sens_Factor_Min+1*Sens_Factor_Step)*Adv_Amount*Borr_Rev_Growth/((Sens_Remit_Min+4*Sens_Remit_Step)*Borr_Rev_M1))/LN(1+Borr_Rev_Growth)),Adv_Term_Cap)</f>
        <v>34.8329207918325</v>
      </c>
      <c r="H8" s="37" t="n">
        <f aca="false">IFERROR(MIN(Adv_Term_Cap,LN(1+(Sens_Factor_Min+1*Sens_Factor_Step)*Adv_Amount*Borr_Rev_Growth/((Sens_Remit_Min+5*Sens_Remit_Step)*Borr_Rev_M1))/LN(1+Borr_Rev_Growth)),Adv_Term_Cap)</f>
        <v>32.3257836098812</v>
      </c>
      <c r="I8" s="37" t="n">
        <f aca="false">IFERROR(MIN(Adv_Term_Cap,LN(1+(Sens_Factor_Min+1*Sens_Factor_Step)*Adv_Amount*Borr_Rev_Growth/((Sens_Remit_Min+6*Sens_Remit_Step)*Borr_Rev_M1))/LN(1+Borr_Rev_Growth)),Adv_Term_Cap)</f>
        <v>30.1770698290143</v>
      </c>
    </row>
    <row r="9" customFormat="false" ht="15" hidden="false" customHeight="false" outlineLevel="0" collapsed="false">
      <c r="B9" s="30" t="n">
        <f aca="false">Sens_Factor_Min+2*Sens_Factor_Step</f>
        <v>1.25</v>
      </c>
      <c r="C9" s="37" t="n">
        <f aca="false">IFERROR(MIN(Adv_Term_Cap,LN(1+(Sens_Factor_Min+2*Sens_Factor_Step)*Adv_Amount*Borr_Rev_Growth/((Sens_Remit_Min+0*Sens_Remit_Step)*Borr_Rev_M1))/LN(1+Borr_Rev_Growth)),Adv_Term_Cap)</f>
        <v>36</v>
      </c>
      <c r="D9" s="37" t="n">
        <f aca="false">IFERROR(MIN(Adv_Term_Cap,LN(1+(Sens_Factor_Min+2*Sens_Factor_Step)*Adv_Amount*Borr_Rev_Growth/((Sens_Remit_Min+1*Sens_Remit_Step)*Borr_Rev_M1))/LN(1+Borr_Rev_Growth)),Adv_Term_Cap)</f>
        <v>36</v>
      </c>
      <c r="E9" s="37" t="n">
        <f aca="false">IFERROR(MIN(Adv_Term_Cap,LN(1+(Sens_Factor_Min+2*Sens_Factor_Step)*Adv_Amount*Borr_Rev_Growth/((Sens_Remit_Min+2*Sens_Remit_Step)*Borr_Rev_M1))/LN(1+Borr_Rev_Growth)),Adv_Term_Cap)</f>
        <v>36</v>
      </c>
      <c r="F9" s="37" t="n">
        <f aca="false">IFERROR(MIN(Adv_Term_Cap,LN(1+(Sens_Factor_Min+2*Sens_Factor_Step)*Adv_Amount*Borr_Rev_Growth/((Sens_Remit_Min+3*Sens_Remit_Step)*Borr_Rev_M1))/LN(1+Borr_Rev_Growth)),Adv_Term_Cap)</f>
        <v>36</v>
      </c>
      <c r="G9" s="37" t="n">
        <f aca="false">IFERROR(MIN(Adv_Term_Cap,LN(1+(Sens_Factor_Min+2*Sens_Factor_Step)*Adv_Amount*Borr_Rev_Growth/((Sens_Remit_Min+4*Sens_Remit_Step)*Borr_Rev_M1))/LN(1+Borr_Rev_Growth)),Adv_Term_Cap)</f>
        <v>35.7271808789684</v>
      </c>
      <c r="H9" s="37" t="n">
        <f aca="false">IFERROR(MIN(Adv_Term_Cap,LN(1+(Sens_Factor_Min+2*Sens_Factor_Step)*Adv_Amount*Borr_Rev_Growth/((Sens_Remit_Min+5*Sens_Remit_Step)*Borr_Rev_M1))/LN(1+Borr_Rev_Growth)),Adv_Term_Cap)</f>
        <v>33.1823070839178</v>
      </c>
      <c r="I9" s="37" t="n">
        <f aca="false">IFERROR(MIN(Adv_Term_Cap,LN(1+(Sens_Factor_Min+2*Sens_Factor_Step)*Adv_Amount*Borr_Rev_Growth/((Sens_Remit_Min+6*Sens_Remit_Step)*Borr_Rev_M1))/LN(1+Borr_Rev_Growth)),Adv_Term_Cap)</f>
        <v>30.9989127565637</v>
      </c>
    </row>
    <row r="10" customFormat="false" ht="15" hidden="false" customHeight="false" outlineLevel="0" collapsed="false">
      <c r="B10" s="30" t="n">
        <f aca="false">Sens_Factor_Min+3*Sens_Factor_Step</f>
        <v>1.3</v>
      </c>
      <c r="C10" s="37" t="n">
        <f aca="false">IFERROR(MIN(Adv_Term_Cap,LN(1+(Sens_Factor_Min+3*Sens_Factor_Step)*Adv_Amount*Borr_Rev_Growth/((Sens_Remit_Min+0*Sens_Remit_Step)*Borr_Rev_M1))/LN(1+Borr_Rev_Growth)),Adv_Term_Cap)</f>
        <v>36</v>
      </c>
      <c r="D10" s="37" t="n">
        <f aca="false">IFERROR(MIN(Adv_Term_Cap,LN(1+(Sens_Factor_Min+3*Sens_Factor_Step)*Adv_Amount*Borr_Rev_Growth/((Sens_Remit_Min+1*Sens_Remit_Step)*Borr_Rev_M1))/LN(1+Borr_Rev_Growth)),Adv_Term_Cap)</f>
        <v>36</v>
      </c>
      <c r="E10" s="37" t="n">
        <f aca="false">IFERROR(MIN(Adv_Term_Cap,LN(1+(Sens_Factor_Min+3*Sens_Factor_Step)*Adv_Amount*Borr_Rev_Growth/((Sens_Remit_Min+2*Sens_Remit_Step)*Borr_Rev_M1))/LN(1+Borr_Rev_Growth)),Adv_Term_Cap)</f>
        <v>36</v>
      </c>
      <c r="F10" s="37" t="n">
        <f aca="false">IFERROR(MIN(Adv_Term_Cap,LN(1+(Sens_Factor_Min+3*Sens_Factor_Step)*Adv_Amount*Borr_Rev_Growth/((Sens_Remit_Min+3*Sens_Remit_Step)*Borr_Rev_M1))/LN(1+Borr_Rev_Growth)),Adv_Term_Cap)</f>
        <v>36</v>
      </c>
      <c r="G10" s="37" t="n">
        <f aca="false">IFERROR(MIN(Adv_Term_Cap,LN(1+(Sens_Factor_Min+3*Sens_Factor_Step)*Adv_Amount*Borr_Rev_Growth/((Sens_Remit_Min+4*Sens_Remit_Step)*Borr_Rev_M1))/LN(1+Borr_Rev_Growth)),Adv_Term_Cap)</f>
        <v>36</v>
      </c>
      <c r="H10" s="37" t="n">
        <f aca="false">IFERROR(MIN(Adv_Term_Cap,LN(1+(Sens_Factor_Min+3*Sens_Factor_Step)*Adv_Amount*Borr_Rev_Growth/((Sens_Remit_Min+5*Sens_Remit_Step)*Borr_Rev_M1))/LN(1+Borr_Rev_Growth)),Adv_Term_Cap)</f>
        <v>34.0176796537734</v>
      </c>
      <c r="I10" s="37" t="n">
        <f aca="false">IFERROR(MIN(Adv_Term_Cap,LN(1+(Sens_Factor_Min+3*Sens_Factor_Step)*Adv_Amount*Borr_Rev_Growth/((Sens_Remit_Min+6*Sens_Remit_Step)*Borr_Rev_M1))/LN(1+Borr_Rev_Growth)),Adv_Term_Cap)</f>
        <v>31.8012634886236</v>
      </c>
    </row>
    <row r="11" customFormat="false" ht="15" hidden="false" customHeight="false" outlineLevel="0" collapsed="false">
      <c r="B11" s="30" t="n">
        <f aca="false">Sens_Factor_Min+4*Sens_Factor_Step</f>
        <v>1.35</v>
      </c>
      <c r="C11" s="37" t="n">
        <f aca="false">IFERROR(MIN(Adv_Term_Cap,LN(1+(Sens_Factor_Min+4*Sens_Factor_Step)*Adv_Amount*Borr_Rev_Growth/((Sens_Remit_Min+0*Sens_Remit_Step)*Borr_Rev_M1))/LN(1+Borr_Rev_Growth)),Adv_Term_Cap)</f>
        <v>36</v>
      </c>
      <c r="D11" s="37" t="n">
        <f aca="false">IFERROR(MIN(Adv_Term_Cap,LN(1+(Sens_Factor_Min+4*Sens_Factor_Step)*Adv_Amount*Borr_Rev_Growth/((Sens_Remit_Min+1*Sens_Remit_Step)*Borr_Rev_M1))/LN(1+Borr_Rev_Growth)),Adv_Term_Cap)</f>
        <v>36</v>
      </c>
      <c r="E11" s="37" t="n">
        <f aca="false">IFERROR(MIN(Adv_Term_Cap,LN(1+(Sens_Factor_Min+4*Sens_Factor_Step)*Adv_Amount*Borr_Rev_Growth/((Sens_Remit_Min+2*Sens_Remit_Step)*Borr_Rev_M1))/LN(1+Borr_Rev_Growth)),Adv_Term_Cap)</f>
        <v>36</v>
      </c>
      <c r="F11" s="37" t="n">
        <f aca="false">IFERROR(MIN(Adv_Term_Cap,LN(1+(Sens_Factor_Min+4*Sens_Factor_Step)*Adv_Amount*Borr_Rev_Growth/((Sens_Remit_Min+3*Sens_Remit_Step)*Borr_Rev_M1))/LN(1+Borr_Rev_Growth)),Adv_Term_Cap)</f>
        <v>36</v>
      </c>
      <c r="G11" s="37" t="n">
        <f aca="false">IFERROR(MIN(Adv_Term_Cap,LN(1+(Sens_Factor_Min+4*Sens_Factor_Step)*Adv_Amount*Borr_Rev_Growth/((Sens_Remit_Min+4*Sens_Remit_Step)*Borr_Rev_M1))/LN(1+Borr_Rev_Growth)),Adv_Term_Cap)</f>
        <v>36</v>
      </c>
      <c r="H11" s="37" t="n">
        <f aca="false">IFERROR(MIN(Adv_Term_Cap,LN(1+(Sens_Factor_Min+4*Sens_Factor_Step)*Adv_Amount*Borr_Rev_Growth/((Sens_Remit_Min+5*Sens_Remit_Step)*Borr_Rev_M1))/LN(1+Borr_Rev_Growth)),Adv_Term_Cap)</f>
        <v>34.8329207918325</v>
      </c>
      <c r="I11" s="37" t="n">
        <f aca="false">IFERROR(MIN(Adv_Term_Cap,LN(1+(Sens_Factor_Min+4*Sens_Factor_Step)*Adv_Amount*Borr_Rev_Growth/((Sens_Remit_Min+6*Sens_Remit_Step)*Borr_Rev_M1))/LN(1+Borr_Rev_Growth)),Adv_Term_Cap)</f>
        <v>32.5850252626028</v>
      </c>
    </row>
    <row r="12" customFormat="false" ht="15" hidden="false" customHeight="false" outlineLevel="0" collapsed="false">
      <c r="B12" s="30" t="n">
        <f aca="false">Sens_Factor_Min+5*Sens_Factor_Step</f>
        <v>1.4</v>
      </c>
      <c r="C12" s="37" t="n">
        <f aca="false">IFERROR(MIN(Adv_Term_Cap,LN(1+(Sens_Factor_Min+5*Sens_Factor_Step)*Adv_Amount*Borr_Rev_Growth/((Sens_Remit_Min+0*Sens_Remit_Step)*Borr_Rev_M1))/LN(1+Borr_Rev_Growth)),Adv_Term_Cap)</f>
        <v>36</v>
      </c>
      <c r="D12" s="37" t="n">
        <f aca="false">IFERROR(MIN(Adv_Term_Cap,LN(1+(Sens_Factor_Min+5*Sens_Factor_Step)*Adv_Amount*Borr_Rev_Growth/((Sens_Remit_Min+1*Sens_Remit_Step)*Borr_Rev_M1))/LN(1+Borr_Rev_Growth)),Adv_Term_Cap)</f>
        <v>36</v>
      </c>
      <c r="E12" s="37" t="n">
        <f aca="false">IFERROR(MIN(Adv_Term_Cap,LN(1+(Sens_Factor_Min+5*Sens_Factor_Step)*Adv_Amount*Borr_Rev_Growth/((Sens_Remit_Min+2*Sens_Remit_Step)*Borr_Rev_M1))/LN(1+Borr_Rev_Growth)),Adv_Term_Cap)</f>
        <v>36</v>
      </c>
      <c r="F12" s="37" t="n">
        <f aca="false">IFERROR(MIN(Adv_Term_Cap,LN(1+(Sens_Factor_Min+5*Sens_Factor_Step)*Adv_Amount*Borr_Rev_Growth/((Sens_Remit_Min+3*Sens_Remit_Step)*Borr_Rev_M1))/LN(1+Borr_Rev_Growth)),Adv_Term_Cap)</f>
        <v>36</v>
      </c>
      <c r="G12" s="37" t="n">
        <f aca="false">IFERROR(MIN(Adv_Term_Cap,LN(1+(Sens_Factor_Min+5*Sens_Factor_Step)*Adv_Amount*Borr_Rev_Growth/((Sens_Remit_Min+4*Sens_Remit_Step)*Borr_Rev_M1))/LN(1+Borr_Rev_Growth)),Adv_Term_Cap)</f>
        <v>36</v>
      </c>
      <c r="H12" s="37" t="n">
        <f aca="false">IFERROR(MIN(Adv_Term_Cap,LN(1+(Sens_Factor_Min+5*Sens_Factor_Step)*Adv_Amount*Borr_Rev_Growth/((Sens_Remit_Min+5*Sens_Remit_Step)*Borr_Rev_M1))/LN(1+Borr_Rev_Growth)),Adv_Term_Cap)</f>
        <v>35.6289779939448</v>
      </c>
      <c r="I12" s="37" t="n">
        <f aca="false">IFERROR(MIN(Adv_Term_Cap,LN(1+(Sens_Factor_Min+5*Sens_Factor_Step)*Adv_Amount*Borr_Rev_Growth/((Sens_Remit_Min+6*Sens_Remit_Step)*Borr_Rev_M1))/LN(1+Borr_Rev_Growth)),Adv_Term_Cap)</f>
        <v>33.3510399530741</v>
      </c>
    </row>
    <row r="13" customFormat="false" ht="15" hidden="false" customHeight="false" outlineLevel="0" collapsed="false">
      <c r="B13" s="30" t="n">
        <f aca="false">Sens_Factor_Min+6*Sens_Factor_Step</f>
        <v>1.45</v>
      </c>
      <c r="C13" s="37" t="n">
        <f aca="false">IFERROR(MIN(Adv_Term_Cap,LN(1+(Sens_Factor_Min+6*Sens_Factor_Step)*Adv_Amount*Borr_Rev_Growth/((Sens_Remit_Min+0*Sens_Remit_Step)*Borr_Rev_M1))/LN(1+Borr_Rev_Growth)),Adv_Term_Cap)</f>
        <v>36</v>
      </c>
      <c r="D13" s="37" t="n">
        <f aca="false">IFERROR(MIN(Adv_Term_Cap,LN(1+(Sens_Factor_Min+6*Sens_Factor_Step)*Adv_Amount*Borr_Rev_Growth/((Sens_Remit_Min+1*Sens_Remit_Step)*Borr_Rev_M1))/LN(1+Borr_Rev_Growth)),Adv_Term_Cap)</f>
        <v>36</v>
      </c>
      <c r="E13" s="37" t="n">
        <f aca="false">IFERROR(MIN(Adv_Term_Cap,LN(1+(Sens_Factor_Min+6*Sens_Factor_Step)*Adv_Amount*Borr_Rev_Growth/((Sens_Remit_Min+2*Sens_Remit_Step)*Borr_Rev_M1))/LN(1+Borr_Rev_Growth)),Adv_Term_Cap)</f>
        <v>36</v>
      </c>
      <c r="F13" s="37" t="n">
        <f aca="false">IFERROR(MIN(Adv_Term_Cap,LN(1+(Sens_Factor_Min+6*Sens_Factor_Step)*Adv_Amount*Borr_Rev_Growth/((Sens_Remit_Min+3*Sens_Remit_Step)*Borr_Rev_M1))/LN(1+Borr_Rev_Growth)),Adv_Term_Cap)</f>
        <v>36</v>
      </c>
      <c r="G13" s="37" t="n">
        <f aca="false">IFERROR(MIN(Adv_Term_Cap,LN(1+(Sens_Factor_Min+6*Sens_Factor_Step)*Adv_Amount*Borr_Rev_Growth/((Sens_Remit_Min+4*Sens_Remit_Step)*Borr_Rev_M1))/LN(1+Borr_Rev_Growth)),Adv_Term_Cap)</f>
        <v>36</v>
      </c>
      <c r="H13" s="37" t="n">
        <f aca="false">IFERROR(MIN(Adv_Term_Cap,LN(1+(Sens_Factor_Min+6*Sens_Factor_Step)*Adv_Amount*Borr_Rev_Growth/((Sens_Remit_Min+5*Sens_Remit_Step)*Borr_Rev_M1))/LN(1+Borr_Rev_Growth)),Adv_Term_Cap)</f>
        <v>36</v>
      </c>
      <c r="I13" s="37" t="n">
        <f aca="false">IFERROR(MIN(Adv_Term_Cap,LN(1+(Sens_Factor_Min+6*Sens_Factor_Step)*Adv_Amount*Borr_Rev_Growth/((Sens_Remit_Min+6*Sens_Remit_Step)*Borr_Rev_M1))/LN(1+Borr_Rev_Growth)),Adv_Term_Cap)</f>
        <v>34.1000935072839</v>
      </c>
    </row>
    <row r="16" customFormat="false" ht="15" hidden="false" customHeight="false" outlineLevel="0" collapsed="false">
      <c r="B16" s="12" t="s">
        <v>182</v>
      </c>
      <c r="C16" s="13"/>
      <c r="D16" s="13"/>
      <c r="E16" s="13"/>
      <c r="F16" s="13"/>
      <c r="G16" s="13"/>
      <c r="H16" s="13"/>
      <c r="I16" s="13"/>
    </row>
    <row r="17" customFormat="false" ht="15" hidden="false" customHeight="false" outlineLevel="0" collapsed="false">
      <c r="B17" s="5" t="s">
        <v>181</v>
      </c>
      <c r="C17" s="36" t="n">
        <f aca="false">Sens_Remit_Min+0*Sens_Remit_Step</f>
        <v>0.04</v>
      </c>
      <c r="D17" s="36" t="n">
        <f aca="false">Sens_Remit_Min+1*Sens_Remit_Step</f>
        <v>0.05</v>
      </c>
      <c r="E17" s="36" t="n">
        <f aca="false">Sens_Remit_Min+2*Sens_Remit_Step</f>
        <v>0.06</v>
      </c>
      <c r="F17" s="36" t="n">
        <f aca="false">Sens_Remit_Min+3*Sens_Remit_Step</f>
        <v>0.07</v>
      </c>
      <c r="G17" s="36" t="n">
        <f aca="false">Sens_Remit_Min+4*Sens_Remit_Step</f>
        <v>0.08</v>
      </c>
      <c r="H17" s="36" t="n">
        <f aca="false">Sens_Remit_Min+5*Sens_Remit_Step</f>
        <v>0.09</v>
      </c>
      <c r="I17" s="36" t="n">
        <f aca="false">Sens_Remit_Min+6*Sens_Remit_Step</f>
        <v>0.1</v>
      </c>
    </row>
    <row r="18" customFormat="false" ht="15" hidden="false" customHeight="false" outlineLevel="0" collapsed="false">
      <c r="B18" s="30" t="n">
        <f aca="false">Sens_Factor_Min+0*Sens_Factor_Step</f>
        <v>1.15</v>
      </c>
      <c r="C18" s="38" t="n">
        <f aca="false">IFERROR((Sens_Factor_Min+0*Sens_Factor_Step)^(12/MIN(Adv_Term_Cap,LN(1+(Sens_Factor_Min+0*Sens_Factor_Step)*Adv_Amount*Borr_Rev_Growth/((Sens_Remit_Min+0*Sens_Remit_Step)*Borr_Rev_M1))/LN(1+Borr_Rev_Growth)))-1,0)</f>
        <v>0.0476895531716473</v>
      </c>
      <c r="D18" s="38" t="n">
        <f aca="false">IFERROR((Sens_Factor_Min+0*Sens_Factor_Step)^(12/MIN(Adv_Term_Cap,LN(1+(Sens_Factor_Min+0*Sens_Factor_Step)*Adv_Amount*Borr_Rev_Growth/((Sens_Remit_Min+1*Sens_Remit_Step)*Borr_Rev_M1))/LN(1+Borr_Rev_Growth)))-1,0)</f>
        <v>0.0476895531716473</v>
      </c>
      <c r="E18" s="38" t="n">
        <f aca="false">IFERROR((Sens_Factor_Min+0*Sens_Factor_Step)^(12/MIN(Adv_Term_Cap,LN(1+(Sens_Factor_Min+0*Sens_Factor_Step)*Adv_Amount*Borr_Rev_Growth/((Sens_Remit_Min+2*Sens_Remit_Step)*Borr_Rev_M1))/LN(1+Borr_Rev_Growth)))-1,0)</f>
        <v>0.0476895531716473</v>
      </c>
      <c r="F18" s="38" t="n">
        <f aca="false">IFERROR((Sens_Factor_Min+0*Sens_Factor_Step)^(12/MIN(Adv_Term_Cap,LN(1+(Sens_Factor_Min+0*Sens_Factor_Step)*Adv_Amount*Borr_Rev_Growth/((Sens_Remit_Min+3*Sens_Remit_Step)*Borr_Rev_M1))/LN(1+Borr_Rev_Growth)))-1,0)</f>
        <v>0.0476895531716473</v>
      </c>
      <c r="G18" s="38" t="n">
        <f aca="false">IFERROR((Sens_Factor_Min+0*Sens_Factor_Step)^(12/MIN(Adv_Term_Cap,LN(1+(Sens_Factor_Min+0*Sens_Factor_Step)*Adv_Amount*Borr_Rev_Growth/((Sens_Remit_Min+4*Sens_Remit_Step)*Borr_Rev_M1))/LN(1+Borr_Rev_Growth)))-1,0)</f>
        <v>0.0506954497231738</v>
      </c>
      <c r="H18" s="38" t="n">
        <f aca="false">IFERROR((Sens_Factor_Min+0*Sens_Factor_Step)^(12/MIN(Adv_Term_Cap,LN(1+(Sens_Factor_Min+0*Sens_Factor_Step)*Adv_Amount*Borr_Rev_Growth/((Sens_Remit_Min+5*Sens_Remit_Step)*Borr_Rev_M1))/LN(1+Borr_Rev_Growth)))-1,0)</f>
        <v>0.054780154744805</v>
      </c>
      <c r="I18" s="38" t="n">
        <f aca="false">IFERROR((Sens_Factor_Min+0*Sens_Factor_Step)^(12/MIN(Adv_Term_Cap,LN(1+(Sens_Factor_Min+0*Sens_Factor_Step)*Adv_Amount*Borr_Rev_Growth/((Sens_Remit_Min+6*Sens_Remit_Step)*Borr_Rev_M1))/LN(1+Borr_Rev_Growth)))-1,0)</f>
        <v>0.0588384989255657</v>
      </c>
    </row>
    <row r="19" customFormat="false" ht="15" hidden="false" customHeight="false" outlineLevel="0" collapsed="false">
      <c r="B19" s="30" t="n">
        <f aca="false">Sens_Factor_Min+1*Sens_Factor_Step</f>
        <v>1.2</v>
      </c>
      <c r="C19" s="38" t="n">
        <f aca="false">IFERROR((Sens_Factor_Min+1*Sens_Factor_Step)^(12/MIN(Adv_Term_Cap,LN(1+(Sens_Factor_Min+1*Sens_Factor_Step)*Adv_Amount*Borr_Rev_Growth/((Sens_Remit_Min+0*Sens_Remit_Step)*Borr_Rev_M1))/LN(1+Borr_Rev_Growth)))-1,0)</f>
        <v>0.0626585691826112</v>
      </c>
      <c r="D19" s="38" t="n">
        <f aca="false">IFERROR((Sens_Factor_Min+1*Sens_Factor_Step)^(12/MIN(Adv_Term_Cap,LN(1+(Sens_Factor_Min+1*Sens_Factor_Step)*Adv_Amount*Borr_Rev_Growth/((Sens_Remit_Min+1*Sens_Remit_Step)*Borr_Rev_M1))/LN(1+Borr_Rev_Growth)))-1,0)</f>
        <v>0.0626585691826112</v>
      </c>
      <c r="E19" s="38" t="n">
        <f aca="false">IFERROR((Sens_Factor_Min+1*Sens_Factor_Step)^(12/MIN(Adv_Term_Cap,LN(1+(Sens_Factor_Min+1*Sens_Factor_Step)*Adv_Amount*Borr_Rev_Growth/((Sens_Remit_Min+2*Sens_Remit_Step)*Borr_Rev_M1))/LN(1+Borr_Rev_Growth)))-1,0)</f>
        <v>0.0626585691826112</v>
      </c>
      <c r="F19" s="38" t="n">
        <f aca="false">IFERROR((Sens_Factor_Min+1*Sens_Factor_Step)^(12/MIN(Adv_Term_Cap,LN(1+(Sens_Factor_Min+1*Sens_Factor_Step)*Adv_Amount*Borr_Rev_Growth/((Sens_Remit_Min+3*Sens_Remit_Step)*Borr_Rev_M1))/LN(1+Borr_Rev_Growth)))-1,0)</f>
        <v>0.0626585691826112</v>
      </c>
      <c r="G19" s="38" t="n">
        <f aca="false">IFERROR((Sens_Factor_Min+1*Sens_Factor_Step)^(12/MIN(Adv_Term_Cap,LN(1+(Sens_Factor_Min+1*Sens_Factor_Step)*Adv_Amount*Borr_Rev_Growth/((Sens_Remit_Min+4*Sens_Remit_Step)*Borr_Rev_M1))/LN(1+Borr_Rev_Growth)))-1,0)</f>
        <v>0.0648245928188009</v>
      </c>
      <c r="H19" s="38" t="n">
        <f aca="false">IFERROR((Sens_Factor_Min+1*Sens_Factor_Step)^(12/MIN(Adv_Term_Cap,LN(1+(Sens_Factor_Min+1*Sens_Factor_Step)*Adv_Amount*Borr_Rev_Growth/((Sens_Remit_Min+5*Sens_Remit_Step)*Borr_Rev_M1))/LN(1+Borr_Rev_Growth)))-1,0)</f>
        <v>0.070024489748141</v>
      </c>
      <c r="I19" s="38" t="n">
        <f aca="false">IFERROR((Sens_Factor_Min+1*Sens_Factor_Step)^(12/MIN(Adv_Term_Cap,LN(1+(Sens_Factor_Min+1*Sens_Factor_Step)*Adv_Amount*Borr_Rev_Growth/((Sens_Remit_Min+6*Sens_Remit_Step)*Borr_Rev_M1))/LN(1+Borr_Rev_Growth)))-1,0)</f>
        <v>0.0751935585463459</v>
      </c>
    </row>
    <row r="20" customFormat="false" ht="15" hidden="false" customHeight="false" outlineLevel="0" collapsed="false">
      <c r="B20" s="30" t="n">
        <f aca="false">Sens_Factor_Min+2*Sens_Factor_Step</f>
        <v>1.25</v>
      </c>
      <c r="C20" s="38" t="n">
        <f aca="false">IFERROR((Sens_Factor_Min+2*Sens_Factor_Step)^(12/MIN(Adv_Term_Cap,LN(1+(Sens_Factor_Min+2*Sens_Factor_Step)*Adv_Amount*Borr_Rev_Growth/((Sens_Remit_Min+0*Sens_Remit_Step)*Borr_Rev_M1))/LN(1+Borr_Rev_Growth)))-1,0)</f>
        <v>0.0772173450159419</v>
      </c>
      <c r="D20" s="38" t="n">
        <f aca="false">IFERROR((Sens_Factor_Min+2*Sens_Factor_Step)^(12/MIN(Adv_Term_Cap,LN(1+(Sens_Factor_Min+2*Sens_Factor_Step)*Adv_Amount*Borr_Rev_Growth/((Sens_Remit_Min+1*Sens_Remit_Step)*Borr_Rev_M1))/LN(1+Borr_Rev_Growth)))-1,0)</f>
        <v>0.0772173450159419</v>
      </c>
      <c r="E20" s="38" t="n">
        <f aca="false">IFERROR((Sens_Factor_Min+2*Sens_Factor_Step)^(12/MIN(Adv_Term_Cap,LN(1+(Sens_Factor_Min+2*Sens_Factor_Step)*Adv_Amount*Borr_Rev_Growth/((Sens_Remit_Min+2*Sens_Remit_Step)*Borr_Rev_M1))/LN(1+Borr_Rev_Growth)))-1,0)</f>
        <v>0.0772173450159419</v>
      </c>
      <c r="F20" s="38" t="n">
        <f aca="false">IFERROR((Sens_Factor_Min+2*Sens_Factor_Step)^(12/MIN(Adv_Term_Cap,LN(1+(Sens_Factor_Min+2*Sens_Factor_Step)*Adv_Amount*Borr_Rev_Growth/((Sens_Remit_Min+3*Sens_Remit_Step)*Borr_Rev_M1))/LN(1+Borr_Rev_Growth)))-1,0)</f>
        <v>0.0772173450159419</v>
      </c>
      <c r="G20" s="38" t="n">
        <f aca="false">IFERROR((Sens_Factor_Min+2*Sens_Factor_Step)^(12/MIN(Adv_Term_Cap,LN(1+(Sens_Factor_Min+2*Sens_Factor_Step)*Adv_Amount*Borr_Rev_Growth/((Sens_Remit_Min+4*Sens_Remit_Step)*Borr_Rev_M1))/LN(1+Borr_Rev_Growth)))-1,0)</f>
        <v>0.0778293653097486</v>
      </c>
      <c r="H20" s="38" t="n">
        <f aca="false">IFERROR((Sens_Factor_Min+2*Sens_Factor_Step)^(12/MIN(Adv_Term_Cap,LN(1+(Sens_Factor_Min+2*Sens_Factor_Step)*Adv_Amount*Borr_Rev_Growth/((Sens_Remit_Min+5*Sens_Remit_Step)*Borr_Rev_M1))/LN(1+Borr_Rev_Growth)))-1,0)</f>
        <v>0.0840427080304407</v>
      </c>
      <c r="I20" s="38" t="n">
        <f aca="false">IFERROR((Sens_Factor_Min+2*Sens_Factor_Step)^(12/MIN(Adv_Term_Cap,LN(1+(Sens_Factor_Min+2*Sens_Factor_Step)*Adv_Amount*Borr_Rev_Growth/((Sens_Remit_Min+6*Sens_Remit_Step)*Borr_Rev_M1))/LN(1+Borr_Rev_Growth)))-1,0)</f>
        <v>0.0902218182168588</v>
      </c>
    </row>
    <row r="21" customFormat="false" ht="15" hidden="false" customHeight="false" outlineLevel="0" collapsed="false">
      <c r="B21" s="30" t="n">
        <f aca="false">Sens_Factor_Min+3*Sens_Factor_Step</f>
        <v>1.3</v>
      </c>
      <c r="C21" s="38" t="n">
        <f aca="false">IFERROR((Sens_Factor_Min+3*Sens_Factor_Step)^(12/MIN(Adv_Term_Cap,LN(1+(Sens_Factor_Min+3*Sens_Factor_Step)*Adv_Amount*Borr_Rev_Growth/((Sens_Remit_Min+0*Sens_Remit_Step)*Borr_Rev_M1))/LN(1+Borr_Rev_Growth)))-1,0)</f>
        <v>0.0913928830611057</v>
      </c>
      <c r="D21" s="38" t="n">
        <f aca="false">IFERROR((Sens_Factor_Min+3*Sens_Factor_Step)^(12/MIN(Adv_Term_Cap,LN(1+(Sens_Factor_Min+3*Sens_Factor_Step)*Adv_Amount*Borr_Rev_Growth/((Sens_Remit_Min+1*Sens_Remit_Step)*Borr_Rev_M1))/LN(1+Borr_Rev_Growth)))-1,0)</f>
        <v>0.0913928830611057</v>
      </c>
      <c r="E21" s="38" t="n">
        <f aca="false">IFERROR((Sens_Factor_Min+3*Sens_Factor_Step)^(12/MIN(Adv_Term_Cap,LN(1+(Sens_Factor_Min+3*Sens_Factor_Step)*Adv_Amount*Borr_Rev_Growth/((Sens_Remit_Min+2*Sens_Remit_Step)*Borr_Rev_M1))/LN(1+Borr_Rev_Growth)))-1,0)</f>
        <v>0.0913928830611057</v>
      </c>
      <c r="F21" s="38" t="n">
        <f aca="false">IFERROR((Sens_Factor_Min+3*Sens_Factor_Step)^(12/MIN(Adv_Term_Cap,LN(1+(Sens_Factor_Min+3*Sens_Factor_Step)*Adv_Amount*Borr_Rev_Growth/((Sens_Remit_Min+3*Sens_Remit_Step)*Borr_Rev_M1))/LN(1+Borr_Rev_Growth)))-1,0)</f>
        <v>0.0913928830611057</v>
      </c>
      <c r="G21" s="38" t="n">
        <f aca="false">IFERROR((Sens_Factor_Min+3*Sens_Factor_Step)^(12/MIN(Adv_Term_Cap,LN(1+(Sens_Factor_Min+3*Sens_Factor_Step)*Adv_Amount*Borr_Rev_Growth/((Sens_Remit_Min+4*Sens_Remit_Step)*Borr_Rev_M1))/LN(1+Borr_Rev_Growth)))-1,0)</f>
        <v>0.0913928830611057</v>
      </c>
      <c r="H21" s="38" t="n">
        <f aca="false">IFERROR((Sens_Factor_Min+3*Sens_Factor_Step)^(12/MIN(Adv_Term_Cap,LN(1+(Sens_Factor_Min+3*Sens_Factor_Step)*Adv_Amount*Borr_Rev_Growth/((Sens_Remit_Min+5*Sens_Remit_Step)*Borr_Rev_M1))/LN(1+Borr_Rev_Growth)))-1,0)</f>
        <v>0.0969691147075431</v>
      </c>
      <c r="I21" s="38" t="n">
        <f aca="false">IFERROR((Sens_Factor_Min+3*Sens_Factor_Step)^(12/MIN(Adv_Term_Cap,LN(1+(Sens_Factor_Min+3*Sens_Factor_Step)*Adv_Amount*Borr_Rev_Growth/((Sens_Remit_Min+6*Sens_Remit_Step)*Borr_Rev_M1))/LN(1+Borr_Rev_Growth)))-1,0)</f>
        <v>0.104067899636981</v>
      </c>
    </row>
    <row r="22" customFormat="false" ht="15" hidden="false" customHeight="false" outlineLevel="0" collapsed="false">
      <c r="B22" s="30" t="n">
        <f aca="false">Sens_Factor_Min+4*Sens_Factor_Step</f>
        <v>1.35</v>
      </c>
      <c r="C22" s="38" t="n">
        <f aca="false">IFERROR((Sens_Factor_Min+4*Sens_Factor_Step)^(12/MIN(Adv_Term_Cap,LN(1+(Sens_Factor_Min+4*Sens_Factor_Step)*Adv_Amount*Borr_Rev_Growth/((Sens_Remit_Min+0*Sens_Remit_Step)*Borr_Rev_M1))/LN(1+Borr_Rev_Growth)))-1,0)</f>
        <v>0.105209449592116</v>
      </c>
      <c r="D22" s="38" t="n">
        <f aca="false">IFERROR((Sens_Factor_Min+4*Sens_Factor_Step)^(12/MIN(Adv_Term_Cap,LN(1+(Sens_Factor_Min+4*Sens_Factor_Step)*Adv_Amount*Borr_Rev_Growth/((Sens_Remit_Min+1*Sens_Remit_Step)*Borr_Rev_M1))/LN(1+Borr_Rev_Growth)))-1,0)</f>
        <v>0.105209449592116</v>
      </c>
      <c r="E22" s="38" t="n">
        <f aca="false">IFERROR((Sens_Factor_Min+4*Sens_Factor_Step)^(12/MIN(Adv_Term_Cap,LN(1+(Sens_Factor_Min+4*Sens_Factor_Step)*Adv_Amount*Borr_Rev_Growth/((Sens_Remit_Min+2*Sens_Remit_Step)*Borr_Rev_M1))/LN(1+Borr_Rev_Growth)))-1,0)</f>
        <v>0.105209449592116</v>
      </c>
      <c r="F22" s="38" t="n">
        <f aca="false">IFERROR((Sens_Factor_Min+4*Sens_Factor_Step)^(12/MIN(Adv_Term_Cap,LN(1+(Sens_Factor_Min+4*Sens_Factor_Step)*Adv_Amount*Borr_Rev_Growth/((Sens_Remit_Min+3*Sens_Remit_Step)*Borr_Rev_M1))/LN(1+Borr_Rev_Growth)))-1,0)</f>
        <v>0.105209449592116</v>
      </c>
      <c r="G22" s="38" t="n">
        <f aca="false">IFERROR((Sens_Factor_Min+4*Sens_Factor_Step)^(12/MIN(Adv_Term_Cap,LN(1+(Sens_Factor_Min+4*Sens_Factor_Step)*Adv_Amount*Borr_Rev_Growth/((Sens_Remit_Min+4*Sens_Remit_Step)*Borr_Rev_M1))/LN(1+Borr_Rev_Growth)))-1,0)</f>
        <v>0.105209449592116</v>
      </c>
      <c r="H22" s="38" t="n">
        <f aca="false">IFERROR((Sens_Factor_Min+4*Sens_Factor_Step)^(12/MIN(Adv_Term_Cap,LN(1+(Sens_Factor_Min+4*Sens_Factor_Step)*Adv_Amount*Borr_Rev_Growth/((Sens_Remit_Min+5*Sens_Remit_Step)*Borr_Rev_M1))/LN(1+Borr_Rev_Growth)))-1,0)</f>
        <v>0.108919966596233</v>
      </c>
      <c r="I22" s="38" t="n">
        <f aca="false">IFERROR((Sens_Factor_Min+4*Sens_Factor_Step)^(12/MIN(Adv_Term_Cap,LN(1+(Sens_Factor_Min+4*Sens_Factor_Step)*Adv_Amount*Borr_Rev_Growth/((Sens_Remit_Min+6*Sens_Remit_Step)*Borr_Rev_M1))/LN(1+Borr_Rev_Growth)))-1,0)</f>
        <v>0.116857250467704</v>
      </c>
    </row>
    <row r="23" customFormat="false" ht="15" hidden="false" customHeight="false" outlineLevel="0" collapsed="false">
      <c r="B23" s="30" t="n">
        <f aca="false">Sens_Factor_Min+5*Sens_Factor_Step</f>
        <v>1.4</v>
      </c>
      <c r="C23" s="38" t="n">
        <f aca="false">IFERROR((Sens_Factor_Min+5*Sens_Factor_Step)^(12/MIN(Adv_Term_Cap,LN(1+(Sens_Factor_Min+5*Sens_Factor_Step)*Adv_Amount*Borr_Rev_Growth/((Sens_Remit_Min+0*Sens_Remit_Step)*Borr_Rev_M1))/LN(1+Borr_Rev_Growth)))-1,0)</f>
        <v>0.118688942081397</v>
      </c>
      <c r="D23" s="38" t="n">
        <f aca="false">IFERROR((Sens_Factor_Min+5*Sens_Factor_Step)^(12/MIN(Adv_Term_Cap,LN(1+(Sens_Factor_Min+5*Sens_Factor_Step)*Adv_Amount*Borr_Rev_Growth/((Sens_Remit_Min+1*Sens_Remit_Step)*Borr_Rev_M1))/LN(1+Borr_Rev_Growth)))-1,0)</f>
        <v>0.118688942081397</v>
      </c>
      <c r="E23" s="38" t="n">
        <f aca="false">IFERROR((Sens_Factor_Min+5*Sens_Factor_Step)^(12/MIN(Adv_Term_Cap,LN(1+(Sens_Factor_Min+5*Sens_Factor_Step)*Adv_Amount*Borr_Rev_Growth/((Sens_Remit_Min+2*Sens_Remit_Step)*Borr_Rev_M1))/LN(1+Borr_Rev_Growth)))-1,0)</f>
        <v>0.118688942081397</v>
      </c>
      <c r="F23" s="38" t="n">
        <f aca="false">IFERROR((Sens_Factor_Min+5*Sens_Factor_Step)^(12/MIN(Adv_Term_Cap,LN(1+(Sens_Factor_Min+5*Sens_Factor_Step)*Adv_Amount*Borr_Rev_Growth/((Sens_Remit_Min+3*Sens_Remit_Step)*Borr_Rev_M1))/LN(1+Borr_Rev_Growth)))-1,0)</f>
        <v>0.118688942081397</v>
      </c>
      <c r="G23" s="38" t="n">
        <f aca="false">IFERROR((Sens_Factor_Min+5*Sens_Factor_Step)^(12/MIN(Adv_Term_Cap,LN(1+(Sens_Factor_Min+5*Sens_Factor_Step)*Adv_Amount*Borr_Rev_Growth/((Sens_Remit_Min+4*Sens_Remit_Step)*Borr_Rev_M1))/LN(1+Borr_Rev_Growth)))-1,0)</f>
        <v>0.118688942081397</v>
      </c>
      <c r="H23" s="38" t="n">
        <f aca="false">IFERROR((Sens_Factor_Min+5*Sens_Factor_Step)^(12/MIN(Adv_Term_Cap,LN(1+(Sens_Factor_Min+5*Sens_Factor_Step)*Adv_Amount*Borr_Rev_Growth/((Sens_Remit_Min+5*Sens_Remit_Step)*Borr_Rev_M1))/LN(1+Borr_Rev_Growth)))-1,0)</f>
        <v>0.119996278235575</v>
      </c>
      <c r="I23" s="38" t="n">
        <f aca="false">IFERROR((Sens_Factor_Min+5*Sens_Factor_Step)^(12/MIN(Adv_Term_Cap,LN(1+(Sens_Factor_Min+5*Sens_Factor_Step)*Adv_Amount*Borr_Rev_Growth/((Sens_Remit_Min+6*Sens_Remit_Step)*Borr_Rev_M1))/LN(1+Borr_Rev_Growth)))-1,0)</f>
        <v>0.128699060106287</v>
      </c>
    </row>
    <row r="24" customFormat="false" ht="15" hidden="false" customHeight="false" outlineLevel="0" collapsed="false">
      <c r="B24" s="30" t="n">
        <f aca="false">Sens_Factor_Min+6*Sens_Factor_Step</f>
        <v>1.45</v>
      </c>
      <c r="C24" s="38" t="n">
        <f aca="false">IFERROR((Sens_Factor_Min+6*Sens_Factor_Step)^(12/MIN(Adv_Term_Cap,LN(1+(Sens_Factor_Min+6*Sens_Factor_Step)*Adv_Amount*Borr_Rev_Growth/((Sens_Remit_Min+0*Sens_Remit_Step)*Borr_Rev_M1))/LN(1+Borr_Rev_Growth)))-1,0)</f>
        <v>0.131851195962951</v>
      </c>
      <c r="D24" s="38" t="n">
        <f aca="false">IFERROR((Sens_Factor_Min+6*Sens_Factor_Step)^(12/MIN(Adv_Term_Cap,LN(1+(Sens_Factor_Min+6*Sens_Factor_Step)*Adv_Amount*Borr_Rev_Growth/((Sens_Remit_Min+1*Sens_Remit_Step)*Borr_Rev_M1))/LN(1+Borr_Rev_Growth)))-1,0)</f>
        <v>0.131851195962951</v>
      </c>
      <c r="E24" s="38" t="n">
        <f aca="false">IFERROR((Sens_Factor_Min+6*Sens_Factor_Step)^(12/MIN(Adv_Term_Cap,LN(1+(Sens_Factor_Min+6*Sens_Factor_Step)*Adv_Amount*Borr_Rev_Growth/((Sens_Remit_Min+2*Sens_Remit_Step)*Borr_Rev_M1))/LN(1+Borr_Rev_Growth)))-1,0)</f>
        <v>0.131851195962951</v>
      </c>
      <c r="F24" s="38" t="n">
        <f aca="false">IFERROR((Sens_Factor_Min+6*Sens_Factor_Step)^(12/MIN(Adv_Term_Cap,LN(1+(Sens_Factor_Min+6*Sens_Factor_Step)*Adv_Amount*Borr_Rev_Growth/((Sens_Remit_Min+3*Sens_Remit_Step)*Borr_Rev_M1))/LN(1+Borr_Rev_Growth)))-1,0)</f>
        <v>0.131851195962951</v>
      </c>
      <c r="G24" s="38" t="n">
        <f aca="false">IFERROR((Sens_Factor_Min+6*Sens_Factor_Step)^(12/MIN(Adv_Term_Cap,LN(1+(Sens_Factor_Min+6*Sens_Factor_Step)*Adv_Amount*Borr_Rev_Growth/((Sens_Remit_Min+4*Sens_Remit_Step)*Borr_Rev_M1))/LN(1+Borr_Rev_Growth)))-1,0)</f>
        <v>0.131851195962951</v>
      </c>
      <c r="H24" s="38" t="n">
        <f aca="false">IFERROR((Sens_Factor_Min+6*Sens_Factor_Step)^(12/MIN(Adv_Term_Cap,LN(1+(Sens_Factor_Min+6*Sens_Factor_Step)*Adv_Amount*Borr_Rev_Growth/((Sens_Remit_Min+5*Sens_Remit_Step)*Borr_Rev_M1))/LN(1+Borr_Rev_Growth)))-1,0)</f>
        <v>0.131851195962951</v>
      </c>
      <c r="I24" s="38" t="n">
        <f aca="false">IFERROR((Sens_Factor_Min+6*Sens_Factor_Step)^(12/MIN(Adv_Term_Cap,LN(1+(Sens_Factor_Min+6*Sens_Factor_Step)*Adv_Amount*Borr_Rev_Growth/((Sens_Remit_Min+6*Sens_Remit_Step)*Borr_Rev_M1))/LN(1+Borr_Rev_Growth)))-1,0)</f>
        <v>0.139688688875826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AD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3" min="3" style="0" width="16"/>
    <col collapsed="false" customWidth="true" hidden="false" outlineLevel="0" max="4" min="4" style="0" width="14"/>
    <col collapsed="false" customWidth="true" hidden="false" outlineLevel="0" max="5" min="5" style="0" width="5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23</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183</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5" t="s">
        <v>184</v>
      </c>
      <c r="C4" s="5" t="s">
        <v>185</v>
      </c>
      <c r="E4" s="5" t="s">
        <v>4</v>
      </c>
    </row>
    <row r="6" customFormat="false" ht="15" hidden="false" customHeight="false" outlineLevel="0" collapsed="false">
      <c r="B6" s="12" t="s">
        <v>186</v>
      </c>
      <c r="C6" s="13"/>
      <c r="D6" s="13"/>
      <c r="E6" s="13"/>
    </row>
    <row r="7" customFormat="false" ht="15" hidden="false" customHeight="false" outlineLevel="0" collapsed="false">
      <c r="B7" s="14" t="s">
        <v>187</v>
      </c>
      <c r="C7" s="39" t="n">
        <f aca="true">IF(SUM(AD_Remit)&lt;=Adv_Amount*Adv_Factor+Adv_Amount*Adv_Factor*Risk_Default*0+Adv_Factor*0+Borr_Rev_M1*0+Borr_Rev_Growth*0,0,1)</f>
        <v>0</v>
      </c>
      <c r="D7" s="16" t="s">
        <v>188</v>
      </c>
      <c r="E7" s="16" t="s">
        <v>189</v>
      </c>
    </row>
    <row r="8" customFormat="false" ht="15" hidden="false" customHeight="false" outlineLevel="0" collapsed="false">
      <c r="B8" s="14" t="s">
        <v>190</v>
      </c>
      <c r="C8" s="39" t="n">
        <f aca="false">IF(AND(Adv_Remit_Pct&gt;=0,Adv_Remit_Pct&lt;=1),0,1)</f>
        <v>0</v>
      </c>
      <c r="D8" s="16" t="s">
        <v>188</v>
      </c>
      <c r="E8" s="16" t="s">
        <v>191</v>
      </c>
    </row>
    <row r="9" customFormat="false" ht="15" hidden="false" customHeight="false" outlineLevel="0" collapsed="false">
      <c r="B9" s="14" t="s">
        <v>192</v>
      </c>
      <c r="C9" s="39" t="n">
        <f aca="true">IF(MIN(AD_Closing)&gt;=0,0,1)</f>
        <v>0</v>
      </c>
      <c r="D9" s="16" t="s">
        <v>188</v>
      </c>
      <c r="E9" s="16" t="s">
        <v>193</v>
      </c>
    </row>
    <row r="10" customFormat="false" ht="15" hidden="false" customHeight="false" outlineLevel="0" collapsed="false">
      <c r="B10" s="14" t="s">
        <v>194</v>
      </c>
      <c r="C10" s="39" t="n">
        <f aca="true">IF(MIN(PT_Outstanding)&gt;=0,0,1)</f>
        <v>0</v>
      </c>
      <c r="D10" s="16" t="s">
        <v>188</v>
      </c>
      <c r="E10" s="16" t="s">
        <v>195</v>
      </c>
    </row>
    <row r="11" customFormat="false" ht="15" hidden="false" customHeight="false" outlineLevel="0" collapsed="false">
      <c r="B11" s="14" t="s">
        <v>196</v>
      </c>
      <c r="C11" s="39" t="n">
        <f aca="false">IF(Adv_Factor&gt;=1,0,1)</f>
        <v>0</v>
      </c>
      <c r="D11" s="16" t="s">
        <v>188</v>
      </c>
      <c r="E11" s="16" t="s">
        <v>197</v>
      </c>
    </row>
    <row r="12" customFormat="false" ht="15" hidden="false" customHeight="false" outlineLevel="0" collapsed="false">
      <c r="B12" s="14" t="s">
        <v>198</v>
      </c>
      <c r="C12" s="39" t="n">
        <f aca="false">IF(Adv_Term_Cap&gt;=Risk_Recovery,0,1)</f>
        <v>0</v>
      </c>
      <c r="D12" s="16" t="s">
        <v>188</v>
      </c>
      <c r="E12" s="16" t="s">
        <v>199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0" t="s">
        <v>200</v>
      </c>
    </row>
    <row r="3" customFormat="false" ht="3.75" hidden="false" customHeight="true" outlineLevel="0" collapsed="false">
      <c r="B3" s="41"/>
    </row>
    <row r="5" customFormat="false" ht="19.5" hidden="false" customHeight="true" outlineLevel="0" collapsed="false">
      <c r="B5" s="42" t="s">
        <v>201</v>
      </c>
    </row>
    <row r="6" customFormat="false" ht="48" hidden="false" customHeight="true" outlineLevel="0" collapsed="false">
      <c r="B6" s="43" t="s">
        <v>202</v>
      </c>
    </row>
    <row r="8" customFormat="false" ht="19.5" hidden="false" customHeight="true" outlineLevel="0" collapsed="false">
      <c r="B8" s="42" t="s">
        <v>203</v>
      </c>
    </row>
    <row r="9" customFormat="false" ht="61.5" hidden="false" customHeight="true" outlineLevel="0" collapsed="false">
      <c r="B9" s="43" t="s">
        <v>204</v>
      </c>
    </row>
    <row r="11" customFormat="false" ht="19.5" hidden="false" customHeight="true" outlineLevel="0" collapsed="false">
      <c r="B11" s="42" t="s">
        <v>205</v>
      </c>
    </row>
    <row r="12" customFormat="false" ht="75.75" hidden="false" customHeight="true" outlineLevel="0" collapsed="false">
      <c r="B12" s="43" t="s">
        <v>206</v>
      </c>
    </row>
    <row r="14" customFormat="false" ht="19.5" hidden="false" customHeight="true" outlineLevel="0" collapsed="false">
      <c r="B14" s="42" t="s">
        <v>207</v>
      </c>
    </row>
    <row r="15" customFormat="false" ht="61.5" hidden="false" customHeight="true" outlineLevel="0" collapsed="false">
      <c r="B15" s="43" t="s">
        <v>208</v>
      </c>
    </row>
    <row r="17" customFormat="false" ht="19.5" hidden="false" customHeight="true" outlineLevel="0" collapsed="false">
      <c r="B17" s="42" t="s">
        <v>209</v>
      </c>
    </row>
    <row r="18" customFormat="false" ht="33.75" hidden="false" customHeight="true" outlineLevel="0" collapsed="false">
      <c r="B18" s="43" t="s">
        <v>210</v>
      </c>
    </row>
    <row r="20" customFormat="false" ht="19.5" hidden="false" customHeight="true" outlineLevel="0" collapsed="false">
      <c r="B20" s="42" t="s">
        <v>211</v>
      </c>
    </row>
    <row r="21" customFormat="false" ht="33.75" hidden="false" customHeight="true" outlineLevel="0" collapsed="false">
      <c r="B21" s="43" t="s">
        <v>212</v>
      </c>
    </row>
    <row r="23" customFormat="false" ht="21.75" hidden="false" customHeight="true" outlineLevel="0" collapsed="false">
      <c r="B23" s="44" t="s">
        <v>213</v>
      </c>
    </row>
    <row r="25" customFormat="false" ht="18" hidden="false" customHeight="true" outlineLevel="0" collapsed="false">
      <c r="B25" s="45" t="s">
        <v>214</v>
      </c>
    </row>
    <row r="26" customFormat="false" ht="201.75" hidden="false" customHeight="true" outlineLevel="0" collapsed="false">
      <c r="B26" s="46" t="s">
        <v>215</v>
      </c>
    </row>
    <row r="28" customFormat="false" ht="18" hidden="false" customHeight="true" outlineLevel="0" collapsed="false">
      <c r="B28" s="47" t="s">
        <v>216</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2026-05-16T05:22:32Z</dcterms:created>
  <dc:creator>openpyxl</dc:creator>
  <dc:description/>
  <dc:language>en-GB</dc:language>
  <cp:lastModifiedBy/>
  <dcterms:modified xsi:type="dcterms:W3CDTF">2026-05-16T05:22:32Z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