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2.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Fleet_Build" sheetId="3" state="visible" r:id="rId5"/>
    <sheet name="Revenue_Build" sheetId="4" state="visible" r:id="rId6"/>
    <sheet name="Operating_Costs" sheetId="5" state="visible" r:id="rId7"/>
    <sheet name="Staffing" sheetId="6" state="visible" r:id="rId8"/>
    <sheet name="Capex_Depreciation" sheetId="7" state="visible" r:id="rId9"/>
    <sheet name="Debt_Schedule" sheetId="8" state="visible" r:id="rId10"/>
    <sheet name="Income_Statement" sheetId="9" state="visible" r:id="rId11"/>
    <sheet name="Balance_Sheet" sheetId="10" state="visible" r:id="rId12"/>
    <sheet name="Cash_Flow" sheetId="11" state="visible" r:id="rId13"/>
    <sheet name="Returns_Valuation" sheetId="12" state="visible" r:id="rId14"/>
    <sheet name="Covenants_Ratios" sheetId="13" state="visible" r:id="rId15"/>
    <sheet name="Checks" sheetId="14" state="visible" r:id="rId16"/>
    <sheet name="Disclaimer" sheetId="15" state="visible" r:id="rId17"/>
  </sheets>
  <definedNames>
    <definedName function="false" hidden="false" name="Ad_Vehicles_Pct" vbProcedure="false">Assumptions!$C$29</definedName>
    <definedName function="false" hidden="false" name="Ad_Yield_Monthly" vbProcedure="false">Assumptions!$C$30</definedName>
    <definedName function="false" hidden="false" name="Asset_Finance_LTV" vbProcedure="false">Assumptions!$C$62</definedName>
    <definedName function="false" hidden="false" name="Asset_Finance_Rate" vbProcedure="false">Assumptions!$C$64</definedName>
    <definedName function="false" hidden="false" name="Asset_Finance_Term" vbProcedure="false">Assumptions!$C$63</definedName>
    <definedName function="false" hidden="false" name="Avg_Fare" vbProcedure="false">Assumptions!$C$21</definedName>
    <definedName function="false" hidden="false" name="BS_AP" vbProcedure="false">Balance_Sheet!$C$22:$G$22</definedName>
    <definedName function="false" hidden="false" name="BS_AR" vbProcedure="false">Balance_Sheet!$C$11:$G$11</definedName>
    <definedName function="false" hidden="false" name="BS_Cash" vbProcedure="false">Balance_Sheet!$C$10:$G$10</definedName>
    <definedName function="false" hidden="false" name="BS_CPLTD" vbProcedure="false">Balance_Sheet!$C$23:$G$23</definedName>
    <definedName function="false" hidden="false" name="BS_LT_Debt" vbProcedure="false">Balance_Sheet!$C$27:$G$27</definedName>
    <definedName function="false" hidden="false" name="BS_Net_PPE" vbProcedure="false">Balance_Sheet!$C$15:$G$15</definedName>
    <definedName function="false" hidden="false" name="BS_Ret_Earnings" vbProcedure="false">Balance_Sheet!$C$34:$G$34</definedName>
    <definedName function="false" hidden="false" name="BS_Total_Assets" vbProcedure="false">Balance_Sheet!$C$18:$G$18</definedName>
    <definedName function="false" hidden="false" name="BS_Total_Debt" vbProcedure="false">Balance_Sheet!$C$30:$G$30</definedName>
    <definedName function="false" hidden="false" name="BS_Total_Equity" vbProcedure="false">Balance_Sheet!$C$35:$G$35</definedName>
    <definedName function="false" hidden="false" name="BS_Total_LE" vbProcedure="false">Balance_Sheet!$C$37:$G$37</definedName>
    <definedName function="false" hidden="false" name="CD_Net_PPE" vbProcedure="false">Capex_Depreciation!$C$36:$G$36</definedName>
    <definedName function="false" hidden="false" name="CD_Salvage" vbProcedure="false">Capex_Depreciation!$C$23:$G$23</definedName>
    <definedName function="false" hidden="false" name="CD_Total_Capex" vbProcedure="false">Capex_Depreciation!$C$15:$G$15</definedName>
    <definedName function="false" hidden="false" name="CD_Total_Depr" vbProcedure="false">Capex_Depreciation!$C$21:$G$21</definedName>
    <definedName function="false" hidden="false" name="CD_Veh_Capex" vbProcedure="false">Capex_Depreciation!$C$11:$G$11</definedName>
    <definedName function="false" hidden="false" name="CF_CFF" vbProcedure="false">Cash_Flow!$C$23:$G$23</definedName>
    <definedName function="false" hidden="false" name="CF_CFI" vbProcedure="false">Cash_Flow!$C$18:$G$18</definedName>
    <definedName function="false" hidden="false" name="CF_CFO" vbProcedure="false">Cash_Flow!$C$13:$G$13</definedName>
    <definedName function="false" hidden="false" name="CF_Close_Cash" vbProcedure="false">Cash_Flow!$C$28:$G$28</definedName>
    <definedName function="false" hidden="false" name="CF_Net_Change" vbProcedure="false">Cash_Flow!$C$25:$G$25</definedName>
    <definedName function="false" hidden="false" name="CF_Open_Cash" vbProcedure="false">Cash_Flow!$C$27:$G$27</definedName>
    <definedName function="false" hidden="false" name="Charger_Life" vbProcedure="false">Assumptions!$C$59</definedName>
    <definedName function="false" hidden="false" name="Charge_Pts_Per_10" vbProcedure="false">Assumptions!$C$58</definedName>
    <definedName function="false" hidden="false" name="Charging_Cost_PP" vbProcedure="false">Assumptions!$C$57</definedName>
    <definedName function="false" hidden="false" name="Corp_Account_Mix" vbProcedure="false">Assumptions!$C$25</definedName>
    <definedName function="false" hidden="false" name="Corp_DSO" vbProcedure="false">Assumptions!$C$27</definedName>
    <definedName function="false" hidden="false" name="Corp_Fare_Premium" vbProcedure="false">Assumptions!$C$26</definedName>
    <definedName function="false" hidden="false" name="Cost_Inflation" vbProcedure="false">Assumptions!$C$41</definedName>
    <definedName function="false" hidden="false" name="Depot_Rent" vbProcedure="false">Assumptions!$C$38</definedName>
    <definedName function="false" hidden="false" name="Dispatcher_Salary" vbProcedure="false">Assumptions!$C$47</definedName>
    <definedName function="false" hidden="false" name="Downtime_Pct" vbProcedure="false">Assumptions!$C$15</definedName>
    <definedName function="false" hidden="false" name="DPO_Days" vbProcedure="false">Assumptions!$C$70</definedName>
    <definedName function="false" hidden="false" name="Driver_Recruit_Cost" vbProcedure="false">Assumptions!$C$40</definedName>
    <definedName function="false" hidden="false" name="Driver_Share" vbProcedure="false">Assumptions!$C$23</definedName>
    <definedName function="false" hidden="false" name="DS_Closing" vbProcedure="false">Debt_Schedule!$C$12:$G$12</definedName>
    <definedName function="false" hidden="false" name="DS_Drawdown" vbProcedure="false">Debt_Schedule!$C$10:$G$10</definedName>
    <definedName function="false" hidden="false" name="DS_Interest" vbProcedure="false">Debt_Schedule!$C$14:$G$14</definedName>
    <definedName function="false" hidden="false" name="DS_Opening" vbProcedure="false">Debt_Schedule!$C$9:$G$9</definedName>
    <definedName function="false" hidden="false" name="DS_Repayment" vbProcedure="false">Debt_Schedule!$C$11:$G$11</definedName>
    <definedName function="false" hidden="false" name="DS_Total_Service" vbProcedure="false">Debt_Schedule!$C$16:$G$16</definedName>
    <definedName function="false" hidden="false" name="Elec_Cost_KWH" vbProcedure="false">Assumptions!$C$33</definedName>
    <definedName function="false" hidden="false" name="Employer_NI_Pct" vbProcedure="false">Assumptions!$C$50</definedName>
    <definedName function="false" hidden="false" name="EV_Efficiency" vbProcedure="false">Assumptions!$C$34</definedName>
    <definedName function="false" hidden="false" name="EV_Mix_Y1" vbProcedure="false">Assumptions!$C$16</definedName>
    <definedName function="false" hidden="false" name="EV_Purchase_Price" vbProcedure="false">Assumptions!$C$54</definedName>
    <definedName function="false" hidden="false" name="Fare_Inflation" vbProcedure="false">Assumptions!$C$22</definedName>
    <definedName function="false" hidden="false" name="FB_Active" vbProcedure="false">Fleet_Build!$C$15:$G$15</definedName>
    <definedName function="false" hidden="false" name="FB_Additions" vbProcedure="false">Fleet_Build!$C$10:$G$10</definedName>
    <definedName function="false" hidden="false" name="FB_Closing" vbProcedure="false">Fleet_Build!$C$12:$G$12</definedName>
    <definedName function="false" hidden="false" name="FB_Opening" vbProcedure="false">Fleet_Build!$C$9:$G$9</definedName>
    <definedName function="false" hidden="false" name="FB_Retirements" vbProcedure="false">Fleet_Build!$C$11:$G$11</definedName>
    <definedName function="false" hidden="false" name="Fleet_Growth" vbProcedure="false">Assumptions!$C$13</definedName>
    <definedName function="false" hidden="false" name="Insurance_Per_Car" vbProcedure="false">Assumptions!$C$36</definedName>
    <definedName function="false" hidden="false" name="IS_Depreciation" vbProcedure="false">Income_Statement!$C$27:$G$27</definedName>
    <definedName function="false" hidden="false" name="IS_EBIT" vbProcedure="false">Income_Statement!$C$29:$G$29</definedName>
    <definedName function="false" hidden="false" name="IS_EBITDA" vbProcedure="false">Income_Statement!$C$24:$G$24</definedName>
    <definedName function="false" hidden="false" name="IS_EBT" vbProcedure="false">Income_Statement!$C$33:$G$33</definedName>
    <definedName function="false" hidden="false" name="IS_Interest" vbProcedure="false">Income_Statement!$C$31:$G$31</definedName>
    <definedName function="false" hidden="false" name="IS_Net_Income" vbProcedure="false">Income_Statement!$C$36:$G$36</definedName>
    <definedName function="false" hidden="false" name="IS_Tax" vbProcedure="false">Income_Statement!$C$34:$G$34</definedName>
    <definedName function="false" hidden="false" name="IS_Total_Opex" vbProcedure="false">Income_Statement!$C$22:$G$22</definedName>
    <definedName function="false" hidden="false" name="IS_Total_Revenue" vbProcedure="false">Income_Statement!$C$12:$G$12</definedName>
    <definedName function="false" hidden="false" name="Maint_Per_Car" vbProcedure="false">Assumptions!$C$37</definedName>
    <definedName function="false" hidden="false" name="Mechanic_Salary" vbProcedure="false">Assumptions!$C$48</definedName>
    <definedName function="false" hidden="false" name="Mgmt_Headcount" vbProcedure="false">Assumptions!$C$46</definedName>
    <definedName function="false" hidden="false" name="Mgmt_Salary" vbProcedure="false">Assumptions!$C$49</definedName>
    <definedName function="false" hidden="false" name="Miles_Per_Shift" vbProcedure="false">Assumptions!$C$35</definedName>
    <definedName function="false" hidden="false" name="Model_Start_Year" vbProcedure="false">Assumptions!$C$8</definedName>
    <definedName function="false" hidden="false" name="Num_Years" vbProcedure="false">Assumptions!$C$9</definedName>
    <definedName function="false" hidden="false" name="OC_Depot" vbProcedure="false">Operating_Costs!$C$12:$G$12</definedName>
    <definedName function="false" hidden="false" name="OC_Fuel" vbProcedure="false">Operating_Costs!$C$9:$G$9</definedName>
    <definedName function="false" hidden="false" name="OC_Insurance" vbProcedure="false">Operating_Costs!$C$10:$G$10</definedName>
    <definedName function="false" hidden="false" name="OC_Maintenance" vbProcedure="false">Operating_Costs!$C$11:$G$11</definedName>
    <definedName function="false" hidden="false" name="OC_Recruitment" vbProcedure="false">Operating_Costs!$C$14:$G$14</definedName>
    <definedName function="false" hidden="false" name="OC_Tech" vbProcedure="false">Operating_Costs!$C$13:$G$13</definedName>
    <definedName function="false" hidden="false" name="OC_Total" vbProcedure="false">Operating_Costs!$C$15:$G$15</definedName>
    <definedName function="false" hidden="false" name="Opening_Cash" vbProcedure="false">Assumptions!$C$73</definedName>
    <definedName function="false" hidden="false" name="Opening_RE" vbProcedure="false">Assumptions!$C$75</definedName>
    <definedName function="false" hidden="false" name="Platform_Commission" vbProcedure="false">Assumptions!$C$24</definedName>
    <definedName function="false" hidden="false" name="Platform_DSO" vbProcedure="false">Assumptions!$C$28</definedName>
    <definedName function="false" hidden="false" name="RB_Ad_Revenue" vbProcedure="false">Revenue_Build!$C$29:$G$29</definedName>
    <definedName function="false" hidden="false" name="RB_Avg_Fare" vbProcedure="false">Revenue_Build!$C$13:$G$13</definedName>
    <definedName function="false" hidden="false" name="RB_Corp_Fare" vbProcedure="false">Revenue_Build!$C$23:$G$23</definedName>
    <definedName function="false" hidden="false" name="RB_Corp_Revenue" vbProcedure="false">Revenue_Build!$C$24:$G$24</definedName>
    <definedName function="false" hidden="false" name="RB_Corp_Trips" vbProcedure="false">Revenue_Build!$C$22:$G$22</definedName>
    <definedName function="false" hidden="false" name="RB_Driver_Payout" vbProcedure="false">Revenue_Build!$C$17:$G$17</definedName>
    <definedName function="false" hidden="false" name="RB_Gross_Bookings" vbProcedure="false">Revenue_Build!$C$14:$G$14</definedName>
    <definedName function="false" hidden="false" name="RB_Net_B2C" vbProcedure="false">Revenue_Build!$C$19:$G$19</definedName>
    <definedName function="false" hidden="false" name="RB_Platform_Fee" vbProcedure="false">Revenue_Build!$C$18:$G$18</definedName>
    <definedName function="false" hidden="false" name="RB_Total_Revenue" vbProcedure="false">Revenue_Build!$C$31:$G$31</definedName>
    <definedName function="false" hidden="false" name="RB_Total_Trips" vbProcedure="false">Revenue_Build!$C$12:$G$12</definedName>
    <definedName function="false" hidden="false" name="Residual_Value_Pct" vbProcedure="false">Assumptions!$C$56</definedName>
    <definedName function="false" hidden="false" name="Retirement_Age" vbProcedure="false">Assumptions!$C$14</definedName>
    <definedName function="false" hidden="false" name="RV_Equity_Val" vbProcedure="false">Returns_Valuation!$C$25:$G$25</definedName>
    <definedName function="false" hidden="false" name="RV_EV" vbProcedure="false">Returns_Valuation!$C$23:$G$23</definedName>
    <definedName function="false" hidden="false" name="RV_UFCF" vbProcedure="false">Returns_Valuation!$C$15:$G$15</definedName>
    <definedName function="false" hidden="false" name="Salary_Inflation" vbProcedure="false">Assumptions!$C$51</definedName>
    <definedName function="false" hidden="false" name="Share_Capital" vbProcedure="false">Assumptions!$C$74</definedName>
    <definedName function="false" hidden="false" name="Shifts_Per_Day" vbProcedure="false">Assumptions!$C$19</definedName>
    <definedName function="false" hidden="false" name="Starting_Fleet" vbProcedure="false">Assumptions!$C$12</definedName>
    <definedName function="false" hidden="false" name="ST_Total_Cost" vbProcedure="false">Staffing!$C$19:$G$19</definedName>
    <definedName function="false" hidden="false" name="ST_Total_HC" vbProcedure="false">Staffing!$C$12:$G$12</definedName>
    <definedName function="false" hidden="false" name="Tax_Rate" vbProcedure="false">Assumptions!$C$67</definedName>
    <definedName function="false" hidden="false" name="Tech_Licence" vbProcedure="false">Assumptions!$C$39</definedName>
    <definedName function="false" hidden="false" name="Terminal_Growth" vbProcedure="false">Assumptions!$C$69</definedName>
    <definedName function="false" hidden="false" name="Trips_Per_Shift" vbProcedure="false">Assumptions!$C$20</definedName>
    <definedName function="false" hidden="false" name="Vehicle_Useful_Life" vbProcedure="false">Assumptions!$C$55</definedName>
    <definedName function="false" hidden="false" name="Veh_Per_Dispatcher" vbProcedure="false">Assumptions!$C$44</definedName>
    <definedName function="false" hidden="false" name="Veh_Per_Mechanic" vbProcedure="false">Assumptions!$C$45</definedName>
    <definedName function="false" hidden="false" name="WACC" vbProcedure="false">Assumptions!$C$68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<sst xmlns="http://schemas.openxmlformats.org/spreadsheetml/2006/main" count="474" uniqueCount="378">
  <si>
    <t xml:space="preserve">Ride-Hailing Fleet Operator</t>
  </si>
  <si>
    <t xml:space="preserve">FINAMODEL.com</t>
  </si>
  <si>
    <t xml:space="preserve">Financial Model</t>
  </si>
  <si>
    <t xml:space="preserve">Company Name</t>
  </si>
  <si>
    <t xml:space="preserve">[Fleet Co]</t>
  </si>
  <si>
    <t xml:space="preserve">Currency</t>
  </si>
  <si>
    <t xml:space="preserve">GBP (£)</t>
  </si>
  <si>
    <t xml:space="preserve">Projection Period</t>
  </si>
  <si>
    <t xml:space="preserve">5 Years</t>
  </si>
  <si>
    <t xml:space="preserve">Date Prepared</t>
  </si>
  <si>
    <t xml:space="preserve">April 2026</t>
  </si>
  <si>
    <t xml:space="preserve">Sheet Navigation</t>
  </si>
  <si>
    <t xml:space="preserve">Assumptions</t>
  </si>
  <si>
    <t xml:space="preserve">All model inputs</t>
  </si>
  <si>
    <t xml:space="preserve">Fleet_Build</t>
  </si>
  <si>
    <t xml:space="preserve">Vehicle roll-forward</t>
  </si>
  <si>
    <t xml:space="preserve">Revenue_Build</t>
  </si>
  <si>
    <t xml:space="preserve">Gross bookings &amp; net revenue</t>
  </si>
  <si>
    <t xml:space="preserve">Operating_Costs</t>
  </si>
  <si>
    <t xml:space="preserve">Variable &amp; fixed costs</t>
  </si>
  <si>
    <t xml:space="preserve">Staffing</t>
  </si>
  <si>
    <t xml:space="preserve">Headcount &amp; payroll</t>
  </si>
  <si>
    <t xml:space="preserve">Capex_Depreciation</t>
  </si>
  <si>
    <t xml:space="preserve">Vehicles &amp; infrastructure</t>
  </si>
  <si>
    <t xml:space="preserve">Debt_Schedule</t>
  </si>
  <si>
    <t xml:space="preserve">Asset finance amortisation</t>
  </si>
  <si>
    <t xml:space="preserve">Income_Statement</t>
  </si>
  <si>
    <t xml:space="preserve">Revenue to net income</t>
  </si>
  <si>
    <t xml:space="preserve">Balance_Sheet</t>
  </si>
  <si>
    <t xml:space="preserve">Assets, liabilities, equity</t>
  </si>
  <si>
    <t xml:space="preserve">Cash_Flow</t>
  </si>
  <si>
    <t xml:space="preserve">OCF, ICF, FCF</t>
  </si>
  <si>
    <t xml:space="preserve">Returns_Valuation</t>
  </si>
  <si>
    <t xml:space="preserve">DCF, IRR, MOIC</t>
  </si>
  <si>
    <t xml:space="preserve">Covenants_Ratios</t>
  </si>
  <si>
    <t xml:space="preserve">DSCR, LTV, margins</t>
  </si>
  <si>
    <t xml:space="preserve">Checks</t>
  </si>
  <si>
    <t xml:space="preserve">Integrity checks</t>
  </si>
  <si>
    <t xml:space="preserve">Tab Colour Legend</t>
  </si>
  <si>
    <t xml:space="preserve">Dark Blue</t>
  </si>
  <si>
    <t xml:space="preserve">Cover</t>
  </si>
  <si>
    <t xml:space="preserve">Light Blue</t>
  </si>
  <si>
    <t xml:space="preserve">Green</t>
  </si>
  <si>
    <t xml:space="preserve">Revenue &amp; Fleet</t>
  </si>
  <si>
    <t xml:space="preserve">Orange</t>
  </si>
  <si>
    <t xml:space="preserve">Costs &amp; Staffing</t>
  </si>
  <si>
    <t xml:space="preserve">Grey</t>
  </si>
  <si>
    <t xml:space="preserve">Financial Statements</t>
  </si>
  <si>
    <t xml:space="preserve">Red</t>
  </si>
  <si>
    <t xml:space="preserve">Debt &amp; Covenants</t>
  </si>
  <si>
    <t xml:space="preserve">Purple</t>
  </si>
  <si>
    <t xml:space="preserve">Returns &amp; Checks</t>
  </si>
  <si>
    <t xml:space="preserve">About this model</t>
  </si>
  <si>
    <t xml:space="preserve">This model determines fleet operator viability by forecasting vehicle unit economics, fleet utilisation, and asset financing across 50-1,000 vehicle fleets generating Â£2M-Â£50M annual bookings. It projects gross revenue from rides, corporate accounts, and advertising; calculates driver payouts (45-55% of bookings), platform commissions, and fuel costs; and models vehicle depreciation, maintenance (Â£1,500-Â£4,000 per vehicle annually), and asset-backed debt at 3-4.5x EBITDA leverage. Output: 5-year cash flow, DSCR covenant compliance (1.2x minimum), vehicle payback (36-48 months), and capital requirements for fleet expansion.
The model distinguishes B2C passenger fares from B2B corporate accounts, each with different payment terms (7 days vs 30-45 days). Vehicle downtime, platform commission applied to gross bookings (not net), and EV charging costs replace ICE fuel logic. Fleet roll-forward tracks vehicle acquisitions, retirements, and salvage value to avoid depreciation errors. EBITDA margins range 10-18% given tight cost control in asset-heavy operations.
Ideal for transport operators, fleet investors, and acquirers evaluating small-to-mid-market ride-hailing platforms. Also applicable to taxi fleet securitisations, SBA 7(a) lending decisions, and asset-based finance scenarios.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</si>
  <si>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</si>
  <si>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</si>
  <si>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</si>
  <si>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</si>
  <si>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</si>
  <si>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</si>
  <si>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</si>
  <si>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</si>
  <si>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</si>
  <si>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General</t>
  </si>
  <si>
    <t xml:space="preserve">Model Start Year</t>
  </si>
  <si>
    <t xml:space="preserve">First projection year</t>
  </si>
  <si>
    <t xml:space="preserve">Projection Years</t>
  </si>
  <si>
    <t xml:space="preserve">Years</t>
  </si>
  <si>
    <t xml:space="preserve">Fleet</t>
  </si>
  <si>
    <t xml:space="preserve">Starting Fleet</t>
  </si>
  <si>
    <t xml:space="preserve">Vehicles</t>
  </si>
  <si>
    <t xml:space="preserve">Mid-sized regional operator</t>
  </si>
  <si>
    <t xml:space="preserve">Annual Fleet Growth</t>
  </si>
  <si>
    <t xml:space="preserve">%</t>
  </si>
  <si>
    <t xml:space="preserve">Net additions per year</t>
  </si>
  <si>
    <t xml:space="preserve">Vehicle Useful Life</t>
  </si>
  <si>
    <t xml:space="preserve">Months</t>
  </si>
  <si>
    <t xml:space="preserve">5-year replacement cycle</t>
  </si>
  <si>
    <t xml:space="preserve">Vehicle Downtime</t>
  </si>
  <si>
    <t xml:space="preserve">Maintenance, repairs, holidays</t>
  </si>
  <si>
    <t xml:space="preserve">EV Mix (Year 1)</t>
  </si>
  <si>
    <t xml:space="preserve">Growing to 100% over time</t>
  </si>
  <si>
    <t xml:space="preserve">Revenue</t>
  </si>
  <si>
    <t xml:space="preserve">Shifts per Day</t>
  </si>
  <si>
    <t xml:space="preserve">Shifts</t>
  </si>
  <si>
    <t xml:space="preserve">Some double-shifted</t>
  </si>
  <si>
    <t xml:space="preserve">Trips per Shift</t>
  </si>
  <si>
    <t xml:space="preserve">Trips</t>
  </si>
  <si>
    <t xml:space="preserve">8-10 hour shift</t>
  </si>
  <si>
    <t xml:space="preserve">Average Fare</t>
  </si>
  <si>
    <t xml:space="preserve">£</t>
  </si>
  <si>
    <t xml:space="preserve">Urban ride-hailing fare</t>
  </si>
  <si>
    <t xml:space="preserve">Fare Inflation</t>
  </si>
  <si>
    <t xml:space="preserve">Annual fare increase</t>
  </si>
  <si>
    <t xml:space="preserve">Driver Revenue Share</t>
  </si>
  <si>
    <t xml:space="preserve">Standard contractor split</t>
  </si>
  <si>
    <t xml:space="preserve">Platform Commission</t>
  </si>
  <si>
    <t xml:space="preserve">Major app take-rate</t>
  </si>
  <si>
    <t xml:space="preserve">Corporate Trip Mix</t>
  </si>
  <si>
    <t xml:space="preserve">% of trips from B2B</t>
  </si>
  <si>
    <t xml:space="preserve">Corporate Fare Premium</t>
  </si>
  <si>
    <t xml:space="preserve">Premium over standard</t>
  </si>
  <si>
    <t xml:space="preserve">Corporate DSO</t>
  </si>
  <si>
    <t xml:space="preserve">Days</t>
  </si>
  <si>
    <t xml:space="preserve">Monthly billing</t>
  </si>
  <si>
    <t xml:space="preserve">Platform DSO</t>
  </si>
  <si>
    <t xml:space="preserve">Weekly remittance</t>
  </si>
  <si>
    <t xml:space="preserve">Ad-Wrapped Vehicles</t>
  </si>
  <si>
    <t xml:space="preserve">% of fleet with ads</t>
  </si>
  <si>
    <t xml:space="preserve">Ad Yield per Vehicle</t>
  </si>
  <si>
    <t xml:space="preserve">£/month</t>
  </si>
  <si>
    <t xml:space="preserve">Monthly advertising yield</t>
  </si>
  <si>
    <t xml:space="preserve">Operating Costs</t>
  </si>
  <si>
    <t xml:space="preserve">Electricity Cost</t>
  </si>
  <si>
    <t xml:space="preserve">£/kWh</t>
  </si>
  <si>
    <t xml:space="preserve">Blended charging rate</t>
  </si>
  <si>
    <t xml:space="preserve">EV Efficiency</t>
  </si>
  <si>
    <t xml:space="preserve">Miles/kWh</t>
  </si>
  <si>
    <t xml:space="preserve">Urban driving efficiency</t>
  </si>
  <si>
    <t xml:space="preserve">Miles per Shift</t>
  </si>
  <si>
    <t xml:space="preserve">Miles</t>
  </si>
  <si>
    <t xml:space="preserve">Typical urban shift distance</t>
  </si>
  <si>
    <t xml:space="preserve">Insurance per Vehicle</t>
  </si>
  <si>
    <t xml:space="preserve">£/year</t>
  </si>
  <si>
    <t xml:space="preserve">Hire-and-reward premium</t>
  </si>
  <si>
    <t xml:space="preserve">Maintenance per Vehicle</t>
  </si>
  <si>
    <t xml:space="preserve">Tyres, brakes, servicing</t>
  </si>
  <si>
    <t xml:space="preserve">Depot Rent (Annual)</t>
  </si>
  <si>
    <t xml:space="preserve">Secure vehicle depot</t>
  </si>
  <si>
    <t xml:space="preserve">Tech Licence per Vehicle</t>
  </si>
  <si>
    <t xml:space="preserve">Telematics + dispatch</t>
  </si>
  <si>
    <t xml:space="preserve">Driver Recruitment</t>
  </si>
  <si>
    <t xml:space="preserve">£/driver</t>
  </si>
  <si>
    <t xml:space="preserve">Per new driver onboarding</t>
  </si>
  <si>
    <t xml:space="preserve">Cost Inflation</t>
  </si>
  <si>
    <t xml:space="preserve">Annual cost escalation</t>
  </si>
  <si>
    <t xml:space="preserve">Vehicles per Dispatcher</t>
  </si>
  <si>
    <t xml:space="preserve">Dispatch ratio</t>
  </si>
  <si>
    <t xml:space="preserve">Vehicles per Mechanic</t>
  </si>
  <si>
    <t xml:space="preserve">Workshop ratio</t>
  </si>
  <si>
    <t xml:space="preserve">Management Headcount</t>
  </si>
  <si>
    <t xml:space="preserve">FTEs</t>
  </si>
  <si>
    <t xml:space="preserve">GM, Ops Mgr, Finance</t>
  </si>
  <si>
    <t xml:space="preserve">Dispatcher Salary</t>
  </si>
  <si>
    <t xml:space="preserve">Mechanic Salary</t>
  </si>
  <si>
    <t xml:space="preserve">Management Salary</t>
  </si>
  <si>
    <t xml:space="preserve">Average</t>
  </si>
  <si>
    <t xml:space="preserve">Employer NI / Benefits</t>
  </si>
  <si>
    <t xml:space="preserve">NI + pension + benefits</t>
  </si>
  <si>
    <t xml:space="preserve">Salary Inflation</t>
  </si>
  <si>
    <t xml:space="preserve">Annual wage growth</t>
  </si>
  <si>
    <t xml:space="preserve">Capital Expenditure</t>
  </si>
  <si>
    <t xml:space="preserve">EV Purchase Price</t>
  </si>
  <si>
    <t xml:space="preserve">Standard fleet EV</t>
  </si>
  <si>
    <t xml:space="preserve">5-year cycle</t>
  </si>
  <si>
    <t xml:space="preserve">Residual Value</t>
  </si>
  <si>
    <t xml:space="preserve">% of purchase price</t>
  </si>
  <si>
    <t xml:space="preserve">Charge Point Cost</t>
  </si>
  <si>
    <t xml:space="preserve">Per fast-charge point</t>
  </si>
  <si>
    <t xml:space="preserve">Charge Points per 10 Veh</t>
  </si>
  <si>
    <t xml:space="preserve">Points</t>
  </si>
  <si>
    <t xml:space="preserve">Infrastructure ratio</t>
  </si>
  <si>
    <t xml:space="preserve">Charger Useful Life</t>
  </si>
  <si>
    <t xml:space="preserve">10-year life</t>
  </si>
  <si>
    <t xml:space="preserve">Debt &amp; Financing</t>
  </si>
  <si>
    <t xml:space="preserve">Asset Finance LTV</t>
  </si>
  <si>
    <t xml:space="preserve">Advance rate on vehicle cost</t>
  </si>
  <si>
    <t xml:space="preserve">Asset Finance Term</t>
  </si>
  <si>
    <t xml:space="preserve">4-year amortisation</t>
  </si>
  <si>
    <t xml:space="preserve">Asset Finance Rate</t>
  </si>
  <si>
    <t xml:space="preserve">Annual interest rate</t>
  </si>
  <si>
    <t xml:space="preserve">Tax &amp; Valuation</t>
  </si>
  <si>
    <t xml:space="preserve">Corporation Tax Rate</t>
  </si>
  <si>
    <t xml:space="preserve">UK standard rate</t>
  </si>
  <si>
    <t xml:space="preserve">WACC / Discount Rate</t>
  </si>
  <si>
    <t xml:space="preserve">Asset-heavy business</t>
  </si>
  <si>
    <t xml:space="preserve">Terminal Growth Rate</t>
  </si>
  <si>
    <t xml:space="preserve">Long-run nominal GDP</t>
  </si>
  <si>
    <t xml:space="preserve">DPO</t>
  </si>
  <si>
    <t xml:space="preserve">Supplier payment terms</t>
  </si>
  <si>
    <t xml:space="preserve">Opening Balance Sheet</t>
  </si>
  <si>
    <t xml:space="preserve">Opening Cash</t>
  </si>
  <si>
    <t xml:space="preserve">Day 0 cash balance</t>
  </si>
  <si>
    <t xml:space="preserve">Share Capital</t>
  </si>
  <si>
    <t xml:space="preserve">Founder equity</t>
  </si>
  <si>
    <t xml:space="preserve">Opening Ret. Earnings</t>
  </si>
  <si>
    <t xml:space="preserve">No prior profits</t>
  </si>
  <si>
    <t xml:space="preserve">Fleet Build</t>
  </si>
  <si>
    <t xml:space="preserve">Vehicle Roll-Forward</t>
  </si>
  <si>
    <t xml:space="preserve">Year #</t>
  </si>
  <si>
    <t xml:space="preserve">Fleet Roll-Forward</t>
  </si>
  <si>
    <t xml:space="preserve">Opening Fleet</t>
  </si>
  <si>
    <t xml:space="preserve">Additions</t>
  </si>
  <si>
    <t xml:space="preserve">Retirements</t>
  </si>
  <si>
    <t xml:space="preserve">Closing Fleet</t>
  </si>
  <si>
    <t xml:space="preserve">Active Fleet</t>
  </si>
  <si>
    <t xml:space="preserve">Vehicles in Downtime</t>
  </si>
  <si>
    <t xml:space="preserve">Revenue Build</t>
  </si>
  <si>
    <t xml:space="preserve">Gross Bookings &amp; Revenue</t>
  </si>
  <si>
    <t xml:space="preserve">B2C Passenger Revenue</t>
  </si>
  <si>
    <t xml:space="preserve">Total Annual Trips</t>
  </si>
  <si>
    <t xml:space="preserve">Gross Bookings</t>
  </si>
  <si>
    <t xml:space="preserve">Deductions from Gross</t>
  </si>
  <si>
    <t xml:space="preserve">Driver Payout</t>
  </si>
  <si>
    <t xml:space="preserve">Platform Fee</t>
  </si>
  <si>
    <t xml:space="preserve">Net B2C Revenue</t>
  </si>
  <si>
    <t xml:space="preserve">Corporate Revenue</t>
  </si>
  <si>
    <t xml:space="preserve">Corporate Trips</t>
  </si>
  <si>
    <t xml:space="preserve">Corporate Fare</t>
  </si>
  <si>
    <t xml:space="preserve">Advertising Revenue</t>
  </si>
  <si>
    <t xml:space="preserve">Wrapped Vehicles</t>
  </si>
  <si>
    <t xml:space="preserve">Monthly Yield</t>
  </si>
  <si>
    <t xml:space="preserve">Total Revenue</t>
  </si>
  <si>
    <t xml:space="preserve">TOTAL REVENUE</t>
  </si>
  <si>
    <t xml:space="preserve">Variable &amp; Fixed</t>
  </si>
  <si>
    <t xml:space="preserve">Operating Expenses</t>
  </si>
  <si>
    <t xml:space="preserve">Fuel / Charging</t>
  </si>
  <si>
    <t xml:space="preserve">Insurance</t>
  </si>
  <si>
    <t xml:space="preserve">Maintenance</t>
  </si>
  <si>
    <t xml:space="preserve">Depot Rent</t>
  </si>
  <si>
    <t xml:space="preserve">Technology / Telematics</t>
  </si>
  <si>
    <t xml:space="preserve">TOTAL OPERATING COSTS</t>
  </si>
  <si>
    <t xml:space="preserve">Headcount &amp; Payroll</t>
  </si>
  <si>
    <t xml:space="preserve">Headcount</t>
  </si>
  <si>
    <t xml:space="preserve">Dispatchers</t>
  </si>
  <si>
    <t xml:space="preserve">Mechanics</t>
  </si>
  <si>
    <t xml:space="preserve">Management</t>
  </si>
  <si>
    <t xml:space="preserve">Total Headcount</t>
  </si>
  <si>
    <t xml:space="preserve">Payroll Costs</t>
  </si>
  <si>
    <t xml:space="preserve">Dispatcher Salaries</t>
  </si>
  <si>
    <t xml:space="preserve">Mechanic Salaries</t>
  </si>
  <si>
    <t xml:space="preserve">Management Salaries</t>
  </si>
  <si>
    <t xml:space="preserve">TOTAL STAFF COST</t>
  </si>
  <si>
    <t xml:space="preserve">Capex &amp; Depreciation</t>
  </si>
  <si>
    <t xml:space="preserve">Vehicle &amp; Infrastructure</t>
  </si>
  <si>
    <t xml:space="preserve">Vehicle Additions</t>
  </si>
  <si>
    <t xml:space="preserve">Vehicle Unit Price</t>
  </si>
  <si>
    <t xml:space="preserve">Vehicle Capex</t>
  </si>
  <si>
    <t xml:space="preserve">New Charge Points</t>
  </si>
  <si>
    <t xml:space="preserve">Charge Point Price</t>
  </si>
  <si>
    <t xml:space="preserve">Charging Capex</t>
  </si>
  <si>
    <t xml:space="preserve">TOTAL CAPEX</t>
  </si>
  <si>
    <t xml:space="preserve">Depreciation</t>
  </si>
  <si>
    <t xml:space="preserve">Existing Fleet Depr.</t>
  </si>
  <si>
    <t xml:space="preserve">New Vehicle Depr.</t>
  </si>
  <si>
    <t xml:space="preserve">Charging Infra Depr.</t>
  </si>
  <si>
    <t xml:space="preserve">TOTAL DEPRECIATION</t>
  </si>
  <si>
    <t xml:space="preserve">Salvage Proceeds</t>
  </si>
  <si>
    <t xml:space="preserve">PP&amp;E Roll-Forward</t>
  </si>
  <si>
    <t xml:space="preserve">Gross PP&amp;E Opening</t>
  </si>
  <si>
    <t xml:space="preserve">Gross PP&amp;E Closing</t>
  </si>
  <si>
    <t xml:space="preserve">Accum Depr Opening</t>
  </si>
  <si>
    <t xml:space="preserve">Depreciation Charge</t>
  </si>
  <si>
    <t xml:space="preserve">Retired Accum Depr</t>
  </si>
  <si>
    <t xml:space="preserve">Accum Depr Closing</t>
  </si>
  <si>
    <t xml:space="preserve">NET PP&amp;E</t>
  </si>
  <si>
    <t xml:space="preserve">Debt Schedule</t>
  </si>
  <si>
    <t xml:space="preserve">Asset Finance</t>
  </si>
  <si>
    <t xml:space="preserve">Opening Balance</t>
  </si>
  <si>
    <t xml:space="preserve">Drawdowns</t>
  </si>
  <si>
    <t xml:space="preserve">Repayments</t>
  </si>
  <si>
    <t xml:space="preserve">Closing Balance</t>
  </si>
  <si>
    <t xml:space="preserve">Interest &amp; Service</t>
  </si>
  <si>
    <t xml:space="preserve">Interest Expense</t>
  </si>
  <si>
    <t xml:space="preserve">Total Debt Service</t>
  </si>
  <si>
    <t xml:space="preserve">Income Statement</t>
  </si>
  <si>
    <t xml:space="preserve">Profit &amp; Loss</t>
  </si>
  <si>
    <t xml:space="preserve">Technology</t>
  </si>
  <si>
    <t xml:space="preserve">TOTAL OPEX</t>
  </si>
  <si>
    <t xml:space="preserve">Profitability</t>
  </si>
  <si>
    <t xml:space="preserve">EBITDA</t>
  </si>
  <si>
    <t xml:space="preserve">EBITDA Margin</t>
  </si>
  <si>
    <t xml:space="preserve">EBIT</t>
  </si>
  <si>
    <t xml:space="preserve">Interest</t>
  </si>
  <si>
    <t xml:space="preserve">Tax</t>
  </si>
  <si>
    <t xml:space="preserve">EBT</t>
  </si>
  <si>
    <t xml:space="preserve">Corporation Tax</t>
  </si>
  <si>
    <t xml:space="preserve">Net Income</t>
  </si>
  <si>
    <t xml:space="preserve">NET INCOME</t>
  </si>
  <si>
    <t xml:space="preserve">Net Margin</t>
  </si>
  <si>
    <t xml:space="preserve">Balance Sheet</t>
  </si>
  <si>
    <t xml:space="preserve">Assets &amp; Liabilities</t>
  </si>
  <si>
    <t xml:space="preserve">Assets</t>
  </si>
  <si>
    <t xml:space="preserve">Current Assets</t>
  </si>
  <si>
    <t xml:space="preserve">Cash</t>
  </si>
  <si>
    <t xml:space="preserve">Accounts Receivable</t>
  </si>
  <si>
    <t xml:space="preserve">Total Current Assets</t>
  </si>
  <si>
    <t xml:space="preserve">Non-Current Assets</t>
  </si>
  <si>
    <t xml:space="preserve">Net PP&amp;E</t>
  </si>
  <si>
    <t xml:space="preserve">Total Non-Current Assets</t>
  </si>
  <si>
    <t xml:space="preserve">TOTAL ASSETS</t>
  </si>
  <si>
    <t xml:space="preserve">Liabilities &amp; Equity</t>
  </si>
  <si>
    <t xml:space="preserve">Current Liabilities</t>
  </si>
  <si>
    <t xml:space="preserve">Accounts Payable</t>
  </si>
  <si>
    <t xml:space="preserve">Current Portion LT Debt</t>
  </si>
  <si>
    <t xml:space="preserve">Total Current Liabilities</t>
  </si>
  <si>
    <t xml:space="preserve">Non-Current Liabilities</t>
  </si>
  <si>
    <t xml:space="preserve">Long-Term Debt</t>
  </si>
  <si>
    <t xml:space="preserve">Total Non-Current Liab.</t>
  </si>
  <si>
    <t xml:space="preserve">TOTAL LIABILITIES</t>
  </si>
  <si>
    <t xml:space="preserve">Equity</t>
  </si>
  <si>
    <t xml:space="preserve">Retained Earnings</t>
  </si>
  <si>
    <t xml:space="preserve">Total Equity</t>
  </si>
  <si>
    <t xml:space="preserve">TOTAL L&amp;E</t>
  </si>
  <si>
    <t xml:space="preserve">Balance Check</t>
  </si>
  <si>
    <t xml:space="preserve">Cash Flow Statement</t>
  </si>
  <si>
    <t xml:space="preserve">Indirect Method</t>
  </si>
  <si>
    <t xml:space="preserve">Operating Activities</t>
  </si>
  <si>
    <t xml:space="preserve">Change in Receivables</t>
  </si>
  <si>
    <t xml:space="preserve">Change in Payables</t>
  </si>
  <si>
    <t xml:space="preserve">CASH FROM OPERATIONS</t>
  </si>
  <si>
    <t xml:space="preserve">Investing Activities</t>
  </si>
  <si>
    <t xml:space="preserve">CASH FROM INVESTING</t>
  </si>
  <si>
    <t xml:space="preserve">Financing Activities</t>
  </si>
  <si>
    <t xml:space="preserve">Debt Drawdowns</t>
  </si>
  <si>
    <t xml:space="preserve">Debt Repayments</t>
  </si>
  <si>
    <t xml:space="preserve">CASH FROM FINANCING</t>
  </si>
  <si>
    <t xml:space="preserve">Net Change in Cash</t>
  </si>
  <si>
    <t xml:space="preserve">Cash Balance</t>
  </si>
  <si>
    <t xml:space="preserve">Closing Cash</t>
  </si>
  <si>
    <t xml:space="preserve">Returns &amp; Valuation</t>
  </si>
  <si>
    <t xml:space="preserve">DCF &amp; IRR</t>
  </si>
  <si>
    <t xml:space="preserve">Unlevered Free Cash Flow</t>
  </si>
  <si>
    <t xml:space="preserve">Tax on EBIT</t>
  </si>
  <si>
    <t xml:space="preserve">NOPAT</t>
  </si>
  <si>
    <t xml:space="preserve">Working Capital Change</t>
  </si>
  <si>
    <t xml:space="preserve">UFCF</t>
  </si>
  <si>
    <t xml:space="preserve">DCF Valuation</t>
  </si>
  <si>
    <t xml:space="preserve">Discount Factor</t>
  </si>
  <si>
    <t xml:space="preserve">PV of UFCF</t>
  </si>
  <si>
    <t xml:space="preserve">Sum of PV (FCF)</t>
  </si>
  <si>
    <t xml:space="preserve">Terminal Value</t>
  </si>
  <si>
    <t xml:space="preserve">PV of Terminal Value</t>
  </si>
  <si>
    <t xml:space="preserve">Enterprise Value</t>
  </si>
  <si>
    <t xml:space="preserve">Less: Net Debt</t>
  </si>
  <si>
    <t xml:space="preserve">Equity Value</t>
  </si>
  <si>
    <t xml:space="preserve">IRR Analysis</t>
  </si>
  <si>
    <t xml:space="preserve">IRR Cash Flow Stream</t>
  </si>
  <si>
    <t xml:space="preserve">Project UFCF</t>
  </si>
  <si>
    <t xml:space="preserve">Project IRR</t>
  </si>
  <si>
    <t xml:space="preserve">Covenants &amp; Ratios</t>
  </si>
  <si>
    <t xml:space="preserve">Key Metrics</t>
  </si>
  <si>
    <t xml:space="preserve">Debt Service Coverage</t>
  </si>
  <si>
    <t xml:space="preserve">Principal Repayments</t>
  </si>
  <si>
    <t xml:space="preserve">DSCR</t>
  </si>
  <si>
    <t xml:space="preserve">Leverage</t>
  </si>
  <si>
    <t xml:space="preserve">Total Debt</t>
  </si>
  <si>
    <t xml:space="preserve">Debt / EBITDA</t>
  </si>
  <si>
    <t xml:space="preserve">Fleet LTV</t>
  </si>
  <si>
    <t xml:space="preserve">Margins</t>
  </si>
  <si>
    <t xml:space="preserve">Gross Margin</t>
  </si>
  <si>
    <t xml:space="preserve">Model Checks</t>
  </si>
  <si>
    <t xml:space="preserve">Integrity Validation</t>
  </si>
  <si>
    <t xml:space="preserve">Validation Checks</t>
  </si>
  <si>
    <t xml:space="preserve">BS Balances</t>
  </si>
  <si>
    <t xml:space="preserve">Cash Positive</t>
  </si>
  <si>
    <t xml:space="preserve">DSCR &gt; 0.5x</t>
  </si>
  <si>
    <t xml:space="preserve">Active &lt;= Fleet</t>
  </si>
  <si>
    <t xml:space="preserve">Gross Margin 20-40%</t>
  </si>
  <si>
    <t xml:space="preserve">Master</t>
  </si>
  <si>
    <t xml:space="preserve">MASTER CHECK</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</si>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</sst>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9">
    <numFmt numFmtId="164" formatCode="General"/>
    <numFmt numFmtId="165" formatCode="#,##0.00"/>
    <numFmt numFmtId="166" formatCode="0.00%"/>
    <numFmt numFmtId="167" formatCode="0"/>
    <numFmt numFmtId="168" formatCode="#,##0.0"/>
    <numFmt numFmtId="169" formatCode="\£#,##0.00"/>
    <numFmt numFmtId="170" formatCode="0.000"/>
    <numFmt numFmtId="171" formatCode="0.00\x"/>
    <numFmt numFmtId="172" formatCode="@"/>
  </numFmts>
  <fonts count="28">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sz val="11"/>
      <color rgb="FF00000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4">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7030A0"/>
        <bgColor rgb="FF993366"/>
      </patternFill>
    </fill>
    <fill>
      <patternFill patternType="solid">
        <fgColor rgb="FFD6E4F0"/>
        <bgColor rgb="FFC6D9F1"/>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9" fillId="9" borderId="0" xfId="0" applyFont="true" applyBorder="false" applyAlignment="false" applyProtection="false">
      <alignment horizontal="general" vertical="bottom" textRotation="0" wrapText="false" indent="0" shrinkToFit="false"/>
      <protection locked="true" hidden="false"/>
    </xf>
    <xf numFmtId="164" fontId="12" fillId="10" borderId="0" xfId="0" applyFont="true" applyBorder="false" applyAlignment="true" applyProtection="false">
      <alignment horizontal="left" vertical="center" textRotation="0" wrapText="false" indent="0" shrinkToFit="false"/>
      <protection locked="true" hidden="false"/>
    </xf>
    <xf numFmtId="164" fontId="13" fillId="1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18" fillId="11"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1" borderId="0" xfId="0" applyFont="true" applyBorder="false" applyAlignment="true" applyProtection="false">
      <alignment horizontal="right"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7" fontId="17" fillId="2"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7" fontId="19" fillId="0" borderId="0" xfId="0" applyFont="true" applyBorder="false" applyAlignment="true" applyProtection="false">
      <alignment horizontal="right" vertical="bottom" textRotation="0" wrapText="false" indent="0"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8" fontId="20" fillId="0" borderId="0" xfId="0" applyFont="true" applyBorder="false" applyAlignment="true" applyProtection="false">
      <alignment horizontal="right" vertical="bottom" textRotation="0" wrapText="false" indent="0" shrinkToFit="false"/>
      <protection locked="true" hidden="false"/>
    </xf>
    <xf numFmtId="169" fontId="20" fillId="0" borderId="0" xfId="0" applyFont="true" applyBorder="false" applyAlignment="true" applyProtection="false">
      <alignment horizontal="right" vertical="bottom" textRotation="0" wrapText="false" indent="0" shrinkToFit="false"/>
      <protection locked="true" hidden="false"/>
    </xf>
    <xf numFmtId="169" fontId="10" fillId="0" borderId="1" xfId="0" applyFont="true" applyBorder="true" applyAlignment="true" applyProtection="false">
      <alignment horizontal="right" vertical="bottom" textRotation="0" wrapText="false" indent="0" shrinkToFit="false"/>
      <protection locked="true" hidden="false"/>
    </xf>
    <xf numFmtId="169" fontId="10" fillId="0" borderId="2" xfId="0" applyFont="true" applyBorder="true" applyAlignment="true" applyProtection="false">
      <alignment horizontal="right" vertical="bottom" textRotation="0" wrapText="false" indent="0" shrinkToFit="false"/>
      <protection locked="true" hidden="false"/>
    </xf>
    <xf numFmtId="166" fontId="20" fillId="0" borderId="0" xfId="0" applyFont="true" applyBorder="false" applyAlignment="true" applyProtection="false">
      <alignment horizontal="right" vertical="bottom" textRotation="0" wrapText="false" indent="0" shrinkToFit="false"/>
      <protection locked="true" hidden="false"/>
    </xf>
    <xf numFmtId="169" fontId="21" fillId="0" borderId="0" xfId="0" applyFont="true" applyBorder="false" applyAlignment="true" applyProtection="false">
      <alignment horizontal="right" vertical="bottom" textRotation="0" wrapText="false" indent="0" shrinkToFit="false"/>
      <protection locked="true" hidden="false"/>
    </xf>
    <xf numFmtId="170" fontId="20" fillId="0" borderId="0" xfId="0" applyFont="true" applyBorder="false" applyAlignment="true" applyProtection="false">
      <alignment horizontal="right" vertical="bottom" textRotation="0" wrapText="false" indent="0" shrinkToFit="false"/>
      <protection locked="true" hidden="false"/>
    </xf>
    <xf numFmtId="169" fontId="10" fillId="0" borderId="0" xfId="0" applyFont="true" applyBorder="false" applyAlignment="true" applyProtection="false">
      <alignment horizontal="right" vertical="bottom" textRotation="0" wrapText="false" indent="0" shrinkToFit="false"/>
      <protection locked="true" hidden="false"/>
    </xf>
    <xf numFmtId="166" fontId="10" fillId="0" borderId="0" xfId="0" applyFont="true" applyBorder="false" applyAlignment="true" applyProtection="false">
      <alignment horizontal="right" vertical="bottom" textRotation="0" wrapText="false" indent="0" shrinkToFit="false"/>
      <protection locked="true" hidden="false"/>
    </xf>
    <xf numFmtId="171" fontId="20" fillId="0" borderId="0" xfId="0" applyFont="true" applyBorder="false" applyAlignment="true" applyProtection="false">
      <alignment horizontal="right" vertical="bottom" textRotation="0" wrapText="false" indent="0" shrinkToFit="false"/>
      <protection locked="true" hidden="false"/>
    </xf>
    <xf numFmtId="172" fontId="20" fillId="0"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3" fillId="12"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6" fillId="13"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7030A0"/>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4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8" t="s">
        <v>4</v>
      </c>
      <c r="D5" s="6"/>
    </row>
    <row r="6" customFormat="false" ht="15" hidden="false" customHeight="false" outlineLevel="0" collapsed="false">
      <c r="A6" s="6"/>
      <c r="B6" s="7" t="s">
        <v>5</v>
      </c>
      <c r="C6" s="8" t="s">
        <v>6</v>
      </c>
      <c r="D6" s="6"/>
    </row>
    <row r="7" customFormat="false" ht="15" hidden="false" customHeight="false" outlineLevel="0" collapsed="false">
      <c r="A7" s="6"/>
      <c r="B7" s="7" t="s">
        <v>7</v>
      </c>
      <c r="C7" s="8" t="s">
        <v>8</v>
      </c>
      <c r="D7" s="6"/>
    </row>
    <row r="8" customFormat="false" ht="15" hidden="false" customHeight="false" outlineLevel="0" collapsed="false">
      <c r="A8" s="6"/>
      <c r="B8" s="7" t="s">
        <v>9</v>
      </c>
      <c r="C8" s="8" t="s">
        <v>10</v>
      </c>
      <c r="D8" s="6"/>
    </row>
    <row r="9" customFormat="false" ht="15" hidden="false" customHeight="false" outlineLevel="0" collapsed="false">
      <c r="A9" s="6"/>
      <c r="B9" s="6"/>
      <c r="C9" s="6"/>
      <c r="D9" s="6"/>
    </row>
    <row r="10" customFormat="false" ht="15" hidden="false" customHeight="false" outlineLevel="0" collapsed="false">
      <c r="A10" s="6"/>
      <c r="B10" s="9" t="s">
        <v>11</v>
      </c>
      <c r="C10" s="10"/>
      <c r="D10" s="10"/>
    </row>
    <row r="11" customFormat="false" ht="15" hidden="false" customHeight="false" outlineLevel="0" collapsed="false">
      <c r="A11" s="6"/>
      <c r="B11" s="7" t="s">
        <v>12</v>
      </c>
      <c r="C11" s="8" t="s">
        <v>13</v>
      </c>
      <c r="D11" s="6"/>
    </row>
    <row r="12" customFormat="false" ht="15" hidden="false" customHeight="false" outlineLevel="0" collapsed="false">
      <c r="A12" s="6"/>
      <c r="B12" s="7" t="s">
        <v>14</v>
      </c>
      <c r="C12" s="8" t="s">
        <v>15</v>
      </c>
      <c r="D12" s="6"/>
    </row>
    <row r="13" customFormat="false" ht="15" hidden="false" customHeight="false" outlineLevel="0" collapsed="false">
      <c r="A13" s="6"/>
      <c r="B13" s="7" t="s">
        <v>16</v>
      </c>
      <c r="C13" s="8" t="s">
        <v>17</v>
      </c>
      <c r="D13" s="6"/>
    </row>
    <row r="14" customFormat="false" ht="15" hidden="false" customHeight="false" outlineLevel="0" collapsed="false">
      <c r="A14" s="6"/>
      <c r="B14" s="7" t="s">
        <v>18</v>
      </c>
      <c r="C14" s="8" t="s">
        <v>19</v>
      </c>
      <c r="D14" s="6"/>
    </row>
    <row r="15" customFormat="false" ht="15" hidden="false" customHeight="false" outlineLevel="0" collapsed="false">
      <c r="A15" s="6"/>
      <c r="B15" s="7" t="s">
        <v>20</v>
      </c>
      <c r="C15" s="8" t="s">
        <v>21</v>
      </c>
      <c r="D15" s="6"/>
    </row>
    <row r="16" customFormat="false" ht="15" hidden="false" customHeight="false" outlineLevel="0" collapsed="false">
      <c r="A16" s="6"/>
      <c r="B16" s="7" t="s">
        <v>22</v>
      </c>
      <c r="C16" s="8" t="s">
        <v>23</v>
      </c>
      <c r="D16" s="6"/>
    </row>
    <row r="17" customFormat="false" ht="15" hidden="false" customHeight="false" outlineLevel="0" collapsed="false">
      <c r="A17" s="6"/>
      <c r="B17" s="7" t="s">
        <v>24</v>
      </c>
      <c r="C17" s="8" t="s">
        <v>25</v>
      </c>
      <c r="D17" s="6"/>
    </row>
    <row r="18" customFormat="false" ht="15" hidden="false" customHeight="false" outlineLevel="0" collapsed="false">
      <c r="A18" s="6"/>
      <c r="B18" s="7" t="s">
        <v>26</v>
      </c>
      <c r="C18" s="8" t="s">
        <v>27</v>
      </c>
      <c r="D18" s="6"/>
    </row>
    <row r="19" customFormat="false" ht="15" hidden="false" customHeight="false" outlineLevel="0" collapsed="false">
      <c r="A19" s="6"/>
      <c r="B19" s="7" t="s">
        <v>28</v>
      </c>
      <c r="C19" s="8" t="s">
        <v>29</v>
      </c>
      <c r="D19" s="6"/>
    </row>
    <row r="20" customFormat="false" ht="15" hidden="false" customHeight="false" outlineLevel="0" collapsed="false">
      <c r="A20" s="6"/>
      <c r="B20" s="7" t="s">
        <v>30</v>
      </c>
      <c r="C20" s="8" t="s">
        <v>31</v>
      </c>
      <c r="D20" s="6"/>
    </row>
    <row r="21" customFormat="false" ht="15" hidden="false" customHeight="false" outlineLevel="0" collapsed="false">
      <c r="A21" s="6"/>
      <c r="B21" s="7" t="s">
        <v>32</v>
      </c>
      <c r="C21" s="8" t="s">
        <v>33</v>
      </c>
      <c r="D21" s="6"/>
    </row>
    <row r="22" customFormat="false" ht="15" hidden="false" customHeight="false" outlineLevel="0" collapsed="false">
      <c r="A22" s="6"/>
      <c r="B22" s="7" t="s">
        <v>34</v>
      </c>
      <c r="C22" s="8" t="s">
        <v>35</v>
      </c>
      <c r="D22" s="6"/>
    </row>
    <row r="23" customFormat="false" ht="15" hidden="false" customHeight="false" outlineLevel="0" collapsed="false">
      <c r="A23" s="6"/>
      <c r="B23" s="7" t="s">
        <v>36</v>
      </c>
      <c r="C23" s="8" t="s">
        <v>37</v>
      </c>
      <c r="D23" s="6"/>
    </row>
    <row r="24" customFormat="false" ht="15" hidden="false" customHeight="false" outlineLevel="0" collapsed="false">
      <c r="A24" s="6"/>
      <c r="B24" s="6"/>
      <c r="C24" s="6"/>
      <c r="D24" s="6"/>
    </row>
    <row r="25" customFormat="false" ht="15" hidden="false" customHeight="false" outlineLevel="0" collapsed="false">
      <c r="A25" s="6"/>
      <c r="B25" s="9" t="s">
        <v>38</v>
      </c>
      <c r="C25" s="10"/>
      <c r="D25" s="10"/>
    </row>
    <row r="26" customFormat="false" ht="15" hidden="false" customHeight="false" outlineLevel="0" collapsed="false">
      <c r="A26" s="6"/>
      <c r="B26" s="7" t="s">
        <v>39</v>
      </c>
      <c r="C26" s="8" t="s">
        <v>40</v>
      </c>
      <c r="D26" s="11"/>
    </row>
    <row r="27" customFormat="false" ht="15" hidden="false" customHeight="false" outlineLevel="0" collapsed="false">
      <c r="A27" s="6"/>
      <c r="B27" s="7" t="s">
        <v>41</v>
      </c>
      <c r="C27" s="8" t="s">
        <v>12</v>
      </c>
      <c r="D27" s="12"/>
    </row>
    <row r="28" customFormat="false" ht="15" hidden="false" customHeight="false" outlineLevel="0" collapsed="false">
      <c r="A28" s="6"/>
      <c r="B28" s="7" t="s">
        <v>42</v>
      </c>
      <c r="C28" s="8" t="s">
        <v>43</v>
      </c>
      <c r="D28" s="13"/>
    </row>
    <row r="29" customFormat="false" ht="15" hidden="false" customHeight="false" outlineLevel="0" collapsed="false">
      <c r="A29" s="6"/>
      <c r="B29" s="7" t="s">
        <v>44</v>
      </c>
      <c r="C29" s="8" t="s">
        <v>45</v>
      </c>
      <c r="D29" s="14"/>
    </row>
    <row r="30" customFormat="false" ht="15" hidden="false" customHeight="false" outlineLevel="0" collapsed="false">
      <c r="A30" s="6"/>
      <c r="B30" s="7" t="s">
        <v>46</v>
      </c>
      <c r="C30" s="8" t="s">
        <v>47</v>
      </c>
      <c r="D30" s="15"/>
    </row>
    <row r="31" customFormat="false" ht="15" hidden="false" customHeight="false" outlineLevel="0" collapsed="false">
      <c r="A31" s="6"/>
      <c r="B31" s="7" t="s">
        <v>48</v>
      </c>
      <c r="C31" s="8" t="s">
        <v>49</v>
      </c>
      <c r="D31" s="16"/>
    </row>
    <row r="32" customFormat="false" ht="15" hidden="false" customHeight="false" outlineLevel="0" collapsed="false">
      <c r="A32" s="6"/>
      <c r="B32" s="7" t="s">
        <v>50</v>
      </c>
      <c r="C32" s="8" t="s">
        <v>51</v>
      </c>
      <c r="D32" s="17"/>
    </row>
    <row r="35" customFormat="false" ht="19.5" hidden="false" customHeight="true" outlineLevel="0" collapsed="false">
      <c r="B35" s="18" t="s">
        <v>52</v>
      </c>
      <c r="C35" s="19"/>
      <c r="D35" s="19"/>
      <c r="E35" s="19"/>
      <c r="F35" s="19"/>
      <c r="G35" s="19"/>
    </row>
    <row r="36" customFormat="false" ht="195.75" hidden="false" customHeight="true" outlineLevel="0" collapsed="false">
      <c r="B36" s="20" t="s">
        <v>53</v>
      </c>
      <c r="C36" s="20"/>
      <c r="D36" s="20"/>
      <c r="E36" s="20"/>
      <c r="F36" s="20"/>
      <c r="G36" s="20"/>
    </row>
    <row r="38" customFormat="false" ht="19.5" hidden="false" customHeight="true" outlineLevel="0" collapsed="false">
      <c r="B38" s="18" t="s">
        <v>54</v>
      </c>
      <c r="C38" s="19"/>
      <c r="D38" s="19"/>
      <c r="E38" s="19"/>
      <c r="F38" s="19"/>
      <c r="G38" s="19"/>
    </row>
    <row r="39" customFormat="false" ht="57" hidden="false" customHeight="true" outlineLevel="0" collapsed="false">
      <c r="B39" s="20" t="s">
        <v>55</v>
      </c>
      <c r="C39" s="20"/>
      <c r="D39" s="20"/>
      <c r="E39" s="20"/>
      <c r="F39" s="20"/>
      <c r="G39" s="20"/>
    </row>
    <row r="40" customFormat="false" ht="15" hidden="false" customHeight="false" outlineLevel="0" collapsed="false">
      <c r="B40" s="21" t="s">
        <v>56</v>
      </c>
      <c r="C40" s="21"/>
      <c r="D40" s="21"/>
      <c r="E40" s="21"/>
      <c r="F40" s="21"/>
      <c r="G40" s="21"/>
    </row>
    <row r="41" customFormat="false" ht="15" hidden="false" customHeight="false" outlineLevel="0" collapsed="false">
      <c r="B41" s="22" t="s">
        <v>57</v>
      </c>
    </row>
  </sheetData>
  <mergeCells count="3">
    <mergeCell ref="B36:G36"/>
    <mergeCell ref="B39:G39"/>
    <mergeCell ref="B40:G40"/>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280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281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282</v>
      </c>
      <c r="C8" s="10"/>
      <c r="D8" s="10"/>
      <c r="E8" s="10"/>
      <c r="F8" s="10"/>
      <c r="G8" s="10"/>
    </row>
    <row r="9" customFormat="false" ht="15" hidden="false" customHeight="false" outlineLevel="0" collapsed="false">
      <c r="A9" s="6"/>
      <c r="B9" s="9" t="s">
        <v>283</v>
      </c>
      <c r="C9" s="10"/>
      <c r="D9" s="10"/>
      <c r="E9" s="10"/>
      <c r="F9" s="10"/>
      <c r="G9" s="10"/>
    </row>
    <row r="10" customFormat="false" ht="15" hidden="false" customHeight="false" outlineLevel="0" collapsed="false">
      <c r="A10" s="6"/>
      <c r="B10" s="33" t="s">
        <v>284</v>
      </c>
      <c r="C10" s="37" t="n">
        <f aca="false">CF_Close_Cash</f>
        <v>132303.732761096</v>
      </c>
      <c r="D10" s="37" t="n">
        <f aca="false">CF_Close_Cash</f>
        <v>258413.424653215</v>
      </c>
      <c r="E10" s="37" t="n">
        <f aca="false">CF_Close_Cash</f>
        <v>1072196.58993518</v>
      </c>
      <c r="F10" s="37" t="n">
        <f aca="false">CF_Close_Cash</f>
        <v>2608662.63066206</v>
      </c>
      <c r="G10" s="37" t="n">
        <f aca="false">CF_Close_Cash</f>
        <v>4853048.87178164</v>
      </c>
    </row>
    <row r="11" customFormat="false" ht="15" hidden="false" customHeight="false" outlineLevel="0" collapsed="false">
      <c r="A11" s="6"/>
      <c r="B11" s="33" t="s">
        <v>285</v>
      </c>
      <c r="C11" s="37" t="n">
        <f aca="false">IS_Total_Revenue*(Platform_DSO*(1-Corp_Account_Mix)+Corp_DSO*Corp_Account_Mix)/365</f>
        <v>100510.286444384</v>
      </c>
      <c r="D11" s="37" t="n">
        <f aca="false">IS_Total_Revenue*(Platform_DSO*(1-Corp_Account_Mix)+Corp_DSO*Corp_Account_Mix)/365</f>
        <v>113703.017836784</v>
      </c>
      <c r="E11" s="37" t="n">
        <f aca="false">IS_Total_Revenue*(Platform_DSO*(1-Corp_Account_Mix)+Corp_DSO*Corp_Account_Mix)/365</f>
        <v>128739.050351725</v>
      </c>
      <c r="F11" s="37" t="n">
        <f aca="false">IS_Total_Revenue*(Platform_DSO*(1-Corp_Account_Mix)+Corp_DSO*Corp_Account_Mix)/365</f>
        <v>145559.652236334</v>
      </c>
      <c r="G11" s="37" t="n">
        <f aca="false">IS_Total_Revenue*(Platform_DSO*(1-Corp_Account_Mix)+Corp_DSO*Corp_Account_Mix)/365</f>
        <v>155568.498542153</v>
      </c>
    </row>
    <row r="12" customFormat="false" ht="15" hidden="false" customHeight="false" outlineLevel="0" collapsed="false">
      <c r="A12" s="6"/>
      <c r="B12" s="34" t="s">
        <v>286</v>
      </c>
      <c r="C12" s="38" t="n">
        <f aca="false">C10+C11</f>
        <v>232814.01920548</v>
      </c>
      <c r="D12" s="38" t="n">
        <f aca="false">D10+D11</f>
        <v>372116.442489999</v>
      </c>
      <c r="E12" s="38" t="n">
        <f aca="false">E10+E11</f>
        <v>1200935.64028691</v>
      </c>
      <c r="F12" s="38" t="n">
        <f aca="false">F10+F11</f>
        <v>2754222.28289839</v>
      </c>
      <c r="G12" s="38" t="n">
        <f aca="false">G10+G11</f>
        <v>5008617.37032379</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287</v>
      </c>
      <c r="C14" s="10"/>
      <c r="D14" s="10"/>
      <c r="E14" s="10"/>
      <c r="F14" s="10"/>
      <c r="G14" s="10"/>
    </row>
    <row r="15" customFormat="false" ht="15" hidden="false" customHeight="false" outlineLevel="0" collapsed="false">
      <c r="A15" s="6"/>
      <c r="B15" s="33" t="s">
        <v>288</v>
      </c>
      <c r="C15" s="37" t="n">
        <f aca="false">CD_Net_PPE</f>
        <v>3939615</v>
      </c>
      <c r="D15" s="37" t="n">
        <f aca="false">CD_Net_PPE</f>
        <v>3662883.8125</v>
      </c>
      <c r="E15" s="37" t="n">
        <f aca="false">CD_Net_PPE</f>
        <v>3361615.278125</v>
      </c>
      <c r="F15" s="37" t="n">
        <f aca="false">CD_Net_PPE</f>
        <v>3029372.67714844</v>
      </c>
      <c r="G15" s="37" t="n">
        <f aca="false">CD_Net_PPE</f>
        <v>2594804.06289941</v>
      </c>
    </row>
    <row r="16" customFormat="false" ht="15" hidden="false" customHeight="false" outlineLevel="0" collapsed="false">
      <c r="A16" s="6"/>
      <c r="B16" s="34" t="s">
        <v>289</v>
      </c>
      <c r="C16" s="38" t="n">
        <f aca="false">C15</f>
        <v>3939615</v>
      </c>
      <c r="D16" s="38" t="n">
        <f aca="false">D15</f>
        <v>3662883.8125</v>
      </c>
      <c r="E16" s="38" t="n">
        <f aca="false">E15</f>
        <v>3361615.278125</v>
      </c>
      <c r="F16" s="38" t="n">
        <f aca="false">F15</f>
        <v>3029372.67714844</v>
      </c>
      <c r="G16" s="38" t="n">
        <f aca="false">G15</f>
        <v>2594804.06289941</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34" t="s">
        <v>290</v>
      </c>
      <c r="C18" s="39" t="n">
        <f aca="false">C12+C16</f>
        <v>4172429.01920548</v>
      </c>
      <c r="D18" s="39" t="n">
        <f aca="false">D12+D16</f>
        <v>4035000.25499</v>
      </c>
      <c r="E18" s="39" t="n">
        <f aca="false">E12+E16</f>
        <v>4562550.91841191</v>
      </c>
      <c r="F18" s="39" t="n">
        <f aca="false">F12+F16</f>
        <v>5783594.96004683</v>
      </c>
      <c r="G18" s="39" t="n">
        <f aca="false">G12+G16</f>
        <v>7603421.43322321</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9" t="s">
        <v>291</v>
      </c>
      <c r="C20" s="10"/>
      <c r="D20" s="10"/>
      <c r="E20" s="10"/>
      <c r="F20" s="10"/>
      <c r="G20" s="10"/>
    </row>
    <row r="21" customFormat="false" ht="15" hidden="false" customHeight="false" outlineLevel="0" collapsed="false">
      <c r="A21" s="6"/>
      <c r="B21" s="9" t="s">
        <v>292</v>
      </c>
      <c r="C21" s="10"/>
      <c r="D21" s="10"/>
      <c r="E21" s="10"/>
      <c r="F21" s="10"/>
      <c r="G21" s="10"/>
    </row>
    <row r="22" customFormat="false" ht="15" hidden="false" customHeight="false" outlineLevel="0" collapsed="false">
      <c r="A22" s="6"/>
      <c r="B22" s="33" t="s">
        <v>293</v>
      </c>
      <c r="C22" s="37" t="n">
        <f aca="false">IS_Total_Opex*DPO_Days/365</f>
        <v>317772.905205479</v>
      </c>
      <c r="D22" s="37" t="n">
        <f aca="false">IS_Total_Opex*DPO_Days/365</f>
        <v>304899.028</v>
      </c>
      <c r="E22" s="37" t="n">
        <f aca="false">IS_Total_Opex*DPO_Days/365</f>
        <v>286967.027826884</v>
      </c>
      <c r="F22" s="37" t="n">
        <f aca="false">IS_Total_Opex*DPO_Days/365</f>
        <v>266727.921103887</v>
      </c>
      <c r="G22" s="37" t="n">
        <f aca="false">IS_Total_Opex*DPO_Days/365</f>
        <v>230880.174567149</v>
      </c>
    </row>
    <row r="23" customFormat="false" ht="15" hidden="false" customHeight="false" outlineLevel="0" collapsed="false">
      <c r="A23" s="6"/>
      <c r="B23" s="33" t="s">
        <v>294</v>
      </c>
      <c r="C23" s="37" t="n">
        <f aca="false">DS_Repayment</f>
        <v>840000</v>
      </c>
      <c r="D23" s="37" t="n">
        <f aca="false">DS_Repayment</f>
        <v>716100</v>
      </c>
      <c r="E23" s="37" t="n">
        <f aca="false">DS_Repayment</f>
        <v>634152.75</v>
      </c>
      <c r="F23" s="37" t="n">
        <f aca="false">DS_Repayment</f>
        <v>584165.1375</v>
      </c>
      <c r="G23" s="37" t="n">
        <f aca="false">DS_Repayment</f>
        <v>558660.22078125</v>
      </c>
    </row>
    <row r="24" customFormat="false" ht="15" hidden="false" customHeight="false" outlineLevel="0" collapsed="false">
      <c r="A24" s="6"/>
      <c r="B24" s="34" t="s">
        <v>295</v>
      </c>
      <c r="C24" s="38" t="n">
        <f aca="false">C22+C23</f>
        <v>1157772.90520548</v>
      </c>
      <c r="D24" s="38" t="n">
        <f aca="false">D22+D23</f>
        <v>1020999.028</v>
      </c>
      <c r="E24" s="38" t="n">
        <f aca="false">E22+E23</f>
        <v>921119.777826884</v>
      </c>
      <c r="F24" s="38" t="n">
        <f aca="false">F22+F23</f>
        <v>850893.058603887</v>
      </c>
      <c r="G24" s="38" t="n">
        <f aca="false">G22+G23</f>
        <v>789540.395348399</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9" t="s">
        <v>296</v>
      </c>
      <c r="C26" s="10"/>
      <c r="D26" s="10"/>
      <c r="E26" s="10"/>
      <c r="F26" s="10"/>
      <c r="G26" s="10"/>
    </row>
    <row r="27" customFormat="false" ht="15" hidden="false" customHeight="false" outlineLevel="0" collapsed="false">
      <c r="A27" s="6"/>
      <c r="B27" s="33" t="s">
        <v>297</v>
      </c>
      <c r="C27" s="37" t="n">
        <f aca="false">MAX(0,DS_Closing-C23)</f>
        <v>2024400</v>
      </c>
      <c r="D27" s="37" t="n">
        <f aca="false">MAX(0,DS_Closing-D23)</f>
        <v>1820511</v>
      </c>
      <c r="E27" s="37" t="n">
        <f aca="false">MAX(0,DS_Closing-E23)</f>
        <v>1702507.8</v>
      </c>
      <c r="F27" s="37" t="n">
        <f aca="false">MAX(0,DS_Closing-F23)</f>
        <v>1650475.745625</v>
      </c>
      <c r="G27" s="37" t="n">
        <f aca="false">MAX(0,DS_Closing-G23)</f>
        <v>1687550.18085937</v>
      </c>
    </row>
    <row r="28" customFormat="false" ht="15" hidden="false" customHeight="false" outlineLevel="0" collapsed="false">
      <c r="A28" s="6"/>
      <c r="B28" s="34" t="s">
        <v>298</v>
      </c>
      <c r="C28" s="38" t="n">
        <f aca="false">C27</f>
        <v>2024400</v>
      </c>
      <c r="D28" s="38" t="n">
        <f aca="false">D27</f>
        <v>1820511</v>
      </c>
      <c r="E28" s="38" t="n">
        <f aca="false">E27</f>
        <v>1702507.8</v>
      </c>
      <c r="F28" s="38" t="n">
        <f aca="false">F27</f>
        <v>1650475.745625</v>
      </c>
      <c r="G28" s="38" t="n">
        <f aca="false">G27</f>
        <v>1687550.18085937</v>
      </c>
    </row>
    <row r="29" customFormat="false" ht="15" hidden="false" customHeight="false" outlineLevel="0" collapsed="false">
      <c r="A29" s="6"/>
      <c r="B29" s="6"/>
      <c r="C29" s="6"/>
      <c r="D29" s="6"/>
      <c r="E29" s="6"/>
      <c r="F29" s="6"/>
      <c r="G29" s="6"/>
    </row>
    <row r="30" customFormat="false" ht="15" hidden="false" customHeight="false" outlineLevel="0" collapsed="false">
      <c r="A30" s="6"/>
      <c r="B30" s="34" t="s">
        <v>299</v>
      </c>
      <c r="C30" s="39" t="n">
        <f aca="false">C24+C28</f>
        <v>3182172.90520548</v>
      </c>
      <c r="D30" s="39" t="n">
        <f aca="false">D24+D28</f>
        <v>2841510.028</v>
      </c>
      <c r="E30" s="39" t="n">
        <f aca="false">E24+E28</f>
        <v>2623627.57782688</v>
      </c>
      <c r="F30" s="39" t="n">
        <f aca="false">F24+F28</f>
        <v>2501368.80422889</v>
      </c>
      <c r="G30" s="39" t="n">
        <f aca="false">G24+G28</f>
        <v>2477090.57620777</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9" t="s">
        <v>300</v>
      </c>
      <c r="C32" s="10"/>
      <c r="D32" s="10"/>
      <c r="E32" s="10"/>
      <c r="F32" s="10"/>
      <c r="G32" s="10"/>
    </row>
    <row r="33" customFormat="false" ht="15" hidden="false" customHeight="false" outlineLevel="0" collapsed="false">
      <c r="A33" s="6"/>
      <c r="B33" s="33" t="s">
        <v>183</v>
      </c>
      <c r="C33" s="37" t="n">
        <f aca="false">Share_Capital+340000</f>
        <v>1340000</v>
      </c>
      <c r="D33" s="37" t="n">
        <f aca="false">Share_Capital+340000</f>
        <v>1340000</v>
      </c>
      <c r="E33" s="37" t="n">
        <f aca="false">Share_Capital+340000</f>
        <v>1340000</v>
      </c>
      <c r="F33" s="37" t="n">
        <f aca="false">Share_Capital+340000</f>
        <v>1340000</v>
      </c>
      <c r="G33" s="37" t="n">
        <f aca="false">Share_Capital+340000</f>
        <v>1340000</v>
      </c>
    </row>
    <row r="34" customFormat="false" ht="15" hidden="false" customHeight="false" outlineLevel="0" collapsed="false">
      <c r="A34" s="6"/>
      <c r="B34" s="33" t="s">
        <v>301</v>
      </c>
      <c r="C34" s="37" t="n">
        <f aca="false">Opening_RE+IS_Net_Income</f>
        <v>-349743.886</v>
      </c>
      <c r="D34" s="37" t="n">
        <f aca="false">C34+IS_Net_Income</f>
        <v>-146509.773010001</v>
      </c>
      <c r="E34" s="37" t="n">
        <f aca="false">D34+IS_Net_Income</f>
        <v>598923.340585025</v>
      </c>
      <c r="F34" s="37" t="n">
        <f aca="false">E34+IS_Net_Income</f>
        <v>1942226.15581794</v>
      </c>
      <c r="G34" s="37" t="n">
        <f aca="false">F34+IS_Net_Income</f>
        <v>3786330.85701543</v>
      </c>
    </row>
    <row r="35" customFormat="false" ht="15" hidden="false" customHeight="false" outlineLevel="0" collapsed="false">
      <c r="A35" s="6"/>
      <c r="B35" s="34" t="s">
        <v>302</v>
      </c>
      <c r="C35" s="38" t="n">
        <f aca="false">C33+C34</f>
        <v>990256.114</v>
      </c>
      <c r="D35" s="38" t="n">
        <f aca="false">D33+D34</f>
        <v>1193490.22699</v>
      </c>
      <c r="E35" s="38" t="n">
        <f aca="false">E33+E34</f>
        <v>1938923.34058502</v>
      </c>
      <c r="F35" s="38" t="n">
        <f aca="false">F33+F34</f>
        <v>3282226.15581794</v>
      </c>
      <c r="G35" s="38" t="n">
        <f aca="false">G33+G34</f>
        <v>5126330.85701543</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34" t="s">
        <v>303</v>
      </c>
      <c r="C37" s="39" t="n">
        <f aca="false">C30+C35</f>
        <v>4172429.01920548</v>
      </c>
      <c r="D37" s="39" t="n">
        <f aca="false">D30+D35</f>
        <v>4035000.25499</v>
      </c>
      <c r="E37" s="39" t="n">
        <f aca="false">E30+E35</f>
        <v>4562550.91841191</v>
      </c>
      <c r="F37" s="39" t="n">
        <f aca="false">F30+F35</f>
        <v>5783594.96004683</v>
      </c>
      <c r="G37" s="39" t="n">
        <f aca="false">G30+G35</f>
        <v>7603421.43322321</v>
      </c>
    </row>
    <row r="38" customFormat="false" ht="15" hidden="false" customHeight="false" outlineLevel="0" collapsed="false">
      <c r="A38" s="6"/>
      <c r="B38" s="6"/>
      <c r="C38" s="6"/>
      <c r="D38" s="6"/>
      <c r="E38" s="6"/>
      <c r="F38" s="6"/>
      <c r="G38" s="6"/>
    </row>
    <row r="39" customFormat="false" ht="15" hidden="false" customHeight="false" outlineLevel="0" collapsed="false">
      <c r="A39" s="6"/>
      <c r="B39" s="24" t="s">
        <v>304</v>
      </c>
      <c r="C39" s="41" t="n">
        <f aca="false">C18-C37</f>
        <v>0</v>
      </c>
      <c r="D39" s="41" t="n">
        <f aca="false">D18-D37</f>
        <v>0</v>
      </c>
      <c r="E39" s="41" t="n">
        <f aca="false">E18-E37</f>
        <v>0</v>
      </c>
      <c r="F39" s="41" t="n">
        <f aca="false">F18-F37</f>
        <v>0</v>
      </c>
      <c r="G39" s="41" t="n">
        <f aca="false">G18-G37</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305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306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307</v>
      </c>
      <c r="C8" s="10"/>
      <c r="D8" s="10"/>
      <c r="E8" s="10"/>
      <c r="F8" s="10"/>
      <c r="G8" s="10"/>
    </row>
    <row r="9" customFormat="false" ht="15" hidden="false" customHeight="false" outlineLevel="0" collapsed="false">
      <c r="A9" s="6"/>
      <c r="B9" s="33" t="s">
        <v>277</v>
      </c>
      <c r="C9" s="37" t="n">
        <f aca="false">IS_Net_Income</f>
        <v>-349743.886</v>
      </c>
      <c r="D9" s="37" t="n">
        <f aca="false">IS_Net_Income</f>
        <v>203234.112989999</v>
      </c>
      <c r="E9" s="37" t="n">
        <f aca="false">IS_Net_Income</f>
        <v>745433.113595026</v>
      </c>
      <c r="F9" s="37" t="n">
        <f aca="false">IS_Net_Income</f>
        <v>1343302.81523292</v>
      </c>
      <c r="G9" s="37" t="n">
        <f aca="false">IS_Net_Income</f>
        <v>1844104.70119749</v>
      </c>
    </row>
    <row r="10" customFormat="false" ht="15" hidden="false" customHeight="false" outlineLevel="0" collapsed="false">
      <c r="A10" s="6"/>
      <c r="B10" s="33" t="s">
        <v>242</v>
      </c>
      <c r="C10" s="37" t="n">
        <f aca="false">CD_Total_Depr</f>
        <v>694985</v>
      </c>
      <c r="D10" s="37" t="n">
        <f aca="false">CD_Total_Depr</f>
        <v>768423.6875</v>
      </c>
      <c r="E10" s="37" t="n">
        <f aca="false">CD_Total_Depr</f>
        <v>850482.753125</v>
      </c>
      <c r="F10" s="37" t="n">
        <f aca="false">CD_Total_Depr</f>
        <v>941547.316601562</v>
      </c>
      <c r="G10" s="37" t="n">
        <f aca="false">CD_Total_Depr</f>
        <v>1049144.23764746</v>
      </c>
    </row>
    <row r="11" customFormat="false" ht="15" hidden="false" customHeight="false" outlineLevel="0" collapsed="false">
      <c r="A11" s="6"/>
      <c r="B11" s="33" t="s">
        <v>308</v>
      </c>
      <c r="C11" s="37" t="n">
        <f aca="false">-Balance_Sheet!C11</f>
        <v>-100510.286444384</v>
      </c>
      <c r="D11" s="37" t="n">
        <f aca="false">-(Balance_Sheet!D11-Balance_Sheet!C11)</f>
        <v>-13192.7313923999</v>
      </c>
      <c r="E11" s="37" t="n">
        <f aca="false">-(Balance_Sheet!E11-Balance_Sheet!D11)</f>
        <v>-15036.0325149413</v>
      </c>
      <c r="F11" s="37" t="n">
        <f aca="false">-(Balance_Sheet!F11-Balance_Sheet!E11)</f>
        <v>-16820.601884609</v>
      </c>
      <c r="G11" s="37" t="n">
        <f aca="false">-(Balance_Sheet!G11-Balance_Sheet!F11)</f>
        <v>-10008.8463058193</v>
      </c>
    </row>
    <row r="12" customFormat="false" ht="15" hidden="false" customHeight="false" outlineLevel="0" collapsed="false">
      <c r="A12" s="6"/>
      <c r="B12" s="33" t="s">
        <v>309</v>
      </c>
      <c r="C12" s="37" t="n">
        <f aca="false">Balance_Sheet!C22</f>
        <v>317772.905205479</v>
      </c>
      <c r="D12" s="37" t="n">
        <f aca="false">Balance_Sheet!D22-Balance_Sheet!C22</f>
        <v>-12873.8772054794</v>
      </c>
      <c r="E12" s="37" t="n">
        <f aca="false">Balance_Sheet!E22-Balance_Sheet!D22</f>
        <v>-17932.0001731165</v>
      </c>
      <c r="F12" s="37" t="n">
        <f aca="false">Balance_Sheet!F22-Balance_Sheet!E22</f>
        <v>-20239.1067229966</v>
      </c>
      <c r="G12" s="37" t="n">
        <f aca="false">Balance_Sheet!G22-Balance_Sheet!F22</f>
        <v>-35847.7465367379</v>
      </c>
    </row>
    <row r="13" customFormat="false" ht="15" hidden="false" customHeight="false" outlineLevel="0" collapsed="false">
      <c r="A13" s="6"/>
      <c r="B13" s="34" t="s">
        <v>310</v>
      </c>
      <c r="C13" s="39" t="n">
        <f aca="false">C9+C10+C11+C12</f>
        <v>562503.732761096</v>
      </c>
      <c r="D13" s="39" t="n">
        <f aca="false">D9+D10+D11+D12</f>
        <v>945591.191892119</v>
      </c>
      <c r="E13" s="39" t="n">
        <f aca="false">E9+E10+E11+E12</f>
        <v>1562947.83403197</v>
      </c>
      <c r="F13" s="39" t="n">
        <f aca="false">F9+F10+F11+F12</f>
        <v>2247790.42322688</v>
      </c>
      <c r="G13" s="39" t="n">
        <f aca="false">G9+G10+G11+G12</f>
        <v>2847392.34600239</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311</v>
      </c>
      <c r="C15" s="10"/>
      <c r="D15" s="10"/>
      <c r="E15" s="10"/>
      <c r="F15" s="10"/>
      <c r="G15" s="10"/>
    </row>
    <row r="16" customFormat="false" ht="15" hidden="false" customHeight="false" outlineLevel="0" collapsed="false">
      <c r="A16" s="6"/>
      <c r="B16" s="33" t="s">
        <v>151</v>
      </c>
      <c r="C16" s="37" t="n">
        <f aca="false">-CD_Total_Capex</f>
        <v>-434600</v>
      </c>
      <c r="D16" s="37" t="n">
        <f aca="false">-CD_Total_Capex</f>
        <v>-491692.5</v>
      </c>
      <c r="E16" s="37" t="n">
        <f aca="false">-CD_Total_Capex</f>
        <v>-549214.21875</v>
      </c>
      <c r="F16" s="37" t="n">
        <f aca="false">-CD_Total_Capex</f>
        <v>-609304.715625</v>
      </c>
      <c r="G16" s="37" t="n">
        <f aca="false">-CD_Total_Capex</f>
        <v>-719575.623398437</v>
      </c>
    </row>
    <row r="17" customFormat="false" ht="15" hidden="false" customHeight="false" outlineLevel="0" collapsed="false">
      <c r="A17" s="6"/>
      <c r="B17" s="33" t="s">
        <v>247</v>
      </c>
      <c r="C17" s="37" t="n">
        <f aca="false">CD_Salvage</f>
        <v>0</v>
      </c>
      <c r="D17" s="37" t="n">
        <f aca="false">CD_Salvage</f>
        <v>0</v>
      </c>
      <c r="E17" s="37" t="n">
        <f aca="false">CD_Salvage</f>
        <v>0</v>
      </c>
      <c r="F17" s="37" t="n">
        <f aca="false">CD_Salvage</f>
        <v>0</v>
      </c>
      <c r="G17" s="37" t="n">
        <f aca="false">CD_Salvage</f>
        <v>105000</v>
      </c>
    </row>
    <row r="18" customFormat="false" ht="15" hidden="false" customHeight="false" outlineLevel="0" collapsed="false">
      <c r="A18" s="6"/>
      <c r="B18" s="34" t="s">
        <v>312</v>
      </c>
      <c r="C18" s="39" t="n">
        <f aca="false">C16+C17</f>
        <v>-434600</v>
      </c>
      <c r="D18" s="39" t="n">
        <f aca="false">D16+D17</f>
        <v>-491692.5</v>
      </c>
      <c r="E18" s="39" t="n">
        <f aca="false">E16+E17</f>
        <v>-549214.21875</v>
      </c>
      <c r="F18" s="39" t="n">
        <f aca="false">F16+F17</f>
        <v>-609304.715625</v>
      </c>
      <c r="G18" s="39" t="n">
        <f aca="false">G16+G17</f>
        <v>-614575.623398437</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9" t="s">
        <v>313</v>
      </c>
      <c r="C20" s="10"/>
      <c r="D20" s="10"/>
      <c r="E20" s="10"/>
      <c r="F20" s="10"/>
      <c r="G20" s="10"/>
    </row>
    <row r="21" customFormat="false" ht="15" hidden="false" customHeight="false" outlineLevel="0" collapsed="false">
      <c r="A21" s="6"/>
      <c r="B21" s="33" t="s">
        <v>314</v>
      </c>
      <c r="C21" s="37" t="n">
        <f aca="false">DS_Drawdown</f>
        <v>344400</v>
      </c>
      <c r="D21" s="37" t="n">
        <f aca="false">DS_Drawdown</f>
        <v>388311</v>
      </c>
      <c r="E21" s="37" t="n">
        <f aca="false">DS_Drawdown</f>
        <v>434202.3</v>
      </c>
      <c r="F21" s="37" t="n">
        <f aca="false">DS_Drawdown</f>
        <v>482145.470625</v>
      </c>
      <c r="G21" s="37" t="n">
        <f aca="false">DS_Drawdown</f>
        <v>570229.739296875</v>
      </c>
    </row>
    <row r="22" customFormat="false" ht="15" hidden="false" customHeight="false" outlineLevel="0" collapsed="false">
      <c r="A22" s="6"/>
      <c r="B22" s="33" t="s">
        <v>315</v>
      </c>
      <c r="C22" s="37" t="n">
        <f aca="false">-DS_Repayment</f>
        <v>-840000</v>
      </c>
      <c r="D22" s="37" t="n">
        <f aca="false">-DS_Repayment</f>
        <v>-716100</v>
      </c>
      <c r="E22" s="37" t="n">
        <f aca="false">-DS_Repayment</f>
        <v>-634152.75</v>
      </c>
      <c r="F22" s="37" t="n">
        <f aca="false">-DS_Repayment</f>
        <v>-584165.1375</v>
      </c>
      <c r="G22" s="37" t="n">
        <f aca="false">-DS_Repayment</f>
        <v>-558660.22078125</v>
      </c>
    </row>
    <row r="23" customFormat="false" ht="15" hidden="false" customHeight="false" outlineLevel="0" collapsed="false">
      <c r="A23" s="6"/>
      <c r="B23" s="34" t="s">
        <v>316</v>
      </c>
      <c r="C23" s="39" t="n">
        <f aca="false">C21+C22</f>
        <v>-495600</v>
      </c>
      <c r="D23" s="39" t="n">
        <f aca="false">D21+D22</f>
        <v>-327789</v>
      </c>
      <c r="E23" s="39" t="n">
        <f aca="false">E21+E22</f>
        <v>-199950.45</v>
      </c>
      <c r="F23" s="39" t="n">
        <f aca="false">F21+F22</f>
        <v>-102019.666875</v>
      </c>
      <c r="G23" s="39" t="n">
        <f aca="false">G21+G22</f>
        <v>11569.5185156248</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34" t="s">
        <v>317</v>
      </c>
      <c r="C25" s="38" t="n">
        <f aca="false">C13+C18+C23</f>
        <v>-367696.267238904</v>
      </c>
      <c r="D25" s="38" t="n">
        <f aca="false">D13+D18+D23</f>
        <v>126109.691892119</v>
      </c>
      <c r="E25" s="38" t="n">
        <f aca="false">E13+E18+E23</f>
        <v>813783.165281968</v>
      </c>
      <c r="F25" s="38" t="n">
        <f aca="false">F13+F18+F23</f>
        <v>1536466.04072688</v>
      </c>
      <c r="G25" s="38" t="n">
        <f aca="false">G13+G18+G23</f>
        <v>2244386.24111958</v>
      </c>
    </row>
    <row r="26" customFormat="false" ht="15" hidden="false" customHeight="false" outlineLevel="0" collapsed="false">
      <c r="A26" s="6"/>
      <c r="B26" s="9" t="s">
        <v>318</v>
      </c>
      <c r="C26" s="10"/>
      <c r="D26" s="10"/>
      <c r="E26" s="10"/>
      <c r="F26" s="10"/>
      <c r="G26" s="10"/>
    </row>
    <row r="27" customFormat="false" ht="15" hidden="false" customHeight="false" outlineLevel="0" collapsed="false">
      <c r="A27" s="6"/>
      <c r="B27" s="24" t="s">
        <v>181</v>
      </c>
      <c r="C27" s="37" t="n">
        <f aca="false">Opening_Cash</f>
        <v>500000</v>
      </c>
      <c r="D27" s="37" t="n">
        <f aca="false">C28</f>
        <v>132303.732761096</v>
      </c>
      <c r="E27" s="37" t="n">
        <f aca="false">D28</f>
        <v>258413.424653215</v>
      </c>
      <c r="F27" s="37" t="n">
        <f aca="false">E28</f>
        <v>1072196.58993518</v>
      </c>
      <c r="G27" s="37" t="n">
        <f aca="false">F28</f>
        <v>2608662.63066206</v>
      </c>
    </row>
    <row r="28" customFormat="false" ht="15" hidden="false" customHeight="false" outlineLevel="0" collapsed="false">
      <c r="A28" s="6"/>
      <c r="B28" s="34" t="s">
        <v>319</v>
      </c>
      <c r="C28" s="39" t="n">
        <f aca="false">C27+C25</f>
        <v>132303.732761096</v>
      </c>
      <c r="D28" s="39" t="n">
        <f aca="false">D27+D25</f>
        <v>258413.424653215</v>
      </c>
      <c r="E28" s="39" t="n">
        <f aca="false">E27+E25</f>
        <v>1072196.58993518</v>
      </c>
      <c r="F28" s="39" t="n">
        <f aca="false">F27+F25</f>
        <v>2608662.63066206</v>
      </c>
      <c r="G28" s="39" t="n">
        <f aca="false">G27+G25</f>
        <v>4853048.87178164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320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321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322</v>
      </c>
      <c r="C8" s="10"/>
      <c r="D8" s="10"/>
      <c r="E8" s="10"/>
      <c r="F8" s="10"/>
      <c r="G8" s="10"/>
    </row>
    <row r="9" customFormat="false" ht="15" hidden="false" customHeight="false" outlineLevel="0" collapsed="false">
      <c r="A9" s="6"/>
      <c r="B9" s="33" t="s">
        <v>272</v>
      </c>
      <c r="C9" s="37" t="n">
        <f aca="false">IS_EBIT</f>
        <v>-64143.8859999999</v>
      </c>
      <c r="D9" s="37" t="n">
        <f aca="false">IS_EBIT</f>
        <v>514452.817319998</v>
      </c>
      <c r="E9" s="37" t="n">
        <f aca="false">IS_EBIT</f>
        <v>1209522.7531267</v>
      </c>
      <c r="F9" s="37" t="n">
        <f aca="false">IS_EBIT</f>
        <v>1989686.56706056</v>
      </c>
      <c r="G9" s="37" t="n">
        <f aca="false">IS_EBIT</f>
        <v>2648750.74332894</v>
      </c>
    </row>
    <row r="10" customFormat="false" ht="15" hidden="false" customHeight="false" outlineLevel="0" collapsed="false">
      <c r="A10" s="6"/>
      <c r="B10" s="33" t="s">
        <v>323</v>
      </c>
      <c r="C10" s="37" t="n">
        <f aca="false">IF(C9&gt;0,C9*Tax_Rate,0)</f>
        <v>0</v>
      </c>
      <c r="D10" s="37" t="n">
        <f aca="false">IF(D9&gt;0,D9*Tax_Rate,0)</f>
        <v>128613.20433</v>
      </c>
      <c r="E10" s="37" t="n">
        <f aca="false">IF(E9&gt;0,E9*Tax_Rate,0)</f>
        <v>302380.688281675</v>
      </c>
      <c r="F10" s="37" t="n">
        <f aca="false">IF(F9&gt;0,F9*Tax_Rate,0)</f>
        <v>497421.64176514</v>
      </c>
      <c r="G10" s="37" t="n">
        <f aca="false">IF(G9&gt;0,G9*Tax_Rate,0)</f>
        <v>662187.685832235</v>
      </c>
    </row>
    <row r="11" customFormat="false" ht="15" hidden="false" customHeight="false" outlineLevel="0" collapsed="false">
      <c r="A11" s="6"/>
      <c r="B11" s="24" t="s">
        <v>324</v>
      </c>
      <c r="C11" s="37" t="n">
        <f aca="false">C9-C10</f>
        <v>-64143.8859999999</v>
      </c>
      <c r="D11" s="37" t="n">
        <f aca="false">D9-D10</f>
        <v>385839.612989999</v>
      </c>
      <c r="E11" s="37" t="n">
        <f aca="false">E9-E10</f>
        <v>907142.064845026</v>
      </c>
      <c r="F11" s="37" t="n">
        <f aca="false">F9-F10</f>
        <v>1492264.92529542</v>
      </c>
      <c r="G11" s="37" t="n">
        <f aca="false">G9-G10</f>
        <v>1986563.05749671</v>
      </c>
    </row>
    <row r="12" customFormat="false" ht="15" hidden="false" customHeight="false" outlineLevel="0" collapsed="false">
      <c r="A12" s="6"/>
      <c r="B12" s="33" t="s">
        <v>242</v>
      </c>
      <c r="C12" s="37" t="n">
        <f aca="false">CD_Total_Depr</f>
        <v>694985</v>
      </c>
      <c r="D12" s="37" t="n">
        <f aca="false">CD_Total_Depr</f>
        <v>768423.6875</v>
      </c>
      <c r="E12" s="37" t="n">
        <f aca="false">CD_Total_Depr</f>
        <v>850482.753125</v>
      </c>
      <c r="F12" s="37" t="n">
        <f aca="false">CD_Total_Depr</f>
        <v>941547.316601562</v>
      </c>
      <c r="G12" s="37" t="n">
        <f aca="false">CD_Total_Depr</f>
        <v>1049144.23764746</v>
      </c>
    </row>
    <row r="13" customFormat="false" ht="15" hidden="false" customHeight="false" outlineLevel="0" collapsed="false">
      <c r="A13" s="6"/>
      <c r="B13" s="33" t="s">
        <v>151</v>
      </c>
      <c r="C13" s="37" t="n">
        <f aca="false">-CD_Total_Capex</f>
        <v>-434600</v>
      </c>
      <c r="D13" s="37" t="n">
        <f aca="false">-CD_Total_Capex</f>
        <v>-491692.5</v>
      </c>
      <c r="E13" s="37" t="n">
        <f aca="false">-CD_Total_Capex</f>
        <v>-549214.21875</v>
      </c>
      <c r="F13" s="37" t="n">
        <f aca="false">-CD_Total_Capex</f>
        <v>-609304.715625</v>
      </c>
      <c r="G13" s="37" t="n">
        <f aca="false">-CD_Total_Capex</f>
        <v>-719575.623398437</v>
      </c>
    </row>
    <row r="14" customFormat="false" ht="15" hidden="false" customHeight="false" outlineLevel="0" collapsed="false">
      <c r="A14" s="6"/>
      <c r="B14" s="33" t="s">
        <v>325</v>
      </c>
      <c r="C14" s="37" t="n">
        <f aca="false">Cash_Flow!C11+Cash_Flow!C12</f>
        <v>217262.618761096</v>
      </c>
      <c r="D14" s="37" t="n">
        <f aca="false">Cash_Flow!D11+Cash_Flow!D12</f>
        <v>-26066.6085978794</v>
      </c>
      <c r="E14" s="37" t="n">
        <f aca="false">Cash_Flow!E11+Cash_Flow!E12</f>
        <v>-32968.0326880578</v>
      </c>
      <c r="F14" s="37" t="n">
        <f aca="false">Cash_Flow!F11+Cash_Flow!F12</f>
        <v>-37059.7086076056</v>
      </c>
      <c r="G14" s="37" t="n">
        <f aca="false">Cash_Flow!G11+Cash_Flow!G12</f>
        <v>-45856.5928425572</v>
      </c>
    </row>
    <row r="15" customFormat="false" ht="15" hidden="false" customHeight="false" outlineLevel="0" collapsed="false">
      <c r="A15" s="6"/>
      <c r="B15" s="34" t="s">
        <v>326</v>
      </c>
      <c r="C15" s="39" t="n">
        <f aca="false">C11+C12+C13+C14</f>
        <v>413503.732761096</v>
      </c>
      <c r="D15" s="39" t="n">
        <f aca="false">D11+D12+D13+D14</f>
        <v>636504.191892119</v>
      </c>
      <c r="E15" s="39" t="n">
        <f aca="false">E11+E12+E13+E14</f>
        <v>1175442.56653197</v>
      </c>
      <c r="F15" s="39" t="n">
        <f aca="false">F11+F12+F13+F14</f>
        <v>1787447.81766438</v>
      </c>
      <c r="G15" s="39" t="n">
        <f aca="false">G11+G12+G13+G14</f>
        <v>2270275.07890317</v>
      </c>
    </row>
    <row r="16" customFormat="false" ht="15" hidden="false" customHeight="false" outlineLevel="0" collapsed="false">
      <c r="A16" s="6"/>
      <c r="B16" s="9" t="s">
        <v>327</v>
      </c>
      <c r="C16" s="10"/>
      <c r="D16" s="10"/>
      <c r="E16" s="10"/>
      <c r="F16" s="10"/>
      <c r="G16" s="10"/>
    </row>
    <row r="17" customFormat="false" ht="15" hidden="false" customHeight="false" outlineLevel="0" collapsed="false">
      <c r="A17" s="6"/>
      <c r="B17" s="33" t="s">
        <v>328</v>
      </c>
      <c r="C17" s="42" t="n">
        <f aca="false">1/(1+WACC)^C6</f>
        <v>0.892857142857143</v>
      </c>
      <c r="D17" s="42" t="n">
        <f aca="false">1/(1+WACC)^D6</f>
        <v>0.79719387755102</v>
      </c>
      <c r="E17" s="42" t="n">
        <f aca="false">1/(1+WACC)^E6</f>
        <v>0.711780247813411</v>
      </c>
      <c r="F17" s="42" t="n">
        <f aca="false">1/(1+WACC)^F6</f>
        <v>0.635518078404831</v>
      </c>
      <c r="G17" s="42" t="n">
        <f aca="false">1/(1+WACC)^G6</f>
        <v>0.567426855718599</v>
      </c>
    </row>
    <row r="18" customFormat="false" ht="15" hidden="false" customHeight="false" outlineLevel="0" collapsed="false">
      <c r="A18" s="6"/>
      <c r="B18" s="33" t="s">
        <v>329</v>
      </c>
      <c r="C18" s="37" t="n">
        <f aca="false">C15*C17</f>
        <v>369199.761393836</v>
      </c>
      <c r="D18" s="37" t="n">
        <f aca="false">D15*D17</f>
        <v>507417.244811957</v>
      </c>
      <c r="E18" s="37" t="n">
        <f aca="false">E15*E17</f>
        <v>836656.801296556</v>
      </c>
      <c r="F18" s="37" t="n">
        <f aca="false">F15*F17</f>
        <v>1135955.40233097</v>
      </c>
      <c r="G18" s="37" t="n">
        <f aca="false">G15*G17</f>
        <v>1288215.04963832</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34" t="s">
        <v>330</v>
      </c>
      <c r="C20" s="43" t="n">
        <f aca="false">SUM(C18:G18)</f>
        <v>4137444.25947164</v>
      </c>
      <c r="D20" s="6"/>
      <c r="E20" s="6"/>
      <c r="F20" s="6"/>
      <c r="G20" s="6"/>
    </row>
    <row r="21" customFormat="false" ht="15" hidden="false" customHeight="false" outlineLevel="0" collapsed="false">
      <c r="A21" s="6"/>
      <c r="B21" s="34" t="s">
        <v>331</v>
      </c>
      <c r="C21" s="43" t="n">
        <f aca="true">OFFSET(C15,0,Num_Years-1)*(1+Terminal_Growth)/(WACC-Terminal_Growth)</f>
        <v>23156805.8048124</v>
      </c>
      <c r="D21" s="6"/>
      <c r="E21" s="6"/>
      <c r="F21" s="6"/>
      <c r="G21" s="6"/>
    </row>
    <row r="22" customFormat="false" ht="15" hidden="false" customHeight="false" outlineLevel="0" collapsed="false">
      <c r="A22" s="6"/>
      <c r="B22" s="34" t="s">
        <v>332</v>
      </c>
      <c r="C22" s="43" t="n">
        <f aca="false">C21*G17</f>
        <v>13139793.5063109</v>
      </c>
      <c r="D22" s="6"/>
      <c r="E22" s="6"/>
      <c r="F22" s="6"/>
      <c r="G22" s="6"/>
    </row>
    <row r="23" customFormat="false" ht="15" hidden="false" customHeight="false" outlineLevel="0" collapsed="false">
      <c r="A23" s="6"/>
      <c r="B23" s="34" t="s">
        <v>333</v>
      </c>
      <c r="C23" s="43" t="n">
        <f aca="false">C20+C22</f>
        <v>17277237.7657825</v>
      </c>
      <c r="D23" s="6"/>
      <c r="E23" s="6"/>
      <c r="F23" s="6"/>
      <c r="G23" s="6"/>
    </row>
    <row r="24" customFormat="false" ht="15" hidden="false" customHeight="false" outlineLevel="0" collapsed="false">
      <c r="A24" s="6"/>
      <c r="B24" s="34" t="s">
        <v>334</v>
      </c>
      <c r="C24" s="43" t="n">
        <f aca="false">Debt_Schedule!G12-Cash_Flow!G28</f>
        <v>-2606838.47014101</v>
      </c>
      <c r="D24" s="6"/>
      <c r="E24" s="6"/>
      <c r="F24" s="6"/>
      <c r="G24" s="6"/>
    </row>
    <row r="25" customFormat="false" ht="15" hidden="false" customHeight="false" outlineLevel="0" collapsed="false">
      <c r="A25" s="6"/>
      <c r="B25" s="34" t="s">
        <v>335</v>
      </c>
      <c r="C25" s="39" t="n">
        <f aca="false">C23-C24</f>
        <v>19884076.2359235</v>
      </c>
      <c r="D25" s="6"/>
      <c r="E25" s="6"/>
      <c r="F25" s="6"/>
      <c r="G25" s="6"/>
    </row>
    <row r="26" customFormat="false" ht="15" hidden="false" customHeight="false" outlineLevel="0" collapsed="false">
      <c r="A26" s="6"/>
      <c r="B26" s="6"/>
      <c r="C26" s="6"/>
      <c r="D26" s="6"/>
      <c r="E26" s="6"/>
      <c r="F26" s="6"/>
      <c r="G26" s="6"/>
    </row>
    <row r="27" customFormat="false" ht="15" hidden="false" customHeight="false" outlineLevel="0" collapsed="false">
      <c r="A27" s="6"/>
      <c r="B27" s="9" t="s">
        <v>336</v>
      </c>
      <c r="C27" s="10"/>
      <c r="D27" s="10"/>
      <c r="E27" s="10"/>
      <c r="F27" s="10"/>
      <c r="G27" s="10"/>
    </row>
    <row r="28" customFormat="false" ht="15" hidden="false" customHeight="false" outlineLevel="0" collapsed="false">
      <c r="A28" s="6"/>
      <c r="B28" s="7" t="s">
        <v>337</v>
      </c>
      <c r="C28" s="6"/>
      <c r="D28" s="6"/>
      <c r="E28" s="6"/>
      <c r="F28" s="6"/>
      <c r="G28" s="6"/>
    </row>
    <row r="29" customFormat="false" ht="15" hidden="false" customHeight="false" outlineLevel="0" collapsed="false">
      <c r="A29" s="6"/>
      <c r="B29" s="24" t="s">
        <v>338</v>
      </c>
      <c r="C29" s="37" t="n">
        <f aca="false">C15</f>
        <v>413503.732761096</v>
      </c>
      <c r="D29" s="37" t="n">
        <f aca="false">D15</f>
        <v>636504.191892119</v>
      </c>
      <c r="E29" s="37" t="n">
        <f aca="false">E15</f>
        <v>1175442.56653197</v>
      </c>
      <c r="F29" s="37" t="n">
        <f aca="false">F15</f>
        <v>1787447.81766438</v>
      </c>
      <c r="G29" s="37" t="n">
        <f aca="false">G15+C21</f>
        <v>25427080.8837155</v>
      </c>
    </row>
    <row r="30" customFormat="false" ht="15" hidden="false" customHeight="false" outlineLevel="0" collapsed="false">
      <c r="A30" s="6"/>
      <c r="B30" s="34" t="s">
        <v>339</v>
      </c>
      <c r="C30" s="44" t="n">
        <f aca="false">IFERROR((SUM(C29:G29)/C23)^(1/5)-1,0)</f>
        <v>0.112481090489521</v>
      </c>
      <c r="D30" s="6"/>
      <c r="E30" s="6"/>
      <c r="F30" s="6"/>
      <c r="G30"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340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341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342</v>
      </c>
      <c r="C8" s="10"/>
      <c r="D8" s="10"/>
      <c r="E8" s="10"/>
      <c r="F8" s="10"/>
      <c r="G8" s="10"/>
    </row>
    <row r="9" customFormat="false" ht="15" hidden="false" customHeight="false" outlineLevel="0" collapsed="false">
      <c r="A9" s="6"/>
      <c r="B9" s="33" t="s">
        <v>270</v>
      </c>
      <c r="C9" s="37" t="n">
        <f aca="false">IS_EBITDA</f>
        <v>630841.114</v>
      </c>
      <c r="D9" s="37" t="n">
        <f aca="false">IS_EBITDA</f>
        <v>1282876.50482</v>
      </c>
      <c r="E9" s="37" t="n">
        <f aca="false">IS_EBITDA</f>
        <v>2060005.5062517</v>
      </c>
      <c r="F9" s="37" t="n">
        <f aca="false">IS_EBITDA</f>
        <v>2931233.88366212</v>
      </c>
      <c r="G9" s="37" t="n">
        <f aca="false">IS_EBITDA</f>
        <v>3697894.9809764</v>
      </c>
    </row>
    <row r="10" customFormat="false" ht="15" hidden="false" customHeight="false" outlineLevel="0" collapsed="false">
      <c r="A10" s="6"/>
      <c r="B10" s="33" t="s">
        <v>263</v>
      </c>
      <c r="C10" s="37" t="n">
        <f aca="false">DS_Interest</f>
        <v>285600</v>
      </c>
      <c r="D10" s="37" t="n">
        <f aca="false">DS_Interest</f>
        <v>243474</v>
      </c>
      <c r="E10" s="37" t="n">
        <f aca="false">DS_Interest</f>
        <v>215611.935</v>
      </c>
      <c r="F10" s="37" t="n">
        <f aca="false">DS_Interest</f>
        <v>198616.14675</v>
      </c>
      <c r="G10" s="37" t="n">
        <f aca="false">DS_Interest</f>
        <v>189944.475065625</v>
      </c>
    </row>
    <row r="11" customFormat="false" ht="15" hidden="false" customHeight="false" outlineLevel="0" collapsed="false">
      <c r="A11" s="6"/>
      <c r="B11" s="33" t="s">
        <v>343</v>
      </c>
      <c r="C11" s="37" t="n">
        <f aca="false">DS_Repayment</f>
        <v>840000</v>
      </c>
      <c r="D11" s="37" t="n">
        <f aca="false">DS_Repayment</f>
        <v>716100</v>
      </c>
      <c r="E11" s="37" t="n">
        <f aca="false">DS_Repayment</f>
        <v>634152.75</v>
      </c>
      <c r="F11" s="37" t="n">
        <f aca="false">DS_Repayment</f>
        <v>584165.1375</v>
      </c>
      <c r="G11" s="37" t="n">
        <f aca="false">DS_Repayment</f>
        <v>558660.22078125</v>
      </c>
    </row>
    <row r="12" customFormat="false" ht="15" hidden="false" customHeight="false" outlineLevel="0" collapsed="false">
      <c r="A12" s="6"/>
      <c r="B12" s="34" t="s">
        <v>264</v>
      </c>
      <c r="C12" s="38" t="n">
        <f aca="false">C10+C11</f>
        <v>1125600</v>
      </c>
      <c r="D12" s="38" t="n">
        <f aca="false">D10+D11</f>
        <v>959574</v>
      </c>
      <c r="E12" s="38" t="n">
        <f aca="false">E10+E11</f>
        <v>849764.685</v>
      </c>
      <c r="F12" s="38" t="n">
        <f aca="false">F10+F11</f>
        <v>782781.28425</v>
      </c>
      <c r="G12" s="38" t="n">
        <f aca="false">G10+G11</f>
        <v>748604.695846875</v>
      </c>
    </row>
    <row r="13" customFormat="false" ht="15" hidden="false" customHeight="false" outlineLevel="0" collapsed="false">
      <c r="A13" s="6"/>
      <c r="B13" s="24" t="s">
        <v>344</v>
      </c>
      <c r="C13" s="45" t="n">
        <f aca="false">IFERROR(C9/C12,0)</f>
        <v>0.560448750888415</v>
      </c>
      <c r="D13" s="45" t="n">
        <f aca="false">IFERROR(D9/D12,0)</f>
        <v>1.33692295208082</v>
      </c>
      <c r="E13" s="45" t="n">
        <f aca="false">IFERROR(E9/E12,0)</f>
        <v>2.42420701002855</v>
      </c>
      <c r="F13" s="45" t="n">
        <f aca="false">IFERROR(F9/F12,0)</f>
        <v>3.74463971308487</v>
      </c>
      <c r="G13" s="45" t="n">
        <f aca="false">IFERROR(G9/G12,0)</f>
        <v>4.93971651726427</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345</v>
      </c>
      <c r="C15" s="10"/>
      <c r="D15" s="10"/>
      <c r="E15" s="10"/>
      <c r="F15" s="10"/>
      <c r="G15" s="10"/>
    </row>
    <row r="16" customFormat="false" ht="15" hidden="false" customHeight="false" outlineLevel="0" collapsed="false">
      <c r="A16" s="6"/>
      <c r="B16" s="33" t="s">
        <v>346</v>
      </c>
      <c r="C16" s="37" t="n">
        <f aca="false">DS_Closing</f>
        <v>2864400</v>
      </c>
      <c r="D16" s="37" t="n">
        <f aca="false">DS_Closing</f>
        <v>2536611</v>
      </c>
      <c r="E16" s="37" t="n">
        <f aca="false">DS_Closing</f>
        <v>2336660.55</v>
      </c>
      <c r="F16" s="37" t="n">
        <f aca="false">DS_Closing</f>
        <v>2234640.883125</v>
      </c>
      <c r="G16" s="37" t="n">
        <f aca="false">DS_Closing</f>
        <v>2246210.40164062</v>
      </c>
    </row>
    <row r="17" customFormat="false" ht="15" hidden="false" customHeight="false" outlineLevel="0" collapsed="false">
      <c r="A17" s="6"/>
      <c r="B17" s="24" t="s">
        <v>347</v>
      </c>
      <c r="C17" s="45" t="n">
        <f aca="false">IFERROR(C16/C9,0)</f>
        <v>4.54060449839355</v>
      </c>
      <c r="D17" s="45" t="n">
        <f aca="false">IFERROR(D16/D9,0)</f>
        <v>1.97728385426773</v>
      </c>
      <c r="E17" s="45" t="n">
        <f aca="false">IFERROR(E16/E9,0)</f>
        <v>1.13429820595562</v>
      </c>
      <c r="F17" s="45" t="n">
        <f aca="false">IFERROR(F16/F9,0)</f>
        <v>0.762355025840914</v>
      </c>
      <c r="G17" s="45" t="n">
        <f aca="false">IFERROR(G16/G9,0)</f>
        <v>0.607429473577838</v>
      </c>
    </row>
    <row r="18" customFormat="false" ht="15" hidden="false" customHeight="false" outlineLevel="0" collapsed="false">
      <c r="A18" s="6"/>
      <c r="B18" s="9" t="s">
        <v>348</v>
      </c>
      <c r="C18" s="10"/>
      <c r="D18" s="10"/>
      <c r="E18" s="10"/>
      <c r="F18" s="10"/>
      <c r="G18" s="10"/>
    </row>
    <row r="19" customFormat="false" ht="15" hidden="false" customHeight="false" outlineLevel="0" collapsed="false">
      <c r="A19" s="6"/>
      <c r="B19" s="33" t="s">
        <v>288</v>
      </c>
      <c r="C19" s="37" t="n">
        <f aca="false">CD_Net_PPE</f>
        <v>3939615</v>
      </c>
      <c r="D19" s="37" t="n">
        <f aca="false">CD_Net_PPE</f>
        <v>3662883.8125</v>
      </c>
      <c r="E19" s="37" t="n">
        <f aca="false">CD_Net_PPE</f>
        <v>3361615.278125</v>
      </c>
      <c r="F19" s="37" t="n">
        <f aca="false">CD_Net_PPE</f>
        <v>3029372.67714844</v>
      </c>
      <c r="G19" s="37" t="n">
        <f aca="false">CD_Net_PPE</f>
        <v>2594804.06289941</v>
      </c>
    </row>
    <row r="20" customFormat="false" ht="15" hidden="false" customHeight="false" outlineLevel="0" collapsed="false">
      <c r="A20" s="6"/>
      <c r="B20" s="24" t="s">
        <v>348</v>
      </c>
      <c r="C20" s="40" t="n">
        <f aca="false">IFERROR(C16/C19,0)</f>
        <v>0.727076122920641</v>
      </c>
      <c r="D20" s="40" t="n">
        <f aca="false">IFERROR(D16/D19,0)</f>
        <v>0.692517461608673</v>
      </c>
      <c r="E20" s="40" t="n">
        <f aca="false">IFERROR(E16/E19,0)</f>
        <v>0.695100526584742</v>
      </c>
      <c r="F20" s="40" t="n">
        <f aca="false">IFERROR(F16/F19,0)</f>
        <v>0.737657964628003</v>
      </c>
      <c r="G20" s="40" t="n">
        <f aca="false">IFERROR(G16/G19,0)</f>
        <v>0.8656570389098</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9" t="s">
        <v>349</v>
      </c>
      <c r="C22" s="10"/>
      <c r="D22" s="10"/>
      <c r="E22" s="10"/>
      <c r="F22" s="10"/>
      <c r="G22" s="10"/>
    </row>
    <row r="23" customFormat="false" ht="15" hidden="false" customHeight="false" outlineLevel="0" collapsed="false">
      <c r="A23" s="6"/>
      <c r="B23" s="33" t="s">
        <v>350</v>
      </c>
      <c r="C23" s="40" t="n">
        <f aca="false">IFERROR(IS_Total_Revenue/RB_Gross_Bookings,0)</f>
        <v>0.400805771327233</v>
      </c>
      <c r="D23" s="40" t="n">
        <f aca="false">IFERROR(IS_Total_Revenue/RB_Gross_Bookings,0)</f>
        <v>0.400549890799979</v>
      </c>
      <c r="E23" s="40" t="n">
        <f aca="false">IFERROR(IS_Total_Revenue/RB_Gross_Bookings,0)</f>
        <v>0.400609137290551</v>
      </c>
      <c r="F23" s="40" t="n">
        <f aca="false">IFERROR(IS_Total_Revenue/RB_Gross_Bookings,0)</f>
        <v>0.400377226122643</v>
      </c>
      <c r="G23" s="40" t="n">
        <f aca="false">IFERROR(IS_Total_Revenue/RB_Gross_Bookings,0)</f>
        <v>0.400500249191078</v>
      </c>
    </row>
    <row r="24" customFormat="false" ht="15" hidden="false" customHeight="false" outlineLevel="0" collapsed="false">
      <c r="A24" s="6"/>
      <c r="B24" s="33" t="s">
        <v>271</v>
      </c>
      <c r="C24" s="40" t="n">
        <f aca="false">IFERROR(IS_EBITDA/IS_Total_Revenue,0)</f>
        <v>0.159918815147843</v>
      </c>
      <c r="D24" s="40" t="n">
        <f aca="false">IFERROR(IS_EBITDA/IS_Total_Revenue,0)</f>
        <v>0.287476893917666</v>
      </c>
      <c r="E24" s="40" t="n">
        <f aca="false">IFERROR(IS_EBITDA/IS_Total_Revenue,0)</f>
        <v>0.407706996329026</v>
      </c>
      <c r="F24" s="40" t="n">
        <f aca="false">IFERROR(IS_EBITDA/IS_Total_Revenue,0)</f>
        <v>0.513097084615838</v>
      </c>
      <c r="G24" s="40" t="n">
        <f aca="false">IFERROR(IS_EBITDA/IS_Total_Revenue,0)</f>
        <v>0.605651778826697</v>
      </c>
    </row>
    <row r="25" customFormat="false" ht="15" hidden="false" customHeight="false" outlineLevel="0" collapsed="false">
      <c r="A25" s="6"/>
      <c r="B25" s="33" t="s">
        <v>279</v>
      </c>
      <c r="C25" s="40" t="n">
        <f aca="false">IFERROR(IS_Net_Income/IS_Total_Revenue,0)</f>
        <v>-0.0886604037261947</v>
      </c>
      <c r="D25" s="40" t="n">
        <f aca="false">IFERROR(IS_Net_Income/IS_Total_Revenue,0)</f>
        <v>0.0455422726357238</v>
      </c>
      <c r="E25" s="40" t="n">
        <f aca="false">IFERROR(IS_Net_Income/IS_Total_Revenue,0)</f>
        <v>0.147532758910445</v>
      </c>
      <c r="F25" s="40" t="n">
        <f aca="false">IFERROR(IS_Net_Income/IS_Total_Revenue,0)</f>
        <v>0.235138097336387</v>
      </c>
      <c r="G25" s="40" t="n">
        <f aca="false">IFERROR(IS_Net_Income/IS_Total_Revenue,0)</f>
        <v>0.302032723581574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351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352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353</v>
      </c>
      <c r="C8" s="10"/>
      <c r="D8" s="10"/>
      <c r="E8" s="10"/>
      <c r="F8" s="10"/>
      <c r="G8" s="10"/>
    </row>
    <row r="9" customFormat="false" ht="15" hidden="false" customHeight="false" outlineLevel="0" collapsed="false">
      <c r="A9" s="6"/>
      <c r="B9" s="24" t="s">
        <v>354</v>
      </c>
      <c r="C9" s="46" t="str">
        <f aca="false">IF(ABS(Balance_Sheet!C39)&lt;1,"PASS","FAIL")</f>
        <v>PASS</v>
      </c>
      <c r="D9" s="46" t="str">
        <f aca="false">IF(ABS(Balance_Sheet!D39)&lt;1,"PASS","FAIL")</f>
        <v>PASS</v>
      </c>
      <c r="E9" s="46" t="str">
        <f aca="false">IF(ABS(Balance_Sheet!E39)&lt;1,"PASS","FAIL")</f>
        <v>PASS</v>
      </c>
      <c r="F9" s="46" t="str">
        <f aca="false">IF(ABS(Balance_Sheet!F39)&lt;1,"PASS","FAIL")</f>
        <v>PASS</v>
      </c>
      <c r="G9" s="46" t="str">
        <f aca="false">IF(ABS(Balance_Sheet!G39)&lt;1,"PASS","FAIL")</f>
        <v>PASS</v>
      </c>
    </row>
    <row r="10" customFormat="false" ht="15" hidden="false" customHeight="false" outlineLevel="0" collapsed="false">
      <c r="A10" s="6"/>
      <c r="B10" s="24" t="s">
        <v>355</v>
      </c>
      <c r="C10" s="46" t="str">
        <f aca="false">IF(CF_Close_Cash&gt;=0,"PASS","FAIL")</f>
        <v>PASS</v>
      </c>
      <c r="D10" s="46" t="str">
        <f aca="false">IF(CF_Close_Cash&gt;=0,"PASS","FAIL")</f>
        <v>PASS</v>
      </c>
      <c r="E10" s="46" t="str">
        <f aca="false">IF(CF_Close_Cash&gt;=0,"PASS","FAIL")</f>
        <v>PASS</v>
      </c>
      <c r="F10" s="46" t="str">
        <f aca="false">IF(CF_Close_Cash&gt;=0,"PASS","FAIL")</f>
        <v>PASS</v>
      </c>
      <c r="G10" s="46" t="str">
        <f aca="false">IF(CF_Close_Cash&gt;=0,"PASS","FAIL")</f>
        <v>PASS</v>
      </c>
    </row>
    <row r="11" customFormat="false" ht="15" hidden="false" customHeight="false" outlineLevel="0" collapsed="false">
      <c r="A11" s="6"/>
      <c r="B11" s="24" t="s">
        <v>356</v>
      </c>
      <c r="C11" s="46" t="str">
        <f aca="false">IF(Covenants_Ratios!C13&gt;=0.5,"PASS","FAIL")</f>
        <v>PASS</v>
      </c>
      <c r="D11" s="46" t="str">
        <f aca="false">IF(Covenants_Ratios!D13&gt;=0.5,"PASS","FAIL")</f>
        <v>PASS</v>
      </c>
      <c r="E11" s="46" t="str">
        <f aca="false">IF(Covenants_Ratios!E13&gt;=0.5,"PASS","FAIL")</f>
        <v>PASS</v>
      </c>
      <c r="F11" s="46" t="str">
        <f aca="false">IF(Covenants_Ratios!F13&gt;=0.5,"PASS","FAIL")</f>
        <v>PASS</v>
      </c>
      <c r="G11" s="46" t="str">
        <f aca="false">IF(Covenants_Ratios!G13&gt;=0.5,"PASS","FAIL")</f>
        <v>PASS</v>
      </c>
    </row>
    <row r="12" customFormat="false" ht="15" hidden="false" customHeight="false" outlineLevel="0" collapsed="false">
      <c r="A12" s="6"/>
      <c r="B12" s="24" t="s">
        <v>357</v>
      </c>
      <c r="C12" s="46" t="str">
        <f aca="false">IF(FB_Active&lt;=FB_Closing,"PASS","FAIL")</f>
        <v>PASS</v>
      </c>
      <c r="D12" s="46" t="str">
        <f aca="false">IF(FB_Active&lt;=FB_Closing,"PASS","FAIL")</f>
        <v>PASS</v>
      </c>
      <c r="E12" s="46" t="str">
        <f aca="false">IF(FB_Active&lt;=FB_Closing,"PASS","FAIL")</f>
        <v>PASS</v>
      </c>
      <c r="F12" s="46" t="str">
        <f aca="false">IF(FB_Active&lt;=FB_Closing,"PASS","FAIL")</f>
        <v>PASS</v>
      </c>
      <c r="G12" s="46" t="str">
        <f aca="false">IF(FB_Active&lt;=FB_Closing,"PASS","FAIL")</f>
        <v>PASS</v>
      </c>
    </row>
    <row r="13" customFormat="false" ht="15" hidden="false" customHeight="false" outlineLevel="0" collapsed="false">
      <c r="A13" s="6"/>
      <c r="B13" s="24" t="s">
        <v>358</v>
      </c>
      <c r="C13" s="46" t="str">
        <f aca="false">IF(AND(Covenants_Ratios!C23&gt;=0.2,Covenants_Ratios!C23&lt;=0.4),"PASS","WARN")</f>
        <v>WARN</v>
      </c>
      <c r="D13" s="46" t="str">
        <f aca="false">IF(AND(Covenants_Ratios!D23&gt;=0.2,Covenants_Ratios!D23&lt;=0.4),"PASS","WARN")</f>
        <v>WARN</v>
      </c>
      <c r="E13" s="46" t="str">
        <f aca="false">IF(AND(Covenants_Ratios!E23&gt;=0.2,Covenants_Ratios!E23&lt;=0.4),"PASS","WARN")</f>
        <v>WARN</v>
      </c>
      <c r="F13" s="46" t="str">
        <f aca="false">IF(AND(Covenants_Ratios!F23&gt;=0.2,Covenants_Ratios!F23&lt;=0.4),"PASS","WARN")</f>
        <v>WARN</v>
      </c>
      <c r="G13" s="46" t="str">
        <f aca="false">IF(AND(Covenants_Ratios!G23&gt;=0.2,Covenants_Ratios!G23&lt;=0.4),"PASS","WARN")</f>
        <v>WARN</v>
      </c>
    </row>
    <row r="14" customFormat="false" ht="15" hidden="false" customHeight="false" outlineLevel="0" collapsed="false">
      <c r="A14" s="6"/>
      <c r="B14" s="9" t="s">
        <v>359</v>
      </c>
      <c r="C14" s="10"/>
      <c r="D14" s="10"/>
      <c r="E14" s="10"/>
      <c r="F14" s="10"/>
      <c r="G14" s="10"/>
    </row>
    <row r="15" customFormat="false" ht="15" hidden="false" customHeight="false" outlineLevel="0" collapsed="false">
      <c r="A15" s="6"/>
      <c r="B15" s="24" t="s">
        <v>360</v>
      </c>
      <c r="C15" s="46" t="str">
        <f aca="false">IF(AND(C9="PASS",C10="PASS",C11="PASS",C12="PASS"),"PASS","FAIL")</f>
        <v>PASS</v>
      </c>
      <c r="D15" s="46" t="str">
        <f aca="false">IF(AND(D9="PASS",D10="PASS",D11="PASS",D12="PASS"),"PASS","FAIL")</f>
        <v>PASS</v>
      </c>
      <c r="E15" s="46" t="str">
        <f aca="false">IF(AND(E9="PASS",E10="PASS",E11="PASS",E12="PASS"),"PASS","FAIL")</f>
        <v>PASS</v>
      </c>
      <c r="F15" s="46" t="str">
        <f aca="false">IF(AND(F9="PASS",F10="PASS",F11="PASS",F12="PASS"),"PASS","FAIL")</f>
        <v>PASS</v>
      </c>
      <c r="G15" s="46" t="str">
        <f aca="false">IF(AND(G9="PASS",G10="PASS",G11="PASS",G12="PASS"),"PASS","FAIL")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7" t="s">
        <v>361</v>
      </c>
    </row>
    <row r="3" customFormat="false" ht="3.75" hidden="false" customHeight="true" outlineLevel="0" collapsed="false">
      <c r="B3" s="48"/>
    </row>
    <row r="5" customFormat="false" ht="19.5" hidden="false" customHeight="true" outlineLevel="0" collapsed="false">
      <c r="B5" s="49" t="s">
        <v>362</v>
      </c>
    </row>
    <row r="6" customFormat="false" ht="48" hidden="false" customHeight="true" outlineLevel="0" collapsed="false">
      <c r="B6" s="50" t="s">
        <v>363</v>
      </c>
    </row>
    <row r="8" customFormat="false" ht="19.5" hidden="false" customHeight="true" outlineLevel="0" collapsed="false">
      <c r="B8" s="49" t="s">
        <v>364</v>
      </c>
    </row>
    <row r="9" customFormat="false" ht="61.5" hidden="false" customHeight="true" outlineLevel="0" collapsed="false">
      <c r="B9" s="50" t="s">
        <v>365</v>
      </c>
    </row>
    <row r="11" customFormat="false" ht="19.5" hidden="false" customHeight="true" outlineLevel="0" collapsed="false">
      <c r="B11" s="49" t="s">
        <v>366</v>
      </c>
    </row>
    <row r="12" customFormat="false" ht="75.75" hidden="false" customHeight="true" outlineLevel="0" collapsed="false">
      <c r="B12" s="50" t="s">
        <v>367</v>
      </c>
    </row>
    <row r="14" customFormat="false" ht="19.5" hidden="false" customHeight="true" outlineLevel="0" collapsed="false">
      <c r="B14" s="49" t="s">
        <v>368</v>
      </c>
    </row>
    <row r="15" customFormat="false" ht="61.5" hidden="false" customHeight="true" outlineLevel="0" collapsed="false">
      <c r="B15" s="50" t="s">
        <v>369</v>
      </c>
    </row>
    <row r="17" customFormat="false" ht="19.5" hidden="false" customHeight="true" outlineLevel="0" collapsed="false">
      <c r="B17" s="49" t="s">
        <v>370</v>
      </c>
    </row>
    <row r="18" customFormat="false" ht="33.75" hidden="false" customHeight="true" outlineLevel="0" collapsed="false">
      <c r="B18" s="50" t="s">
        <v>371</v>
      </c>
    </row>
    <row r="20" customFormat="false" ht="19.5" hidden="false" customHeight="true" outlineLevel="0" collapsed="false">
      <c r="B20" s="49" t="s">
        <v>372</v>
      </c>
    </row>
    <row r="21" customFormat="false" ht="33.75" hidden="false" customHeight="true" outlineLevel="0" collapsed="false">
      <c r="B21" s="50" t="s">
        <v>373</v>
      </c>
    </row>
    <row r="23" customFormat="false" ht="21.75" hidden="false" customHeight="true" outlineLevel="0" collapsed="false">
      <c r="B23" s="51" t="s">
        <v>374</v>
      </c>
    </row>
    <row r="25" customFormat="false" ht="18" hidden="false" customHeight="true" outlineLevel="0" collapsed="false">
      <c r="B25" s="52" t="s">
        <v>375</v>
      </c>
    </row>
    <row r="26" customFormat="false" ht="201.75" hidden="false" customHeight="true" outlineLevel="0" collapsed="false">
      <c r="B26" s="53" t="s">
        <v>376</v>
      </c>
    </row>
    <row r="28" customFormat="false" ht="18" hidden="false" customHeight="true" outlineLevel="0" collapsed="false">
      <c r="B28" s="54" t="s">
        <v>377</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7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58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t="s">
        <v>59</v>
      </c>
      <c r="C5" s="23" t="s">
        <v>60</v>
      </c>
      <c r="D5" s="23" t="s">
        <v>61</v>
      </c>
      <c r="E5" s="23" t="s">
        <v>62</v>
      </c>
      <c r="F5" s="6"/>
      <c r="G5" s="6"/>
    </row>
    <row r="6" customFormat="false" ht="15" hidden="false" customHeight="false" outlineLevel="0" collapsed="false">
      <c r="A6" s="6"/>
      <c r="B6" s="6"/>
      <c r="C6" s="6"/>
      <c r="D6" s="6"/>
      <c r="E6" s="6"/>
      <c r="F6" s="6"/>
      <c r="G6" s="6"/>
    </row>
    <row r="7" customFormat="false" ht="15" hidden="false" customHeight="false" outlineLevel="0" collapsed="false">
      <c r="A7" s="6"/>
      <c r="B7" s="9" t="s">
        <v>63</v>
      </c>
      <c r="C7" s="10"/>
      <c r="D7" s="10"/>
      <c r="E7" s="10"/>
      <c r="F7" s="10"/>
      <c r="G7" s="10"/>
    </row>
    <row r="8" customFormat="false" ht="15" hidden="false" customHeight="false" outlineLevel="0" collapsed="false">
      <c r="A8" s="6"/>
      <c r="B8" s="24" t="s">
        <v>64</v>
      </c>
      <c r="C8" s="25" t="n">
        <v>2026</v>
      </c>
      <c r="D8" s="26"/>
      <c r="E8" s="26" t="s">
        <v>65</v>
      </c>
      <c r="F8" s="6"/>
      <c r="G8" s="6"/>
    </row>
    <row r="9" customFormat="false" ht="15" hidden="false" customHeight="false" outlineLevel="0" collapsed="false">
      <c r="A9" s="6"/>
      <c r="B9" s="24" t="s">
        <v>66</v>
      </c>
      <c r="C9" s="25" t="n">
        <v>5</v>
      </c>
      <c r="D9" s="26" t="s">
        <v>67</v>
      </c>
      <c r="E9" s="26"/>
      <c r="F9" s="6"/>
      <c r="G9" s="6"/>
    </row>
    <row r="10" customFormat="false" ht="15" hidden="false" customHeight="false" outlineLevel="0" collapsed="false">
      <c r="A10" s="6"/>
      <c r="B10" s="6"/>
      <c r="C10" s="6"/>
      <c r="D10" s="6"/>
      <c r="E10" s="6"/>
      <c r="F10" s="6"/>
      <c r="G10" s="6"/>
    </row>
    <row r="11" customFormat="false" ht="15" hidden="false" customHeight="false" outlineLevel="0" collapsed="false">
      <c r="A11" s="6"/>
      <c r="B11" s="9" t="s">
        <v>68</v>
      </c>
      <c r="C11" s="10"/>
      <c r="D11" s="10"/>
      <c r="E11" s="10"/>
      <c r="F11" s="10"/>
      <c r="G11" s="10"/>
    </row>
    <row r="12" customFormat="false" ht="15" hidden="false" customHeight="false" outlineLevel="0" collapsed="false">
      <c r="A12" s="6"/>
      <c r="B12" s="24" t="s">
        <v>69</v>
      </c>
      <c r="C12" s="25" t="n">
        <v>100</v>
      </c>
      <c r="D12" s="26" t="s">
        <v>70</v>
      </c>
      <c r="E12" s="26" t="s">
        <v>71</v>
      </c>
      <c r="F12" s="6"/>
      <c r="G12" s="6"/>
    </row>
    <row r="13" customFormat="false" ht="15" hidden="false" customHeight="false" outlineLevel="0" collapsed="false">
      <c r="A13" s="6"/>
      <c r="B13" s="24" t="s">
        <v>72</v>
      </c>
      <c r="C13" s="27" t="n">
        <v>0.1</v>
      </c>
      <c r="D13" s="26" t="s">
        <v>73</v>
      </c>
      <c r="E13" s="26" t="s">
        <v>74</v>
      </c>
      <c r="F13" s="6"/>
      <c r="G13" s="6"/>
    </row>
    <row r="14" customFormat="false" ht="15" hidden="false" customHeight="false" outlineLevel="0" collapsed="false">
      <c r="A14" s="6"/>
      <c r="B14" s="24" t="s">
        <v>75</v>
      </c>
      <c r="C14" s="25" t="n">
        <v>60</v>
      </c>
      <c r="D14" s="26" t="s">
        <v>76</v>
      </c>
      <c r="E14" s="26" t="s">
        <v>77</v>
      </c>
      <c r="F14" s="6"/>
      <c r="G14" s="6"/>
    </row>
    <row r="15" customFormat="false" ht="15" hidden="false" customHeight="false" outlineLevel="0" collapsed="false">
      <c r="A15" s="6"/>
      <c r="B15" s="24" t="s">
        <v>78</v>
      </c>
      <c r="C15" s="27" t="n">
        <v>0.08</v>
      </c>
      <c r="D15" s="26" t="s">
        <v>73</v>
      </c>
      <c r="E15" s="26" t="s">
        <v>79</v>
      </c>
      <c r="F15" s="6"/>
      <c r="G15" s="6"/>
    </row>
    <row r="16" customFormat="false" ht="15" hidden="false" customHeight="false" outlineLevel="0" collapsed="false">
      <c r="A16" s="6"/>
      <c r="B16" s="24" t="s">
        <v>80</v>
      </c>
      <c r="C16" s="27" t="n">
        <v>0.6</v>
      </c>
      <c r="D16" s="26" t="s">
        <v>73</v>
      </c>
      <c r="E16" s="26" t="s">
        <v>81</v>
      </c>
      <c r="F16" s="6"/>
      <c r="G16" s="6"/>
    </row>
    <row r="17" customFormat="false" ht="15" hidden="false" customHeight="false" outlineLevel="0" collapsed="false">
      <c r="A17" s="6"/>
      <c r="B17" s="6"/>
      <c r="C17" s="6"/>
      <c r="D17" s="6"/>
      <c r="E17" s="6"/>
      <c r="F17" s="6"/>
      <c r="G17" s="6"/>
    </row>
    <row r="18" customFormat="false" ht="15" hidden="false" customHeight="false" outlineLevel="0" collapsed="false">
      <c r="A18" s="6"/>
      <c r="B18" s="9" t="s">
        <v>82</v>
      </c>
      <c r="C18" s="10"/>
      <c r="D18" s="10"/>
      <c r="E18" s="10"/>
      <c r="F18" s="10"/>
      <c r="G18" s="10"/>
    </row>
    <row r="19" customFormat="false" ht="15" hidden="false" customHeight="false" outlineLevel="0" collapsed="false">
      <c r="A19" s="6"/>
      <c r="B19" s="24" t="s">
        <v>83</v>
      </c>
      <c r="C19" s="25" t="n">
        <v>1.2</v>
      </c>
      <c r="D19" s="26" t="s">
        <v>84</v>
      </c>
      <c r="E19" s="26" t="s">
        <v>85</v>
      </c>
      <c r="F19" s="6"/>
      <c r="G19" s="6"/>
    </row>
    <row r="20" customFormat="false" ht="15" hidden="false" customHeight="false" outlineLevel="0" collapsed="false">
      <c r="A20" s="6"/>
      <c r="B20" s="24" t="s">
        <v>86</v>
      </c>
      <c r="C20" s="25" t="n">
        <v>15</v>
      </c>
      <c r="D20" s="26" t="s">
        <v>87</v>
      </c>
      <c r="E20" s="26" t="s">
        <v>88</v>
      </c>
      <c r="F20" s="6"/>
      <c r="G20" s="6"/>
    </row>
    <row r="21" customFormat="false" ht="15" hidden="false" customHeight="false" outlineLevel="0" collapsed="false">
      <c r="A21" s="6"/>
      <c r="B21" s="24" t="s">
        <v>89</v>
      </c>
      <c r="C21" s="25" t="n">
        <v>16</v>
      </c>
      <c r="D21" s="26" t="s">
        <v>90</v>
      </c>
      <c r="E21" s="26" t="s">
        <v>91</v>
      </c>
      <c r="F21" s="6"/>
      <c r="G21" s="6"/>
    </row>
    <row r="22" customFormat="false" ht="15" hidden="false" customHeight="false" outlineLevel="0" collapsed="false">
      <c r="A22" s="6"/>
      <c r="B22" s="24" t="s">
        <v>92</v>
      </c>
      <c r="C22" s="27" t="n">
        <v>0.03</v>
      </c>
      <c r="D22" s="26" t="s">
        <v>73</v>
      </c>
      <c r="E22" s="26" t="s">
        <v>93</v>
      </c>
      <c r="F22" s="6"/>
      <c r="G22" s="6"/>
    </row>
    <row r="23" customFormat="false" ht="15" hidden="false" customHeight="false" outlineLevel="0" collapsed="false">
      <c r="A23" s="6"/>
      <c r="B23" s="24" t="s">
        <v>94</v>
      </c>
      <c r="C23" s="27" t="n">
        <v>0.45</v>
      </c>
      <c r="D23" s="26" t="s">
        <v>73</v>
      </c>
      <c r="E23" s="26" t="s">
        <v>95</v>
      </c>
      <c r="F23" s="6"/>
      <c r="G23" s="6"/>
    </row>
    <row r="24" customFormat="false" ht="15" hidden="false" customHeight="false" outlineLevel="0" collapsed="false">
      <c r="A24" s="6"/>
      <c r="B24" s="24" t="s">
        <v>96</v>
      </c>
      <c r="C24" s="27" t="n">
        <v>0.2</v>
      </c>
      <c r="D24" s="26" t="s">
        <v>73</v>
      </c>
      <c r="E24" s="26" t="s">
        <v>97</v>
      </c>
      <c r="F24" s="6"/>
      <c r="G24" s="6"/>
    </row>
    <row r="25" customFormat="false" ht="15" hidden="false" customHeight="false" outlineLevel="0" collapsed="false">
      <c r="A25" s="6"/>
      <c r="B25" s="24" t="s">
        <v>98</v>
      </c>
      <c r="C25" s="27" t="n">
        <v>0.1</v>
      </c>
      <c r="D25" s="26" t="s">
        <v>73</v>
      </c>
      <c r="E25" s="26" t="s">
        <v>99</v>
      </c>
      <c r="F25" s="6"/>
      <c r="G25" s="6"/>
    </row>
    <row r="26" customFormat="false" ht="15" hidden="false" customHeight="false" outlineLevel="0" collapsed="false">
      <c r="A26" s="6"/>
      <c r="B26" s="24" t="s">
        <v>100</v>
      </c>
      <c r="C26" s="27" t="n">
        <v>0.25</v>
      </c>
      <c r="D26" s="26" t="s">
        <v>73</v>
      </c>
      <c r="E26" s="26" t="s">
        <v>101</v>
      </c>
      <c r="F26" s="6"/>
      <c r="G26" s="6"/>
    </row>
    <row r="27" customFormat="false" ht="15" hidden="false" customHeight="false" outlineLevel="0" collapsed="false">
      <c r="A27" s="6"/>
      <c r="B27" s="24" t="s">
        <v>102</v>
      </c>
      <c r="C27" s="25" t="n">
        <v>30</v>
      </c>
      <c r="D27" s="26" t="s">
        <v>103</v>
      </c>
      <c r="E27" s="26" t="s">
        <v>104</v>
      </c>
      <c r="F27" s="6"/>
      <c r="G27" s="6"/>
    </row>
    <row r="28" customFormat="false" ht="15" hidden="false" customHeight="false" outlineLevel="0" collapsed="false">
      <c r="A28" s="6"/>
      <c r="B28" s="24" t="s">
        <v>105</v>
      </c>
      <c r="C28" s="25" t="n">
        <v>7</v>
      </c>
      <c r="D28" s="26" t="s">
        <v>103</v>
      </c>
      <c r="E28" s="26" t="s">
        <v>106</v>
      </c>
      <c r="F28" s="6"/>
      <c r="G28" s="6"/>
    </row>
    <row r="29" customFormat="false" ht="15" hidden="false" customHeight="false" outlineLevel="0" collapsed="false">
      <c r="A29" s="6"/>
      <c r="B29" s="24" t="s">
        <v>107</v>
      </c>
      <c r="C29" s="27" t="n">
        <v>0.05</v>
      </c>
      <c r="D29" s="26" t="s">
        <v>73</v>
      </c>
      <c r="E29" s="26" t="s">
        <v>108</v>
      </c>
      <c r="F29" s="6"/>
      <c r="G29" s="6"/>
    </row>
    <row r="30" customFormat="false" ht="15" hidden="false" customHeight="false" outlineLevel="0" collapsed="false">
      <c r="A30" s="6"/>
      <c r="B30" s="24" t="s">
        <v>109</v>
      </c>
      <c r="C30" s="25" t="n">
        <v>300</v>
      </c>
      <c r="D30" s="26" t="s">
        <v>110</v>
      </c>
      <c r="E30" s="26" t="s">
        <v>111</v>
      </c>
      <c r="F30" s="6"/>
      <c r="G30" s="6"/>
    </row>
    <row r="31" customFormat="false" ht="15" hidden="false" customHeight="false" outlineLevel="0" collapsed="false">
      <c r="A31" s="6"/>
      <c r="B31" s="6"/>
      <c r="C31" s="6"/>
      <c r="D31" s="6"/>
      <c r="E31" s="6"/>
      <c r="F31" s="6"/>
      <c r="G31" s="6"/>
    </row>
    <row r="32" customFormat="false" ht="15" hidden="false" customHeight="false" outlineLevel="0" collapsed="false">
      <c r="A32" s="6"/>
      <c r="B32" s="9" t="s">
        <v>112</v>
      </c>
      <c r="C32" s="10"/>
      <c r="D32" s="10"/>
      <c r="E32" s="10"/>
      <c r="F32" s="10"/>
      <c r="G32" s="10"/>
    </row>
    <row r="33" customFormat="false" ht="15" hidden="false" customHeight="false" outlineLevel="0" collapsed="false">
      <c r="A33" s="6"/>
      <c r="B33" s="24" t="s">
        <v>113</v>
      </c>
      <c r="C33" s="27" t="n">
        <v>0.35</v>
      </c>
      <c r="D33" s="26" t="s">
        <v>114</v>
      </c>
      <c r="E33" s="26" t="s">
        <v>115</v>
      </c>
      <c r="F33" s="6"/>
      <c r="G33" s="6"/>
    </row>
    <row r="34" customFormat="false" ht="15" hidden="false" customHeight="false" outlineLevel="0" collapsed="false">
      <c r="A34" s="6"/>
      <c r="B34" s="24" t="s">
        <v>116</v>
      </c>
      <c r="C34" s="25" t="n">
        <v>3.5</v>
      </c>
      <c r="D34" s="26" t="s">
        <v>117</v>
      </c>
      <c r="E34" s="26" t="s">
        <v>118</v>
      </c>
      <c r="F34" s="6"/>
      <c r="G34" s="6"/>
    </row>
    <row r="35" customFormat="false" ht="15" hidden="false" customHeight="false" outlineLevel="0" collapsed="false">
      <c r="A35" s="6"/>
      <c r="B35" s="24" t="s">
        <v>119</v>
      </c>
      <c r="C35" s="25" t="n">
        <v>120</v>
      </c>
      <c r="D35" s="26" t="s">
        <v>120</v>
      </c>
      <c r="E35" s="26" t="s">
        <v>121</v>
      </c>
      <c r="F35" s="6"/>
      <c r="G35" s="6"/>
    </row>
    <row r="36" customFormat="false" ht="15" hidden="false" customHeight="false" outlineLevel="0" collapsed="false">
      <c r="A36" s="6"/>
      <c r="B36" s="24" t="s">
        <v>122</v>
      </c>
      <c r="C36" s="25" t="n">
        <v>3000</v>
      </c>
      <c r="D36" s="26" t="s">
        <v>123</v>
      </c>
      <c r="E36" s="26" t="s">
        <v>124</v>
      </c>
      <c r="F36" s="6"/>
      <c r="G36" s="6"/>
    </row>
    <row r="37" customFormat="false" ht="15" hidden="false" customHeight="false" outlineLevel="0" collapsed="false">
      <c r="A37" s="6"/>
      <c r="B37" s="24" t="s">
        <v>125</v>
      </c>
      <c r="C37" s="25" t="n">
        <v>1500</v>
      </c>
      <c r="D37" s="26" t="s">
        <v>123</v>
      </c>
      <c r="E37" s="26" t="s">
        <v>126</v>
      </c>
      <c r="F37" s="6"/>
      <c r="G37" s="6"/>
    </row>
    <row r="38" customFormat="false" ht="15" hidden="false" customHeight="false" outlineLevel="0" collapsed="false">
      <c r="A38" s="6"/>
      <c r="B38" s="24" t="s">
        <v>127</v>
      </c>
      <c r="C38" s="25" t="n">
        <v>120000</v>
      </c>
      <c r="D38" s="26" t="s">
        <v>90</v>
      </c>
      <c r="E38" s="26" t="s">
        <v>128</v>
      </c>
      <c r="F38" s="6"/>
      <c r="G38" s="6"/>
    </row>
    <row r="39" customFormat="false" ht="15" hidden="false" customHeight="false" outlineLevel="0" collapsed="false">
      <c r="A39" s="6"/>
      <c r="B39" s="24" t="s">
        <v>129</v>
      </c>
      <c r="C39" s="25" t="n">
        <v>600</v>
      </c>
      <c r="D39" s="26" t="s">
        <v>123</v>
      </c>
      <c r="E39" s="26" t="s">
        <v>130</v>
      </c>
      <c r="F39" s="6"/>
      <c r="G39" s="6"/>
    </row>
    <row r="40" customFormat="false" ht="15" hidden="false" customHeight="false" outlineLevel="0" collapsed="false">
      <c r="A40" s="6"/>
      <c r="B40" s="24" t="s">
        <v>131</v>
      </c>
      <c r="C40" s="25" t="n">
        <v>500</v>
      </c>
      <c r="D40" s="26" t="s">
        <v>132</v>
      </c>
      <c r="E40" s="26" t="s">
        <v>133</v>
      </c>
      <c r="F40" s="6"/>
      <c r="G40" s="6"/>
    </row>
    <row r="41" customFormat="false" ht="15" hidden="false" customHeight="false" outlineLevel="0" collapsed="false">
      <c r="A41" s="6"/>
      <c r="B41" s="24" t="s">
        <v>134</v>
      </c>
      <c r="C41" s="27" t="n">
        <v>0.025</v>
      </c>
      <c r="D41" s="26" t="s">
        <v>73</v>
      </c>
      <c r="E41" s="26" t="s">
        <v>135</v>
      </c>
      <c r="F41" s="6"/>
      <c r="G41" s="6"/>
    </row>
    <row r="42" customFormat="false" ht="15" hidden="false" customHeight="false" outlineLevel="0" collapsed="false">
      <c r="A42" s="6"/>
      <c r="B42" s="6"/>
      <c r="C42" s="6"/>
      <c r="D42" s="6"/>
      <c r="E42" s="6"/>
      <c r="F42" s="6"/>
      <c r="G42" s="6"/>
    </row>
    <row r="43" customFormat="false" ht="15" hidden="false" customHeight="false" outlineLevel="0" collapsed="false">
      <c r="A43" s="6"/>
      <c r="B43" s="9" t="s">
        <v>20</v>
      </c>
      <c r="C43" s="10"/>
      <c r="D43" s="10"/>
      <c r="E43" s="10"/>
      <c r="F43" s="10"/>
      <c r="G43" s="10"/>
    </row>
    <row r="44" customFormat="false" ht="15" hidden="false" customHeight="false" outlineLevel="0" collapsed="false">
      <c r="A44" s="6"/>
      <c r="B44" s="24" t="s">
        <v>136</v>
      </c>
      <c r="C44" s="25" t="n">
        <v>45</v>
      </c>
      <c r="D44" s="26" t="s">
        <v>70</v>
      </c>
      <c r="E44" s="26" t="s">
        <v>137</v>
      </c>
      <c r="F44" s="6"/>
      <c r="G44" s="6"/>
    </row>
    <row r="45" customFormat="false" ht="15" hidden="false" customHeight="false" outlineLevel="0" collapsed="false">
      <c r="A45" s="6"/>
      <c r="B45" s="24" t="s">
        <v>138</v>
      </c>
      <c r="C45" s="25" t="n">
        <v>50</v>
      </c>
      <c r="D45" s="26" t="s">
        <v>70</v>
      </c>
      <c r="E45" s="26" t="s">
        <v>139</v>
      </c>
      <c r="F45" s="6"/>
      <c r="G45" s="6"/>
    </row>
    <row r="46" customFormat="false" ht="15" hidden="false" customHeight="false" outlineLevel="0" collapsed="false">
      <c r="A46" s="6"/>
      <c r="B46" s="24" t="s">
        <v>140</v>
      </c>
      <c r="C46" s="25" t="n">
        <v>3</v>
      </c>
      <c r="D46" s="26" t="s">
        <v>141</v>
      </c>
      <c r="E46" s="26" t="s">
        <v>142</v>
      </c>
      <c r="F46" s="6"/>
      <c r="G46" s="6"/>
    </row>
    <row r="47" customFormat="false" ht="15" hidden="false" customHeight="false" outlineLevel="0" collapsed="false">
      <c r="A47" s="6"/>
      <c r="B47" s="24" t="s">
        <v>143</v>
      </c>
      <c r="C47" s="25" t="n">
        <v>30000</v>
      </c>
      <c r="D47" s="26" t="s">
        <v>123</v>
      </c>
      <c r="E47" s="26"/>
      <c r="F47" s="6"/>
      <c r="G47" s="6"/>
    </row>
    <row r="48" customFormat="false" ht="15" hidden="false" customHeight="false" outlineLevel="0" collapsed="false">
      <c r="A48" s="6"/>
      <c r="B48" s="24" t="s">
        <v>144</v>
      </c>
      <c r="C48" s="25" t="n">
        <v>35000</v>
      </c>
      <c r="D48" s="26" t="s">
        <v>123</v>
      </c>
      <c r="E48" s="26"/>
      <c r="F48" s="6"/>
      <c r="G48" s="6"/>
    </row>
    <row r="49" customFormat="false" ht="15" hidden="false" customHeight="false" outlineLevel="0" collapsed="false">
      <c r="A49" s="6"/>
      <c r="B49" s="24" t="s">
        <v>145</v>
      </c>
      <c r="C49" s="25" t="n">
        <v>55000</v>
      </c>
      <c r="D49" s="26" t="s">
        <v>123</v>
      </c>
      <c r="E49" s="26" t="s">
        <v>146</v>
      </c>
      <c r="F49" s="6"/>
      <c r="G49" s="6"/>
    </row>
    <row r="50" customFormat="false" ht="15" hidden="false" customHeight="false" outlineLevel="0" collapsed="false">
      <c r="A50" s="6"/>
      <c r="B50" s="24" t="s">
        <v>147</v>
      </c>
      <c r="C50" s="27" t="n">
        <v>0.15</v>
      </c>
      <c r="D50" s="26" t="s">
        <v>73</v>
      </c>
      <c r="E50" s="26" t="s">
        <v>148</v>
      </c>
      <c r="F50" s="6"/>
      <c r="G50" s="6"/>
    </row>
    <row r="51" customFormat="false" ht="15" hidden="false" customHeight="false" outlineLevel="0" collapsed="false">
      <c r="A51" s="6"/>
      <c r="B51" s="24" t="s">
        <v>149</v>
      </c>
      <c r="C51" s="27" t="n">
        <v>0.03</v>
      </c>
      <c r="D51" s="26" t="s">
        <v>73</v>
      </c>
      <c r="E51" s="26" t="s">
        <v>150</v>
      </c>
      <c r="F51" s="6"/>
      <c r="G51" s="6"/>
    </row>
    <row r="52" customFormat="false" ht="15" hidden="false" customHeight="false" outlineLevel="0" collapsed="false">
      <c r="A52" s="6"/>
      <c r="B52" s="6"/>
      <c r="C52" s="6"/>
      <c r="D52" s="6"/>
      <c r="E52" s="6"/>
      <c r="F52" s="6"/>
      <c r="G52" s="6"/>
    </row>
    <row r="53" customFormat="false" ht="15" hidden="false" customHeight="false" outlineLevel="0" collapsed="false">
      <c r="A53" s="6"/>
      <c r="B53" s="9" t="s">
        <v>151</v>
      </c>
      <c r="C53" s="10"/>
      <c r="D53" s="10"/>
      <c r="E53" s="10"/>
      <c r="F53" s="10"/>
      <c r="G53" s="10"/>
    </row>
    <row r="54" customFormat="false" ht="15" hidden="false" customHeight="false" outlineLevel="0" collapsed="false">
      <c r="A54" s="6"/>
      <c r="B54" s="24" t="s">
        <v>152</v>
      </c>
      <c r="C54" s="25" t="n">
        <v>42000</v>
      </c>
      <c r="D54" s="26" t="s">
        <v>90</v>
      </c>
      <c r="E54" s="26" t="s">
        <v>153</v>
      </c>
      <c r="F54" s="6"/>
      <c r="G54" s="6"/>
    </row>
    <row r="55" customFormat="false" ht="15" hidden="false" customHeight="false" outlineLevel="0" collapsed="false">
      <c r="A55" s="6"/>
      <c r="B55" s="24" t="s">
        <v>75</v>
      </c>
      <c r="C55" s="25" t="n">
        <v>60</v>
      </c>
      <c r="D55" s="26" t="s">
        <v>76</v>
      </c>
      <c r="E55" s="26" t="s">
        <v>154</v>
      </c>
      <c r="F55" s="6"/>
      <c r="G55" s="6"/>
    </row>
    <row r="56" customFormat="false" ht="15" hidden="false" customHeight="false" outlineLevel="0" collapsed="false">
      <c r="A56" s="6"/>
      <c r="B56" s="24" t="s">
        <v>155</v>
      </c>
      <c r="C56" s="27" t="n">
        <v>0.25</v>
      </c>
      <c r="D56" s="26" t="s">
        <v>73</v>
      </c>
      <c r="E56" s="26" t="s">
        <v>156</v>
      </c>
      <c r="F56" s="6"/>
      <c r="G56" s="6"/>
    </row>
    <row r="57" customFormat="false" ht="15" hidden="false" customHeight="false" outlineLevel="0" collapsed="false">
      <c r="A57" s="6"/>
      <c r="B57" s="24" t="s">
        <v>157</v>
      </c>
      <c r="C57" s="25" t="n">
        <v>2000</v>
      </c>
      <c r="D57" s="26" t="s">
        <v>90</v>
      </c>
      <c r="E57" s="26" t="s">
        <v>158</v>
      </c>
      <c r="F57" s="6"/>
      <c r="G57" s="6"/>
    </row>
    <row r="58" customFormat="false" ht="15" hidden="false" customHeight="false" outlineLevel="0" collapsed="false">
      <c r="A58" s="6"/>
      <c r="B58" s="24" t="s">
        <v>159</v>
      </c>
      <c r="C58" s="25" t="n">
        <v>2</v>
      </c>
      <c r="D58" s="26" t="s">
        <v>160</v>
      </c>
      <c r="E58" s="26" t="s">
        <v>161</v>
      </c>
      <c r="F58" s="6"/>
      <c r="G58" s="6"/>
    </row>
    <row r="59" customFormat="false" ht="15" hidden="false" customHeight="false" outlineLevel="0" collapsed="false">
      <c r="A59" s="6"/>
      <c r="B59" s="24" t="s">
        <v>162</v>
      </c>
      <c r="C59" s="25" t="n">
        <v>120</v>
      </c>
      <c r="D59" s="26" t="s">
        <v>76</v>
      </c>
      <c r="E59" s="26" t="s">
        <v>163</v>
      </c>
      <c r="F59" s="6"/>
      <c r="G59" s="6"/>
    </row>
    <row r="60" customFormat="false" ht="15" hidden="false" customHeight="false" outlineLevel="0" collapsed="false">
      <c r="A60" s="6"/>
      <c r="B60" s="6"/>
      <c r="C60" s="6"/>
      <c r="D60" s="6"/>
      <c r="E60" s="6"/>
      <c r="F60" s="6"/>
      <c r="G60" s="6"/>
    </row>
    <row r="61" customFormat="false" ht="15" hidden="false" customHeight="false" outlineLevel="0" collapsed="false">
      <c r="A61" s="6"/>
      <c r="B61" s="9" t="s">
        <v>164</v>
      </c>
      <c r="C61" s="10"/>
      <c r="D61" s="10"/>
      <c r="E61" s="10"/>
      <c r="F61" s="10"/>
      <c r="G61" s="10"/>
    </row>
    <row r="62" customFormat="false" ht="15" hidden="false" customHeight="false" outlineLevel="0" collapsed="false">
      <c r="A62" s="6"/>
      <c r="B62" s="24" t="s">
        <v>165</v>
      </c>
      <c r="C62" s="27" t="n">
        <v>0.8</v>
      </c>
      <c r="D62" s="26" t="s">
        <v>73</v>
      </c>
      <c r="E62" s="26" t="s">
        <v>166</v>
      </c>
      <c r="F62" s="6"/>
      <c r="G62" s="6"/>
    </row>
    <row r="63" customFormat="false" ht="15" hidden="false" customHeight="false" outlineLevel="0" collapsed="false">
      <c r="A63" s="6"/>
      <c r="B63" s="24" t="s">
        <v>167</v>
      </c>
      <c r="C63" s="25" t="n">
        <v>48</v>
      </c>
      <c r="D63" s="26" t="s">
        <v>76</v>
      </c>
      <c r="E63" s="26" t="s">
        <v>168</v>
      </c>
      <c r="F63" s="6"/>
      <c r="G63" s="6"/>
    </row>
    <row r="64" customFormat="false" ht="15" hidden="false" customHeight="false" outlineLevel="0" collapsed="false">
      <c r="A64" s="6"/>
      <c r="B64" s="24" t="s">
        <v>169</v>
      </c>
      <c r="C64" s="27" t="n">
        <v>0.085</v>
      </c>
      <c r="D64" s="26" t="s">
        <v>73</v>
      </c>
      <c r="E64" s="26" t="s">
        <v>170</v>
      </c>
      <c r="F64" s="6"/>
      <c r="G64" s="6"/>
    </row>
    <row r="65" customFormat="false" ht="15" hidden="false" customHeight="false" outlineLevel="0" collapsed="false">
      <c r="A65" s="6"/>
      <c r="B65" s="6"/>
      <c r="C65" s="6"/>
      <c r="D65" s="6"/>
      <c r="E65" s="6"/>
      <c r="F65" s="6"/>
      <c r="G65" s="6"/>
    </row>
    <row r="66" customFormat="false" ht="15" hidden="false" customHeight="false" outlineLevel="0" collapsed="false">
      <c r="A66" s="6"/>
      <c r="B66" s="9" t="s">
        <v>171</v>
      </c>
      <c r="C66" s="10"/>
      <c r="D66" s="10"/>
      <c r="E66" s="10"/>
      <c r="F66" s="10"/>
      <c r="G66" s="10"/>
    </row>
    <row r="67" customFormat="false" ht="15" hidden="false" customHeight="false" outlineLevel="0" collapsed="false">
      <c r="A67" s="6"/>
      <c r="B67" s="24" t="s">
        <v>172</v>
      </c>
      <c r="C67" s="27" t="n">
        <v>0.25</v>
      </c>
      <c r="D67" s="26" t="s">
        <v>73</v>
      </c>
      <c r="E67" s="26" t="s">
        <v>173</v>
      </c>
      <c r="F67" s="6"/>
      <c r="G67" s="6"/>
    </row>
    <row r="68" customFormat="false" ht="15" hidden="false" customHeight="false" outlineLevel="0" collapsed="false">
      <c r="A68" s="6"/>
      <c r="B68" s="24" t="s">
        <v>174</v>
      </c>
      <c r="C68" s="27" t="n">
        <v>0.12</v>
      </c>
      <c r="D68" s="26" t="s">
        <v>73</v>
      </c>
      <c r="E68" s="26" t="s">
        <v>175</v>
      </c>
      <c r="F68" s="6"/>
      <c r="G68" s="6"/>
    </row>
    <row r="69" customFormat="false" ht="15" hidden="false" customHeight="false" outlineLevel="0" collapsed="false">
      <c r="A69" s="6"/>
      <c r="B69" s="24" t="s">
        <v>176</v>
      </c>
      <c r="C69" s="27" t="n">
        <v>0.02</v>
      </c>
      <c r="D69" s="26" t="s">
        <v>73</v>
      </c>
      <c r="E69" s="26" t="s">
        <v>177</v>
      </c>
      <c r="F69" s="6"/>
      <c r="G69" s="6"/>
    </row>
    <row r="70" customFormat="false" ht="15" hidden="false" customHeight="false" outlineLevel="0" collapsed="false">
      <c r="A70" s="6"/>
      <c r="B70" s="24" t="s">
        <v>178</v>
      </c>
      <c r="C70" s="25" t="n">
        <v>35</v>
      </c>
      <c r="D70" s="26" t="s">
        <v>103</v>
      </c>
      <c r="E70" s="26" t="s">
        <v>179</v>
      </c>
      <c r="F70" s="6"/>
      <c r="G70" s="6"/>
    </row>
    <row r="71" customFormat="false" ht="15" hidden="false" customHeight="false" outlineLevel="0" collapsed="false">
      <c r="A71" s="6"/>
      <c r="B71" s="6"/>
      <c r="C71" s="6"/>
      <c r="D71" s="6"/>
      <c r="E71" s="6"/>
      <c r="F71" s="6"/>
      <c r="G71" s="6"/>
    </row>
    <row r="72" customFormat="false" ht="15" hidden="false" customHeight="false" outlineLevel="0" collapsed="false">
      <c r="A72" s="6"/>
      <c r="B72" s="9" t="s">
        <v>180</v>
      </c>
      <c r="C72" s="10"/>
      <c r="D72" s="10"/>
      <c r="E72" s="10"/>
      <c r="F72" s="10"/>
      <c r="G72" s="10"/>
    </row>
    <row r="73" customFormat="false" ht="15" hidden="false" customHeight="false" outlineLevel="0" collapsed="false">
      <c r="A73" s="6"/>
      <c r="B73" s="24" t="s">
        <v>181</v>
      </c>
      <c r="C73" s="25" t="n">
        <v>500000</v>
      </c>
      <c r="D73" s="26" t="s">
        <v>90</v>
      </c>
      <c r="E73" s="26" t="s">
        <v>182</v>
      </c>
      <c r="F73" s="6"/>
      <c r="G73" s="6"/>
    </row>
    <row r="74" customFormat="false" ht="15" hidden="false" customHeight="false" outlineLevel="0" collapsed="false">
      <c r="A74" s="6"/>
      <c r="B74" s="24" t="s">
        <v>183</v>
      </c>
      <c r="C74" s="25" t="n">
        <v>1000000</v>
      </c>
      <c r="D74" s="26" t="s">
        <v>90</v>
      </c>
      <c r="E74" s="26" t="s">
        <v>184</v>
      </c>
      <c r="F74" s="6"/>
      <c r="G74" s="6"/>
    </row>
    <row r="75" customFormat="false" ht="15" hidden="false" customHeight="false" outlineLevel="0" collapsed="false">
      <c r="A75" s="6"/>
      <c r="B75" s="24" t="s">
        <v>185</v>
      </c>
      <c r="C75" s="25" t="n">
        <v>0</v>
      </c>
      <c r="D75" s="26" t="s">
        <v>90</v>
      </c>
      <c r="E75" s="26" t="s">
        <v>186</v>
      </c>
      <c r="F75" s="6"/>
      <c r="G75"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190</v>
      </c>
      <c r="C8" s="10"/>
      <c r="D8" s="10"/>
      <c r="E8" s="10"/>
      <c r="F8" s="10"/>
      <c r="G8" s="10"/>
    </row>
    <row r="9" customFormat="false" ht="15" hidden="false" customHeight="false" outlineLevel="0" collapsed="false">
      <c r="A9" s="6"/>
      <c r="B9" s="24" t="s">
        <v>191</v>
      </c>
      <c r="C9" s="32" t="n">
        <f aca="false">Starting_Fleet</f>
        <v>100</v>
      </c>
      <c r="D9" s="32" t="n">
        <f aca="false">C12</f>
        <v>110</v>
      </c>
      <c r="E9" s="32" t="n">
        <f aca="false">D12</f>
        <v>121</v>
      </c>
      <c r="F9" s="32" t="n">
        <f aca="false">E12</f>
        <v>133</v>
      </c>
      <c r="G9" s="32" t="n">
        <f aca="false">F12</f>
        <v>146</v>
      </c>
    </row>
    <row r="10" customFormat="false" ht="15" hidden="false" customHeight="false" outlineLevel="0" collapsed="false">
      <c r="A10" s="6"/>
      <c r="B10" s="33" t="s">
        <v>192</v>
      </c>
      <c r="C10" s="32" t="n">
        <f aca="false">ROUND(C9*Fleet_Growth,0)</f>
        <v>10</v>
      </c>
      <c r="D10" s="32" t="n">
        <f aca="false">ROUND(D9*Fleet_Growth,0)</f>
        <v>11</v>
      </c>
      <c r="E10" s="32" t="n">
        <f aca="false">ROUND(E9*Fleet_Growth,0)</f>
        <v>12</v>
      </c>
      <c r="F10" s="32" t="n">
        <f aca="false">ROUND(F9*Fleet_Growth,0)</f>
        <v>13</v>
      </c>
      <c r="G10" s="32" t="n">
        <f aca="false">ROUND(G9*Fleet_Growth,0)</f>
        <v>15</v>
      </c>
    </row>
    <row r="11" customFormat="false" ht="15" hidden="false" customHeight="false" outlineLevel="0" collapsed="false">
      <c r="A11" s="6"/>
      <c r="B11" s="33" t="s">
        <v>193</v>
      </c>
      <c r="C11" s="32" t="n">
        <f aca="false">0</f>
        <v>0</v>
      </c>
      <c r="D11" s="32" t="n">
        <f aca="false">IF(D6&gt;=ROUND(Retirement_Age/12,0),C10,0)</f>
        <v>0</v>
      </c>
      <c r="E11" s="32" t="n">
        <f aca="false">IF(E6&gt;=ROUND(Retirement_Age/12,0),C10,0)</f>
        <v>0</v>
      </c>
      <c r="F11" s="32" t="n">
        <f aca="false">IF(F6&gt;=ROUND(Retirement_Age/12,0),C10,0)</f>
        <v>0</v>
      </c>
      <c r="G11" s="32" t="n">
        <f aca="false">IF(G6&gt;=ROUND(Retirement_Age/12,0),C10,0)</f>
        <v>10</v>
      </c>
    </row>
    <row r="12" customFormat="false" ht="15" hidden="false" customHeight="false" outlineLevel="0" collapsed="false">
      <c r="A12" s="6"/>
      <c r="B12" s="34" t="s">
        <v>194</v>
      </c>
      <c r="C12" s="35" t="n">
        <f aca="false">C9+C10-C11</f>
        <v>110</v>
      </c>
      <c r="D12" s="35" t="n">
        <f aca="false">D9+D10-D11</f>
        <v>121</v>
      </c>
      <c r="E12" s="35" t="n">
        <f aca="false">E9+E10-E11</f>
        <v>133</v>
      </c>
      <c r="F12" s="35" t="n">
        <f aca="false">F9+F10-F11</f>
        <v>146</v>
      </c>
      <c r="G12" s="35" t="n">
        <f aca="false">G9+G10-G11</f>
        <v>151</v>
      </c>
    </row>
    <row r="13" customFormat="false" ht="15" hidden="false" customHeight="false" outlineLevel="0" collapsed="false">
      <c r="A13" s="6"/>
      <c r="B13" s="9" t="s">
        <v>195</v>
      </c>
      <c r="C13" s="10"/>
      <c r="D13" s="10"/>
      <c r="E13" s="10"/>
      <c r="F13" s="10"/>
      <c r="G13" s="10"/>
    </row>
    <row r="14" customFormat="false" ht="15" hidden="false" customHeight="false" outlineLevel="0" collapsed="false">
      <c r="A14" s="6"/>
      <c r="B14" s="33" t="s">
        <v>196</v>
      </c>
      <c r="C14" s="32" t="n">
        <f aca="false">ROUND(C12*Downtime_Pct,0)</f>
        <v>9</v>
      </c>
      <c r="D14" s="32" t="n">
        <f aca="false">ROUND(D12*Downtime_Pct,0)</f>
        <v>10</v>
      </c>
      <c r="E14" s="32" t="n">
        <f aca="false">ROUND(E12*Downtime_Pct,0)</f>
        <v>11</v>
      </c>
      <c r="F14" s="32" t="n">
        <f aca="false">ROUND(F12*Downtime_Pct,0)</f>
        <v>12</v>
      </c>
      <c r="G14" s="32" t="n">
        <f aca="false">ROUND(G12*Downtime_Pct,0)</f>
        <v>12</v>
      </c>
    </row>
    <row r="15" customFormat="false" ht="15" hidden="false" customHeight="false" outlineLevel="0" collapsed="false">
      <c r="A15" s="6"/>
      <c r="B15" s="34" t="s">
        <v>195</v>
      </c>
      <c r="C15" s="35" t="n">
        <f aca="false">C12-C14</f>
        <v>101</v>
      </c>
      <c r="D15" s="35" t="n">
        <f aca="false">D12-D14</f>
        <v>111</v>
      </c>
      <c r="E15" s="35" t="n">
        <f aca="false">E12-E14</f>
        <v>122</v>
      </c>
      <c r="F15" s="35" t="n">
        <f aca="false">F12-F14</f>
        <v>134</v>
      </c>
      <c r="G15" s="35" t="n">
        <f aca="false">G12-G14</f>
        <v>139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199</v>
      </c>
      <c r="C8" s="10"/>
      <c r="D8" s="10"/>
      <c r="E8" s="10"/>
      <c r="F8" s="10"/>
      <c r="G8" s="10"/>
    </row>
    <row r="9" customFormat="false" ht="15" hidden="false" customHeight="false" outlineLevel="0" collapsed="false">
      <c r="A9" s="6"/>
      <c r="B9" s="24" t="s">
        <v>195</v>
      </c>
      <c r="C9" s="32" t="n">
        <f aca="false">FB_Active</f>
        <v>101</v>
      </c>
      <c r="D9" s="32" t="n">
        <f aca="false">FB_Active</f>
        <v>111</v>
      </c>
      <c r="E9" s="32" t="n">
        <f aca="false">FB_Active</f>
        <v>122</v>
      </c>
      <c r="F9" s="32" t="n">
        <f aca="false">FB_Active</f>
        <v>134</v>
      </c>
      <c r="G9" s="32" t="n">
        <f aca="false">FB_Active</f>
        <v>139</v>
      </c>
    </row>
    <row r="10" customFormat="false" ht="15" hidden="false" customHeight="false" outlineLevel="0" collapsed="false">
      <c r="A10" s="6"/>
      <c r="B10" s="24" t="s">
        <v>83</v>
      </c>
      <c r="C10" s="36" t="n">
        <f aca="false">Shifts_Per_Day</f>
        <v>1.2</v>
      </c>
      <c r="D10" s="36" t="n">
        <f aca="false">Shifts_Per_Day</f>
        <v>1.2</v>
      </c>
      <c r="E10" s="36" t="n">
        <f aca="false">Shifts_Per_Day</f>
        <v>1.2</v>
      </c>
      <c r="F10" s="36" t="n">
        <f aca="false">Shifts_Per_Day</f>
        <v>1.2</v>
      </c>
      <c r="G10" s="36" t="n">
        <f aca="false">Shifts_Per_Day</f>
        <v>1.2</v>
      </c>
    </row>
    <row r="11" customFormat="false" ht="15" hidden="false" customHeight="false" outlineLevel="0" collapsed="false">
      <c r="A11" s="6"/>
      <c r="B11" s="24" t="s">
        <v>86</v>
      </c>
      <c r="C11" s="32" t="n">
        <f aca="false">Trips_Per_Shift</f>
        <v>15</v>
      </c>
      <c r="D11" s="32" t="n">
        <f aca="false">Trips_Per_Shift</f>
        <v>15</v>
      </c>
      <c r="E11" s="32" t="n">
        <f aca="false">Trips_Per_Shift</f>
        <v>15</v>
      </c>
      <c r="F11" s="32" t="n">
        <f aca="false">Trips_Per_Shift</f>
        <v>15</v>
      </c>
      <c r="G11" s="32" t="n">
        <f aca="false">Trips_Per_Shift</f>
        <v>15</v>
      </c>
    </row>
    <row r="12" customFormat="false" ht="15" hidden="false" customHeight="false" outlineLevel="0" collapsed="false">
      <c r="A12" s="6"/>
      <c r="B12" s="24" t="s">
        <v>200</v>
      </c>
      <c r="C12" s="32" t="n">
        <f aca="false">C9*C10*C11*365</f>
        <v>663570</v>
      </c>
      <c r="D12" s="32" t="n">
        <f aca="false">D9*D10*D11*365</f>
        <v>729270</v>
      </c>
      <c r="E12" s="32" t="n">
        <f aca="false">E9*E10*E11*365</f>
        <v>801540</v>
      </c>
      <c r="F12" s="32" t="n">
        <f aca="false">F9*F10*F11*365</f>
        <v>880380</v>
      </c>
      <c r="G12" s="32" t="n">
        <f aca="false">G9*G10*G11*365</f>
        <v>913230</v>
      </c>
    </row>
    <row r="13" customFormat="false" ht="15" hidden="false" customHeight="false" outlineLevel="0" collapsed="false">
      <c r="A13" s="6"/>
      <c r="B13" s="24" t="s">
        <v>89</v>
      </c>
      <c r="C13" s="37" t="n">
        <f aca="false">Avg_Fare*(1+Fare_Inflation)^C6</f>
        <v>16.48</v>
      </c>
      <c r="D13" s="37" t="n">
        <f aca="false">C13*(1+Fare_Inflation)</f>
        <v>16.9744</v>
      </c>
      <c r="E13" s="37" t="n">
        <f aca="false">D13*(1+Fare_Inflation)</f>
        <v>17.483632</v>
      </c>
      <c r="F13" s="37" t="n">
        <f aca="false">E13*(1+Fare_Inflation)</f>
        <v>18.00814096</v>
      </c>
      <c r="G13" s="37" t="n">
        <f aca="false">F13*(1+Fare_Inflation)</f>
        <v>18.5483851888</v>
      </c>
    </row>
    <row r="14" customFormat="false" ht="15" hidden="false" customHeight="false" outlineLevel="0" collapsed="false">
      <c r="A14" s="6"/>
      <c r="B14" s="34" t="s">
        <v>201</v>
      </c>
      <c r="C14" s="38" t="n">
        <f aca="false">(C12-C22)*C13</f>
        <v>9842070.24</v>
      </c>
      <c r="D14" s="38" t="n">
        <f aca="false">(D12-D22)*D13</f>
        <v>11141028.6192</v>
      </c>
      <c r="E14" s="38" t="n">
        <f aca="false">(E12-E22)*E13</f>
        <v>12612447.353952</v>
      </c>
      <c r="F14" s="38" t="n">
        <f aca="false">(F12-F22)*F13</f>
        <v>14268606.4245283</v>
      </c>
      <c r="G14" s="38" t="n">
        <f aca="false">(G12-G22)*G13</f>
        <v>15245047.625371</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202</v>
      </c>
      <c r="C16" s="10"/>
      <c r="D16" s="10"/>
      <c r="E16" s="10"/>
      <c r="F16" s="10"/>
      <c r="G16" s="10"/>
    </row>
    <row r="17" customFormat="false" ht="15" hidden="false" customHeight="false" outlineLevel="0" collapsed="false">
      <c r="A17" s="6"/>
      <c r="B17" s="33" t="s">
        <v>203</v>
      </c>
      <c r="C17" s="37" t="n">
        <f aca="false">C14*Driver_Share</f>
        <v>4428931.608</v>
      </c>
      <c r="D17" s="37" t="n">
        <f aca="false">D14*Driver_Share</f>
        <v>5013462.87864</v>
      </c>
      <c r="E17" s="37" t="n">
        <f aca="false">E14*Driver_Share</f>
        <v>5675601.3092784</v>
      </c>
      <c r="F17" s="37" t="n">
        <f aca="false">F14*Driver_Share</f>
        <v>6420872.89103774</v>
      </c>
      <c r="G17" s="37" t="n">
        <f aca="false">G14*Driver_Share</f>
        <v>6860271.43141697</v>
      </c>
    </row>
    <row r="18" customFormat="false" ht="15" hidden="false" customHeight="false" outlineLevel="0" collapsed="false">
      <c r="A18" s="6"/>
      <c r="B18" s="33" t="s">
        <v>204</v>
      </c>
      <c r="C18" s="37" t="n">
        <f aca="false">C14*Platform_Commission</f>
        <v>1968414.048</v>
      </c>
      <c r="D18" s="37" t="n">
        <f aca="false">D14*Platform_Commission</f>
        <v>2228205.72384</v>
      </c>
      <c r="E18" s="37" t="n">
        <f aca="false">E14*Platform_Commission</f>
        <v>2522489.4707904</v>
      </c>
      <c r="F18" s="37" t="n">
        <f aca="false">F14*Platform_Commission</f>
        <v>2853721.28490566</v>
      </c>
      <c r="G18" s="37" t="n">
        <f aca="false">G14*Platform_Commission</f>
        <v>3049009.52507421</v>
      </c>
    </row>
    <row r="19" customFormat="false" ht="15" hidden="false" customHeight="false" outlineLevel="0" collapsed="false">
      <c r="A19" s="6"/>
      <c r="B19" s="34" t="s">
        <v>205</v>
      </c>
      <c r="C19" s="38" t="n">
        <f aca="false">C14-C17-C18</f>
        <v>3444724.584</v>
      </c>
      <c r="D19" s="38" t="n">
        <f aca="false">D14-D17-D18</f>
        <v>3899360.01672</v>
      </c>
      <c r="E19" s="38" t="n">
        <f aca="false">E14-E17-E18</f>
        <v>4414356.5738832</v>
      </c>
      <c r="F19" s="38" t="n">
        <f aca="false">F14-F17-F18</f>
        <v>4994012.24858491</v>
      </c>
      <c r="G19" s="38" t="n">
        <f aca="false">G14-G17-G18</f>
        <v>5335766.66887986</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9" t="s">
        <v>206</v>
      </c>
      <c r="C21" s="10"/>
      <c r="D21" s="10"/>
      <c r="E21" s="10"/>
      <c r="F21" s="10"/>
      <c r="G21" s="10"/>
    </row>
    <row r="22" customFormat="false" ht="15" hidden="false" customHeight="false" outlineLevel="0" collapsed="false">
      <c r="A22" s="6"/>
      <c r="B22" s="33" t="s">
        <v>207</v>
      </c>
      <c r="C22" s="32" t="n">
        <f aca="false">ROUND(C12*Corp_Account_Mix,0)</f>
        <v>66357</v>
      </c>
      <c r="D22" s="32" t="n">
        <f aca="false">ROUND(D12*Corp_Account_Mix,0)</f>
        <v>72927</v>
      </c>
      <c r="E22" s="32" t="n">
        <f aca="false">ROUND(E12*Corp_Account_Mix,0)</f>
        <v>80154</v>
      </c>
      <c r="F22" s="32" t="n">
        <f aca="false">ROUND(F12*Corp_Account_Mix,0)</f>
        <v>88038</v>
      </c>
      <c r="G22" s="32" t="n">
        <f aca="false">ROUND(G12*Corp_Account_Mix,0)</f>
        <v>91323</v>
      </c>
    </row>
    <row r="23" customFormat="false" ht="15" hidden="false" customHeight="false" outlineLevel="0" collapsed="false">
      <c r="A23" s="6"/>
      <c r="B23" s="33" t="s">
        <v>208</v>
      </c>
      <c r="C23" s="37" t="n">
        <f aca="false">C13*(1+Corp_Fare_Premium)</f>
        <v>20.6</v>
      </c>
      <c r="D23" s="37" t="n">
        <f aca="false">D13*(1+Corp_Fare_Premium)</f>
        <v>21.218</v>
      </c>
      <c r="E23" s="37" t="n">
        <f aca="false">E13*(1+Corp_Fare_Premium)</f>
        <v>21.85454</v>
      </c>
      <c r="F23" s="37" t="n">
        <f aca="false">F13*(1+Corp_Fare_Premium)</f>
        <v>22.5101762</v>
      </c>
      <c r="G23" s="37" t="n">
        <f aca="false">G13*(1+Corp_Fare_Premium)</f>
        <v>23.185481486</v>
      </c>
    </row>
    <row r="24" customFormat="false" ht="15" hidden="false" customHeight="false" outlineLevel="0" collapsed="false">
      <c r="A24" s="6"/>
      <c r="B24" s="34" t="s">
        <v>206</v>
      </c>
      <c r="C24" s="38" t="n">
        <f aca="false">C22*C23*(1-Driver_Share-Platform_Commission)</f>
        <v>478433.97</v>
      </c>
      <c r="D24" s="38" t="n">
        <f aca="false">D22*D23*(1-Driver_Share-Platform_Commission)</f>
        <v>541577.7801</v>
      </c>
      <c r="E24" s="38" t="n">
        <f aca="false">E22*E23*(1-Driver_Share-Platform_Commission)</f>
        <v>613105.079706</v>
      </c>
      <c r="F24" s="38" t="n">
        <f aca="false">F22*F23*(1-Driver_Share-Platform_Commission)</f>
        <v>693612.81230346</v>
      </c>
      <c r="G24" s="38" t="n">
        <f aca="false">G22*G23*(1-Driver_Share-Platform_Commission)</f>
        <v>741078.704011092</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9" t="s">
        <v>209</v>
      </c>
      <c r="C26" s="10"/>
      <c r="D26" s="10"/>
      <c r="E26" s="10"/>
      <c r="F26" s="10"/>
      <c r="G26" s="10"/>
    </row>
    <row r="27" customFormat="false" ht="15" hidden="false" customHeight="false" outlineLevel="0" collapsed="false">
      <c r="A27" s="6"/>
      <c r="B27" s="33" t="s">
        <v>210</v>
      </c>
      <c r="C27" s="32" t="n">
        <f aca="false">ROUND(FB_Closing*Ad_Vehicles_Pct,0)</f>
        <v>6</v>
      </c>
      <c r="D27" s="32" t="n">
        <f aca="false">ROUND(FB_Closing*Ad_Vehicles_Pct,0)</f>
        <v>6</v>
      </c>
      <c r="E27" s="32" t="n">
        <f aca="false">ROUND(FB_Closing*Ad_Vehicles_Pct,0)</f>
        <v>7</v>
      </c>
      <c r="F27" s="32" t="n">
        <f aca="false">ROUND(FB_Closing*Ad_Vehicles_Pct,0)</f>
        <v>7</v>
      </c>
      <c r="G27" s="32" t="n">
        <f aca="false">ROUND(FB_Closing*Ad_Vehicles_Pct,0)</f>
        <v>8</v>
      </c>
    </row>
    <row r="28" customFormat="false" ht="15" hidden="false" customHeight="false" outlineLevel="0" collapsed="false">
      <c r="A28" s="6"/>
      <c r="B28" s="33" t="s">
        <v>211</v>
      </c>
      <c r="C28" s="37" t="n">
        <f aca="false">Ad_Yield_Monthly</f>
        <v>300</v>
      </c>
      <c r="D28" s="37" t="n">
        <f aca="false">Ad_Yield_Monthly</f>
        <v>300</v>
      </c>
      <c r="E28" s="37" t="n">
        <f aca="false">Ad_Yield_Monthly</f>
        <v>300</v>
      </c>
      <c r="F28" s="37" t="n">
        <f aca="false">Ad_Yield_Monthly</f>
        <v>300</v>
      </c>
      <c r="G28" s="37" t="n">
        <f aca="false">Ad_Yield_Monthly</f>
        <v>300</v>
      </c>
    </row>
    <row r="29" customFormat="false" ht="15" hidden="false" customHeight="false" outlineLevel="0" collapsed="false">
      <c r="A29" s="6"/>
      <c r="B29" s="34" t="s">
        <v>209</v>
      </c>
      <c r="C29" s="38" t="n">
        <f aca="false">C27*C28*12</f>
        <v>21600</v>
      </c>
      <c r="D29" s="38" t="n">
        <f aca="false">D27*D28*12</f>
        <v>21600</v>
      </c>
      <c r="E29" s="38" t="n">
        <f aca="false">E27*E28*12</f>
        <v>25200</v>
      </c>
      <c r="F29" s="38" t="n">
        <f aca="false">F27*F28*12</f>
        <v>25200</v>
      </c>
      <c r="G29" s="38" t="n">
        <f aca="false">G27*G28*12</f>
        <v>28800</v>
      </c>
    </row>
    <row r="30" customFormat="false" ht="15" hidden="false" customHeight="false" outlineLevel="0" collapsed="false">
      <c r="A30" s="6"/>
      <c r="B30" s="9" t="s">
        <v>212</v>
      </c>
      <c r="C30" s="10"/>
      <c r="D30" s="10"/>
      <c r="E30" s="10"/>
      <c r="F30" s="10"/>
      <c r="G30" s="10"/>
    </row>
    <row r="31" customFormat="false" ht="15" hidden="false" customHeight="false" outlineLevel="0" collapsed="false">
      <c r="A31" s="6"/>
      <c r="B31" s="34" t="s">
        <v>213</v>
      </c>
      <c r="C31" s="39" t="n">
        <f aca="false">C19+C24+C29</f>
        <v>3944758.554</v>
      </c>
      <c r="D31" s="39" t="n">
        <f aca="false">D19+D24+D29</f>
        <v>4462537.79682</v>
      </c>
      <c r="E31" s="39" t="n">
        <f aca="false">E19+E24+E29</f>
        <v>5052661.6535892</v>
      </c>
      <c r="F31" s="39" t="n">
        <f aca="false">F19+F24+F29</f>
        <v>5712825.06088837</v>
      </c>
      <c r="G31" s="39" t="n">
        <f aca="false">G19+G24+G29</f>
        <v>6105645.37289096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112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215</v>
      </c>
      <c r="C8" s="10"/>
      <c r="D8" s="10"/>
      <c r="E8" s="10"/>
      <c r="F8" s="10"/>
      <c r="G8" s="10"/>
    </row>
    <row r="9" customFormat="false" ht="15" hidden="false" customHeight="false" outlineLevel="0" collapsed="false">
      <c r="A9" s="6"/>
      <c r="B9" s="33" t="s">
        <v>216</v>
      </c>
      <c r="C9" s="37" t="n">
        <f aca="false">FB_Active*Miles_Per_Shift*Shifts_Per_Day*365*(MIN(1,EV_Mix_Y1+(C6-1)*0.1)/(EV_Efficiency)*(Elec_Cost_KWH*(1+Cost_Inflation)^C6)+(1-MIN(1,EV_Mix_Y1+(C6-1)*0.1))*Elec_Cost_KWH*2.5)</f>
        <v>2184472.44</v>
      </c>
      <c r="D9" s="37" t="n">
        <f aca="false">FB_Active*Miles_Per_Shift*Shifts_Per_Day*365*(MIN(1,EV_Mix_Y1+(D6-1)*0.1)/(EV_Efficiency)*(Elec_Cost_KWH*(1+Cost_Inflation)^D6)+(1-MIN(1,EV_Mix_Y1+(D6-1)*0.1))*Elec_Cost_KWH*2.5)</f>
        <v>1960533.0045</v>
      </c>
      <c r="E9" s="37" t="n">
        <f aca="false">FB_Active*Miles_Per_Shift*Shifts_Per_Day*365*(MIN(1,EV_Mix_Y1+(E6-1)*0.1)/(EV_Efficiency)*(Elec_Cost_KWH*(1+Cost_Inflation)^E6)+(1-MIN(1,EV_Mix_Y1+(E6-1)*0.1))*Elec_Cost_KWH*2.5)</f>
        <v>1674585.3834</v>
      </c>
      <c r="F9" s="37" t="n">
        <f aca="false">FB_Active*Miles_Per_Shift*Shifts_Per_Day*365*(MIN(1,EV_Mix_Y1+(F6-1)*0.1)/(EV_Efficiency)*(Elec_Cost_KWH*(1+Cost_Inflation)^F6)+(1-MIN(1,EV_Mix_Y1+(F6-1)*0.1))*Elec_Cost_KWH*2.5)</f>
        <v>1315943.85070687</v>
      </c>
      <c r="G9" s="37" t="n">
        <f aca="false">FB_Active*Miles_Per_Shift*Shifts_Per_Day*365*(MIN(1,EV_Mix_Y1+(G6-1)*0.1)/(EV_Efficiency)*(Elec_Cost_KWH*(1+Cost_Inflation)^G6)+(1-MIN(1,EV_Mix_Y1+(G6-1)*0.1))*Elec_Cost_KWH*2.5)</f>
        <v>826588.737806484</v>
      </c>
    </row>
    <row r="10" customFormat="false" ht="15" hidden="false" customHeight="false" outlineLevel="0" collapsed="false">
      <c r="A10" s="6"/>
      <c r="B10" s="33" t="s">
        <v>217</v>
      </c>
      <c r="C10" s="37" t="n">
        <f aca="false">FB_Closing*Insurance_Per_Car*(1+Cost_Inflation)^C6</f>
        <v>338250</v>
      </c>
      <c r="D10" s="37" t="n">
        <f aca="false">FB_Closing*Insurance_Per_Car*(1+Cost_Inflation)^D6</f>
        <v>381376.875</v>
      </c>
      <c r="E10" s="37" t="n">
        <f aca="false">FB_Closing*Insurance_Per_Car*(1+Cost_Inflation)^E6</f>
        <v>429679.359375</v>
      </c>
      <c r="F10" s="37" t="n">
        <f aca="false">FB_Closing*Insurance_Per_Car*(1+Cost_Inflation)^F6</f>
        <v>483470.04609375</v>
      </c>
      <c r="G10" s="37" t="n">
        <f aca="false">FB_Closing*Insurance_Per_Car*(1+Cost_Inflation)^G6</f>
        <v>512527.920439453</v>
      </c>
    </row>
    <row r="11" customFormat="false" ht="15" hidden="false" customHeight="false" outlineLevel="0" collapsed="false">
      <c r="A11" s="6"/>
      <c r="B11" s="33" t="s">
        <v>218</v>
      </c>
      <c r="C11" s="37" t="n">
        <f aca="false">FB_Closing*Maint_Per_Car*(1+Cost_Inflation)^C6</f>
        <v>169125</v>
      </c>
      <c r="D11" s="37" t="n">
        <f aca="false">FB_Closing*Maint_Per_Car*(1+Cost_Inflation)^D6</f>
        <v>190688.4375</v>
      </c>
      <c r="E11" s="37" t="n">
        <f aca="false">FB_Closing*Maint_Per_Car*(1+Cost_Inflation)^E6</f>
        <v>214839.6796875</v>
      </c>
      <c r="F11" s="37" t="n">
        <f aca="false">FB_Closing*Maint_Per_Car*(1+Cost_Inflation)^F6</f>
        <v>241735.023046875</v>
      </c>
      <c r="G11" s="37" t="n">
        <f aca="false">FB_Closing*Maint_Per_Car*(1+Cost_Inflation)^G6</f>
        <v>256263.960219726</v>
      </c>
    </row>
    <row r="12" customFormat="false" ht="15" hidden="false" customHeight="false" outlineLevel="0" collapsed="false">
      <c r="A12" s="6"/>
      <c r="B12" s="33" t="s">
        <v>219</v>
      </c>
      <c r="C12" s="37" t="n">
        <f aca="false">Depot_Rent*(1+Cost_Inflation)^C6</f>
        <v>123000</v>
      </c>
      <c r="D12" s="37" t="n">
        <f aca="false">Depot_Rent*(1+Cost_Inflation)^D6</f>
        <v>126075</v>
      </c>
      <c r="E12" s="37" t="n">
        <f aca="false">Depot_Rent*(1+Cost_Inflation)^E6</f>
        <v>129226.875</v>
      </c>
      <c r="F12" s="37" t="n">
        <f aca="false">Depot_Rent*(1+Cost_Inflation)^F6</f>
        <v>132457.546875</v>
      </c>
      <c r="G12" s="37" t="n">
        <f aca="false">Depot_Rent*(1+Cost_Inflation)^G6</f>
        <v>135768.985546875</v>
      </c>
    </row>
    <row r="13" customFormat="false" ht="15" hidden="false" customHeight="false" outlineLevel="0" collapsed="false">
      <c r="A13" s="6"/>
      <c r="B13" s="33" t="s">
        <v>220</v>
      </c>
      <c r="C13" s="37" t="n">
        <f aca="false">FB_Closing*Tech_Licence*(1+Cost_Inflation)^C6</f>
        <v>67650</v>
      </c>
      <c r="D13" s="37" t="n">
        <f aca="false">FB_Closing*Tech_Licence*(1+Cost_Inflation)^D6</f>
        <v>76275.375</v>
      </c>
      <c r="E13" s="37" t="n">
        <f aca="false">FB_Closing*Tech_Licence*(1+Cost_Inflation)^E6</f>
        <v>85935.871875</v>
      </c>
      <c r="F13" s="37" t="n">
        <f aca="false">FB_Closing*Tech_Licence*(1+Cost_Inflation)^F6</f>
        <v>96694.00921875</v>
      </c>
      <c r="G13" s="37" t="n">
        <f aca="false">FB_Closing*Tech_Licence*(1+Cost_Inflation)^G6</f>
        <v>102505.584087891</v>
      </c>
    </row>
    <row r="14" customFormat="false" ht="15" hidden="false" customHeight="false" outlineLevel="0" collapsed="false">
      <c r="A14" s="6"/>
      <c r="B14" s="33" t="s">
        <v>131</v>
      </c>
      <c r="C14" s="37" t="n">
        <f aca="false">FB_Additions*Driver_Recruit_Cost</f>
        <v>5000</v>
      </c>
      <c r="D14" s="37" t="n">
        <f aca="false">FB_Additions*Driver_Recruit_Cost</f>
        <v>5500</v>
      </c>
      <c r="E14" s="37" t="n">
        <f aca="false">FB_Additions*Driver_Recruit_Cost</f>
        <v>6000</v>
      </c>
      <c r="F14" s="37" t="n">
        <f aca="false">FB_Additions*Driver_Recruit_Cost</f>
        <v>6500</v>
      </c>
      <c r="G14" s="37" t="n">
        <f aca="false">FB_Additions*Driver_Recruit_Cost</f>
        <v>7500</v>
      </c>
    </row>
    <row r="15" customFormat="false" ht="15" hidden="false" customHeight="false" outlineLevel="0" collapsed="false">
      <c r="A15" s="6"/>
      <c r="B15" s="34" t="s">
        <v>221</v>
      </c>
      <c r="C15" s="39" t="n">
        <f aca="false">SUM(C9:C14)</f>
        <v>2887497.44</v>
      </c>
      <c r="D15" s="39" t="n">
        <f aca="false">SUM(D9:D14)</f>
        <v>2740448.692</v>
      </c>
      <c r="E15" s="39" t="n">
        <f aca="false">SUM(E9:E14)</f>
        <v>2540267.1693375</v>
      </c>
      <c r="F15" s="39" t="n">
        <f aca="false">SUM(F9:F14)</f>
        <v>2276800.47594125</v>
      </c>
      <c r="G15" s="39" t="n">
        <f aca="false">SUM(G9:G14)</f>
        <v>1841155.18810043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223</v>
      </c>
      <c r="C8" s="10"/>
      <c r="D8" s="10"/>
      <c r="E8" s="10"/>
      <c r="F8" s="10"/>
      <c r="G8" s="10"/>
    </row>
    <row r="9" customFormat="false" ht="15" hidden="false" customHeight="false" outlineLevel="0" collapsed="false">
      <c r="A9" s="6"/>
      <c r="B9" s="33" t="s">
        <v>224</v>
      </c>
      <c r="C9" s="32" t="n">
        <f aca="false">ROUNDUP(FB_Closing/Veh_Per_Dispatcher,0)</f>
        <v>3</v>
      </c>
      <c r="D9" s="32" t="n">
        <f aca="false">ROUNDUP(FB_Closing/Veh_Per_Dispatcher,0)</f>
        <v>3</v>
      </c>
      <c r="E9" s="32" t="n">
        <f aca="false">ROUNDUP(FB_Closing/Veh_Per_Dispatcher,0)</f>
        <v>3</v>
      </c>
      <c r="F9" s="32" t="n">
        <f aca="false">ROUNDUP(FB_Closing/Veh_Per_Dispatcher,0)</f>
        <v>4</v>
      </c>
      <c r="G9" s="32" t="n">
        <f aca="false">ROUNDUP(FB_Closing/Veh_Per_Dispatcher,0)</f>
        <v>4</v>
      </c>
    </row>
    <row r="10" customFormat="false" ht="15" hidden="false" customHeight="false" outlineLevel="0" collapsed="false">
      <c r="A10" s="6"/>
      <c r="B10" s="33" t="s">
        <v>225</v>
      </c>
      <c r="C10" s="32" t="n">
        <f aca="false">ROUNDUP(FB_Closing/Veh_Per_Mechanic,0)</f>
        <v>3</v>
      </c>
      <c r="D10" s="32" t="n">
        <f aca="false">ROUNDUP(FB_Closing/Veh_Per_Mechanic,0)</f>
        <v>3</v>
      </c>
      <c r="E10" s="32" t="n">
        <f aca="false">ROUNDUP(FB_Closing/Veh_Per_Mechanic,0)</f>
        <v>3</v>
      </c>
      <c r="F10" s="32" t="n">
        <f aca="false">ROUNDUP(FB_Closing/Veh_Per_Mechanic,0)</f>
        <v>3</v>
      </c>
      <c r="G10" s="32" t="n">
        <f aca="false">ROUNDUP(FB_Closing/Veh_Per_Mechanic,0)</f>
        <v>4</v>
      </c>
    </row>
    <row r="11" customFormat="false" ht="15" hidden="false" customHeight="false" outlineLevel="0" collapsed="false">
      <c r="A11" s="6"/>
      <c r="B11" s="33" t="s">
        <v>226</v>
      </c>
      <c r="C11" s="32" t="n">
        <f aca="false">Mgmt_Headcount</f>
        <v>3</v>
      </c>
      <c r="D11" s="32" t="n">
        <f aca="false">Mgmt_Headcount</f>
        <v>3</v>
      </c>
      <c r="E11" s="32" t="n">
        <f aca="false">Mgmt_Headcount</f>
        <v>3</v>
      </c>
      <c r="F11" s="32" t="n">
        <f aca="false">Mgmt_Headcount</f>
        <v>3</v>
      </c>
      <c r="G11" s="32" t="n">
        <f aca="false">Mgmt_Headcount</f>
        <v>3</v>
      </c>
    </row>
    <row r="12" customFormat="false" ht="15" hidden="false" customHeight="false" outlineLevel="0" collapsed="false">
      <c r="A12" s="6"/>
      <c r="B12" s="34" t="s">
        <v>227</v>
      </c>
      <c r="C12" s="35" t="n">
        <f aca="false">C9+C10+C11</f>
        <v>9</v>
      </c>
      <c r="D12" s="35" t="n">
        <f aca="false">D9+D10+D11</f>
        <v>9</v>
      </c>
      <c r="E12" s="35" t="n">
        <f aca="false">E9+E10+E11</f>
        <v>9</v>
      </c>
      <c r="F12" s="35" t="n">
        <f aca="false">F9+F10+F11</f>
        <v>10</v>
      </c>
      <c r="G12" s="35" t="n">
        <f aca="false">G9+G10+G11</f>
        <v>11</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228</v>
      </c>
      <c r="C14" s="10"/>
      <c r="D14" s="10"/>
      <c r="E14" s="10"/>
      <c r="F14" s="10"/>
      <c r="G14" s="10"/>
    </row>
    <row r="15" customFormat="false" ht="15" hidden="false" customHeight="false" outlineLevel="0" collapsed="false">
      <c r="A15" s="6"/>
      <c r="B15" s="33" t="s">
        <v>229</v>
      </c>
      <c r="C15" s="37" t="n">
        <f aca="false">C9*Dispatcher_Salary*(1+Salary_Inflation)^C6</f>
        <v>92700</v>
      </c>
      <c r="D15" s="37" t="n">
        <f aca="false">D9*Dispatcher_Salary*(1+Salary_Inflation)^D6</f>
        <v>95481</v>
      </c>
      <c r="E15" s="37" t="n">
        <f aca="false">E9*Dispatcher_Salary*(1+Salary_Inflation)^E6</f>
        <v>98345.43</v>
      </c>
      <c r="F15" s="37" t="n">
        <f aca="false">F9*Dispatcher_Salary*(1+Salary_Inflation)^F6</f>
        <v>135061.0572</v>
      </c>
      <c r="G15" s="37" t="n">
        <f aca="false">G9*Dispatcher_Salary*(1+Salary_Inflation)^G6</f>
        <v>139112.888916</v>
      </c>
    </row>
    <row r="16" customFormat="false" ht="15" hidden="false" customHeight="false" outlineLevel="0" collapsed="false">
      <c r="A16" s="6"/>
      <c r="B16" s="33" t="s">
        <v>230</v>
      </c>
      <c r="C16" s="37" t="n">
        <f aca="false">C10*Mechanic_Salary*(1+Salary_Inflation)^C6</f>
        <v>108150</v>
      </c>
      <c r="D16" s="37" t="n">
        <f aca="false">D10*Mechanic_Salary*(1+Salary_Inflation)^D6</f>
        <v>111394.5</v>
      </c>
      <c r="E16" s="37" t="n">
        <f aca="false">E10*Mechanic_Salary*(1+Salary_Inflation)^E6</f>
        <v>114736.335</v>
      </c>
      <c r="F16" s="37" t="n">
        <f aca="false">F10*Mechanic_Salary*(1+Salary_Inflation)^F6</f>
        <v>118178.42505</v>
      </c>
      <c r="G16" s="37" t="n">
        <f aca="false">G10*Mechanic_Salary*(1+Salary_Inflation)^G6</f>
        <v>162298.370402</v>
      </c>
    </row>
    <row r="17" customFormat="false" ht="15" hidden="false" customHeight="false" outlineLevel="0" collapsed="false">
      <c r="A17" s="6"/>
      <c r="B17" s="33" t="s">
        <v>231</v>
      </c>
      <c r="C17" s="37" t="n">
        <f aca="false">C11*Mgmt_Salary*(1+Salary_Inflation)^C6</f>
        <v>169950</v>
      </c>
      <c r="D17" s="37" t="n">
        <f aca="false">D11*Mgmt_Salary*(1+Salary_Inflation)^D6</f>
        <v>175048.5</v>
      </c>
      <c r="E17" s="37" t="n">
        <f aca="false">E11*Mgmt_Salary*(1+Salary_Inflation)^E6</f>
        <v>180299.955</v>
      </c>
      <c r="F17" s="37" t="n">
        <f aca="false">F11*Mgmt_Salary*(1+Salary_Inflation)^F6</f>
        <v>185708.95365</v>
      </c>
      <c r="G17" s="37" t="n">
        <f aca="false">G11*Mgmt_Salary*(1+Salary_Inflation)^G6</f>
        <v>191280.2222595</v>
      </c>
    </row>
    <row r="18" customFormat="false" ht="15" hidden="false" customHeight="false" outlineLevel="0" collapsed="false">
      <c r="A18" s="6"/>
      <c r="B18" s="33" t="s">
        <v>147</v>
      </c>
      <c r="C18" s="37" t="n">
        <f aca="false">(C15+C16+C17)*Employer_NI_Pct</f>
        <v>55620</v>
      </c>
      <c r="D18" s="37" t="n">
        <f aca="false">(D15+D16+D17)*Employer_NI_Pct</f>
        <v>57288.6</v>
      </c>
      <c r="E18" s="37" t="n">
        <f aca="false">(E15+E16+E17)*Employer_NI_Pct</f>
        <v>59007.258</v>
      </c>
      <c r="F18" s="37" t="n">
        <f aca="false">(F15+F16+F17)*Employer_NI_Pct</f>
        <v>65842.265385</v>
      </c>
      <c r="G18" s="37" t="n">
        <f aca="false">(G15+G16+G17)*Employer_NI_Pct</f>
        <v>73903.722236625</v>
      </c>
    </row>
    <row r="19" customFormat="false" ht="15" hidden="false" customHeight="false" outlineLevel="0" collapsed="false">
      <c r="A19" s="6"/>
      <c r="B19" s="34" t="s">
        <v>232</v>
      </c>
      <c r="C19" s="39" t="n">
        <f aca="false">C15+C16+C17+C18</f>
        <v>426420</v>
      </c>
      <c r="D19" s="39" t="n">
        <f aca="false">D15+D16+D17+D18</f>
        <v>439212.6</v>
      </c>
      <c r="E19" s="39" t="n">
        <f aca="false">E15+E16+E17+E18</f>
        <v>452388.978</v>
      </c>
      <c r="F19" s="39" t="n">
        <f aca="false">F15+F16+F17+F18</f>
        <v>504790.701285</v>
      </c>
      <c r="G19" s="39" t="n">
        <f aca="false">G15+G16+G17+G18</f>
        <v>566595.203814125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233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234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151</v>
      </c>
      <c r="C8" s="10"/>
      <c r="D8" s="10"/>
      <c r="E8" s="10"/>
      <c r="F8" s="10"/>
      <c r="G8" s="10"/>
    </row>
    <row r="9" customFormat="false" ht="15" hidden="false" customHeight="false" outlineLevel="0" collapsed="false">
      <c r="A9" s="6"/>
      <c r="B9" s="33" t="s">
        <v>235</v>
      </c>
      <c r="C9" s="32" t="n">
        <f aca="false">FB_Additions</f>
        <v>10</v>
      </c>
      <c r="D9" s="32" t="n">
        <f aca="false">FB_Additions</f>
        <v>11</v>
      </c>
      <c r="E9" s="32" t="n">
        <f aca="false">FB_Additions</f>
        <v>12</v>
      </c>
      <c r="F9" s="32" t="n">
        <f aca="false">FB_Additions</f>
        <v>13</v>
      </c>
      <c r="G9" s="32" t="n">
        <f aca="false">FB_Additions</f>
        <v>15</v>
      </c>
    </row>
    <row r="10" customFormat="false" ht="15" hidden="false" customHeight="false" outlineLevel="0" collapsed="false">
      <c r="A10" s="6"/>
      <c r="B10" s="33" t="s">
        <v>236</v>
      </c>
      <c r="C10" s="37" t="n">
        <f aca="false">EV_Purchase_Price*(1+Cost_Inflation)^C6</f>
        <v>43050</v>
      </c>
      <c r="D10" s="37" t="n">
        <f aca="false">EV_Purchase_Price*(1+Cost_Inflation)^D6</f>
        <v>44126.25</v>
      </c>
      <c r="E10" s="37" t="n">
        <f aca="false">EV_Purchase_Price*(1+Cost_Inflation)^E6</f>
        <v>45229.40625</v>
      </c>
      <c r="F10" s="37" t="n">
        <f aca="false">EV_Purchase_Price*(1+Cost_Inflation)^F6</f>
        <v>46360.14140625</v>
      </c>
      <c r="G10" s="37" t="n">
        <f aca="false">EV_Purchase_Price*(1+Cost_Inflation)^G6</f>
        <v>47519.1449414062</v>
      </c>
    </row>
    <row r="11" customFormat="false" ht="15" hidden="false" customHeight="false" outlineLevel="0" collapsed="false">
      <c r="A11" s="6"/>
      <c r="B11" s="24" t="s">
        <v>237</v>
      </c>
      <c r="C11" s="37" t="n">
        <f aca="false">C9*C10</f>
        <v>430500</v>
      </c>
      <c r="D11" s="37" t="n">
        <f aca="false">D9*D10</f>
        <v>485388.75</v>
      </c>
      <c r="E11" s="37" t="n">
        <f aca="false">E9*E10</f>
        <v>542752.875</v>
      </c>
      <c r="F11" s="37" t="n">
        <f aca="false">F9*F10</f>
        <v>602681.83828125</v>
      </c>
      <c r="G11" s="37" t="n">
        <f aca="false">G9*G10</f>
        <v>712787.174121093</v>
      </c>
    </row>
    <row r="12" customFormat="false" ht="15" hidden="false" customHeight="false" outlineLevel="0" collapsed="false">
      <c r="A12" s="6"/>
      <c r="B12" s="33" t="s">
        <v>238</v>
      </c>
      <c r="C12" s="32" t="n">
        <f aca="false">ROUNDUP(C9*Charge_Pts_Per_10/10,0)</f>
        <v>2</v>
      </c>
      <c r="D12" s="32" t="n">
        <f aca="false">ROUNDUP(D9*Charge_Pts_Per_10/10,0)</f>
        <v>3</v>
      </c>
      <c r="E12" s="32" t="n">
        <f aca="false">ROUNDUP(E9*Charge_Pts_Per_10/10,0)</f>
        <v>3</v>
      </c>
      <c r="F12" s="32" t="n">
        <f aca="false">ROUNDUP(F9*Charge_Pts_Per_10/10,0)</f>
        <v>3</v>
      </c>
      <c r="G12" s="32" t="n">
        <f aca="false">ROUNDUP(G9*Charge_Pts_Per_10/10,0)</f>
        <v>3</v>
      </c>
    </row>
    <row r="13" customFormat="false" ht="15" hidden="false" customHeight="false" outlineLevel="0" collapsed="false">
      <c r="A13" s="6"/>
      <c r="B13" s="33" t="s">
        <v>239</v>
      </c>
      <c r="C13" s="37" t="n">
        <f aca="false">Charging_Cost_PP*(1+Cost_Inflation)^C6</f>
        <v>2050</v>
      </c>
      <c r="D13" s="37" t="n">
        <f aca="false">Charging_Cost_PP*(1+Cost_Inflation)^D6</f>
        <v>2101.25</v>
      </c>
      <c r="E13" s="37" t="n">
        <f aca="false">Charging_Cost_PP*(1+Cost_Inflation)^E6</f>
        <v>2153.78125</v>
      </c>
      <c r="F13" s="37" t="n">
        <f aca="false">Charging_Cost_PP*(1+Cost_Inflation)^F6</f>
        <v>2207.62578125</v>
      </c>
      <c r="G13" s="37" t="n">
        <f aca="false">Charging_Cost_PP*(1+Cost_Inflation)^G6</f>
        <v>2262.81642578125</v>
      </c>
    </row>
    <row r="14" customFormat="false" ht="15" hidden="false" customHeight="false" outlineLevel="0" collapsed="false">
      <c r="A14" s="6"/>
      <c r="B14" s="24" t="s">
        <v>240</v>
      </c>
      <c r="C14" s="37" t="n">
        <f aca="false">C12*C13</f>
        <v>4100</v>
      </c>
      <c r="D14" s="37" t="n">
        <f aca="false">D12*D13</f>
        <v>6303.75</v>
      </c>
      <c r="E14" s="37" t="n">
        <f aca="false">E12*E13</f>
        <v>6461.34375</v>
      </c>
      <c r="F14" s="37" t="n">
        <f aca="false">F12*F13</f>
        <v>6622.87734375</v>
      </c>
      <c r="G14" s="37" t="n">
        <f aca="false">G12*G13</f>
        <v>6788.44927734375</v>
      </c>
    </row>
    <row r="15" customFormat="false" ht="15" hidden="false" customHeight="false" outlineLevel="0" collapsed="false">
      <c r="A15" s="6"/>
      <c r="B15" s="34" t="s">
        <v>241</v>
      </c>
      <c r="C15" s="39" t="n">
        <f aca="false">C11+C14</f>
        <v>434600</v>
      </c>
      <c r="D15" s="39" t="n">
        <f aca="false">D11+D14</f>
        <v>491692.5</v>
      </c>
      <c r="E15" s="39" t="n">
        <f aca="false">E11+E14</f>
        <v>549214.21875</v>
      </c>
      <c r="F15" s="39" t="n">
        <f aca="false">F11+F14</f>
        <v>609304.715625</v>
      </c>
      <c r="G15" s="39" t="n">
        <f aca="false">G11+G14</f>
        <v>719575.623398437</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9" t="s">
        <v>242</v>
      </c>
      <c r="C17" s="10"/>
      <c r="D17" s="10"/>
      <c r="E17" s="10"/>
      <c r="F17" s="10"/>
      <c r="G17" s="10"/>
    </row>
    <row r="18" customFormat="false" ht="15" hidden="false" customHeight="false" outlineLevel="0" collapsed="false">
      <c r="A18" s="6"/>
      <c r="B18" s="33" t="s">
        <v>243</v>
      </c>
      <c r="C18" s="37" t="n">
        <f aca="false">Starting_Fleet*EV_Purchase_Price*(1-Residual_Value_Pct)/(Vehicle_Useful_Life/12)</f>
        <v>630000</v>
      </c>
      <c r="D18" s="37" t="n">
        <f aca="false">MAX(0,Starting_Fleet*EV_Purchase_Price*(1-Residual_Value_Pct)/(Vehicle_Useful_Life/12)*MIN(1,Vehicle_Useful_Life/12-1))</f>
        <v>630000</v>
      </c>
      <c r="E18" s="37" t="n">
        <f aca="false">MAX(0,Starting_Fleet*EV_Purchase_Price*(1-Residual_Value_Pct)/(Vehicle_Useful_Life/12)*MIN(1,Vehicle_Useful_Life/12-2))</f>
        <v>630000</v>
      </c>
      <c r="F18" s="37" t="n">
        <f aca="false">MAX(0,Starting_Fleet*EV_Purchase_Price*(1-Residual_Value_Pct)/(Vehicle_Useful_Life/12)*MIN(1,Vehicle_Useful_Life/12-3))</f>
        <v>630000</v>
      </c>
      <c r="G18" s="37" t="n">
        <f aca="false">MAX(0,Starting_Fleet*EV_Purchase_Price*(1-Residual_Value_Pct)/(Vehicle_Useful_Life/12)*MIN(1,Vehicle_Useful_Life/12-4))</f>
        <v>630000</v>
      </c>
    </row>
    <row r="19" customFormat="false" ht="15" hidden="false" customHeight="false" outlineLevel="0" collapsed="false">
      <c r="A19" s="6"/>
      <c r="B19" s="33" t="s">
        <v>244</v>
      </c>
      <c r="C19" s="37" t="n">
        <f aca="false">C11*(1-Residual_Value_Pct)/(Vehicle_Useful_Life/12)</f>
        <v>64575</v>
      </c>
      <c r="D19" s="37" t="n">
        <f aca="false">C19+D11*(1-Residual_Value_Pct)/(Vehicle_Useful_Life/12)</f>
        <v>137383.3125</v>
      </c>
      <c r="E19" s="37" t="n">
        <f aca="false">D19+E11*(1-Residual_Value_Pct)/(Vehicle_Useful_Life/12)</f>
        <v>218796.24375</v>
      </c>
      <c r="F19" s="37" t="n">
        <f aca="false">E19+F11*(1-Residual_Value_Pct)/(Vehicle_Useful_Life/12)</f>
        <v>309198.519492187</v>
      </c>
      <c r="G19" s="37" t="n">
        <f aca="false">F19+G11*(1-Residual_Value_Pct)/(Vehicle_Useful_Life/12)</f>
        <v>416116.595610351</v>
      </c>
    </row>
    <row r="20" customFormat="false" ht="15" hidden="false" customHeight="false" outlineLevel="0" collapsed="false">
      <c r="A20" s="6"/>
      <c r="B20" s="33" t="s">
        <v>245</v>
      </c>
      <c r="C20" s="37" t="n">
        <f aca="false">C14/(Charger_Life/12)</f>
        <v>410</v>
      </c>
      <c r="D20" s="37" t="n">
        <f aca="false">C20+D14/(Charger_Life/12)</f>
        <v>1040.375</v>
      </c>
      <c r="E20" s="37" t="n">
        <f aca="false">D20+E14/(Charger_Life/12)</f>
        <v>1686.509375</v>
      </c>
      <c r="F20" s="37" t="n">
        <f aca="false">E20+F14/(Charger_Life/12)</f>
        <v>2348.797109375</v>
      </c>
      <c r="G20" s="37" t="n">
        <f aca="false">F20+G14/(Charger_Life/12)</f>
        <v>3027.64203710937</v>
      </c>
    </row>
    <row r="21" customFormat="false" ht="15" hidden="false" customHeight="false" outlineLevel="0" collapsed="false">
      <c r="A21" s="6"/>
      <c r="B21" s="34" t="s">
        <v>246</v>
      </c>
      <c r="C21" s="39" t="n">
        <f aca="false">C18+C19+C20</f>
        <v>694985</v>
      </c>
      <c r="D21" s="39" t="n">
        <f aca="false">D18+D19+D20</f>
        <v>768423.6875</v>
      </c>
      <c r="E21" s="39" t="n">
        <f aca="false">E18+E19+E20</f>
        <v>850482.753125</v>
      </c>
      <c r="F21" s="39" t="n">
        <f aca="false">F18+F19+F20</f>
        <v>941547.316601562</v>
      </c>
      <c r="G21" s="39" t="n">
        <f aca="false">G18+G19+G20</f>
        <v>1049144.23764746</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24" t="s">
        <v>247</v>
      </c>
      <c r="C23" s="37" t="n">
        <f aca="false">FB_Retirements*EV_Purchase_Price*Residual_Value_Pct</f>
        <v>0</v>
      </c>
      <c r="D23" s="37" t="n">
        <f aca="false">FB_Retirements*EV_Purchase_Price*Residual_Value_Pct</f>
        <v>0</v>
      </c>
      <c r="E23" s="37" t="n">
        <f aca="false">FB_Retirements*EV_Purchase_Price*Residual_Value_Pct</f>
        <v>0</v>
      </c>
      <c r="F23" s="37" t="n">
        <f aca="false">FB_Retirements*EV_Purchase_Price*Residual_Value_Pct</f>
        <v>0</v>
      </c>
      <c r="G23" s="37" t="n">
        <f aca="false">FB_Retirements*EV_Purchase_Price*Residual_Value_Pct</f>
        <v>105000</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9" t="s">
        <v>248</v>
      </c>
      <c r="C25" s="10"/>
      <c r="D25" s="10"/>
      <c r="E25" s="10"/>
      <c r="F25" s="10"/>
      <c r="G25" s="10"/>
    </row>
    <row r="26" customFormat="false" ht="15" hidden="false" customHeight="false" outlineLevel="0" collapsed="false">
      <c r="A26" s="6"/>
      <c r="B26" s="24" t="s">
        <v>249</v>
      </c>
      <c r="C26" s="37" t="n">
        <f aca="false">Starting_Fleet*EV_Purchase_Price</f>
        <v>4200000</v>
      </c>
      <c r="D26" s="37" t="n">
        <f aca="false">C29</f>
        <v>4634600</v>
      </c>
      <c r="E26" s="37" t="n">
        <f aca="false">D29</f>
        <v>5126292.5</v>
      </c>
      <c r="F26" s="37" t="n">
        <f aca="false">E29</f>
        <v>5675506.71875</v>
      </c>
      <c r="G26" s="37" t="n">
        <f aca="false">F29</f>
        <v>6284811.434375</v>
      </c>
    </row>
    <row r="27" customFormat="false" ht="15" hidden="false" customHeight="false" outlineLevel="0" collapsed="false">
      <c r="A27" s="6"/>
      <c r="B27" s="33" t="s">
        <v>192</v>
      </c>
      <c r="C27" s="37" t="n">
        <f aca="false">C15</f>
        <v>434600</v>
      </c>
      <c r="D27" s="37" t="n">
        <f aca="false">D15</f>
        <v>491692.5</v>
      </c>
      <c r="E27" s="37" t="n">
        <f aca="false">E15</f>
        <v>549214.21875</v>
      </c>
      <c r="F27" s="37" t="n">
        <f aca="false">F15</f>
        <v>609304.715625</v>
      </c>
      <c r="G27" s="37" t="n">
        <f aca="false">G15</f>
        <v>719575.623398437</v>
      </c>
    </row>
    <row r="28" customFormat="false" ht="15" hidden="false" customHeight="false" outlineLevel="0" collapsed="false">
      <c r="A28" s="6"/>
      <c r="B28" s="33" t="s">
        <v>193</v>
      </c>
      <c r="C28" s="37" t="n">
        <f aca="false">FB_Retirements*EV_Purchase_Price+IF(C6&gt;Vehicle_Useful_Life/12,Starting_Fleet*EV_Purchase_Price,0)</f>
        <v>0</v>
      </c>
      <c r="D28" s="37" t="n">
        <f aca="false">FB_Retirements*EV_Purchase_Price+IF(D6&gt;Vehicle_Useful_Life/12,Starting_Fleet*EV_Purchase_Price,0)</f>
        <v>0</v>
      </c>
      <c r="E28" s="37" t="n">
        <f aca="false">FB_Retirements*EV_Purchase_Price+IF(E6&gt;Vehicle_Useful_Life/12,Starting_Fleet*EV_Purchase_Price,0)</f>
        <v>0</v>
      </c>
      <c r="F28" s="37" t="n">
        <f aca="false">FB_Retirements*EV_Purchase_Price+IF(F6&gt;Vehicle_Useful_Life/12,Starting_Fleet*EV_Purchase_Price,0)</f>
        <v>0</v>
      </c>
      <c r="G28" s="37" t="n">
        <f aca="false">FB_Retirements*EV_Purchase_Price+IF(G6&gt;Vehicle_Useful_Life/12,Starting_Fleet*EV_Purchase_Price,0)</f>
        <v>420000</v>
      </c>
    </row>
    <row r="29" customFormat="false" ht="15" hidden="false" customHeight="false" outlineLevel="0" collapsed="false">
      <c r="A29" s="6"/>
      <c r="B29" s="34" t="s">
        <v>250</v>
      </c>
      <c r="C29" s="38" t="n">
        <f aca="false">C26+C27-C28</f>
        <v>4634600</v>
      </c>
      <c r="D29" s="38" t="n">
        <f aca="false">D26+D27-D28</f>
        <v>5126292.5</v>
      </c>
      <c r="E29" s="38" t="n">
        <f aca="false">E26+E27-E28</f>
        <v>5675506.71875</v>
      </c>
      <c r="F29" s="38" t="n">
        <f aca="false">F26+F27-F28</f>
        <v>6284811.434375</v>
      </c>
      <c r="G29" s="38" t="n">
        <f aca="false">G26+G27-G28</f>
        <v>6584387.05777344</v>
      </c>
    </row>
    <row r="30" customFormat="false" ht="15" hidden="false" customHeight="false" outlineLevel="0" collapsed="false">
      <c r="A30" s="6"/>
      <c r="B30" s="6"/>
      <c r="C30" s="6"/>
      <c r="D30" s="6"/>
      <c r="E30" s="6"/>
      <c r="F30" s="6"/>
      <c r="G30" s="6"/>
    </row>
    <row r="31" customFormat="false" ht="15" hidden="false" customHeight="false" outlineLevel="0" collapsed="false">
      <c r="A31" s="6"/>
      <c r="B31" s="24" t="s">
        <v>251</v>
      </c>
      <c r="C31" s="37" t="n">
        <f aca="false">0</f>
        <v>0</v>
      </c>
      <c r="D31" s="37" t="n">
        <f aca="false">C34</f>
        <v>694985</v>
      </c>
      <c r="E31" s="37" t="n">
        <f aca="false">D34</f>
        <v>1463408.6875</v>
      </c>
      <c r="F31" s="37" t="n">
        <f aca="false">E34</f>
        <v>2313891.440625</v>
      </c>
      <c r="G31" s="37" t="n">
        <f aca="false">F34</f>
        <v>3255438.75722656</v>
      </c>
    </row>
    <row r="32" customFormat="false" ht="15" hidden="false" customHeight="false" outlineLevel="0" collapsed="false">
      <c r="A32" s="6"/>
      <c r="B32" s="33" t="s">
        <v>252</v>
      </c>
      <c r="C32" s="37" t="n">
        <f aca="false">C21</f>
        <v>694985</v>
      </c>
      <c r="D32" s="37" t="n">
        <f aca="false">D21</f>
        <v>768423.6875</v>
      </c>
      <c r="E32" s="37" t="n">
        <f aca="false">E21</f>
        <v>850482.753125</v>
      </c>
      <c r="F32" s="37" t="n">
        <f aca="false">F21</f>
        <v>941547.316601562</v>
      </c>
      <c r="G32" s="37" t="n">
        <f aca="false">G21</f>
        <v>1049144.23764746</v>
      </c>
    </row>
    <row r="33" customFormat="false" ht="15" hidden="false" customHeight="false" outlineLevel="0" collapsed="false">
      <c r="A33" s="6"/>
      <c r="B33" s="33" t="s">
        <v>253</v>
      </c>
      <c r="C33" s="37" t="n">
        <f aca="false">FB_Retirements*EV_Purchase_Price*(1-Residual_Value_Pct)</f>
        <v>0</v>
      </c>
      <c r="D33" s="37" t="n">
        <f aca="false">FB_Retirements*EV_Purchase_Price*(1-Residual_Value_Pct)</f>
        <v>0</v>
      </c>
      <c r="E33" s="37" t="n">
        <f aca="false">FB_Retirements*EV_Purchase_Price*(1-Residual_Value_Pct)</f>
        <v>0</v>
      </c>
      <c r="F33" s="37" t="n">
        <f aca="false">FB_Retirements*EV_Purchase_Price*(1-Residual_Value_Pct)</f>
        <v>0</v>
      </c>
      <c r="G33" s="37" t="n">
        <f aca="false">FB_Retirements*EV_Purchase_Price*(1-Residual_Value_Pct)</f>
        <v>315000</v>
      </c>
    </row>
    <row r="34" customFormat="false" ht="15" hidden="false" customHeight="false" outlineLevel="0" collapsed="false">
      <c r="A34" s="6"/>
      <c r="B34" s="34" t="s">
        <v>254</v>
      </c>
      <c r="C34" s="38" t="n">
        <f aca="false">C31+C32-C33</f>
        <v>694985</v>
      </c>
      <c r="D34" s="38" t="n">
        <f aca="false">D31+D32-D33</f>
        <v>1463408.6875</v>
      </c>
      <c r="E34" s="38" t="n">
        <f aca="false">E31+E32-E33</f>
        <v>2313891.440625</v>
      </c>
      <c r="F34" s="38" t="n">
        <f aca="false">F31+F32-F33</f>
        <v>3255438.75722656</v>
      </c>
      <c r="G34" s="38" t="n">
        <f aca="false">G31+G32-G33</f>
        <v>3989582.99487402</v>
      </c>
    </row>
    <row r="35" customFormat="false" ht="15" hidden="false" customHeight="false" outlineLevel="0" collapsed="false">
      <c r="A35" s="6"/>
      <c r="B35" s="6"/>
      <c r="C35" s="6"/>
      <c r="D35" s="6"/>
      <c r="E35" s="6"/>
      <c r="F35" s="6"/>
      <c r="G35" s="6"/>
    </row>
    <row r="36" customFormat="false" ht="15" hidden="false" customHeight="false" outlineLevel="0" collapsed="false">
      <c r="A36" s="6"/>
      <c r="B36" s="34" t="s">
        <v>255</v>
      </c>
      <c r="C36" s="39" t="n">
        <f aca="false">C29-C34</f>
        <v>3939615</v>
      </c>
      <c r="D36" s="39" t="n">
        <f aca="false">D29-D34</f>
        <v>3662883.8125</v>
      </c>
      <c r="E36" s="39" t="n">
        <f aca="false">E29-E34</f>
        <v>3361615.278125</v>
      </c>
      <c r="F36" s="39" t="n">
        <f aca="false">F29-F34</f>
        <v>3029372.67714844</v>
      </c>
      <c r="G36" s="39" t="n">
        <f aca="false">G29-G34</f>
        <v>2594804.06289941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256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257</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257</v>
      </c>
      <c r="C8" s="10"/>
      <c r="D8" s="10"/>
      <c r="E8" s="10"/>
      <c r="F8" s="10"/>
      <c r="G8" s="10"/>
    </row>
    <row r="9" customFormat="false" ht="15" hidden="false" customHeight="false" outlineLevel="0" collapsed="false">
      <c r="A9" s="6"/>
      <c r="B9" s="24" t="s">
        <v>258</v>
      </c>
      <c r="C9" s="37" t="n">
        <f aca="false">Starting_Fleet*EV_Purchase_Price*Asset_Finance_LTV</f>
        <v>3360000</v>
      </c>
      <c r="D9" s="37" t="n">
        <f aca="false">C12</f>
        <v>2864400</v>
      </c>
      <c r="E9" s="37" t="n">
        <f aca="false">D12</f>
        <v>2536611</v>
      </c>
      <c r="F9" s="37" t="n">
        <f aca="false">E12</f>
        <v>2336660.55</v>
      </c>
      <c r="G9" s="37" t="n">
        <f aca="false">F12</f>
        <v>2234640.883125</v>
      </c>
    </row>
    <row r="10" customFormat="false" ht="15" hidden="false" customHeight="false" outlineLevel="0" collapsed="false">
      <c r="A10" s="6"/>
      <c r="B10" s="33" t="s">
        <v>259</v>
      </c>
      <c r="C10" s="37" t="n">
        <f aca="false">CD_Veh_Capex*Asset_Finance_LTV</f>
        <v>344400</v>
      </c>
      <c r="D10" s="37" t="n">
        <f aca="false">CD_Veh_Capex*Asset_Finance_LTV</f>
        <v>388311</v>
      </c>
      <c r="E10" s="37" t="n">
        <f aca="false">CD_Veh_Capex*Asset_Finance_LTV</f>
        <v>434202.3</v>
      </c>
      <c r="F10" s="37" t="n">
        <f aca="false">CD_Veh_Capex*Asset_Finance_LTV</f>
        <v>482145.470625</v>
      </c>
      <c r="G10" s="37" t="n">
        <f aca="false">CD_Veh_Capex*Asset_Finance_LTV</f>
        <v>570229.739296875</v>
      </c>
    </row>
    <row r="11" customFormat="false" ht="15" hidden="false" customHeight="false" outlineLevel="0" collapsed="false">
      <c r="A11" s="6"/>
      <c r="B11" s="33" t="s">
        <v>260</v>
      </c>
      <c r="C11" s="37" t="n">
        <f aca="false">C9/(Asset_Finance_Term/12)</f>
        <v>840000</v>
      </c>
      <c r="D11" s="37" t="n">
        <f aca="false">D9/(Asset_Finance_Term/12)</f>
        <v>716100</v>
      </c>
      <c r="E11" s="37" t="n">
        <f aca="false">E9/(Asset_Finance_Term/12)</f>
        <v>634152.75</v>
      </c>
      <c r="F11" s="37" t="n">
        <f aca="false">F9/(Asset_Finance_Term/12)</f>
        <v>584165.1375</v>
      </c>
      <c r="G11" s="37" t="n">
        <f aca="false">G9/(Asset_Finance_Term/12)</f>
        <v>558660.22078125</v>
      </c>
    </row>
    <row r="12" customFormat="false" ht="15" hidden="false" customHeight="false" outlineLevel="0" collapsed="false">
      <c r="A12" s="6"/>
      <c r="B12" s="34" t="s">
        <v>261</v>
      </c>
      <c r="C12" s="38" t="n">
        <f aca="false">C9+C10-C11</f>
        <v>2864400</v>
      </c>
      <c r="D12" s="38" t="n">
        <f aca="false">D9+D10-D11</f>
        <v>2536611</v>
      </c>
      <c r="E12" s="38" t="n">
        <f aca="false">E9+E10-E11</f>
        <v>2336660.55</v>
      </c>
      <c r="F12" s="38" t="n">
        <f aca="false">F9+F10-F11</f>
        <v>2234640.883125</v>
      </c>
      <c r="G12" s="38" t="n">
        <f aca="false">G9+G10-G11</f>
        <v>2246210.40164062</v>
      </c>
    </row>
    <row r="13" customFormat="false" ht="15" hidden="false" customHeight="false" outlineLevel="0" collapsed="false">
      <c r="A13" s="6"/>
      <c r="B13" s="9" t="s">
        <v>262</v>
      </c>
      <c r="C13" s="10"/>
      <c r="D13" s="10"/>
      <c r="E13" s="10"/>
      <c r="F13" s="10"/>
      <c r="G13" s="10"/>
    </row>
    <row r="14" customFormat="false" ht="15" hidden="false" customHeight="false" outlineLevel="0" collapsed="false">
      <c r="A14" s="6"/>
      <c r="B14" s="24" t="s">
        <v>263</v>
      </c>
      <c r="C14" s="37" t="n">
        <f aca="false">C9*Asset_Finance_Rate</f>
        <v>285600</v>
      </c>
      <c r="D14" s="37" t="n">
        <f aca="false">D9*Asset_Finance_Rate</f>
        <v>243474</v>
      </c>
      <c r="E14" s="37" t="n">
        <f aca="false">E9*Asset_Finance_Rate</f>
        <v>215611.935</v>
      </c>
      <c r="F14" s="37" t="n">
        <f aca="false">F9*Asset_Finance_Rate</f>
        <v>198616.14675</v>
      </c>
      <c r="G14" s="37" t="n">
        <f aca="false">G9*Asset_Finance_Rate</f>
        <v>189944.475065625</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34" t="s">
        <v>264</v>
      </c>
      <c r="C16" s="39" t="n">
        <f aca="false">C11+C14</f>
        <v>1125600</v>
      </c>
      <c r="D16" s="39" t="n">
        <f aca="false">D11+D14</f>
        <v>959574</v>
      </c>
      <c r="E16" s="39" t="n">
        <f aca="false">E11+E14</f>
        <v>849764.685</v>
      </c>
      <c r="F16" s="39" t="n">
        <f aca="false">F11+F14</f>
        <v>782781.28425</v>
      </c>
      <c r="G16" s="39" t="n">
        <f aca="false">G11+G14</f>
        <v>748604.695846875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265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266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8"/>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30" t="s">
        <v>189</v>
      </c>
      <c r="C6" s="31" t="n">
        <f aca="false">COLUMN()-2</f>
        <v>1</v>
      </c>
      <c r="D6" s="31" t="n">
        <f aca="false">COLUMN()-2</f>
        <v>2</v>
      </c>
      <c r="E6" s="31" t="n">
        <f aca="false">COLUMN()-2</f>
        <v>3</v>
      </c>
      <c r="F6" s="31" t="n">
        <f aca="false">COLUMN()-2</f>
        <v>4</v>
      </c>
      <c r="G6" s="31"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82</v>
      </c>
      <c r="C8" s="10"/>
      <c r="D8" s="10"/>
      <c r="E8" s="10"/>
      <c r="F8" s="10"/>
      <c r="G8" s="10"/>
    </row>
    <row r="9" customFormat="false" ht="15" hidden="false" customHeight="false" outlineLevel="0" collapsed="false">
      <c r="A9" s="6"/>
      <c r="B9" s="33" t="s">
        <v>205</v>
      </c>
      <c r="C9" s="37" t="n">
        <f aca="false">RB_Net_B2C</f>
        <v>3444724.584</v>
      </c>
      <c r="D9" s="37" t="n">
        <f aca="false">RB_Net_B2C</f>
        <v>3899360.01672</v>
      </c>
      <c r="E9" s="37" t="n">
        <f aca="false">RB_Net_B2C</f>
        <v>4414356.5738832</v>
      </c>
      <c r="F9" s="37" t="n">
        <f aca="false">RB_Net_B2C</f>
        <v>4994012.24858491</v>
      </c>
      <c r="G9" s="37" t="n">
        <f aca="false">RB_Net_B2C</f>
        <v>5335766.66887986</v>
      </c>
    </row>
    <row r="10" customFormat="false" ht="15" hidden="false" customHeight="false" outlineLevel="0" collapsed="false">
      <c r="A10" s="6"/>
      <c r="B10" s="33" t="s">
        <v>206</v>
      </c>
      <c r="C10" s="37" t="n">
        <f aca="false">RB_Corp_Revenue</f>
        <v>478433.97</v>
      </c>
      <c r="D10" s="37" t="n">
        <f aca="false">RB_Corp_Revenue</f>
        <v>541577.7801</v>
      </c>
      <c r="E10" s="37" t="n">
        <f aca="false">RB_Corp_Revenue</f>
        <v>613105.079706</v>
      </c>
      <c r="F10" s="37" t="n">
        <f aca="false">RB_Corp_Revenue</f>
        <v>693612.81230346</v>
      </c>
      <c r="G10" s="37" t="n">
        <f aca="false">RB_Corp_Revenue</f>
        <v>741078.704011092</v>
      </c>
    </row>
    <row r="11" customFormat="false" ht="15" hidden="false" customHeight="false" outlineLevel="0" collapsed="false">
      <c r="A11" s="6"/>
      <c r="B11" s="33" t="s">
        <v>209</v>
      </c>
      <c r="C11" s="37" t="n">
        <f aca="false">RB_Ad_Revenue</f>
        <v>21600</v>
      </c>
      <c r="D11" s="37" t="n">
        <f aca="false">RB_Ad_Revenue</f>
        <v>21600</v>
      </c>
      <c r="E11" s="37" t="n">
        <f aca="false">RB_Ad_Revenue</f>
        <v>25200</v>
      </c>
      <c r="F11" s="37" t="n">
        <f aca="false">RB_Ad_Revenue</f>
        <v>25200</v>
      </c>
      <c r="G11" s="37" t="n">
        <f aca="false">RB_Ad_Revenue</f>
        <v>28800</v>
      </c>
    </row>
    <row r="12" customFormat="false" ht="15" hidden="false" customHeight="false" outlineLevel="0" collapsed="false">
      <c r="A12" s="6"/>
      <c r="B12" s="34" t="s">
        <v>213</v>
      </c>
      <c r="C12" s="39" t="n">
        <f aca="false">C9+C10+C11</f>
        <v>3944758.554</v>
      </c>
      <c r="D12" s="39" t="n">
        <f aca="false">D9+D10+D11</f>
        <v>4462537.79682</v>
      </c>
      <c r="E12" s="39" t="n">
        <f aca="false">E9+E10+E11</f>
        <v>5052661.6535892</v>
      </c>
      <c r="F12" s="39" t="n">
        <f aca="false">F9+F10+F11</f>
        <v>5712825.06088837</v>
      </c>
      <c r="G12" s="39" t="n">
        <f aca="false">G9+G10+G11</f>
        <v>6105645.37289096</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215</v>
      </c>
      <c r="C14" s="10"/>
      <c r="D14" s="10"/>
      <c r="E14" s="10"/>
      <c r="F14" s="10"/>
      <c r="G14" s="10"/>
    </row>
    <row r="15" customFormat="false" ht="15" hidden="false" customHeight="false" outlineLevel="0" collapsed="false">
      <c r="A15" s="6"/>
      <c r="B15" s="33" t="s">
        <v>216</v>
      </c>
      <c r="C15" s="37" t="n">
        <f aca="false">OC_Fuel</f>
        <v>2184472.44</v>
      </c>
      <c r="D15" s="37" t="n">
        <f aca="false">OC_Fuel</f>
        <v>1960533.0045</v>
      </c>
      <c r="E15" s="37" t="n">
        <f aca="false">OC_Fuel</f>
        <v>1674585.3834</v>
      </c>
      <c r="F15" s="37" t="n">
        <f aca="false">OC_Fuel</f>
        <v>1315943.85070687</v>
      </c>
      <c r="G15" s="37" t="n">
        <f aca="false">OC_Fuel</f>
        <v>826588.737806484</v>
      </c>
    </row>
    <row r="16" customFormat="false" ht="15" hidden="false" customHeight="false" outlineLevel="0" collapsed="false">
      <c r="A16" s="6"/>
      <c r="B16" s="33" t="s">
        <v>217</v>
      </c>
      <c r="C16" s="37" t="n">
        <f aca="false">OC_Insurance</f>
        <v>338250</v>
      </c>
      <c r="D16" s="37" t="n">
        <f aca="false">OC_Insurance</f>
        <v>381376.875</v>
      </c>
      <c r="E16" s="37" t="n">
        <f aca="false">OC_Insurance</f>
        <v>429679.359375</v>
      </c>
      <c r="F16" s="37" t="n">
        <f aca="false">OC_Insurance</f>
        <v>483470.04609375</v>
      </c>
      <c r="G16" s="37" t="n">
        <f aca="false">OC_Insurance</f>
        <v>512527.920439453</v>
      </c>
    </row>
    <row r="17" customFormat="false" ht="15" hidden="false" customHeight="false" outlineLevel="0" collapsed="false">
      <c r="A17" s="6"/>
      <c r="B17" s="33" t="s">
        <v>218</v>
      </c>
      <c r="C17" s="37" t="n">
        <f aca="false">OC_Maintenance</f>
        <v>169125</v>
      </c>
      <c r="D17" s="37" t="n">
        <f aca="false">OC_Maintenance</f>
        <v>190688.4375</v>
      </c>
      <c r="E17" s="37" t="n">
        <f aca="false">OC_Maintenance</f>
        <v>214839.6796875</v>
      </c>
      <c r="F17" s="37" t="n">
        <f aca="false">OC_Maintenance</f>
        <v>241735.023046875</v>
      </c>
      <c r="G17" s="37" t="n">
        <f aca="false">OC_Maintenance</f>
        <v>256263.960219726</v>
      </c>
    </row>
    <row r="18" customFormat="false" ht="15" hidden="false" customHeight="false" outlineLevel="0" collapsed="false">
      <c r="A18" s="6"/>
      <c r="B18" s="33" t="s">
        <v>219</v>
      </c>
      <c r="C18" s="37" t="n">
        <f aca="false">OC_Depot</f>
        <v>123000</v>
      </c>
      <c r="D18" s="37" t="n">
        <f aca="false">OC_Depot</f>
        <v>126075</v>
      </c>
      <c r="E18" s="37" t="n">
        <f aca="false">OC_Depot</f>
        <v>129226.875</v>
      </c>
      <c r="F18" s="37" t="n">
        <f aca="false">OC_Depot</f>
        <v>132457.546875</v>
      </c>
      <c r="G18" s="37" t="n">
        <f aca="false">OC_Depot</f>
        <v>135768.985546875</v>
      </c>
    </row>
    <row r="19" customFormat="false" ht="15" hidden="false" customHeight="false" outlineLevel="0" collapsed="false">
      <c r="A19" s="6"/>
      <c r="B19" s="33" t="s">
        <v>267</v>
      </c>
      <c r="C19" s="37" t="n">
        <f aca="false">OC_Tech</f>
        <v>67650</v>
      </c>
      <c r="D19" s="37" t="n">
        <f aca="false">OC_Tech</f>
        <v>76275.375</v>
      </c>
      <c r="E19" s="37" t="n">
        <f aca="false">OC_Tech</f>
        <v>85935.871875</v>
      </c>
      <c r="F19" s="37" t="n">
        <f aca="false">OC_Tech</f>
        <v>96694.00921875</v>
      </c>
      <c r="G19" s="37" t="n">
        <f aca="false">OC_Tech</f>
        <v>102505.584087891</v>
      </c>
    </row>
    <row r="20" customFormat="false" ht="15" hidden="false" customHeight="false" outlineLevel="0" collapsed="false">
      <c r="A20" s="6"/>
      <c r="B20" s="33" t="s">
        <v>131</v>
      </c>
      <c r="C20" s="37" t="n">
        <f aca="false">OC_Recruitment</f>
        <v>5000</v>
      </c>
      <c r="D20" s="37" t="n">
        <f aca="false">OC_Recruitment</f>
        <v>5500</v>
      </c>
      <c r="E20" s="37" t="n">
        <f aca="false">OC_Recruitment</f>
        <v>6000</v>
      </c>
      <c r="F20" s="37" t="n">
        <f aca="false">OC_Recruitment</f>
        <v>6500</v>
      </c>
      <c r="G20" s="37" t="n">
        <f aca="false">OC_Recruitment</f>
        <v>7500</v>
      </c>
    </row>
    <row r="21" customFormat="false" ht="15" hidden="false" customHeight="false" outlineLevel="0" collapsed="false">
      <c r="A21" s="6"/>
      <c r="B21" s="33" t="s">
        <v>20</v>
      </c>
      <c r="C21" s="37" t="n">
        <f aca="false">ST_Total_Cost</f>
        <v>426420</v>
      </c>
      <c r="D21" s="37" t="n">
        <f aca="false">ST_Total_Cost</f>
        <v>439212.6</v>
      </c>
      <c r="E21" s="37" t="n">
        <f aca="false">ST_Total_Cost</f>
        <v>452388.978</v>
      </c>
      <c r="F21" s="37" t="n">
        <f aca="false">ST_Total_Cost</f>
        <v>504790.701285</v>
      </c>
      <c r="G21" s="37" t="n">
        <f aca="false">ST_Total_Cost</f>
        <v>566595.203814125</v>
      </c>
    </row>
    <row r="22" customFormat="false" ht="15" hidden="false" customHeight="false" outlineLevel="0" collapsed="false">
      <c r="A22" s="6"/>
      <c r="B22" s="34" t="s">
        <v>268</v>
      </c>
      <c r="C22" s="39" t="n">
        <f aca="false">SUM(C15:C21)</f>
        <v>3313917.44</v>
      </c>
      <c r="D22" s="39" t="n">
        <f aca="false">SUM(D15:D21)</f>
        <v>3179661.292</v>
      </c>
      <c r="E22" s="39" t="n">
        <f aca="false">SUM(E15:E21)</f>
        <v>2992656.1473375</v>
      </c>
      <c r="F22" s="39" t="n">
        <f aca="false">SUM(F15:F21)</f>
        <v>2781591.17722625</v>
      </c>
      <c r="G22" s="39" t="n">
        <f aca="false">SUM(G15:G21)</f>
        <v>2407750.39191455</v>
      </c>
    </row>
    <row r="23" customFormat="false" ht="15" hidden="false" customHeight="false" outlineLevel="0" collapsed="false">
      <c r="A23" s="6"/>
      <c r="B23" s="9" t="s">
        <v>269</v>
      </c>
      <c r="C23" s="10"/>
      <c r="D23" s="10"/>
      <c r="E23" s="10"/>
      <c r="F23" s="10"/>
      <c r="G23" s="10"/>
    </row>
    <row r="24" customFormat="false" ht="15" hidden="false" customHeight="false" outlineLevel="0" collapsed="false">
      <c r="A24" s="6"/>
      <c r="B24" s="34" t="s">
        <v>270</v>
      </c>
      <c r="C24" s="38" t="n">
        <f aca="false">C12-C22</f>
        <v>630841.114</v>
      </c>
      <c r="D24" s="38" t="n">
        <f aca="false">D12-D22</f>
        <v>1282876.50482</v>
      </c>
      <c r="E24" s="38" t="n">
        <f aca="false">E12-E22</f>
        <v>2060005.5062517</v>
      </c>
      <c r="F24" s="38" t="n">
        <f aca="false">F12-F22</f>
        <v>2931233.88366212</v>
      </c>
      <c r="G24" s="38" t="n">
        <f aca="false">G12-G22</f>
        <v>3697894.9809764</v>
      </c>
    </row>
    <row r="25" customFormat="false" ht="15" hidden="false" customHeight="false" outlineLevel="0" collapsed="false">
      <c r="A25" s="6"/>
      <c r="B25" s="24" t="s">
        <v>271</v>
      </c>
      <c r="C25" s="40" t="n">
        <f aca="false">IFERROR(C24/C12,0)</f>
        <v>0.159918815147843</v>
      </c>
      <c r="D25" s="40" t="n">
        <f aca="false">IFERROR(D24/D12,0)</f>
        <v>0.287476893917666</v>
      </c>
      <c r="E25" s="40" t="n">
        <f aca="false">IFERROR(E24/E12,0)</f>
        <v>0.407706996329026</v>
      </c>
      <c r="F25" s="40" t="n">
        <f aca="false">IFERROR(F24/F12,0)</f>
        <v>0.513097084615838</v>
      </c>
      <c r="G25" s="40" t="n">
        <f aca="false">IFERROR(G24/G12,0)</f>
        <v>0.605651778826697</v>
      </c>
    </row>
    <row r="26" customFormat="false" ht="15" hidden="false" customHeight="false" outlineLevel="0" collapsed="false">
      <c r="A26" s="6"/>
      <c r="B26" s="9" t="s">
        <v>242</v>
      </c>
      <c r="C26" s="10"/>
      <c r="D26" s="10"/>
      <c r="E26" s="10"/>
      <c r="F26" s="10"/>
      <c r="G26" s="10"/>
    </row>
    <row r="27" customFormat="false" ht="15" hidden="false" customHeight="false" outlineLevel="0" collapsed="false">
      <c r="A27" s="6"/>
      <c r="B27" s="33" t="s">
        <v>242</v>
      </c>
      <c r="C27" s="37" t="n">
        <f aca="false">CD_Total_Depr</f>
        <v>694985</v>
      </c>
      <c r="D27" s="37" t="n">
        <f aca="false">CD_Total_Depr</f>
        <v>768423.6875</v>
      </c>
      <c r="E27" s="37" t="n">
        <f aca="false">CD_Total_Depr</f>
        <v>850482.753125</v>
      </c>
      <c r="F27" s="37" t="n">
        <f aca="false">CD_Total_Depr</f>
        <v>941547.316601562</v>
      </c>
      <c r="G27" s="37" t="n">
        <f aca="false">CD_Total_Depr</f>
        <v>1049144.23764746</v>
      </c>
    </row>
    <row r="28" customFormat="false" ht="15" hidden="false" customHeight="false" outlineLevel="0" collapsed="false">
      <c r="A28" s="6"/>
      <c r="B28" s="6"/>
      <c r="C28" s="6"/>
      <c r="D28" s="6"/>
      <c r="E28" s="6"/>
      <c r="F28" s="6"/>
      <c r="G28" s="6"/>
    </row>
    <row r="29" customFormat="false" ht="15" hidden="false" customHeight="false" outlineLevel="0" collapsed="false">
      <c r="A29" s="6"/>
      <c r="B29" s="34" t="s">
        <v>272</v>
      </c>
      <c r="C29" s="38" t="n">
        <f aca="false">C24-C27</f>
        <v>-64143.8859999999</v>
      </c>
      <c r="D29" s="38" t="n">
        <f aca="false">D24-D27</f>
        <v>514452.817319998</v>
      </c>
      <c r="E29" s="38" t="n">
        <f aca="false">E24-E27</f>
        <v>1209522.7531267</v>
      </c>
      <c r="F29" s="38" t="n">
        <f aca="false">F24-F27</f>
        <v>1989686.56706056</v>
      </c>
      <c r="G29" s="38" t="n">
        <f aca="false">G24-G27</f>
        <v>2648750.74332894</v>
      </c>
    </row>
    <row r="30" customFormat="false" ht="15" hidden="false" customHeight="false" outlineLevel="0" collapsed="false">
      <c r="A30" s="6"/>
      <c r="B30" s="9" t="s">
        <v>273</v>
      </c>
      <c r="C30" s="10"/>
      <c r="D30" s="10"/>
      <c r="E30" s="10"/>
      <c r="F30" s="10"/>
      <c r="G30" s="10"/>
    </row>
    <row r="31" customFormat="false" ht="15" hidden="false" customHeight="false" outlineLevel="0" collapsed="false">
      <c r="A31" s="6"/>
      <c r="B31" s="33" t="s">
        <v>263</v>
      </c>
      <c r="C31" s="37" t="n">
        <f aca="false">DS_Interest</f>
        <v>285600</v>
      </c>
      <c r="D31" s="37" t="n">
        <f aca="false">DS_Interest</f>
        <v>243474</v>
      </c>
      <c r="E31" s="37" t="n">
        <f aca="false">DS_Interest</f>
        <v>215611.935</v>
      </c>
      <c r="F31" s="37" t="n">
        <f aca="false">DS_Interest</f>
        <v>198616.14675</v>
      </c>
      <c r="G31" s="37" t="n">
        <f aca="false">DS_Interest</f>
        <v>189944.475065625</v>
      </c>
    </row>
    <row r="32" customFormat="false" ht="15" hidden="false" customHeight="false" outlineLevel="0" collapsed="false">
      <c r="A32" s="6"/>
      <c r="B32" s="9" t="s">
        <v>274</v>
      </c>
      <c r="C32" s="10"/>
      <c r="D32" s="10"/>
      <c r="E32" s="10"/>
      <c r="F32" s="10"/>
      <c r="G32" s="10"/>
    </row>
    <row r="33" customFormat="false" ht="15" hidden="false" customHeight="false" outlineLevel="0" collapsed="false">
      <c r="A33" s="6"/>
      <c r="B33" s="24" t="s">
        <v>275</v>
      </c>
      <c r="C33" s="37" t="n">
        <f aca="false">C29-C31</f>
        <v>-349743.886</v>
      </c>
      <c r="D33" s="37" t="n">
        <f aca="false">D29-D31</f>
        <v>270978.817319998</v>
      </c>
      <c r="E33" s="37" t="n">
        <f aca="false">E29-E31</f>
        <v>993910.818126701</v>
      </c>
      <c r="F33" s="37" t="n">
        <f aca="false">F29-F31</f>
        <v>1791070.42031056</v>
      </c>
      <c r="G33" s="37" t="n">
        <f aca="false">G29-G31</f>
        <v>2458806.26826332</v>
      </c>
    </row>
    <row r="34" customFormat="false" ht="15" hidden="false" customHeight="false" outlineLevel="0" collapsed="false">
      <c r="A34" s="6"/>
      <c r="B34" s="33" t="s">
        <v>276</v>
      </c>
      <c r="C34" s="37" t="n">
        <f aca="false">IF(C33&gt;0,C33*Tax_Rate,0)</f>
        <v>0</v>
      </c>
      <c r="D34" s="37" t="n">
        <f aca="false">IF(D33&gt;0,D33*Tax_Rate,0)</f>
        <v>67744.7043299995</v>
      </c>
      <c r="E34" s="37" t="n">
        <f aca="false">IF(E33&gt;0,E33*Tax_Rate,0)</f>
        <v>248477.704531675</v>
      </c>
      <c r="F34" s="37" t="n">
        <f aca="false">IF(F33&gt;0,F33*Tax_Rate,0)</f>
        <v>447767.60507764</v>
      </c>
      <c r="G34" s="37" t="n">
        <f aca="false">IF(G33&gt;0,G33*Tax_Rate,0)</f>
        <v>614701.567065829</v>
      </c>
    </row>
    <row r="35" customFormat="false" ht="15" hidden="false" customHeight="false" outlineLevel="0" collapsed="false">
      <c r="A35" s="6"/>
      <c r="B35" s="9" t="s">
        <v>277</v>
      </c>
      <c r="C35" s="10"/>
      <c r="D35" s="10"/>
      <c r="E35" s="10"/>
      <c r="F35" s="10"/>
      <c r="G35" s="10"/>
    </row>
    <row r="36" customFormat="false" ht="15" hidden="false" customHeight="false" outlineLevel="0" collapsed="false">
      <c r="A36" s="6"/>
      <c r="B36" s="34" t="s">
        <v>278</v>
      </c>
      <c r="C36" s="39" t="n">
        <f aca="false">C33-C34</f>
        <v>-349743.886</v>
      </c>
      <c r="D36" s="39" t="n">
        <f aca="false">D33-D34</f>
        <v>203234.112989999</v>
      </c>
      <c r="E36" s="39" t="n">
        <f aca="false">E33-E34</f>
        <v>745433.113595026</v>
      </c>
      <c r="F36" s="39" t="n">
        <f aca="false">F33-F34</f>
        <v>1343302.81523292</v>
      </c>
      <c r="G36" s="39" t="n">
        <f aca="false">G33-G34</f>
        <v>1844104.70119749</v>
      </c>
    </row>
    <row r="37" customFormat="false" ht="15" hidden="false" customHeight="false" outlineLevel="0" collapsed="false">
      <c r="A37" s="6"/>
      <c r="B37" s="24" t="s">
        <v>279</v>
      </c>
      <c r="C37" s="40" t="n">
        <f aca="false">IFERROR(C36/C12,0)</f>
        <v>-0.0886604037261947</v>
      </c>
      <c r="D37" s="40" t="n">
        <f aca="false">IFERROR(D36/D12,0)</f>
        <v>0.0455422726357238</v>
      </c>
      <c r="E37" s="40" t="n">
        <f aca="false">IFERROR(E36/E12,0)</f>
        <v>0.147532758910445</v>
      </c>
      <c r="F37" s="40" t="n">
        <f aca="false">IFERROR(F36/F12,0)</f>
        <v>0.235138097336387</v>
      </c>
      <c r="G37" s="40" t="n">
        <f aca="false">IFERROR(G36/G12,0)</f>
        <v>0.302032723581574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2026-05-15T18:53:45Z</dcterms:created>
  <dc:creator>openpyxl</dc:creator>
  <dc:description/>
  <dc:language>en-GB</dc:language>
  <cp:lastModifiedBy/>
  <dcterms:modified xsi:type="dcterms:W3CDTF">2026-05-15T18:53:45Z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